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heckCompatibility="1"/>
  <mc:AlternateContent xmlns:mc="http://schemas.openxmlformats.org/markup-compatibility/2006">
    <mc:Choice Requires="x15">
      <x15ac:absPath xmlns:x15ac="http://schemas.microsoft.com/office/spreadsheetml/2010/11/ac" url="C:\Users\LENOVO\Desktop\Latest IT 2025-26 File\"/>
    </mc:Choice>
  </mc:AlternateContent>
  <xr:revisionPtr revIDLastSave="0" documentId="13_ncr:1_{7687B35F-EEFC-4654-8F24-873E3C8FA695}" xr6:coauthVersionLast="47" xr6:coauthVersionMax="47" xr10:uidLastSave="{00000000-0000-0000-0000-000000000000}"/>
  <workbookProtection workbookAlgorithmName="SHA-512" workbookHashValue="DyfpF0TPRC3G4GS8iWh6OJKoUEShe+qWFtrXA/o7UdvvfgzB5ruR63Mh8v560Ebee/u9GFOaKx5y3Q2BKPPlyg==" workbookSaltValue="18VTsGM6e9SDQwbWgEBu3A==" workbookSpinCount="100000" lockStructure="1"/>
  <bookViews>
    <workbookView xWindow="-120" yWindow="-120" windowWidth="20730" windowHeight="11160" tabRatio="607" activeTab="7" xr2:uid="{00000000-000D-0000-FFFF-FFFF00000000}"/>
  </bookViews>
  <sheets>
    <sheet name="Welcome " sheetId="1" r:id="rId1"/>
    <sheet name=" Data Sheet-I" sheetId="2" state="hidden" r:id="rId2"/>
    <sheet name="Formula-I " sheetId="3" state="hidden" r:id="rId3"/>
    <sheet name="Table-A " sheetId="4" state="hidden" r:id="rId4"/>
    <sheet name="Anexure-I(Relief US-89(1))" sheetId="5" state="hidden" r:id="rId5"/>
    <sheet name="Form-10E" sheetId="6" state="hidden" r:id="rId6"/>
    <sheet name="ABSTRACT" sheetId="7" state="hidden" r:id="rId7"/>
    <sheet name="Data Sheet-II" sheetId="8" r:id="rId8"/>
    <sheet name="Data Sheet-III " sheetId="9" r:id="rId9"/>
    <sheet name="converts -II" sheetId="32" state="hidden" r:id="rId10"/>
    <sheet name="converts -I" sheetId="10" state="hidden" r:id="rId11"/>
    <sheet name="Anexure-I" sheetId="11" r:id="rId12"/>
    <sheet name="Formula" sheetId="12" state="hidden" r:id="rId13"/>
    <sheet name="Old Tax Regime" sheetId="13" r:id="rId14"/>
    <sheet name="FORM-16(Old)" sheetId="14" r:id="rId15"/>
    <sheet name="FORM-16(Back)(Old)" sheetId="15" r:id="rId16"/>
    <sheet name="Form 10-I" sheetId="16" state="hidden" r:id="rId17"/>
    <sheet name="Form 10-IA" sheetId="17" state="hidden" r:id="rId18"/>
    <sheet name="IT Information" sheetId="18" state="hidden" r:id="rId19"/>
    <sheet name="Sheet1" sheetId="19" state="hidden" r:id="rId20"/>
    <sheet name="Sheet2" sheetId="20" state="hidden" r:id="rId21"/>
    <sheet name="Rent Reciept" sheetId="24" r:id="rId22"/>
    <sheet name="Form-12BB" sheetId="23" r:id="rId23"/>
    <sheet name="Schedule-10(13A) HRA" sheetId="29" r:id="rId24"/>
    <sheet name="Section-24(b) Shedule " sheetId="21" r:id="rId25"/>
    <sheet name="Section-80D Shedule" sheetId="22" r:id="rId26"/>
    <sheet name="New Tax Regime" sheetId="25" r:id="rId27"/>
    <sheet name="FORM-16(New)" sheetId="30" r:id="rId28"/>
    <sheet name="FORM-16(Back)(New)" sheetId="31" r:id="rId29"/>
    <sheet name="Income Tax Rules " sheetId="26" r:id="rId30"/>
    <sheet name="Clarification on 80CCD(1B)" sheetId="27" state="hidden" r:id="rId31"/>
    <sheet name="Sheet3" sheetId="28" state="hidden" r:id="rId32"/>
  </sheets>
  <externalReferences>
    <externalReference r:id="rId33"/>
    <externalReference r:id="rId34"/>
  </externalReferences>
  <definedNames>
    <definedName name="_xlnm._FilterDatabase" localSheetId="11" hidden="1">'Anexure-I'!$Y$7:$Y$41</definedName>
    <definedName name="_xlnm._FilterDatabase" localSheetId="3" hidden="1">'Table-A '!$B$9:$Q$18</definedName>
    <definedName name="D">Formula!$D$39:$D$78</definedName>
    <definedName name="E">Formula!$E$39:$E$78</definedName>
    <definedName name="F">Formula!$F$39:$F$78</definedName>
    <definedName name="G">Formula!$G$39:$G$78</definedName>
    <definedName name="H">Formula!$H$39:$H$78</definedName>
    <definedName name="I">Formula!$I$39:$I$78</definedName>
    <definedName name="J">Formula!$J$39:$J$78</definedName>
    <definedName name="KK">Formula!$G$41:$G$80</definedName>
    <definedName name="N">Formula!$N$39:$N$78</definedName>
    <definedName name="O">Formula!$O$39:$O$78</definedName>
    <definedName name="P">Formula!$P$39:$P$78</definedName>
    <definedName name="_xlnm.Print_Area" localSheetId="11">'Anexure-I'!$B$7:$X$44</definedName>
    <definedName name="_xlnm.Print_Area" localSheetId="4">'Anexure-I(Relief US-89(1))'!$B$2:$J$30</definedName>
    <definedName name="_xlnm.Print_Area" localSheetId="16">'Form 10-I'!$B$2:$M$58</definedName>
    <definedName name="_xlnm.Print_Area" localSheetId="17">'Form 10-IA'!$B$2:$K$32</definedName>
    <definedName name="_xlnm.Print_Area" localSheetId="5">'Form-10E'!$B$2:$N$59</definedName>
    <definedName name="_xlnm.Print_Area" localSheetId="22">'Form-12BB'!$B$2:$T$67</definedName>
    <definedName name="_xlnm.Print_Area" localSheetId="28">'FORM-16(Back)(New)'!$B$3:$M$53</definedName>
    <definedName name="_xlnm.Print_Area" localSheetId="15">'FORM-16(Back)(Old)'!$B$3:$M$53</definedName>
    <definedName name="_xlnm.Print_Area" localSheetId="27">'FORM-16(New)'!$C$3:$Q$80</definedName>
    <definedName name="_xlnm.Print_Area" localSheetId="14">'FORM-16(Old)'!$C$3:$Q$80</definedName>
    <definedName name="_xlnm.Print_Area" localSheetId="26">'New Tax Regime'!$B$2:$M$52</definedName>
    <definedName name="_xlnm.Print_Area" localSheetId="13">'Old Tax Regime'!$B$2:$M$83</definedName>
    <definedName name="_xlnm.Print_Area" localSheetId="21">'Rent Reciept'!$B$2:$V$30</definedName>
    <definedName name="_xlnm.Print_Area" localSheetId="23">'Schedule-10(13A) HRA'!$A$2:$L$17</definedName>
    <definedName name="_xlnm.Print_Area" localSheetId="24">'Section-24(b) Shedule '!$A$2:$L$19</definedName>
    <definedName name="_xlnm.Print_Area" localSheetId="25">'Section-80D Shedule'!$A$2:$L$25</definedName>
    <definedName name="_xlnm.Print_Area" localSheetId="3">'Table-A '!$B$2:$Q$29</definedName>
    <definedName name="Q">Formula!$Q$39:$Q$78</definedName>
    <definedName name="RR">Formula!$R$39:$R$78</definedName>
    <definedName name="S">Formula!$S$39:$S$78</definedName>
    <definedName name="T">Formula!$T$39:$T$78</definedName>
    <definedName name="U">Formula!$U$17:$U$56</definedName>
    <definedName name="Z_045E3447_FB67_46C0_8E15_16FF7DED6BE8_.wvu.Cols" localSheetId="4" hidden="1">'Anexure-I(Relief US-89(1))'!$L:$IV</definedName>
    <definedName name="Z_045E3447_FB67_46C0_8E15_16FF7DED6BE8_.wvu.Cols" localSheetId="5" hidden="1">'Form-10E'!$Q:$IV</definedName>
    <definedName name="Z_045E3447_FB67_46C0_8E15_16FF7DED6BE8_.wvu.Cols" localSheetId="3" hidden="1">'Table-A '!$Y:$IV</definedName>
    <definedName name="Z_045E3447_FB67_46C0_8E15_16FF7DED6BE8_.wvu.FilterData" localSheetId="3" hidden="1">'Table-A '!$B$9:$Q$18</definedName>
    <definedName name="Z_045E3447_FB67_46C0_8E15_16FF7DED6BE8_.wvu.PrintArea" localSheetId="4" hidden="1">'Anexure-I(Relief US-89(1))'!$B$2:$J$30</definedName>
    <definedName name="Z_045E3447_FB67_46C0_8E15_16FF7DED6BE8_.wvu.PrintArea" localSheetId="5" hidden="1">'Form-10E'!$B$2:$N$59</definedName>
    <definedName name="Z_045E3447_FB67_46C0_8E15_16FF7DED6BE8_.wvu.PrintArea" localSheetId="3" hidden="1">'Table-A '!$B$2:$Q$29</definedName>
    <definedName name="Z_045E3447_FB67_46C0_8E15_16FF7DED6BE8_.wvu.Rows" localSheetId="4" hidden="1">'Anexure-I(Relief US-89(1))'!$34:$65536,'Anexure-I(Relief US-89(1))'!$32:$33</definedName>
    <definedName name="Z_045E3447_FB67_46C0_8E15_16FF7DED6BE8_.wvu.Rows" localSheetId="5" hidden="1">'Form-10E'!$87:$65536,'Form-10E'!$61:$86</definedName>
    <definedName name="Z_045E3447_FB67_46C0_8E15_16FF7DED6BE8_.wvu.Rows" localSheetId="3" hidden="1">'Table-A '!$98:$65532,'Table-A '!$31:$97</definedName>
    <definedName name="Z_04BA4C7A_08A4_4E18_9F2F_57757BF28CD2_.wvu.Cols" localSheetId="28" hidden="1">'FORM-16(Back)(New)'!$Q:$Q</definedName>
    <definedName name="Z_04BA4C7A_08A4_4E18_9F2F_57757BF28CD2_.wvu.Cols" localSheetId="15" hidden="1">'FORM-16(Back)(Old)'!$Q:$Q</definedName>
    <definedName name="Z_04BA4C7A_08A4_4E18_9F2F_57757BF28CD2_.wvu.Cols" localSheetId="21" hidden="1">'Rent Reciept'!$C:$C,'Rent Reciept'!$J:$J,'Rent Reciept'!#REF!</definedName>
    <definedName name="Z_04BA4C7A_08A4_4E18_9F2F_57757BF28CD2_.wvu.PrintArea" localSheetId="11" hidden="1">'Anexure-I'!$B$7:$X$44</definedName>
    <definedName name="Z_04BA4C7A_08A4_4E18_9F2F_57757BF28CD2_.wvu.PrintArea" localSheetId="16" hidden="1">'Form 10-I'!$B$2:$M$58</definedName>
    <definedName name="Z_04BA4C7A_08A4_4E18_9F2F_57757BF28CD2_.wvu.PrintArea" localSheetId="28" hidden="1">'FORM-16(Back)(New)'!$B$3:$M$53</definedName>
    <definedName name="Z_04BA4C7A_08A4_4E18_9F2F_57757BF28CD2_.wvu.PrintArea" localSheetId="15" hidden="1">'FORM-16(Back)(Old)'!$B$3:$M$53</definedName>
    <definedName name="Z_04BA4C7A_08A4_4E18_9F2F_57757BF28CD2_.wvu.PrintArea" localSheetId="27" hidden="1">'FORM-16(New)'!$D$3:$Q$80</definedName>
    <definedName name="Z_04BA4C7A_08A4_4E18_9F2F_57757BF28CD2_.wvu.PrintArea" localSheetId="14" hidden="1">'FORM-16(Old)'!$D$3:$Q$80</definedName>
    <definedName name="Z_04BA4C7A_08A4_4E18_9F2F_57757BF28CD2_.wvu.PrintArea" localSheetId="26" hidden="1">'New Tax Regime'!$B$2:$M$85</definedName>
    <definedName name="Z_04BA4C7A_08A4_4E18_9F2F_57757BF28CD2_.wvu.PrintArea" localSheetId="13" hidden="1">'Old Tax Regime'!$B$2:$M$82</definedName>
    <definedName name="Z_04BA4C7A_08A4_4E18_9F2F_57757BF28CD2_.wvu.PrintArea" localSheetId="21" hidden="1">'Rent Reciept'!$B$2:$V$30</definedName>
    <definedName name="Z_04BA4C7A_08A4_4E18_9F2F_57757BF28CD2_.wvu.Rows" localSheetId="28" hidden="1">'FORM-16(Back)(New)'!$54:$54</definedName>
    <definedName name="Z_04BA4C7A_08A4_4E18_9F2F_57757BF28CD2_.wvu.Rows" localSheetId="15" hidden="1">'FORM-16(Back)(Old)'!$54:$54</definedName>
    <definedName name="Z_0A5F3CD4_31BE_4E51_80D4_294DA5BAE480_.wvu.Cols" localSheetId="0" hidden="1">'Welcome '!$C:$C</definedName>
    <definedName name="Z_1B7577DB_E3C4_4E68_B7CF_8F86FF7C5A82_.wvu.Cols" localSheetId="1" hidden="1">' Data Sheet-I'!$W:$XFD</definedName>
    <definedName name="Z_1B7577DB_E3C4_4E68_B7CF_8F86FF7C5A82_.wvu.Cols" localSheetId="11" hidden="1">'Anexure-I'!$Z:$XFD</definedName>
    <definedName name="Z_1B7577DB_E3C4_4E68_B7CF_8F86FF7C5A82_.wvu.Cols" localSheetId="4" hidden="1">'Anexure-I(Relief US-89(1))'!$L:$XFD</definedName>
    <definedName name="Z_1B7577DB_E3C4_4E68_B7CF_8F86FF7C5A82_.wvu.Cols" localSheetId="7" hidden="1">'Data Sheet-II'!$I:$J,'Data Sheet-II'!$AU:$XFD</definedName>
    <definedName name="Z_1B7577DB_E3C4_4E68_B7CF_8F86FF7C5A82_.wvu.Cols" localSheetId="8" hidden="1">'Data Sheet-III '!$AK:$XFD</definedName>
    <definedName name="Z_1B7577DB_E3C4_4E68_B7CF_8F86FF7C5A82_.wvu.Cols" localSheetId="5" hidden="1">'Form-10E'!$P:$XFD</definedName>
    <definedName name="Z_1B7577DB_E3C4_4E68_B7CF_8F86FF7C5A82_.wvu.Cols" localSheetId="22" hidden="1">'Form-12BB'!$AG:$BZ,'Form-12BB'!$ED:$XFD</definedName>
    <definedName name="Z_1B7577DB_E3C4_4E68_B7CF_8F86FF7C5A82_.wvu.Cols" localSheetId="28" hidden="1">'FORM-16(Back)(New)'!$V:$XFD</definedName>
    <definedName name="Z_1B7577DB_E3C4_4E68_B7CF_8F86FF7C5A82_.wvu.Cols" localSheetId="15" hidden="1">'FORM-16(Back)(Old)'!$V:$XFD</definedName>
    <definedName name="Z_1B7577DB_E3C4_4E68_B7CF_8F86FF7C5A82_.wvu.Cols" localSheetId="27" hidden="1">'FORM-16(New)'!$X:$XFD</definedName>
    <definedName name="Z_1B7577DB_E3C4_4E68_B7CF_8F86FF7C5A82_.wvu.Cols" localSheetId="14" hidden="1">'FORM-16(Old)'!$X:$XFD</definedName>
    <definedName name="Z_1B7577DB_E3C4_4E68_B7CF_8F86FF7C5A82_.wvu.Cols" localSheetId="29" hidden="1">'Income Tax Rules '!$M:$XFD</definedName>
    <definedName name="Z_1B7577DB_E3C4_4E68_B7CF_8F86FF7C5A82_.wvu.Cols" localSheetId="26" hidden="1">'New Tax Regime'!$W:$XFD</definedName>
    <definedName name="Z_1B7577DB_E3C4_4E68_B7CF_8F86FF7C5A82_.wvu.Cols" localSheetId="13" hidden="1">'Old Tax Regime'!$Z:$XFD</definedName>
    <definedName name="Z_1B7577DB_E3C4_4E68_B7CF_8F86FF7C5A82_.wvu.Cols" localSheetId="21" hidden="1">'Rent Reciept'!$C:$C,'Rent Reciept'!$CS:$XFD</definedName>
    <definedName name="Z_1B7577DB_E3C4_4E68_B7CF_8F86FF7C5A82_.wvu.Cols" localSheetId="23" hidden="1">'Schedule-10(13A) HRA'!$N:$XFD</definedName>
    <definedName name="Z_1B7577DB_E3C4_4E68_B7CF_8F86FF7C5A82_.wvu.Cols" localSheetId="24" hidden="1">'Section-24(b) Shedule '!$N:$XFD</definedName>
    <definedName name="Z_1B7577DB_E3C4_4E68_B7CF_8F86FF7C5A82_.wvu.Cols" localSheetId="25" hidden="1">'Section-80D Shedule'!$N:$XFD</definedName>
    <definedName name="Z_1B7577DB_E3C4_4E68_B7CF_8F86FF7C5A82_.wvu.Cols" localSheetId="19" hidden="1">Sheet1!$K:$XFD</definedName>
    <definedName name="Z_1B7577DB_E3C4_4E68_B7CF_8F86FF7C5A82_.wvu.Cols" localSheetId="3" hidden="1">'Table-A '!$U:$XFD</definedName>
    <definedName name="Z_1B7577DB_E3C4_4E68_B7CF_8F86FF7C5A82_.wvu.Cols" localSheetId="0" hidden="1">'Welcome '!$C:$C,'Welcome '!$W:$XFD</definedName>
    <definedName name="Z_1B7577DB_E3C4_4E68_B7CF_8F86FF7C5A82_.wvu.FilterData" localSheetId="11" hidden="1">'Anexure-I'!$Y$7:$Y$41</definedName>
    <definedName name="Z_1B7577DB_E3C4_4E68_B7CF_8F86FF7C5A82_.wvu.FilterData" localSheetId="3" hidden="1">'Table-A '!$B$9:$Q$18</definedName>
    <definedName name="Z_1B7577DB_E3C4_4E68_B7CF_8F86FF7C5A82_.wvu.PrintArea" localSheetId="11" hidden="1">'Anexure-I'!$B$7:$X$44</definedName>
    <definedName name="Z_1B7577DB_E3C4_4E68_B7CF_8F86FF7C5A82_.wvu.PrintArea" localSheetId="4" hidden="1">'Anexure-I(Relief US-89(1))'!$B$2:$J$30</definedName>
    <definedName name="Z_1B7577DB_E3C4_4E68_B7CF_8F86FF7C5A82_.wvu.PrintArea" localSheetId="16" hidden="1">'Form 10-I'!$B$2:$M$58</definedName>
    <definedName name="Z_1B7577DB_E3C4_4E68_B7CF_8F86FF7C5A82_.wvu.PrintArea" localSheetId="17" hidden="1">'Form 10-IA'!$B$2:$K$32</definedName>
    <definedName name="Z_1B7577DB_E3C4_4E68_B7CF_8F86FF7C5A82_.wvu.PrintArea" localSheetId="5" hidden="1">'Form-10E'!$B$2:$N$59</definedName>
    <definedName name="Z_1B7577DB_E3C4_4E68_B7CF_8F86FF7C5A82_.wvu.PrintArea" localSheetId="22" hidden="1">'Form-12BB'!$B$2:$T$67</definedName>
    <definedName name="Z_1B7577DB_E3C4_4E68_B7CF_8F86FF7C5A82_.wvu.PrintArea" localSheetId="28" hidden="1">'FORM-16(Back)(New)'!$B$3:$M$53</definedName>
    <definedName name="Z_1B7577DB_E3C4_4E68_B7CF_8F86FF7C5A82_.wvu.PrintArea" localSheetId="15" hidden="1">'FORM-16(Back)(Old)'!$B$3:$M$53</definedName>
    <definedName name="Z_1B7577DB_E3C4_4E68_B7CF_8F86FF7C5A82_.wvu.PrintArea" localSheetId="27" hidden="1">'FORM-16(New)'!$C$3:$Q$80</definedName>
    <definedName name="Z_1B7577DB_E3C4_4E68_B7CF_8F86FF7C5A82_.wvu.PrintArea" localSheetId="14" hidden="1">'FORM-16(Old)'!$C$3:$Q$80</definedName>
    <definedName name="Z_1B7577DB_E3C4_4E68_B7CF_8F86FF7C5A82_.wvu.PrintArea" localSheetId="26" hidden="1">'New Tax Regime'!$B$2:$M$52</definedName>
    <definedName name="Z_1B7577DB_E3C4_4E68_B7CF_8F86FF7C5A82_.wvu.PrintArea" localSheetId="13" hidden="1">'Old Tax Regime'!$B$2:$M$83</definedName>
    <definedName name="Z_1B7577DB_E3C4_4E68_B7CF_8F86FF7C5A82_.wvu.PrintArea" localSheetId="21" hidden="1">'Rent Reciept'!$B$2:$V$30</definedName>
    <definedName name="Z_1B7577DB_E3C4_4E68_B7CF_8F86FF7C5A82_.wvu.PrintArea" localSheetId="23" hidden="1">'Schedule-10(13A) HRA'!$A$2:$L$17</definedName>
    <definedName name="Z_1B7577DB_E3C4_4E68_B7CF_8F86FF7C5A82_.wvu.PrintArea" localSheetId="24" hidden="1">'Section-24(b) Shedule '!$A$2:$L$19</definedName>
    <definedName name="Z_1B7577DB_E3C4_4E68_B7CF_8F86FF7C5A82_.wvu.PrintArea" localSheetId="25" hidden="1">'Section-80D Shedule'!$A$2:$L$25</definedName>
    <definedName name="Z_1B7577DB_E3C4_4E68_B7CF_8F86FF7C5A82_.wvu.PrintArea" localSheetId="3" hidden="1">'Table-A '!$B$2:$Q$29</definedName>
    <definedName name="Z_1B7577DB_E3C4_4E68_B7CF_8F86FF7C5A82_.wvu.Rows" localSheetId="1" hidden="1">' Data Sheet-I'!$547:$1048576,' Data Sheet-I'!$65:$546</definedName>
    <definedName name="Z_1B7577DB_E3C4_4E68_B7CF_8F86FF7C5A82_.wvu.Rows" localSheetId="11" hidden="1">'Anexure-I'!$166:$1048576,'Anexure-I'!$46:$165</definedName>
    <definedName name="Z_1B7577DB_E3C4_4E68_B7CF_8F86FF7C5A82_.wvu.Rows" localSheetId="4" hidden="1">'Anexure-I(Relief US-89(1))'!$34:$1048576,'Anexure-I(Relief US-89(1))'!$32:$33</definedName>
    <definedName name="Z_1B7577DB_E3C4_4E68_B7CF_8F86FF7C5A82_.wvu.Rows" localSheetId="7" hidden="1">'Data Sheet-II'!$322:$1048576,'Data Sheet-II'!$157:$321</definedName>
    <definedName name="Z_1B7577DB_E3C4_4E68_B7CF_8F86FF7C5A82_.wvu.Rows" localSheetId="8" hidden="1">'Data Sheet-III '!$206:$1048576,'Data Sheet-III '!$96:$205</definedName>
    <definedName name="Z_1B7577DB_E3C4_4E68_B7CF_8F86FF7C5A82_.wvu.Rows" localSheetId="5" hidden="1">'Form-10E'!$87:$1048576,'Form-10E'!$61:$86</definedName>
    <definedName name="Z_1B7577DB_E3C4_4E68_B7CF_8F86FF7C5A82_.wvu.Rows" localSheetId="22" hidden="1">'Form-12BB'!$159:$1048576,'Form-12BB'!$69:$158</definedName>
    <definedName name="Z_1B7577DB_E3C4_4E68_B7CF_8F86FF7C5A82_.wvu.Rows" localSheetId="28" hidden="1">'FORM-16(Back)(New)'!$201:$1048576,'FORM-16(Back)(New)'!$54:$54,'FORM-16(Back)(New)'!$56:$200</definedName>
    <definedName name="Z_1B7577DB_E3C4_4E68_B7CF_8F86FF7C5A82_.wvu.Rows" localSheetId="15" hidden="1">'FORM-16(Back)(Old)'!$201:$1048576,'FORM-16(Back)(Old)'!$54:$54,'FORM-16(Back)(Old)'!$56:$200</definedName>
    <definedName name="Z_1B7577DB_E3C4_4E68_B7CF_8F86FF7C5A82_.wvu.Rows" localSheetId="27" hidden="1">'FORM-16(New)'!$270:$1048576,'FORM-16(New)'!$82:$269</definedName>
    <definedName name="Z_1B7577DB_E3C4_4E68_B7CF_8F86FF7C5A82_.wvu.Rows" localSheetId="14" hidden="1">'FORM-16(Old)'!$270:$1048576,'FORM-16(Old)'!$82:$269</definedName>
    <definedName name="Z_1B7577DB_E3C4_4E68_B7CF_8F86FF7C5A82_.wvu.Rows" localSheetId="29" hidden="1">'Income Tax Rules '!$102:$1048576</definedName>
    <definedName name="Z_1B7577DB_E3C4_4E68_B7CF_8F86FF7C5A82_.wvu.Rows" localSheetId="26" hidden="1">'New Tax Regime'!$176:$1048576,'New Tax Regime'!$54:$175</definedName>
    <definedName name="Z_1B7577DB_E3C4_4E68_B7CF_8F86FF7C5A82_.wvu.Rows" localSheetId="13" hidden="1">'Old Tax Regime'!$176:$1048576,'Old Tax Regime'!$85:$175</definedName>
    <definedName name="Z_1B7577DB_E3C4_4E68_B7CF_8F86FF7C5A82_.wvu.Rows" localSheetId="21" hidden="1">'Rent Reciept'!$110:$1048576,'Rent Reciept'!$33:$109</definedName>
    <definedName name="Z_1B7577DB_E3C4_4E68_B7CF_8F86FF7C5A82_.wvu.Rows" localSheetId="23" hidden="1">'Schedule-10(13A) HRA'!$34:$1048576,'Schedule-10(13A) HRA'!$19:$33</definedName>
    <definedName name="Z_1B7577DB_E3C4_4E68_B7CF_8F86FF7C5A82_.wvu.Rows" localSheetId="24" hidden="1">'Section-24(b) Shedule '!$36:$1048576,'Section-24(b) Shedule '!$21:$35</definedName>
    <definedName name="Z_1B7577DB_E3C4_4E68_B7CF_8F86FF7C5A82_.wvu.Rows" localSheetId="25" hidden="1">'Section-80D Shedule'!$35:$1048576,'Section-80D Shedule'!$27:$34</definedName>
    <definedName name="Z_1B7577DB_E3C4_4E68_B7CF_8F86FF7C5A82_.wvu.Rows" localSheetId="19" hidden="1">Sheet1!$100:$1048576,Sheet1!$86:$99</definedName>
    <definedName name="Z_1B7577DB_E3C4_4E68_B7CF_8F86FF7C5A82_.wvu.Rows" localSheetId="3" hidden="1">'Table-A '!$98:$1048576,'Table-A '!$31:$97</definedName>
    <definedName name="Z_1B7577DB_E3C4_4E68_B7CF_8F86FF7C5A82_.wvu.Rows" localSheetId="0" hidden="1">'Welcome '!$110:$1048576,'Welcome '!$39:$109</definedName>
    <definedName name="Z_2BE9587E_F957_49DF_9716_3F2B35B49DC1_.wvu.Cols" localSheetId="11" hidden="1">'Anexure-I'!$Z:$IU</definedName>
    <definedName name="Z_2BE9587E_F957_49DF_9716_3F2B35B49DC1_.wvu.Cols" localSheetId="4" hidden="1">'Anexure-I(Relief US-89(1))'!$L:$IV</definedName>
    <definedName name="Z_2BE9587E_F957_49DF_9716_3F2B35B49DC1_.wvu.Cols" localSheetId="7" hidden="1">'Data Sheet-II'!$I:$K,'Data Sheet-II'!$AU:$IW</definedName>
    <definedName name="Z_2BE9587E_F957_49DF_9716_3F2B35B49DC1_.wvu.Cols" localSheetId="8" hidden="1">'Data Sheet-III '!$J:$L,'Data Sheet-III '!$AT:$IV</definedName>
    <definedName name="Z_2BE9587E_F957_49DF_9716_3F2B35B49DC1_.wvu.Cols" localSheetId="5" hidden="1">'Form-10E'!$Q:$IV</definedName>
    <definedName name="Z_2BE9587E_F957_49DF_9716_3F2B35B49DC1_.wvu.Cols" localSheetId="22" hidden="1">'Form-12BB'!$L:$L,'Form-12BB'!$P:$P</definedName>
    <definedName name="Z_2BE9587E_F957_49DF_9716_3F2B35B49DC1_.wvu.Cols" localSheetId="28" hidden="1">'FORM-16(Back)(New)'!$V:$IV</definedName>
    <definedName name="Z_2BE9587E_F957_49DF_9716_3F2B35B49DC1_.wvu.Cols" localSheetId="15" hidden="1">'FORM-16(Back)(Old)'!$V:$IV</definedName>
    <definedName name="Z_2BE9587E_F957_49DF_9716_3F2B35B49DC1_.wvu.Cols" localSheetId="27" hidden="1">'FORM-16(New)'!$X:$IW</definedName>
    <definedName name="Z_2BE9587E_F957_49DF_9716_3F2B35B49DC1_.wvu.Cols" localSheetId="14" hidden="1">'FORM-16(Old)'!$X:$IW</definedName>
    <definedName name="Z_2BE9587E_F957_49DF_9716_3F2B35B49DC1_.wvu.Cols" localSheetId="26" hidden="1">'New Tax Regime'!$BS:$IV</definedName>
    <definedName name="Z_2BE9587E_F957_49DF_9716_3F2B35B49DC1_.wvu.Cols" localSheetId="13" hidden="1">'Old Tax Regime'!$CA:$JF</definedName>
    <definedName name="Z_2BE9587E_F957_49DF_9716_3F2B35B49DC1_.wvu.Cols" localSheetId="21" hidden="1">'Rent Reciept'!$C:$C,'Rent Reciept'!$J:$J,'Rent Reciept'!#REF!</definedName>
    <definedName name="Z_2BE9587E_F957_49DF_9716_3F2B35B49DC1_.wvu.Cols" localSheetId="19" hidden="1">Sheet1!$K:$IV</definedName>
    <definedName name="Z_2BE9587E_F957_49DF_9716_3F2B35B49DC1_.wvu.Cols" localSheetId="3" hidden="1">'Table-A '!$Y:$IV</definedName>
    <definedName name="Z_2BE9587E_F957_49DF_9716_3F2B35B49DC1_.wvu.Cols" localSheetId="0" hidden="1">'Welcome '!$C:$C</definedName>
    <definedName name="Z_2BE9587E_F957_49DF_9716_3F2B35B49DC1_.wvu.FilterData" localSheetId="3" hidden="1">'Table-A '!$B$9:$Q$18</definedName>
    <definedName name="Z_2BE9587E_F957_49DF_9716_3F2B35B49DC1_.wvu.PrintArea" localSheetId="11" hidden="1">'Anexure-I'!$B$7:$X$44</definedName>
    <definedName name="Z_2BE9587E_F957_49DF_9716_3F2B35B49DC1_.wvu.PrintArea" localSheetId="4" hidden="1">'Anexure-I(Relief US-89(1))'!$B$2:$J$30</definedName>
    <definedName name="Z_2BE9587E_F957_49DF_9716_3F2B35B49DC1_.wvu.PrintArea" localSheetId="16" hidden="1">'Form 10-I'!$B$2:$M$58</definedName>
    <definedName name="Z_2BE9587E_F957_49DF_9716_3F2B35B49DC1_.wvu.PrintArea" localSheetId="17" hidden="1">'Form 10-IA'!$B$2:$K$32</definedName>
    <definedName name="Z_2BE9587E_F957_49DF_9716_3F2B35B49DC1_.wvu.PrintArea" localSheetId="5" hidden="1">'Form-10E'!$B$2:$N$59</definedName>
    <definedName name="Z_2BE9587E_F957_49DF_9716_3F2B35B49DC1_.wvu.PrintArea" localSheetId="22" hidden="1">'Form-12BB'!$B$2:$T$67</definedName>
    <definedName name="Z_2BE9587E_F957_49DF_9716_3F2B35B49DC1_.wvu.PrintArea" localSheetId="28" hidden="1">'FORM-16(Back)(New)'!$B$3:$M$53</definedName>
    <definedName name="Z_2BE9587E_F957_49DF_9716_3F2B35B49DC1_.wvu.PrintArea" localSheetId="15" hidden="1">'FORM-16(Back)(Old)'!$B$3:$M$53</definedName>
    <definedName name="Z_2BE9587E_F957_49DF_9716_3F2B35B49DC1_.wvu.PrintArea" localSheetId="27" hidden="1">'FORM-16(New)'!$D$3:$Q$80</definedName>
    <definedName name="Z_2BE9587E_F957_49DF_9716_3F2B35B49DC1_.wvu.PrintArea" localSheetId="14" hidden="1">'FORM-16(Old)'!$D$3:$Q$80</definedName>
    <definedName name="Z_2BE9587E_F957_49DF_9716_3F2B35B49DC1_.wvu.PrintArea" localSheetId="26" hidden="1">'New Tax Regime'!$B$2:$M$86</definedName>
    <definedName name="Z_2BE9587E_F957_49DF_9716_3F2B35B49DC1_.wvu.PrintArea" localSheetId="13" hidden="1">'Old Tax Regime'!$B$2:$M$83</definedName>
    <definedName name="Z_2BE9587E_F957_49DF_9716_3F2B35B49DC1_.wvu.PrintArea" localSheetId="21" hidden="1">'Rent Reciept'!$B$2:$V$30</definedName>
    <definedName name="Z_2BE9587E_F957_49DF_9716_3F2B35B49DC1_.wvu.PrintArea" localSheetId="3" hidden="1">'Table-A '!$B$2:$Q$29</definedName>
    <definedName name="Z_2BE9587E_F957_49DF_9716_3F2B35B49DC1_.wvu.Rows" localSheetId="11" hidden="1">'Anexure-I'!$160:$65536,'Anexure-I'!$46:$159</definedName>
    <definedName name="Z_2BE9587E_F957_49DF_9716_3F2B35B49DC1_.wvu.Rows" localSheetId="4" hidden="1">'Anexure-I(Relief US-89(1))'!$34:$65536,'Anexure-I(Relief US-89(1))'!$32:$33</definedName>
    <definedName name="Z_2BE9587E_F957_49DF_9716_3F2B35B49DC1_.wvu.Rows" localSheetId="7" hidden="1">'Data Sheet-II'!$322:$65643,'Data Sheet-II'!$216:$321</definedName>
    <definedName name="Z_2BE9587E_F957_49DF_9716_3F2B35B49DC1_.wvu.Rows" localSheetId="8" hidden="1">'Data Sheet-III '!$206:$65527,'Data Sheet-III '!$100:$205</definedName>
    <definedName name="Z_2BE9587E_F957_49DF_9716_3F2B35B49DC1_.wvu.Rows" localSheetId="5" hidden="1">'Form-10E'!$87:$65536,'Form-10E'!$61:$86</definedName>
    <definedName name="Z_2BE9587E_F957_49DF_9716_3F2B35B49DC1_.wvu.Rows" localSheetId="28" hidden="1">'FORM-16(Back)(New)'!$201:$65536,'FORM-16(Back)(New)'!$54:$54,'FORM-16(Back)(New)'!$56:$200</definedName>
    <definedName name="Z_2BE9587E_F957_49DF_9716_3F2B35B49DC1_.wvu.Rows" localSheetId="15" hidden="1">'FORM-16(Back)(Old)'!$201:$65536,'FORM-16(Back)(Old)'!$54:$54,'FORM-16(Back)(Old)'!$56:$200</definedName>
    <definedName name="Z_2BE9587E_F957_49DF_9716_3F2B35B49DC1_.wvu.Rows" localSheetId="27" hidden="1">'FORM-16(New)'!$257:$65538,'FORM-16(New)'!$82:$256</definedName>
    <definedName name="Z_2BE9587E_F957_49DF_9716_3F2B35B49DC1_.wvu.Rows" localSheetId="14" hidden="1">'FORM-16(Old)'!$257:$65538,'FORM-16(Old)'!$82:$256</definedName>
    <definedName name="Z_2BE9587E_F957_49DF_9716_3F2B35B49DC1_.wvu.Rows" localSheetId="26" hidden="1">'New Tax Regime'!$174:$65544,'New Tax Regime'!$89:$171</definedName>
    <definedName name="Z_2BE9587E_F957_49DF_9716_3F2B35B49DC1_.wvu.Rows" localSheetId="13" hidden="1">'Old Tax Regime'!$171:$65541,'Old Tax Regime'!$86:$168</definedName>
    <definedName name="Z_2BE9587E_F957_49DF_9716_3F2B35B49DC1_.wvu.Rows" localSheetId="21" hidden="1">'Rent Reciept'!#REF!,'Rent Reciept'!#REF!</definedName>
    <definedName name="Z_2BE9587E_F957_49DF_9716_3F2B35B49DC1_.wvu.Rows" localSheetId="19" hidden="1">Sheet1!$100:$65536,Sheet1!$86:$99</definedName>
    <definedName name="Z_2BE9587E_F957_49DF_9716_3F2B35B49DC1_.wvu.Rows" localSheetId="3" hidden="1">'Table-A '!$98:$65532,'Table-A '!$31:$97</definedName>
    <definedName name="Z_60E5615C_64A2_4675_848A_970A515EAF91_.wvu.Cols" localSheetId="11" hidden="1">'Anexure-I'!$Z:$IU</definedName>
    <definedName name="Z_60E5615C_64A2_4675_848A_970A515EAF91_.wvu.Cols" localSheetId="7" hidden="1">'Data Sheet-II'!$I:$J,'Data Sheet-II'!$AV:$IW</definedName>
    <definedName name="Z_60E5615C_64A2_4675_848A_970A515EAF91_.wvu.Cols" localSheetId="8" hidden="1">'Data Sheet-III '!$J:$K,'Data Sheet-III '!$AU:$IV</definedName>
    <definedName name="Z_60E5615C_64A2_4675_848A_970A515EAF91_.wvu.Cols" localSheetId="22" hidden="1">'Form-12BB'!$L:$L,'Form-12BB'!$P:$P</definedName>
    <definedName name="Z_60E5615C_64A2_4675_848A_970A515EAF91_.wvu.Cols" localSheetId="28" hidden="1">'FORM-16(Back)(New)'!$V:$IV</definedName>
    <definedName name="Z_60E5615C_64A2_4675_848A_970A515EAF91_.wvu.Cols" localSheetId="15" hidden="1">'FORM-16(Back)(Old)'!$V:$IV</definedName>
    <definedName name="Z_60E5615C_64A2_4675_848A_970A515EAF91_.wvu.Cols" localSheetId="27" hidden="1">'FORM-16(New)'!$X:$IW</definedName>
    <definedName name="Z_60E5615C_64A2_4675_848A_970A515EAF91_.wvu.Cols" localSheetId="14" hidden="1">'FORM-16(Old)'!$X:$IW</definedName>
    <definedName name="Z_60E5615C_64A2_4675_848A_970A515EAF91_.wvu.Cols" localSheetId="26" hidden="1">'New Tax Regime'!$BF:$IV</definedName>
    <definedName name="Z_60E5615C_64A2_4675_848A_970A515EAF91_.wvu.Cols" localSheetId="13" hidden="1">'Old Tax Regime'!$BN:$JF</definedName>
    <definedName name="Z_60E5615C_64A2_4675_848A_970A515EAF91_.wvu.Cols" localSheetId="21" hidden="1">'Rent Reciept'!$C:$C,'Rent Reciept'!$J:$J,'Rent Reciept'!#REF!</definedName>
    <definedName name="Z_60E5615C_64A2_4675_848A_970A515EAF91_.wvu.Cols" localSheetId="19" hidden="1">Sheet1!$K:$IV</definedName>
    <definedName name="Z_60E5615C_64A2_4675_848A_970A515EAF91_.wvu.Cols" localSheetId="0" hidden="1">'Welcome '!$C:$C</definedName>
    <definedName name="Z_60E5615C_64A2_4675_848A_970A515EAF91_.wvu.PrintArea" localSheetId="11" hidden="1">'Anexure-I'!$B$7:$X$44</definedName>
    <definedName name="Z_60E5615C_64A2_4675_848A_970A515EAF91_.wvu.PrintArea" localSheetId="16" hidden="1">'Form 10-I'!$B$2:$M$58</definedName>
    <definedName name="Z_60E5615C_64A2_4675_848A_970A515EAF91_.wvu.PrintArea" localSheetId="17" hidden="1">'Form 10-IA'!$B$2:$K$32</definedName>
    <definedName name="Z_60E5615C_64A2_4675_848A_970A515EAF91_.wvu.PrintArea" localSheetId="22" hidden="1">'Form-12BB'!$B$2:$T$67</definedName>
    <definedName name="Z_60E5615C_64A2_4675_848A_970A515EAF91_.wvu.PrintArea" localSheetId="28" hidden="1">'FORM-16(Back)(New)'!$B$3:$M$53</definedName>
    <definedName name="Z_60E5615C_64A2_4675_848A_970A515EAF91_.wvu.PrintArea" localSheetId="15" hidden="1">'FORM-16(Back)(Old)'!$B$3:$M$53</definedName>
    <definedName name="Z_60E5615C_64A2_4675_848A_970A515EAF91_.wvu.PrintArea" localSheetId="27" hidden="1">'FORM-16(New)'!$D$3:$Q$80</definedName>
    <definedName name="Z_60E5615C_64A2_4675_848A_970A515EAF91_.wvu.PrintArea" localSheetId="14" hidden="1">'FORM-16(Old)'!$D$3:$Q$80</definedName>
    <definedName name="Z_60E5615C_64A2_4675_848A_970A515EAF91_.wvu.PrintArea" localSheetId="26" hidden="1">'New Tax Regime'!$B$2:$M$86</definedName>
    <definedName name="Z_60E5615C_64A2_4675_848A_970A515EAF91_.wvu.PrintArea" localSheetId="13" hidden="1">'Old Tax Regime'!$B$2:$M$83</definedName>
    <definedName name="Z_60E5615C_64A2_4675_848A_970A515EAF91_.wvu.PrintArea" localSheetId="21" hidden="1">'Rent Reciept'!$B$2:$V$30</definedName>
    <definedName name="Z_60E5615C_64A2_4675_848A_970A515EAF91_.wvu.Rows" localSheetId="11" hidden="1">'Anexure-I'!$160:$65536,'Anexure-I'!$46:$159</definedName>
    <definedName name="Z_60E5615C_64A2_4675_848A_970A515EAF91_.wvu.Rows" localSheetId="7" hidden="1">'Data Sheet-II'!$322:$65643,'Data Sheet-II'!$216:$321</definedName>
    <definedName name="Z_60E5615C_64A2_4675_848A_970A515EAF91_.wvu.Rows" localSheetId="8" hidden="1">'Data Sheet-III '!$206:$65527,'Data Sheet-III '!$100:$205</definedName>
    <definedName name="Z_60E5615C_64A2_4675_848A_970A515EAF91_.wvu.Rows" localSheetId="28" hidden="1">'FORM-16(Back)(New)'!$201:$65536,'FORM-16(Back)(New)'!$54:$54,'FORM-16(Back)(New)'!$56:$200</definedName>
    <definedName name="Z_60E5615C_64A2_4675_848A_970A515EAF91_.wvu.Rows" localSheetId="15" hidden="1">'FORM-16(Back)(Old)'!$201:$65536,'FORM-16(Back)(Old)'!$54:$54,'FORM-16(Back)(Old)'!$56:$200</definedName>
    <definedName name="Z_60E5615C_64A2_4675_848A_970A515EAF91_.wvu.Rows" localSheetId="27" hidden="1">'FORM-16(New)'!$257:$65538,'FORM-16(New)'!$82:$256</definedName>
    <definedName name="Z_60E5615C_64A2_4675_848A_970A515EAF91_.wvu.Rows" localSheetId="14" hidden="1">'FORM-16(Old)'!$257:$65538,'FORM-16(Old)'!$82:$256</definedName>
    <definedName name="Z_60E5615C_64A2_4675_848A_970A515EAF91_.wvu.Rows" localSheetId="26" hidden="1">'New Tax Regime'!$174:$65544,'New Tax Regime'!$89:$171</definedName>
    <definedName name="Z_60E5615C_64A2_4675_848A_970A515EAF91_.wvu.Rows" localSheetId="13" hidden="1">'Old Tax Regime'!$171:$65541,'Old Tax Regime'!$86:$168</definedName>
    <definedName name="Z_60E5615C_64A2_4675_848A_970A515EAF91_.wvu.Rows" localSheetId="21" hidden="1">'Rent Reciept'!#REF!,'Rent Reciept'!#REF!</definedName>
    <definedName name="Z_60E5615C_64A2_4675_848A_970A515EAF91_.wvu.Rows" localSheetId="19" hidden="1">Sheet1!$100:$65536,Sheet1!$86:$99</definedName>
    <definedName name="Z_94374588_B1E8_4F85_8B8C_8D1DBECBEB51_.wvu.Cols" localSheetId="11" hidden="1">'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definedName>
    <definedName name="Z_94374588_B1E8_4F85_8B8C_8D1DBECBEB51_.wvu.Cols" localSheetId="28" hidden="1">'FORM-16(Back)(New)'!$Q:$Q,'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definedName>
    <definedName name="Z_94374588_B1E8_4F85_8B8C_8D1DBECBEB51_.wvu.Cols" localSheetId="15" hidden="1">'FORM-16(Back)(Old)'!$Q:$Q,'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definedName>
    <definedName name="Z_94374588_B1E8_4F85_8B8C_8D1DBECBEB51_.wvu.Cols" localSheetId="21" hidden="1">#VALUE!</definedName>
    <definedName name="Z_94374588_B1E8_4F85_8B8C_8D1DBECBEB51_.wvu.PrintArea" localSheetId="11" hidden="1">'Anexure-I'!$B$7:$X$44</definedName>
    <definedName name="Z_94374588_B1E8_4F85_8B8C_8D1DBECBEB51_.wvu.PrintArea" localSheetId="16" hidden="1">'Form 10-I'!$B$2:$M$58</definedName>
    <definedName name="Z_94374588_B1E8_4F85_8B8C_8D1DBECBEB51_.wvu.PrintArea" localSheetId="28" hidden="1">'FORM-16(Back)(New)'!$B$3:$M$53</definedName>
    <definedName name="Z_94374588_B1E8_4F85_8B8C_8D1DBECBEB51_.wvu.PrintArea" localSheetId="15" hidden="1">'FORM-16(Back)(Old)'!$B$3:$M$53</definedName>
    <definedName name="Z_94374588_B1E8_4F85_8B8C_8D1DBECBEB51_.wvu.PrintArea" localSheetId="27" hidden="1">'FORM-16(New)'!$D$3:$Q$80</definedName>
    <definedName name="Z_94374588_B1E8_4F85_8B8C_8D1DBECBEB51_.wvu.PrintArea" localSheetId="14" hidden="1">'FORM-16(Old)'!$D$3:$Q$80</definedName>
    <definedName name="Z_94374588_B1E8_4F85_8B8C_8D1DBECBEB51_.wvu.PrintArea" localSheetId="26" hidden="1">'New Tax Regime'!$B$2:$M$88</definedName>
    <definedName name="Z_94374588_B1E8_4F85_8B8C_8D1DBECBEB51_.wvu.PrintArea" localSheetId="13" hidden="1">'Old Tax Regime'!$B$2:$M$85</definedName>
    <definedName name="Z_94374588_B1E8_4F85_8B8C_8D1DBECBEB51_.wvu.PrintArea" localSheetId="21" hidden="1">'Rent Reciept'!$B$2:$V$30</definedName>
    <definedName name="Z_94374588_B1E8_4F85_8B8C_8D1DBECBEB51_.wvu.Rows" localSheetId="28" hidden="1">'FORM-16(Back)(New)'!$54:$54</definedName>
    <definedName name="Z_94374588_B1E8_4F85_8B8C_8D1DBECBEB51_.wvu.Rows" localSheetId="15" hidden="1">'FORM-16(Back)(Old)'!$54:$54</definedName>
    <definedName name="Z_A33DCAD7_5638_43B6_8306_33264BA0E3F0_.wvu.Cols" localSheetId="11" hidden="1">'Anexure-I'!$X:$X</definedName>
    <definedName name="Z_A33DCAD7_5638_43B6_8306_33264BA0E3F0_.wvu.Cols" localSheetId="28" hidden="1">'FORM-16(Back)(New)'!$Q:$Q</definedName>
    <definedName name="Z_A33DCAD7_5638_43B6_8306_33264BA0E3F0_.wvu.Cols" localSheetId="15" hidden="1">'FORM-16(Back)(Old)'!$Q:$Q</definedName>
    <definedName name="Z_A33DCAD7_5638_43B6_8306_33264BA0E3F0_.wvu.Cols" localSheetId="21" hidden="1">'Rent Reciept'!$G:$G,'Rent Reciept'!$J:$J,'Rent Reciept'!#REF!</definedName>
    <definedName name="Z_A33DCAD7_5638_43B6_8306_33264BA0E3F0_.wvu.PrintArea" localSheetId="11" hidden="1">'Anexure-I'!$B$7:$W$42</definedName>
    <definedName name="Z_A33DCAD7_5638_43B6_8306_33264BA0E3F0_.wvu.PrintArea" localSheetId="28" hidden="1">'FORM-16(Back)(New)'!$B$3:$M$54</definedName>
    <definedName name="Z_A33DCAD7_5638_43B6_8306_33264BA0E3F0_.wvu.PrintArea" localSheetId="15" hidden="1">'FORM-16(Back)(Old)'!$B$3:$M$54</definedName>
    <definedName name="Z_A33DCAD7_5638_43B6_8306_33264BA0E3F0_.wvu.PrintArea" localSheetId="27" hidden="1">'FORM-16(New)'!$D$3:$Q$80</definedName>
    <definedName name="Z_A33DCAD7_5638_43B6_8306_33264BA0E3F0_.wvu.PrintArea" localSheetId="14" hidden="1">'FORM-16(Old)'!$D$3:$Q$80</definedName>
    <definedName name="Z_A33DCAD7_5638_43B6_8306_33264BA0E3F0_.wvu.PrintArea" localSheetId="26" hidden="1">'New Tax Regime'!$B$2:$M$88</definedName>
    <definedName name="Z_A33DCAD7_5638_43B6_8306_33264BA0E3F0_.wvu.PrintArea" localSheetId="13" hidden="1">'Old Tax Regime'!$B$2:$M$85</definedName>
    <definedName name="Z_B2B4AE76_E797_4947_96CC_43100B89FD5B_.wvu.Cols" localSheetId="28" hidden="1">'FORM-16(Back)(New)'!$Q:$Q</definedName>
    <definedName name="Z_B2B4AE76_E797_4947_96CC_43100B89FD5B_.wvu.Cols" localSheetId="15" hidden="1">'FORM-16(Back)(Old)'!$Q:$Q</definedName>
    <definedName name="Z_B2B4AE76_E797_4947_96CC_43100B89FD5B_.wvu.Cols" localSheetId="21" hidden="1">'Rent Reciept'!$C:$C,'Rent Reciept'!$J:$J,'Rent Reciept'!#REF!</definedName>
    <definedName name="Z_B2B4AE76_E797_4947_96CC_43100B89FD5B_.wvu.PrintArea" localSheetId="11" hidden="1">'Anexure-I'!$B$7:$X$44</definedName>
    <definedName name="Z_B2B4AE76_E797_4947_96CC_43100B89FD5B_.wvu.PrintArea" localSheetId="16" hidden="1">'Form 10-I'!$B$2:$M$58</definedName>
    <definedName name="Z_B2B4AE76_E797_4947_96CC_43100B89FD5B_.wvu.PrintArea" localSheetId="28" hidden="1">'FORM-16(Back)(New)'!$B$3:$M$53</definedName>
    <definedName name="Z_B2B4AE76_E797_4947_96CC_43100B89FD5B_.wvu.PrintArea" localSheetId="15" hidden="1">'FORM-16(Back)(Old)'!$B$3:$M$53</definedName>
    <definedName name="Z_B2B4AE76_E797_4947_96CC_43100B89FD5B_.wvu.PrintArea" localSheetId="27" hidden="1">'FORM-16(New)'!$D$3:$Q$80</definedName>
    <definedName name="Z_B2B4AE76_E797_4947_96CC_43100B89FD5B_.wvu.PrintArea" localSheetId="14" hidden="1">'FORM-16(Old)'!$D$3:$Q$80</definedName>
    <definedName name="Z_B2B4AE76_E797_4947_96CC_43100B89FD5B_.wvu.PrintArea" localSheetId="26" hidden="1">'New Tax Regime'!$B$2:$M$88</definedName>
    <definedName name="Z_B2B4AE76_E797_4947_96CC_43100B89FD5B_.wvu.PrintArea" localSheetId="13" hidden="1">'Old Tax Regime'!$B$2:$M$85</definedName>
    <definedName name="Z_B2B4AE76_E797_4947_96CC_43100B89FD5B_.wvu.PrintArea" localSheetId="21" hidden="1">'Rent Reciept'!$B$2:$V$30</definedName>
    <definedName name="Z_B2B4AE76_E797_4947_96CC_43100B89FD5B_.wvu.Rows" localSheetId="28" hidden="1">'FORM-16(Back)(New)'!$54:$54</definedName>
    <definedName name="Z_B2B4AE76_E797_4947_96CC_43100B89FD5B_.wvu.Rows" localSheetId="15" hidden="1">'FORM-16(Back)(Old)'!$54:$54</definedName>
    <definedName name="Z_D7C74E6E_5228_4498_8DF9_76EAC1C8D12D_.wvu.Cols" localSheetId="28" hidden="1">'FORM-16(Back)(New)'!$Q:$Q</definedName>
    <definedName name="Z_D7C74E6E_5228_4498_8DF9_76EAC1C8D12D_.wvu.Cols" localSheetId="15" hidden="1">'FORM-16(Back)(Old)'!$Q:$Q</definedName>
    <definedName name="Z_D7C74E6E_5228_4498_8DF9_76EAC1C8D12D_.wvu.Cols" localSheetId="21" hidden="1">'Rent Reciept'!$C:$C,'Rent Reciept'!$J:$J,'Rent Reciept'!#REF!</definedName>
    <definedName name="Z_D7C74E6E_5228_4498_8DF9_76EAC1C8D12D_.wvu.PrintArea" localSheetId="11" hidden="1">'Anexure-I'!$B$7:$X$44</definedName>
    <definedName name="Z_D7C74E6E_5228_4498_8DF9_76EAC1C8D12D_.wvu.PrintArea" localSheetId="16" hidden="1">'Form 10-I'!$B$2:$M$58</definedName>
    <definedName name="Z_D7C74E6E_5228_4498_8DF9_76EAC1C8D12D_.wvu.PrintArea" localSheetId="28" hidden="1">'FORM-16(Back)(New)'!$B$3:$M$53</definedName>
    <definedName name="Z_D7C74E6E_5228_4498_8DF9_76EAC1C8D12D_.wvu.PrintArea" localSheetId="15" hidden="1">'FORM-16(Back)(Old)'!$B$3:$M$53</definedName>
    <definedName name="Z_D7C74E6E_5228_4498_8DF9_76EAC1C8D12D_.wvu.PrintArea" localSheetId="27" hidden="1">'FORM-16(New)'!$D$3:$Q$80</definedName>
    <definedName name="Z_D7C74E6E_5228_4498_8DF9_76EAC1C8D12D_.wvu.PrintArea" localSheetId="14" hidden="1">'FORM-16(Old)'!$D$3:$Q$80</definedName>
    <definedName name="Z_D7C74E6E_5228_4498_8DF9_76EAC1C8D12D_.wvu.PrintArea" localSheetId="26" hidden="1">'New Tax Regime'!$B$2:$M$85</definedName>
    <definedName name="Z_D7C74E6E_5228_4498_8DF9_76EAC1C8D12D_.wvu.PrintArea" localSheetId="13" hidden="1">'Old Tax Regime'!$B$2:$M$82</definedName>
    <definedName name="Z_D7C74E6E_5228_4498_8DF9_76EAC1C8D12D_.wvu.PrintArea" localSheetId="21" hidden="1">'Rent Reciept'!$B$2:$V$30</definedName>
    <definedName name="Z_D7C74E6E_5228_4498_8DF9_76EAC1C8D12D_.wvu.Rows" localSheetId="28" hidden="1">'FORM-16(Back)(New)'!$54:$54</definedName>
    <definedName name="Z_D7C74E6E_5228_4498_8DF9_76EAC1C8D12D_.wvu.Rows" localSheetId="15" hidden="1">'FORM-16(Back)(Old)'!$54:$54</definedName>
    <definedName name="Z_DDA22D69_94B5_45BC_9EE2_6055A845129B_.wvu.Cols" localSheetId="1" hidden="1">' Data Sheet-I'!$W:$XFD</definedName>
    <definedName name="Z_DDA22D69_94B5_45BC_9EE2_6055A845129B_.wvu.Cols" localSheetId="11" hidden="1">'Anexure-I'!$Z:$XFD</definedName>
    <definedName name="Z_DDA22D69_94B5_45BC_9EE2_6055A845129B_.wvu.Cols" localSheetId="4" hidden="1">'Anexure-I(Relief US-89(1))'!$L:$XFD</definedName>
    <definedName name="Z_DDA22D69_94B5_45BC_9EE2_6055A845129B_.wvu.Cols" localSheetId="7" hidden="1">'Data Sheet-II'!$J:$K,'Data Sheet-II'!$AI:$AM</definedName>
    <definedName name="Z_DDA22D69_94B5_45BC_9EE2_6055A845129B_.wvu.Cols" localSheetId="8" hidden="1">'Data Sheet-III '!$AK:$XFD</definedName>
    <definedName name="Z_DDA22D69_94B5_45BC_9EE2_6055A845129B_.wvu.Cols" localSheetId="5" hidden="1">'Form-10E'!$P:$XFD</definedName>
    <definedName name="Z_DDA22D69_94B5_45BC_9EE2_6055A845129B_.wvu.Cols" localSheetId="22" hidden="1">'Form-12BB'!$AG:$BZ,'Form-12BB'!$ED:$XFD</definedName>
    <definedName name="Z_DDA22D69_94B5_45BC_9EE2_6055A845129B_.wvu.Cols" localSheetId="28" hidden="1">'FORM-16(Back)(New)'!$V:$XFD</definedName>
    <definedName name="Z_DDA22D69_94B5_45BC_9EE2_6055A845129B_.wvu.Cols" localSheetId="15" hidden="1">'FORM-16(Back)(Old)'!$V:$XFD</definedName>
    <definedName name="Z_DDA22D69_94B5_45BC_9EE2_6055A845129B_.wvu.Cols" localSheetId="27" hidden="1">'FORM-16(New)'!$X:$XFD</definedName>
    <definedName name="Z_DDA22D69_94B5_45BC_9EE2_6055A845129B_.wvu.Cols" localSheetId="14" hidden="1">'FORM-16(Old)'!$X:$XFD</definedName>
    <definedName name="Z_DDA22D69_94B5_45BC_9EE2_6055A845129B_.wvu.Cols" localSheetId="29" hidden="1">'Income Tax Rules '!$M:$XFD</definedName>
    <definedName name="Z_DDA22D69_94B5_45BC_9EE2_6055A845129B_.wvu.Cols" localSheetId="26" hidden="1">'New Tax Regime'!$O:$O,'New Tax Regime'!$W:$XFD</definedName>
    <definedName name="Z_DDA22D69_94B5_45BC_9EE2_6055A845129B_.wvu.Cols" localSheetId="13" hidden="1">'Old Tax Regime'!$Z:$XFD</definedName>
    <definedName name="Z_DDA22D69_94B5_45BC_9EE2_6055A845129B_.wvu.Cols" localSheetId="21" hidden="1">'Rent Reciept'!$C:$C,'Rent Reciept'!$CS:$XFD</definedName>
    <definedName name="Z_DDA22D69_94B5_45BC_9EE2_6055A845129B_.wvu.Cols" localSheetId="23" hidden="1">'Schedule-10(13A) HRA'!$N:$XFD</definedName>
    <definedName name="Z_DDA22D69_94B5_45BC_9EE2_6055A845129B_.wvu.Cols" localSheetId="24" hidden="1">'Section-24(b) Shedule '!$N:$XFD</definedName>
    <definedName name="Z_DDA22D69_94B5_45BC_9EE2_6055A845129B_.wvu.Cols" localSheetId="25" hidden="1">'Section-80D Shedule'!$N:$XFD</definedName>
    <definedName name="Z_DDA22D69_94B5_45BC_9EE2_6055A845129B_.wvu.Cols" localSheetId="19" hidden="1">Sheet1!$K:$XFD</definedName>
    <definedName name="Z_DDA22D69_94B5_45BC_9EE2_6055A845129B_.wvu.Cols" localSheetId="3" hidden="1">'Table-A '!$U:$XFD</definedName>
    <definedName name="Z_DDA22D69_94B5_45BC_9EE2_6055A845129B_.wvu.Cols" localSheetId="0" hidden="1">'Welcome '!$C:$C,'Welcome '!$W:$XFD</definedName>
    <definedName name="Z_DDA22D69_94B5_45BC_9EE2_6055A845129B_.wvu.FilterData" localSheetId="11" hidden="1">'Anexure-I'!$Y$7:$Y$41</definedName>
    <definedName name="Z_DDA22D69_94B5_45BC_9EE2_6055A845129B_.wvu.FilterData" localSheetId="3" hidden="1">'Table-A '!$B$9:$Q$18</definedName>
    <definedName name="Z_DDA22D69_94B5_45BC_9EE2_6055A845129B_.wvu.PrintArea" localSheetId="11" hidden="1">'Anexure-I'!$B$7:$X$44</definedName>
    <definedName name="Z_DDA22D69_94B5_45BC_9EE2_6055A845129B_.wvu.PrintArea" localSheetId="4" hidden="1">'Anexure-I(Relief US-89(1))'!$B$2:$J$30</definedName>
    <definedName name="Z_DDA22D69_94B5_45BC_9EE2_6055A845129B_.wvu.PrintArea" localSheetId="16" hidden="1">'Form 10-I'!$B$2:$M$58</definedName>
    <definedName name="Z_DDA22D69_94B5_45BC_9EE2_6055A845129B_.wvu.PrintArea" localSheetId="17" hidden="1">'Form 10-IA'!$B$2:$K$32</definedName>
    <definedName name="Z_DDA22D69_94B5_45BC_9EE2_6055A845129B_.wvu.PrintArea" localSheetId="5" hidden="1">'Form-10E'!$B$2:$N$59</definedName>
    <definedName name="Z_DDA22D69_94B5_45BC_9EE2_6055A845129B_.wvu.PrintArea" localSheetId="22" hidden="1">'Form-12BB'!$B$2:$T$67</definedName>
    <definedName name="Z_DDA22D69_94B5_45BC_9EE2_6055A845129B_.wvu.PrintArea" localSheetId="28" hidden="1">'FORM-16(Back)(New)'!$B$3:$M$53</definedName>
    <definedName name="Z_DDA22D69_94B5_45BC_9EE2_6055A845129B_.wvu.PrintArea" localSheetId="15" hidden="1">'FORM-16(Back)(Old)'!$B$3:$M$53</definedName>
    <definedName name="Z_DDA22D69_94B5_45BC_9EE2_6055A845129B_.wvu.PrintArea" localSheetId="27" hidden="1">'FORM-16(New)'!$C$3:$Q$80</definedName>
    <definedName name="Z_DDA22D69_94B5_45BC_9EE2_6055A845129B_.wvu.PrintArea" localSheetId="14" hidden="1">'FORM-16(Old)'!$C$3:$Q$80</definedName>
    <definedName name="Z_DDA22D69_94B5_45BC_9EE2_6055A845129B_.wvu.PrintArea" localSheetId="26" hidden="1">'New Tax Regime'!$B$2:$M$52</definedName>
    <definedName name="Z_DDA22D69_94B5_45BC_9EE2_6055A845129B_.wvu.PrintArea" localSheetId="13" hidden="1">'Old Tax Regime'!$B$2:$M$83</definedName>
    <definedName name="Z_DDA22D69_94B5_45BC_9EE2_6055A845129B_.wvu.PrintArea" localSheetId="21" hidden="1">'Rent Reciept'!$B$2:$V$30</definedName>
    <definedName name="Z_DDA22D69_94B5_45BC_9EE2_6055A845129B_.wvu.PrintArea" localSheetId="23" hidden="1">'Schedule-10(13A) HRA'!$A$2:$L$17</definedName>
    <definedName name="Z_DDA22D69_94B5_45BC_9EE2_6055A845129B_.wvu.PrintArea" localSheetId="24" hidden="1">'Section-24(b) Shedule '!$A$2:$L$19</definedName>
    <definedName name="Z_DDA22D69_94B5_45BC_9EE2_6055A845129B_.wvu.PrintArea" localSheetId="25" hidden="1">'Section-80D Shedule'!$A$2:$L$25</definedName>
    <definedName name="Z_DDA22D69_94B5_45BC_9EE2_6055A845129B_.wvu.PrintArea" localSheetId="3" hidden="1">'Table-A '!$B$2:$Q$29</definedName>
    <definedName name="Z_DDA22D69_94B5_45BC_9EE2_6055A845129B_.wvu.Rows" localSheetId="1" hidden="1">' Data Sheet-I'!$547:$1048576,' Data Sheet-I'!$65:$546</definedName>
    <definedName name="Z_DDA22D69_94B5_45BC_9EE2_6055A845129B_.wvu.Rows" localSheetId="11" hidden="1">'Anexure-I'!$198:$1048576,'Anexure-I'!$46:$166,'Anexure-I'!$168:$197</definedName>
    <definedName name="Z_DDA22D69_94B5_45BC_9EE2_6055A845129B_.wvu.Rows" localSheetId="4" hidden="1">'Anexure-I(Relief US-89(1))'!$34:$1048576,'Anexure-I(Relief US-89(1))'!$32:$33</definedName>
    <definedName name="Z_DDA22D69_94B5_45BC_9EE2_6055A845129B_.wvu.Rows" localSheetId="7" hidden="1">'Data Sheet-II'!$322:$1048576,'Data Sheet-II'!$158:$321</definedName>
    <definedName name="Z_DDA22D69_94B5_45BC_9EE2_6055A845129B_.wvu.Rows" localSheetId="8" hidden="1">'Data Sheet-III '!$206:$1048576,'Data Sheet-III '!$96:$205</definedName>
    <definedName name="Z_DDA22D69_94B5_45BC_9EE2_6055A845129B_.wvu.Rows" localSheetId="5" hidden="1">'Form-10E'!$87:$1048576,'Form-10E'!$61:$86</definedName>
    <definedName name="Z_DDA22D69_94B5_45BC_9EE2_6055A845129B_.wvu.Rows" localSheetId="22" hidden="1">'Form-12BB'!$159:$1048576,'Form-12BB'!$69:$158</definedName>
    <definedName name="Z_DDA22D69_94B5_45BC_9EE2_6055A845129B_.wvu.Rows" localSheetId="28" hidden="1">'FORM-16(Back)(New)'!$201:$1048576,'FORM-16(Back)(New)'!$54:$54,'FORM-16(Back)(New)'!$56:$200</definedName>
    <definedName name="Z_DDA22D69_94B5_45BC_9EE2_6055A845129B_.wvu.Rows" localSheetId="15" hidden="1">'FORM-16(Back)(Old)'!$201:$1048576,'FORM-16(Back)(Old)'!$54:$54,'FORM-16(Back)(Old)'!$56:$200</definedName>
    <definedName name="Z_DDA22D69_94B5_45BC_9EE2_6055A845129B_.wvu.Rows" localSheetId="27" hidden="1">'FORM-16(New)'!$270:$1048576,'FORM-16(New)'!$82:$269</definedName>
    <definedName name="Z_DDA22D69_94B5_45BC_9EE2_6055A845129B_.wvu.Rows" localSheetId="14" hidden="1">'FORM-16(Old)'!$270:$1048576,'FORM-16(Old)'!$82:$269</definedName>
    <definedName name="Z_DDA22D69_94B5_45BC_9EE2_6055A845129B_.wvu.Rows" localSheetId="29" hidden="1">'Income Tax Rules '!$102:$1048576</definedName>
    <definedName name="Z_DDA22D69_94B5_45BC_9EE2_6055A845129B_.wvu.Rows" localSheetId="26" hidden="1">'New Tax Regime'!$179:$1048576,'New Tax Regime'!$54:$178</definedName>
    <definedName name="Z_DDA22D69_94B5_45BC_9EE2_6055A845129B_.wvu.Rows" localSheetId="13" hidden="1">'Old Tax Regime'!$176:$1048576,'Old Tax Regime'!$85:$175</definedName>
    <definedName name="Z_DDA22D69_94B5_45BC_9EE2_6055A845129B_.wvu.Rows" localSheetId="21" hidden="1">'Rent Reciept'!$110:$1048576,'Rent Reciept'!$33:$109</definedName>
    <definedName name="Z_DDA22D69_94B5_45BC_9EE2_6055A845129B_.wvu.Rows" localSheetId="23" hidden="1">'Schedule-10(13A) HRA'!$34:$1048576,'Schedule-10(13A) HRA'!$19:$33</definedName>
    <definedName name="Z_DDA22D69_94B5_45BC_9EE2_6055A845129B_.wvu.Rows" localSheetId="24" hidden="1">'Section-24(b) Shedule '!$36:$1048576,'Section-24(b) Shedule '!$21:$35</definedName>
    <definedName name="Z_DDA22D69_94B5_45BC_9EE2_6055A845129B_.wvu.Rows" localSheetId="25" hidden="1">'Section-80D Shedule'!$35:$1048576,'Section-80D Shedule'!$27:$34</definedName>
    <definedName name="Z_DDA22D69_94B5_45BC_9EE2_6055A845129B_.wvu.Rows" localSheetId="19" hidden="1">Sheet1!$100:$1048576,Sheet1!$86:$99</definedName>
    <definedName name="Z_DDA22D69_94B5_45BC_9EE2_6055A845129B_.wvu.Rows" localSheetId="3" hidden="1">'Table-A '!$98:$1048576,'Table-A '!$31:$97</definedName>
    <definedName name="Z_DDA22D69_94B5_45BC_9EE2_6055A845129B_.wvu.Rows" localSheetId="0" hidden="1">'Welcome '!$110:$1048576,'Welcome '!$39:$109</definedName>
    <definedName name="Z_E3C74456_A750_49FA_BEC5_0E8CCB23D22C_.wvu.Cols" localSheetId="0" hidden="1">'Welcome '!$C:$C</definedName>
    <definedName name="Z_E7B1C62B_1F1D_4A62_BD87_EE62D3A36B6C_.wvu.Cols" localSheetId="1" hidden="1">' Data Sheet-I'!$W:$XFD</definedName>
    <definedName name="Z_E7B1C62B_1F1D_4A62_BD87_EE62D3A36B6C_.wvu.Cols" localSheetId="11" hidden="1">'Anexure-I'!$Z:$XFD</definedName>
    <definedName name="Z_E7B1C62B_1F1D_4A62_BD87_EE62D3A36B6C_.wvu.Cols" localSheetId="4" hidden="1">'Anexure-I(Relief US-89(1))'!$L:$XFD</definedName>
    <definedName name="Z_E7B1C62B_1F1D_4A62_BD87_EE62D3A36B6C_.wvu.Cols" localSheetId="7" hidden="1">'Data Sheet-II'!$J:$K,'Data Sheet-II'!$AI:$AM</definedName>
    <definedName name="Z_E7B1C62B_1F1D_4A62_BD87_EE62D3A36B6C_.wvu.Cols" localSheetId="8" hidden="1">'Data Sheet-III '!$AK:$XFD</definedName>
    <definedName name="Z_E7B1C62B_1F1D_4A62_BD87_EE62D3A36B6C_.wvu.Cols" localSheetId="5" hidden="1">'Form-10E'!$P:$XFD</definedName>
    <definedName name="Z_E7B1C62B_1F1D_4A62_BD87_EE62D3A36B6C_.wvu.Cols" localSheetId="22" hidden="1">'Form-12BB'!$AG:$BZ,'Form-12BB'!$ED:$XFD</definedName>
    <definedName name="Z_E7B1C62B_1F1D_4A62_BD87_EE62D3A36B6C_.wvu.Cols" localSheetId="28" hidden="1">'FORM-16(Back)(New)'!$V:$XFD</definedName>
    <definedName name="Z_E7B1C62B_1F1D_4A62_BD87_EE62D3A36B6C_.wvu.Cols" localSheetId="15" hidden="1">'FORM-16(Back)(Old)'!$V:$XFD</definedName>
    <definedName name="Z_E7B1C62B_1F1D_4A62_BD87_EE62D3A36B6C_.wvu.Cols" localSheetId="27" hidden="1">'FORM-16(New)'!$X:$XFD</definedName>
    <definedName name="Z_E7B1C62B_1F1D_4A62_BD87_EE62D3A36B6C_.wvu.Cols" localSheetId="14" hidden="1">'FORM-16(Old)'!$X:$XFD</definedName>
    <definedName name="Z_E7B1C62B_1F1D_4A62_BD87_EE62D3A36B6C_.wvu.Cols" localSheetId="29" hidden="1">'Income Tax Rules '!$M:$XFD</definedName>
    <definedName name="Z_E7B1C62B_1F1D_4A62_BD87_EE62D3A36B6C_.wvu.Cols" localSheetId="26" hidden="1">'New Tax Regime'!$O:$O,'New Tax Regime'!$W:$XFD</definedName>
    <definedName name="Z_E7B1C62B_1F1D_4A62_BD87_EE62D3A36B6C_.wvu.Cols" localSheetId="13" hidden="1">'Old Tax Regime'!$Z:$XFD</definedName>
    <definedName name="Z_E7B1C62B_1F1D_4A62_BD87_EE62D3A36B6C_.wvu.Cols" localSheetId="21" hidden="1">'Rent Reciept'!$C:$C,'Rent Reciept'!$CS:$XFD</definedName>
    <definedName name="Z_E7B1C62B_1F1D_4A62_BD87_EE62D3A36B6C_.wvu.Cols" localSheetId="23" hidden="1">'Schedule-10(13A) HRA'!$N:$XFD</definedName>
    <definedName name="Z_E7B1C62B_1F1D_4A62_BD87_EE62D3A36B6C_.wvu.Cols" localSheetId="24" hidden="1">'Section-24(b) Shedule '!$N:$XFD</definedName>
    <definedName name="Z_E7B1C62B_1F1D_4A62_BD87_EE62D3A36B6C_.wvu.Cols" localSheetId="25" hidden="1">'Section-80D Shedule'!$N:$XFD</definedName>
    <definedName name="Z_E7B1C62B_1F1D_4A62_BD87_EE62D3A36B6C_.wvu.Cols" localSheetId="19" hidden="1">Sheet1!$K:$XFD</definedName>
    <definedName name="Z_E7B1C62B_1F1D_4A62_BD87_EE62D3A36B6C_.wvu.Cols" localSheetId="3" hidden="1">'Table-A '!$U:$XFD</definedName>
    <definedName name="Z_E7B1C62B_1F1D_4A62_BD87_EE62D3A36B6C_.wvu.Cols" localSheetId="0" hidden="1">'Welcome '!$C:$C,'Welcome '!$W:$XFD</definedName>
    <definedName name="Z_E7B1C62B_1F1D_4A62_BD87_EE62D3A36B6C_.wvu.FilterData" localSheetId="11" hidden="1">'Anexure-I'!$Y$7:$Y$41</definedName>
    <definedName name="Z_E7B1C62B_1F1D_4A62_BD87_EE62D3A36B6C_.wvu.FilterData" localSheetId="3" hidden="1">'Table-A '!$B$9:$Q$18</definedName>
    <definedName name="Z_E7B1C62B_1F1D_4A62_BD87_EE62D3A36B6C_.wvu.PrintArea" localSheetId="11" hidden="1">'Anexure-I'!$B$7:$X$44</definedName>
    <definedName name="Z_E7B1C62B_1F1D_4A62_BD87_EE62D3A36B6C_.wvu.PrintArea" localSheetId="4" hidden="1">'Anexure-I(Relief US-89(1))'!$B$2:$J$30</definedName>
    <definedName name="Z_E7B1C62B_1F1D_4A62_BD87_EE62D3A36B6C_.wvu.PrintArea" localSheetId="16" hidden="1">'Form 10-I'!$B$2:$M$58</definedName>
    <definedName name="Z_E7B1C62B_1F1D_4A62_BD87_EE62D3A36B6C_.wvu.PrintArea" localSheetId="17" hidden="1">'Form 10-IA'!$B$2:$K$32</definedName>
    <definedName name="Z_E7B1C62B_1F1D_4A62_BD87_EE62D3A36B6C_.wvu.PrintArea" localSheetId="5" hidden="1">'Form-10E'!$B$2:$N$59</definedName>
    <definedName name="Z_E7B1C62B_1F1D_4A62_BD87_EE62D3A36B6C_.wvu.PrintArea" localSheetId="22" hidden="1">'Form-12BB'!$B$2:$T$67</definedName>
    <definedName name="Z_E7B1C62B_1F1D_4A62_BD87_EE62D3A36B6C_.wvu.PrintArea" localSheetId="28" hidden="1">'FORM-16(Back)(New)'!$B$3:$M$53</definedName>
    <definedName name="Z_E7B1C62B_1F1D_4A62_BD87_EE62D3A36B6C_.wvu.PrintArea" localSheetId="15" hidden="1">'FORM-16(Back)(Old)'!$B$3:$M$53</definedName>
    <definedName name="Z_E7B1C62B_1F1D_4A62_BD87_EE62D3A36B6C_.wvu.PrintArea" localSheetId="27" hidden="1">'FORM-16(New)'!$C$3:$Q$80</definedName>
    <definedName name="Z_E7B1C62B_1F1D_4A62_BD87_EE62D3A36B6C_.wvu.PrintArea" localSheetId="14" hidden="1">'FORM-16(Old)'!$C$3:$Q$80</definedName>
    <definedName name="Z_E7B1C62B_1F1D_4A62_BD87_EE62D3A36B6C_.wvu.PrintArea" localSheetId="26" hidden="1">'New Tax Regime'!$B$2:$M$52</definedName>
    <definedName name="Z_E7B1C62B_1F1D_4A62_BD87_EE62D3A36B6C_.wvu.PrintArea" localSheetId="13" hidden="1">'Old Tax Regime'!$B$2:$M$83</definedName>
    <definedName name="Z_E7B1C62B_1F1D_4A62_BD87_EE62D3A36B6C_.wvu.PrintArea" localSheetId="21" hidden="1">'Rent Reciept'!$B$2:$V$30</definedName>
    <definedName name="Z_E7B1C62B_1F1D_4A62_BD87_EE62D3A36B6C_.wvu.PrintArea" localSheetId="23" hidden="1">'Schedule-10(13A) HRA'!$A$2:$L$17</definedName>
    <definedName name="Z_E7B1C62B_1F1D_4A62_BD87_EE62D3A36B6C_.wvu.PrintArea" localSheetId="24" hidden="1">'Section-24(b) Shedule '!$A$2:$L$19</definedName>
    <definedName name="Z_E7B1C62B_1F1D_4A62_BD87_EE62D3A36B6C_.wvu.PrintArea" localSheetId="25" hidden="1">'Section-80D Shedule'!$A$2:$L$25</definedName>
    <definedName name="Z_E7B1C62B_1F1D_4A62_BD87_EE62D3A36B6C_.wvu.PrintArea" localSheetId="3" hidden="1">'Table-A '!$B$2:$Q$29</definedName>
    <definedName name="Z_E7B1C62B_1F1D_4A62_BD87_EE62D3A36B6C_.wvu.Rows" localSheetId="1" hidden="1">' Data Sheet-I'!$547:$1048576,' Data Sheet-I'!$65:$546</definedName>
    <definedName name="Z_E7B1C62B_1F1D_4A62_BD87_EE62D3A36B6C_.wvu.Rows" localSheetId="11" hidden="1">'Anexure-I'!$198:$1048576,'Anexure-I'!$46:$166,'Anexure-I'!$168:$197</definedName>
    <definedName name="Z_E7B1C62B_1F1D_4A62_BD87_EE62D3A36B6C_.wvu.Rows" localSheetId="4" hidden="1">'Anexure-I(Relief US-89(1))'!$34:$1048576,'Anexure-I(Relief US-89(1))'!$32:$33</definedName>
    <definedName name="Z_E7B1C62B_1F1D_4A62_BD87_EE62D3A36B6C_.wvu.Rows" localSheetId="7" hidden="1">'Data Sheet-II'!$322:$1048576,'Data Sheet-II'!$158:$321</definedName>
    <definedName name="Z_E7B1C62B_1F1D_4A62_BD87_EE62D3A36B6C_.wvu.Rows" localSheetId="8" hidden="1">'Data Sheet-III '!$206:$1048576,'Data Sheet-III '!$96:$205</definedName>
    <definedName name="Z_E7B1C62B_1F1D_4A62_BD87_EE62D3A36B6C_.wvu.Rows" localSheetId="5" hidden="1">'Form-10E'!$87:$1048576,'Form-10E'!$61:$86</definedName>
    <definedName name="Z_E7B1C62B_1F1D_4A62_BD87_EE62D3A36B6C_.wvu.Rows" localSheetId="22" hidden="1">'Form-12BB'!$159:$1048576,'Form-12BB'!$69:$158</definedName>
    <definedName name="Z_E7B1C62B_1F1D_4A62_BD87_EE62D3A36B6C_.wvu.Rows" localSheetId="28" hidden="1">'FORM-16(Back)(New)'!$201:$1048576,'FORM-16(Back)(New)'!$54:$54,'FORM-16(Back)(New)'!$56:$200</definedName>
    <definedName name="Z_E7B1C62B_1F1D_4A62_BD87_EE62D3A36B6C_.wvu.Rows" localSheetId="15" hidden="1">'FORM-16(Back)(Old)'!$201:$1048576,'FORM-16(Back)(Old)'!$54:$54,'FORM-16(Back)(Old)'!$56:$200</definedName>
    <definedName name="Z_E7B1C62B_1F1D_4A62_BD87_EE62D3A36B6C_.wvu.Rows" localSheetId="27" hidden="1">'FORM-16(New)'!$270:$1048576,'FORM-16(New)'!$82:$269</definedName>
    <definedName name="Z_E7B1C62B_1F1D_4A62_BD87_EE62D3A36B6C_.wvu.Rows" localSheetId="14" hidden="1">'FORM-16(Old)'!$270:$1048576,'FORM-16(Old)'!$82:$269</definedName>
    <definedName name="Z_E7B1C62B_1F1D_4A62_BD87_EE62D3A36B6C_.wvu.Rows" localSheetId="29" hidden="1">'Income Tax Rules '!$102:$1048576</definedName>
    <definedName name="Z_E7B1C62B_1F1D_4A62_BD87_EE62D3A36B6C_.wvu.Rows" localSheetId="26" hidden="1">'New Tax Regime'!$179:$1048576,'New Tax Regime'!$54:$178</definedName>
    <definedName name="Z_E7B1C62B_1F1D_4A62_BD87_EE62D3A36B6C_.wvu.Rows" localSheetId="13" hidden="1">'Old Tax Regime'!$176:$1048576,'Old Tax Regime'!$85:$175</definedName>
    <definedName name="Z_E7B1C62B_1F1D_4A62_BD87_EE62D3A36B6C_.wvu.Rows" localSheetId="21" hidden="1">'Rent Reciept'!$110:$1048576,'Rent Reciept'!$33:$109</definedName>
    <definedName name="Z_E7B1C62B_1F1D_4A62_BD87_EE62D3A36B6C_.wvu.Rows" localSheetId="23" hidden="1">'Schedule-10(13A) HRA'!$34:$1048576,'Schedule-10(13A) HRA'!$19:$33</definedName>
    <definedName name="Z_E7B1C62B_1F1D_4A62_BD87_EE62D3A36B6C_.wvu.Rows" localSheetId="24" hidden="1">'Section-24(b) Shedule '!$36:$1048576,'Section-24(b) Shedule '!$21:$35</definedName>
    <definedName name="Z_E7B1C62B_1F1D_4A62_BD87_EE62D3A36B6C_.wvu.Rows" localSheetId="25" hidden="1">'Section-80D Shedule'!$35:$1048576,'Section-80D Shedule'!$27:$34</definedName>
    <definedName name="Z_E7B1C62B_1F1D_4A62_BD87_EE62D3A36B6C_.wvu.Rows" localSheetId="19" hidden="1">Sheet1!$100:$1048576,Sheet1!$86:$99</definedName>
    <definedName name="Z_E7B1C62B_1F1D_4A62_BD87_EE62D3A36B6C_.wvu.Rows" localSheetId="3" hidden="1">'Table-A '!$98:$1048576,'Table-A '!$31:$97</definedName>
    <definedName name="Z_E7B1C62B_1F1D_4A62_BD87_EE62D3A36B6C_.wvu.Rows" localSheetId="0" hidden="1">'Welcome '!$110:$1048576,'Welcome '!$39:$109</definedName>
  </definedNames>
  <calcPr calcId="191029"/>
  <customWorkbookViews>
    <customWorkbookView name="LENOVO - Personal View" guid="{DDA22D69-94B5-45BC-9EE2-6055A845129B}" mergeInterval="0" personalView="1" maximized="1" xWindow="-8" yWindow="-8" windowWidth="1382" windowHeight="744" tabRatio="607" activeSheetId="8"/>
    <customWorkbookView name="Hewlett-Packard Company - Personal View" guid="{1B7577DB-E3C4-4E68-B7CF-8F86FF7C5A82}" mergeInterval="0" personalView="1" maximized="1" xWindow="1" yWindow="1" windowWidth="1440" windowHeight="628" tabRatio="607" activeSheetId="1"/>
    <customWorkbookView name="Saidi Reddy Bolla - Personal View" guid="{E3C74456-A750-49FA-BEC5-0E8CCB23D22C}" mergeInterval="0" personalView="1" maximized="1" xWindow="-8" yWindow="-8" windowWidth="1382" windowHeight="744" tabRatio="606" activeSheetId="3"/>
    <customWorkbookView name="Saidi Reddy - Personal View" guid="{2BE9587E-F957-49DF-9716-3F2B35B49DC1}" mergeInterval="0" personalView="1" maximized="1" xWindow="1" yWindow="1" windowWidth="1362" windowHeight="472" tabRatio="606" activeSheetId="14"/>
    <customWorkbookView name="Saidulu - Personal View" guid="{60E5615C-64A2-4675-848A-970A515EAF91}" mergeInterval="0" personalView="1" maximized="1" xWindow="1" yWindow="1" windowWidth="1362" windowHeight="472" tabRatio="606" activeSheetId="2"/>
    <customWorkbookView name="USER - Personal View" guid="{E7B1C62B-1F1D-4A62-BD87-EE62D3A36B6C}" mergeInterval="0" personalView="1" maximized="1" windowWidth="1362" windowHeight="590" tabRatio="607" activeSheetId="1"/>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Y6" i="12" l="1"/>
  <c r="FY3" i="12"/>
  <c r="O46" i="9"/>
  <c r="K30" i="13"/>
  <c r="AK229" i="12"/>
  <c r="DY196" i="12" s="1"/>
  <c r="B35" i="11" s="1"/>
  <c r="L532" i="12"/>
  <c r="AT229" i="12" s="1"/>
  <c r="AA122" i="8"/>
  <c r="M532" i="12" s="1"/>
  <c r="AU229" i="12" s="1"/>
  <c r="K532" i="12"/>
  <c r="AO229" i="12" s="1"/>
  <c r="AQ229" i="12" s="1"/>
  <c r="AA121" i="8"/>
  <c r="Y121" i="8"/>
  <c r="I541" i="12"/>
  <c r="G544" i="12"/>
  <c r="G545" i="12" s="1"/>
  <c r="F544" i="12"/>
  <c r="F545" i="12" s="1"/>
  <c r="G538" i="12"/>
  <c r="G539" i="12" s="1"/>
  <c r="F538" i="12"/>
  <c r="F539" i="12" s="1"/>
  <c r="M531" i="12"/>
  <c r="L531" i="12"/>
  <c r="K530" i="12"/>
  <c r="EI172" i="12"/>
  <c r="IV12" i="32"/>
  <c r="HX12" i="32"/>
  <c r="HY12" i="32" s="1"/>
  <c r="HW12" i="32"/>
  <c r="HV12" i="32"/>
  <c r="HU12" i="32"/>
  <c r="HS12" i="32"/>
  <c r="HT12" i="32" s="1"/>
  <c r="HA12" i="32"/>
  <c r="GS12" i="32"/>
  <c r="GR12" i="32"/>
  <c r="GO12" i="32"/>
  <c r="GP12" i="32" s="1"/>
  <c r="GQ12" i="32" s="1"/>
  <c r="GT12" i="32" s="1"/>
  <c r="GN12" i="32"/>
  <c r="GZ12" i="32" s="1"/>
  <c r="GM12" i="32"/>
  <c r="FP12" i="32"/>
  <c r="FL12" i="32"/>
  <c r="FM12" i="32" s="1"/>
  <c r="FJ12" i="32"/>
  <c r="FI12" i="32"/>
  <c r="FH12" i="32"/>
  <c r="FU12" i="32" s="1"/>
  <c r="FG12" i="32"/>
  <c r="EO12" i="32"/>
  <c r="EG12" i="32"/>
  <c r="EH12" i="32" s="1"/>
  <c r="EF12" i="32"/>
  <c r="EC12" i="32"/>
  <c r="ED12" i="32" s="1"/>
  <c r="EE12" i="32" s="1"/>
  <c r="EB12" i="32"/>
  <c r="EN12" i="32" s="1"/>
  <c r="EA12" i="32"/>
  <c r="DH12" i="32"/>
  <c r="CZ12" i="32"/>
  <c r="DA12" i="32" s="1"/>
  <c r="CX12" i="32"/>
  <c r="CW12" i="32"/>
  <c r="CV12" i="32"/>
  <c r="CU12" i="32"/>
  <c r="CC12" i="32"/>
  <c r="BU12" i="32"/>
  <c r="BT12" i="32"/>
  <c r="BR12" i="32"/>
  <c r="BQ12" i="32"/>
  <c r="BO12" i="32"/>
  <c r="BP12" i="32" s="1"/>
  <c r="L12" i="32"/>
  <c r="H12" i="32"/>
  <c r="I12" i="32" s="1"/>
  <c r="G12" i="32"/>
  <c r="E12" i="32"/>
  <c r="F12" i="32" s="1"/>
  <c r="D12" i="32"/>
  <c r="Q12" i="32" s="1"/>
  <c r="C12" i="32"/>
  <c r="IV11" i="32"/>
  <c r="IG11" i="32"/>
  <c r="HY11" i="32"/>
  <c r="HX11" i="32"/>
  <c r="HU11" i="32"/>
  <c r="HV11" i="32" s="1"/>
  <c r="HT11" i="32"/>
  <c r="HS11" i="32"/>
  <c r="GR11" i="32"/>
  <c r="GS11" i="32" s="1"/>
  <c r="GP11" i="32"/>
  <c r="GO11" i="32"/>
  <c r="GM11" i="32"/>
  <c r="GN11" i="32" s="1"/>
  <c r="GQ11" i="32" s="1"/>
  <c r="FM11" i="32"/>
  <c r="FL11" i="32"/>
  <c r="FI11" i="32"/>
  <c r="FJ11" i="32" s="1"/>
  <c r="FH11" i="32"/>
  <c r="FG11" i="32"/>
  <c r="EF11" i="32"/>
  <c r="EG11" i="32" s="1"/>
  <c r="ED11" i="32"/>
  <c r="EC11" i="32"/>
  <c r="EA11" i="32"/>
  <c r="EB11" i="32" s="1"/>
  <c r="DH11" i="32"/>
  <c r="CZ11" i="32"/>
  <c r="DA11" i="32" s="1"/>
  <c r="CW11" i="32"/>
  <c r="CX11" i="32" s="1"/>
  <c r="CY11" i="32" s="1"/>
  <c r="CV11" i="32"/>
  <c r="DI11" i="32" s="1"/>
  <c r="CU11" i="32"/>
  <c r="CE11" i="32"/>
  <c r="BV11" i="32"/>
  <c r="BT11" i="32"/>
  <c r="BU11" i="32" s="1"/>
  <c r="BR11" i="32"/>
  <c r="BS11" i="32" s="1"/>
  <c r="BY11" i="32" s="1"/>
  <c r="BQ11" i="32"/>
  <c r="BO11" i="32"/>
  <c r="BP11" i="32" s="1"/>
  <c r="Q11" i="32"/>
  <c r="P11" i="32"/>
  <c r="L11" i="32"/>
  <c r="I11" i="32"/>
  <c r="H11" i="32"/>
  <c r="E11" i="32"/>
  <c r="F11" i="32" s="1"/>
  <c r="G11" i="32" s="1"/>
  <c r="D11" i="32"/>
  <c r="C11" i="32"/>
  <c r="IV10" i="32"/>
  <c r="IG10" i="32"/>
  <c r="HY10" i="32"/>
  <c r="HX10" i="32"/>
  <c r="HW10" i="32"/>
  <c r="HV10" i="32"/>
  <c r="HU10" i="32"/>
  <c r="HS10" i="32"/>
  <c r="HT10" i="32" s="1"/>
  <c r="GS10" i="32"/>
  <c r="GR10" i="32"/>
  <c r="GP10" i="32"/>
  <c r="GO10" i="32"/>
  <c r="GM10" i="32"/>
  <c r="GN10" i="32" s="1"/>
  <c r="FT10" i="32"/>
  <c r="FL10" i="32"/>
  <c r="FM10" i="32" s="1"/>
  <c r="FI10" i="32"/>
  <c r="FJ10" i="32" s="1"/>
  <c r="FG10" i="32"/>
  <c r="FH10" i="32" s="1"/>
  <c r="EO10" i="32"/>
  <c r="EG10" i="32"/>
  <c r="EF10" i="32"/>
  <c r="ED10" i="32"/>
  <c r="EE10" i="32" s="1"/>
  <c r="EC10" i="32"/>
  <c r="EA10" i="32"/>
  <c r="EB10" i="32" s="1"/>
  <c r="DH10" i="32"/>
  <c r="CZ10" i="32"/>
  <c r="DA10" i="32" s="1"/>
  <c r="CY10" i="32"/>
  <c r="CW10" i="32"/>
  <c r="CX10" i="32" s="1"/>
  <c r="CU10" i="32"/>
  <c r="CV10" i="32" s="1"/>
  <c r="CG10" i="32"/>
  <c r="CC10" i="32"/>
  <c r="BV10" i="32"/>
  <c r="BU10" i="32"/>
  <c r="BT10" i="32"/>
  <c r="BR10" i="32"/>
  <c r="BS10" i="32" s="1"/>
  <c r="BQ10" i="32"/>
  <c r="BO10" i="32"/>
  <c r="BP10" i="32" s="1"/>
  <c r="H10" i="32"/>
  <c r="I10" i="32" s="1"/>
  <c r="E10" i="32"/>
  <c r="F10" i="32" s="1"/>
  <c r="C10" i="32"/>
  <c r="D10" i="32" s="1"/>
  <c r="IV9" i="32"/>
  <c r="HY9" i="32"/>
  <c r="HX9" i="32"/>
  <c r="HU9" i="32"/>
  <c r="HV9" i="32" s="1"/>
  <c r="HW9" i="32" s="1"/>
  <c r="HT9" i="32"/>
  <c r="IF9" i="32" s="1"/>
  <c r="HS9" i="32"/>
  <c r="HA9" i="32"/>
  <c r="GS9" i="32"/>
  <c r="GR9" i="32"/>
  <c r="GP9" i="32"/>
  <c r="GQ9" i="32" s="1"/>
  <c r="GO9" i="32"/>
  <c r="GM9" i="32"/>
  <c r="GN9" i="32" s="1"/>
  <c r="FL9" i="32"/>
  <c r="FM9" i="32" s="1"/>
  <c r="FI9" i="32"/>
  <c r="FJ9" i="32" s="1"/>
  <c r="FH9" i="32"/>
  <c r="FG9" i="32"/>
  <c r="EG9" i="32"/>
  <c r="EF9" i="32"/>
  <c r="EC9" i="32"/>
  <c r="ED9" i="32" s="1"/>
  <c r="EE9" i="32" s="1"/>
  <c r="EA9" i="32"/>
  <c r="EB9" i="32" s="1"/>
  <c r="CZ9" i="32"/>
  <c r="DA9" i="32" s="1"/>
  <c r="CW9" i="32"/>
  <c r="CX9" i="32" s="1"/>
  <c r="CY9" i="32" s="1"/>
  <c r="CU9" i="32"/>
  <c r="CV9" i="32" s="1"/>
  <c r="DD9" i="32" s="1"/>
  <c r="CC9" i="32"/>
  <c r="BU9" i="32"/>
  <c r="BT9" i="32"/>
  <c r="BR9" i="32"/>
  <c r="BS9" i="32" s="1"/>
  <c r="BQ9" i="32"/>
  <c r="BO9" i="32"/>
  <c r="BP9" i="32" s="1"/>
  <c r="H9" i="32"/>
  <c r="I9" i="32" s="1"/>
  <c r="E9" i="32"/>
  <c r="F9" i="32" s="1"/>
  <c r="D9" i="32"/>
  <c r="C9" i="32"/>
  <c r="IV8" i="32"/>
  <c r="HX8" i="32"/>
  <c r="HY8" i="32" s="1"/>
  <c r="HU8" i="32"/>
  <c r="HV8" i="32" s="1"/>
  <c r="HT8" i="32"/>
  <c r="HS8" i="32"/>
  <c r="HC8" i="32"/>
  <c r="GR8" i="32"/>
  <c r="GS8" i="32" s="1"/>
  <c r="GT8" i="32" s="1"/>
  <c r="GP8" i="32"/>
  <c r="GQ8" i="32" s="1"/>
  <c r="HG8" i="32" s="1"/>
  <c r="HH8" i="32" s="1"/>
  <c r="GO8" i="32"/>
  <c r="GM8" i="32"/>
  <c r="GN8" i="32" s="1"/>
  <c r="FU8" i="32"/>
  <c r="FM8" i="32"/>
  <c r="FN8" i="32" s="1"/>
  <c r="FL8" i="32"/>
  <c r="FI8" i="32"/>
  <c r="FJ8" i="32" s="1"/>
  <c r="FK8" i="32" s="1"/>
  <c r="FQ8" i="32" s="1"/>
  <c r="FH8" i="32"/>
  <c r="FG8" i="32"/>
  <c r="EL8" i="32"/>
  <c r="EH8" i="32"/>
  <c r="EF8" i="32"/>
  <c r="EG8" i="32" s="1"/>
  <c r="EE8" i="32"/>
  <c r="ED8" i="32"/>
  <c r="EC8" i="32"/>
  <c r="EA8" i="32"/>
  <c r="EB8" i="32" s="1"/>
  <c r="CZ8" i="32"/>
  <c r="DA8" i="32" s="1"/>
  <c r="CW8" i="32"/>
  <c r="CX8" i="32" s="1"/>
  <c r="CV8" i="32"/>
  <c r="DD8" i="32" s="1"/>
  <c r="CU8" i="32"/>
  <c r="BT8" i="32"/>
  <c r="BU8" i="32" s="1"/>
  <c r="BR8" i="32"/>
  <c r="BQ8" i="32"/>
  <c r="BO8" i="32"/>
  <c r="BP8" i="32" s="1"/>
  <c r="Q8" i="32"/>
  <c r="P8" i="32"/>
  <c r="M8" i="32"/>
  <c r="I8" i="32"/>
  <c r="H8" i="32"/>
  <c r="E8" i="32"/>
  <c r="F8" i="32" s="1"/>
  <c r="G8" i="32" s="1"/>
  <c r="D8" i="32"/>
  <c r="C8" i="32"/>
  <c r="IV7" i="32"/>
  <c r="HY7" i="32"/>
  <c r="HX7" i="32"/>
  <c r="HV7" i="32"/>
  <c r="HU7" i="32"/>
  <c r="HS7" i="32"/>
  <c r="HT7" i="32" s="1"/>
  <c r="GR7" i="32"/>
  <c r="GS7" i="32" s="1"/>
  <c r="GO7" i="32"/>
  <c r="GP7" i="32" s="1"/>
  <c r="GN7" i="32"/>
  <c r="GM7" i="32"/>
  <c r="FM7" i="32"/>
  <c r="FL7" i="32"/>
  <c r="FI7" i="32"/>
  <c r="FJ7" i="32" s="1"/>
  <c r="FK7" i="32" s="1"/>
  <c r="FN7" i="32" s="1"/>
  <c r="FG7" i="32"/>
  <c r="FH7" i="32" s="1"/>
  <c r="EJ7" i="32"/>
  <c r="EF7" i="32"/>
  <c r="EG7" i="32" s="1"/>
  <c r="EH7" i="32" s="1"/>
  <c r="EC7" i="32"/>
  <c r="ED7" i="32" s="1"/>
  <c r="EE7" i="32" s="1"/>
  <c r="EA7" i="32"/>
  <c r="EB7" i="32" s="1"/>
  <c r="DA7" i="32"/>
  <c r="CZ7" i="32"/>
  <c r="CX7" i="32"/>
  <c r="CW7" i="32"/>
  <c r="CU7" i="32"/>
  <c r="CV7" i="32" s="1"/>
  <c r="BT7" i="32"/>
  <c r="BU7" i="32" s="1"/>
  <c r="BQ7" i="32"/>
  <c r="BR7" i="32" s="1"/>
  <c r="BP7" i="32"/>
  <c r="BO7" i="32"/>
  <c r="R7" i="32"/>
  <c r="I7" i="32"/>
  <c r="H7" i="32"/>
  <c r="E7" i="32"/>
  <c r="F7" i="32" s="1"/>
  <c r="G7" i="32" s="1"/>
  <c r="J7" i="32" s="1"/>
  <c r="C7" i="32"/>
  <c r="D7" i="32" s="1"/>
  <c r="IV6" i="32"/>
  <c r="II6" i="32"/>
  <c r="IF6" i="32"/>
  <c r="HX6" i="32"/>
  <c r="HY6" i="32" s="1"/>
  <c r="HZ6" i="32" s="1"/>
  <c r="HV6" i="32"/>
  <c r="HW6" i="32" s="1"/>
  <c r="HU6" i="32"/>
  <c r="HT6" i="32"/>
  <c r="HS6" i="32"/>
  <c r="HA6" i="32"/>
  <c r="GS6" i="32"/>
  <c r="GR6" i="32"/>
  <c r="GP6" i="32"/>
  <c r="GO6" i="32"/>
  <c r="GN6" i="32"/>
  <c r="GM6" i="32"/>
  <c r="FL6" i="32"/>
  <c r="FM6" i="32" s="1"/>
  <c r="FI6" i="32"/>
  <c r="FJ6" i="32" s="1"/>
  <c r="FG6" i="32"/>
  <c r="FH6" i="32" s="1"/>
  <c r="EG6" i="32"/>
  <c r="EF6" i="32"/>
  <c r="ED6" i="32"/>
  <c r="EC6" i="32"/>
  <c r="EA6" i="32"/>
  <c r="EB6" i="32" s="1"/>
  <c r="CZ6" i="32"/>
  <c r="DA6" i="32" s="1"/>
  <c r="CW6" i="32"/>
  <c r="CX6" i="32" s="1"/>
  <c r="CU6" i="32"/>
  <c r="CV6" i="32" s="1"/>
  <c r="BU6" i="32"/>
  <c r="BT6" i="32"/>
  <c r="BR6" i="32"/>
  <c r="BQ6" i="32"/>
  <c r="BO6" i="32"/>
  <c r="BP6" i="32" s="1"/>
  <c r="Q6" i="32"/>
  <c r="P6" i="32"/>
  <c r="H6" i="32"/>
  <c r="I6" i="32" s="1"/>
  <c r="J6" i="32" s="1"/>
  <c r="E6" i="32"/>
  <c r="F6" i="32" s="1"/>
  <c r="G6" i="32" s="1"/>
  <c r="D6" i="32"/>
  <c r="C6" i="32"/>
  <c r="IV5" i="32"/>
  <c r="IG5" i="32"/>
  <c r="HY5" i="32"/>
  <c r="HX5" i="32"/>
  <c r="HU5" i="32"/>
  <c r="HV5" i="32" s="1"/>
  <c r="HW5" i="32" s="1"/>
  <c r="HT5" i="32"/>
  <c r="IF5" i="32" s="1"/>
  <c r="HS5" i="32"/>
  <c r="GR5" i="32"/>
  <c r="GS5" i="32" s="1"/>
  <c r="GP5" i="32"/>
  <c r="GO5" i="32"/>
  <c r="GN5" i="32"/>
  <c r="HA5" i="32" s="1"/>
  <c r="GM5" i="32"/>
  <c r="FU5" i="32"/>
  <c r="FM5" i="32"/>
  <c r="FL5" i="32"/>
  <c r="FI5" i="32"/>
  <c r="FJ5" i="32" s="1"/>
  <c r="FK5" i="32" s="1"/>
  <c r="FH5" i="32"/>
  <c r="FT5" i="32" s="1"/>
  <c r="FG5" i="32"/>
  <c r="EF5" i="32"/>
  <c r="EG5" i="32" s="1"/>
  <c r="ED5" i="32"/>
  <c r="EC5" i="32"/>
  <c r="EB5" i="32"/>
  <c r="EO5" i="32" s="1"/>
  <c r="EA5" i="32"/>
  <c r="DI5" i="32"/>
  <c r="DA5" i="32"/>
  <c r="DB5" i="32" s="1"/>
  <c r="CZ5" i="32"/>
  <c r="CX5" i="32"/>
  <c r="CY5" i="32" s="1"/>
  <c r="DK5" i="32" s="1"/>
  <c r="CW5" i="32"/>
  <c r="CV5" i="32"/>
  <c r="DH5" i="32" s="1"/>
  <c r="CU5" i="32"/>
  <c r="BT5" i="32"/>
  <c r="BU5" i="32" s="1"/>
  <c r="BR5" i="32"/>
  <c r="BQ5" i="32"/>
  <c r="BO5" i="32"/>
  <c r="BP5" i="32" s="1"/>
  <c r="Q5" i="32"/>
  <c r="I5" i="32"/>
  <c r="H5" i="32"/>
  <c r="F5" i="32"/>
  <c r="G5" i="32" s="1"/>
  <c r="S5" i="32" s="1"/>
  <c r="E5" i="32"/>
  <c r="D5" i="32"/>
  <c r="P5" i="32" s="1"/>
  <c r="C5" i="32"/>
  <c r="IV4" i="32"/>
  <c r="HY4" i="32"/>
  <c r="HX4" i="32"/>
  <c r="HW4" i="32"/>
  <c r="IC4" i="32" s="1"/>
  <c r="HV4" i="32"/>
  <c r="HU4" i="32"/>
  <c r="HS4" i="32"/>
  <c r="HT4" i="32" s="1"/>
  <c r="GS4" i="32"/>
  <c r="GR4" i="32"/>
  <c r="GO4" i="32"/>
  <c r="GP4" i="32" s="1"/>
  <c r="GN4" i="32"/>
  <c r="GM4" i="32"/>
  <c r="FM4" i="32"/>
  <c r="FL4" i="32"/>
  <c r="FJ4" i="32"/>
  <c r="FK4" i="32" s="1"/>
  <c r="FI4" i="32"/>
  <c r="FG4" i="32"/>
  <c r="FH4" i="32" s="1"/>
  <c r="EO4" i="32"/>
  <c r="EN4" i="32"/>
  <c r="EF4" i="32"/>
  <c r="EG4" i="32" s="1"/>
  <c r="EH4" i="32" s="1"/>
  <c r="EC4" i="32"/>
  <c r="ED4" i="32" s="1"/>
  <c r="EE4" i="32" s="1"/>
  <c r="EB4" i="32"/>
  <c r="EA4" i="32"/>
  <c r="DA4" i="32"/>
  <c r="CZ4" i="32"/>
  <c r="CY4" i="32"/>
  <c r="DE4" i="32" s="1"/>
  <c r="CX4" i="32"/>
  <c r="CW4" i="32"/>
  <c r="CU4" i="32"/>
  <c r="CV4" i="32" s="1"/>
  <c r="BX4" i="32"/>
  <c r="BU4" i="32"/>
  <c r="BT4" i="32"/>
  <c r="BQ4" i="32"/>
  <c r="BR4" i="32" s="1"/>
  <c r="BS4" i="32" s="1"/>
  <c r="BP4" i="32"/>
  <c r="CB4" i="32" s="1"/>
  <c r="BO4" i="32"/>
  <c r="Q4" i="32"/>
  <c r="I4" i="32"/>
  <c r="H4" i="32"/>
  <c r="F4" i="32"/>
  <c r="G4" i="32" s="1"/>
  <c r="E4" i="32"/>
  <c r="C4" i="32"/>
  <c r="D4" i="32" s="1"/>
  <c r="IV3" i="32"/>
  <c r="HX3" i="32"/>
  <c r="HY3" i="32" s="1"/>
  <c r="HV3" i="32"/>
  <c r="HW3" i="32" s="1"/>
  <c r="HU3" i="32"/>
  <c r="HT3" i="32"/>
  <c r="IG3" i="32" s="1"/>
  <c r="HS3" i="32"/>
  <c r="GZ3" i="32"/>
  <c r="GS3" i="32"/>
  <c r="GR3" i="32"/>
  <c r="GO3" i="32"/>
  <c r="GP3" i="32" s="1"/>
  <c r="GQ3" i="32" s="1"/>
  <c r="GN3" i="32"/>
  <c r="GV3" i="32" s="1"/>
  <c r="GM3" i="32"/>
  <c r="FL3" i="32"/>
  <c r="FM3" i="32" s="1"/>
  <c r="FJ3" i="32"/>
  <c r="FK3" i="32" s="1"/>
  <c r="FI3" i="32"/>
  <c r="FG3" i="32"/>
  <c r="FH3" i="32" s="1"/>
  <c r="EO3" i="32"/>
  <c r="EG3" i="32"/>
  <c r="EH3" i="32" s="1"/>
  <c r="EF3" i="32"/>
  <c r="EC3" i="32"/>
  <c r="ED3" i="32" s="1"/>
  <c r="EE3" i="32" s="1"/>
  <c r="EB3" i="32"/>
  <c r="EA3" i="32"/>
  <c r="CZ3" i="32"/>
  <c r="DA3" i="32" s="1"/>
  <c r="CX3" i="32"/>
  <c r="CW3" i="32"/>
  <c r="CU3" i="32"/>
  <c r="CV3" i="32" s="1"/>
  <c r="CC3" i="32"/>
  <c r="BU3" i="32"/>
  <c r="BT3" i="32"/>
  <c r="BQ3" i="32"/>
  <c r="BR3" i="32" s="1"/>
  <c r="BS3" i="32" s="1"/>
  <c r="BP3" i="32"/>
  <c r="CB3" i="32" s="1"/>
  <c r="BO3" i="32"/>
  <c r="IV2" i="32"/>
  <c r="IU2" i="32"/>
  <c r="HV2" i="32"/>
  <c r="HU2" i="32"/>
  <c r="HO2" i="32"/>
  <c r="HX2" i="32" s="1"/>
  <c r="HY2" i="32" s="1"/>
  <c r="GS2" i="32"/>
  <c r="GR2" i="32"/>
  <c r="GO2" i="32"/>
  <c r="GP2" i="32" s="1"/>
  <c r="GI2" i="32"/>
  <c r="FL2" i="32"/>
  <c r="FM2" i="32" s="1"/>
  <c r="FC2" i="32"/>
  <c r="DW2" i="32"/>
  <c r="CX2" i="32"/>
  <c r="CW2" i="32"/>
  <c r="CQ2" i="32"/>
  <c r="CZ2" i="32" s="1"/>
  <c r="DA2" i="32" s="1"/>
  <c r="BU2" i="32"/>
  <c r="BT2" i="32"/>
  <c r="BQ2" i="32"/>
  <c r="BR2" i="32" s="1"/>
  <c r="BK2" i="32"/>
  <c r="M10" i="31"/>
  <c r="J48" i="31"/>
  <c r="J47" i="31"/>
  <c r="D47" i="31"/>
  <c r="D46" i="31"/>
  <c r="D38" i="31"/>
  <c r="H37" i="31"/>
  <c r="O77" i="30"/>
  <c r="M77" i="30"/>
  <c r="K36" i="30"/>
  <c r="K35" i="30"/>
  <c r="K34" i="30"/>
  <c r="M31" i="30"/>
  <c r="G64" i="30"/>
  <c r="F64" i="30"/>
  <c r="F59" i="30"/>
  <c r="F57" i="30"/>
  <c r="G49" i="30"/>
  <c r="G48" i="30"/>
  <c r="O12" i="30"/>
  <c r="L12" i="30"/>
  <c r="H12" i="30"/>
  <c r="D12" i="30"/>
  <c r="L10" i="30"/>
  <c r="D10" i="30"/>
  <c r="L9" i="30"/>
  <c r="D9" i="30"/>
  <c r="L8" i="30"/>
  <c r="D8" i="30"/>
  <c r="CA47" i="12"/>
  <c r="AT919" i="12"/>
  <c r="AR919" i="12"/>
  <c r="F36" i="11"/>
  <c r="E36" i="11"/>
  <c r="C36" i="11"/>
  <c r="M919" i="12"/>
  <c r="O924" i="12"/>
  <c r="N924" i="12" s="1"/>
  <c r="K946" i="12" s="1"/>
  <c r="K919" i="12"/>
  <c r="EJ200" i="12"/>
  <c r="EJ201" i="12"/>
  <c r="EJ202" i="12"/>
  <c r="AK226" i="12"/>
  <c r="AA108" i="8"/>
  <c r="M480" i="12" s="1"/>
  <c r="AU227" i="12" s="1"/>
  <c r="AA101" i="8"/>
  <c r="AA94" i="8"/>
  <c r="AA87" i="8"/>
  <c r="M405" i="12" s="1"/>
  <c r="AU224" i="12" s="1"/>
  <c r="L506" i="12"/>
  <c r="K506" i="12"/>
  <c r="AO228" i="12" s="1"/>
  <c r="AA115" i="8"/>
  <c r="M506" i="12" s="1"/>
  <c r="AU228" i="12" s="1"/>
  <c r="L480" i="12"/>
  <c r="AT227" i="12" s="1"/>
  <c r="K480" i="12"/>
  <c r="AO227" i="12" s="1"/>
  <c r="AQ227" i="12" s="1"/>
  <c r="L455" i="12"/>
  <c r="AS226" i="12" s="1"/>
  <c r="K455" i="12"/>
  <c r="AO226" i="12" s="1"/>
  <c r="AQ226" i="12" s="1"/>
  <c r="L431" i="12"/>
  <c r="AT225" i="12" s="1"/>
  <c r="K431" i="12"/>
  <c r="AO225" i="12" s="1"/>
  <c r="AQ225" i="12" s="1"/>
  <c r="L405" i="12"/>
  <c r="AS224" i="12" s="1"/>
  <c r="K405" i="12"/>
  <c r="AO224" i="12" s="1"/>
  <c r="EB191" i="12" s="1"/>
  <c r="E30" i="11" s="1"/>
  <c r="AK227" i="12"/>
  <c r="AK225" i="12"/>
  <c r="AK224" i="12"/>
  <c r="G518" i="12"/>
  <c r="G519" i="12" s="1"/>
  <c r="F518" i="12"/>
  <c r="F519" i="12" s="1"/>
  <c r="G512" i="12"/>
  <c r="G513" i="12" s="1"/>
  <c r="F512" i="12"/>
  <c r="F513" i="12" s="1"/>
  <c r="G492" i="12"/>
  <c r="G493" i="12" s="1"/>
  <c r="F492" i="12"/>
  <c r="F493" i="12" s="1"/>
  <c r="G486" i="12"/>
  <c r="G487" i="12" s="1"/>
  <c r="F486" i="12"/>
  <c r="F487" i="12" s="1"/>
  <c r="G467" i="12"/>
  <c r="G468" i="12" s="1"/>
  <c r="F467" i="12"/>
  <c r="F468" i="12" s="1"/>
  <c r="G461" i="12"/>
  <c r="G462" i="12" s="1"/>
  <c r="F461" i="12"/>
  <c r="F462" i="12" s="1"/>
  <c r="G442" i="12"/>
  <c r="G443" i="12" s="1"/>
  <c r="F442" i="12"/>
  <c r="F443" i="12" s="1"/>
  <c r="G436" i="12"/>
  <c r="G437" i="12" s="1"/>
  <c r="F436" i="12"/>
  <c r="F437" i="12" s="1"/>
  <c r="F421" i="12"/>
  <c r="F422" i="12" s="1"/>
  <c r="E421" i="12"/>
  <c r="E422" i="12" s="1"/>
  <c r="F415" i="12"/>
  <c r="F416" i="12" s="1"/>
  <c r="E415" i="12"/>
  <c r="E416" i="12" s="1"/>
  <c r="M404" i="12"/>
  <c r="L404" i="12"/>
  <c r="K403" i="12"/>
  <c r="AA114" i="8"/>
  <c r="Y114" i="8"/>
  <c r="M505" i="12"/>
  <c r="L505" i="12"/>
  <c r="K504" i="12"/>
  <c r="GR28" i="12"/>
  <c r="B14" i="29" s="1"/>
  <c r="Q3" i="29"/>
  <c r="Q2" i="29"/>
  <c r="ES9" i="12"/>
  <c r="ET9" i="12"/>
  <c r="EU9" i="12"/>
  <c r="FB4" i="12"/>
  <c r="FB5" i="12"/>
  <c r="AA107" i="8"/>
  <c r="Y107" i="8"/>
  <c r="J109" i="12"/>
  <c r="J110" i="12"/>
  <c r="J111" i="12"/>
  <c r="J112" i="12"/>
  <c r="J113" i="12"/>
  <c r="J114" i="12"/>
  <c r="J115" i="12"/>
  <c r="J116" i="12"/>
  <c r="J117" i="12"/>
  <c r="J118" i="12"/>
  <c r="J119" i="12"/>
  <c r="J108" i="12"/>
  <c r="DT6" i="12"/>
  <c r="AK14" i="13"/>
  <c r="D12" i="13"/>
  <c r="GI6" i="12"/>
  <c r="GW21" i="12" s="1"/>
  <c r="K7" i="29" s="1"/>
  <c r="GD9" i="12"/>
  <c r="CR5" i="12"/>
  <c r="CM27" i="12" s="1"/>
  <c r="EB196" i="12" l="1"/>
  <c r="AS229" i="12"/>
  <c r="EK196" i="12" s="1"/>
  <c r="AK1038" i="12"/>
  <c r="H418" i="12"/>
  <c r="I464" i="12"/>
  <c r="I489" i="12"/>
  <c r="I515" i="12"/>
  <c r="AK228" i="12" s="1"/>
  <c r="I439" i="12"/>
  <c r="BT49" i="12"/>
  <c r="BS2" i="32"/>
  <c r="CE3" i="32"/>
  <c r="CD3" i="32"/>
  <c r="BY3" i="32"/>
  <c r="EI3" i="32"/>
  <c r="BV3" i="32"/>
  <c r="EQ3" i="32"/>
  <c r="EK3" i="32"/>
  <c r="EP3" i="32"/>
  <c r="FU3" i="32"/>
  <c r="FN3" i="32"/>
  <c r="FT3" i="32"/>
  <c r="FP3" i="32"/>
  <c r="FO3" i="32"/>
  <c r="GA3" i="32"/>
  <c r="GB3" i="32" s="1"/>
  <c r="CE4" i="32"/>
  <c r="BY4" i="32"/>
  <c r="CD4" i="32" s="1"/>
  <c r="CC5" i="32"/>
  <c r="BX5" i="32"/>
  <c r="BW5" i="32"/>
  <c r="BS5" i="32"/>
  <c r="CB5" i="32"/>
  <c r="FN5" i="32"/>
  <c r="HW2" i="32"/>
  <c r="IC3" i="32"/>
  <c r="II3" i="32"/>
  <c r="HZ3" i="32"/>
  <c r="IH3" i="32"/>
  <c r="EL4" i="32"/>
  <c r="ER4" i="32" s="1"/>
  <c r="ES4" i="32"/>
  <c r="DL5" i="32"/>
  <c r="DM5" i="32"/>
  <c r="DF5" i="32"/>
  <c r="II5" i="32"/>
  <c r="IH5" i="32"/>
  <c r="HZ5" i="32"/>
  <c r="IC5" i="32"/>
  <c r="N6" i="32"/>
  <c r="U6" i="32"/>
  <c r="T6" i="32"/>
  <c r="CY3" i="32"/>
  <c r="DB3" i="32" s="1"/>
  <c r="DI3" i="32"/>
  <c r="DD3" i="32"/>
  <c r="DH3" i="32"/>
  <c r="ES3" i="32"/>
  <c r="EL3" i="32"/>
  <c r="ER3" i="32" s="1"/>
  <c r="FQ3" i="32"/>
  <c r="FW3" i="32"/>
  <c r="FV3" i="32"/>
  <c r="HC3" i="32"/>
  <c r="GT3" i="32"/>
  <c r="HB3" i="32"/>
  <c r="GW3" i="32"/>
  <c r="S4" i="32"/>
  <c r="J4" i="32"/>
  <c r="R4" i="32"/>
  <c r="M4" i="32"/>
  <c r="K4" i="32"/>
  <c r="FQ4" i="32"/>
  <c r="FW4" i="32"/>
  <c r="GA4" i="32"/>
  <c r="GB4" i="32" s="1"/>
  <c r="FV4" i="32"/>
  <c r="FW5" i="32"/>
  <c r="FQ5" i="32"/>
  <c r="FV5" i="32"/>
  <c r="HA3" i="32"/>
  <c r="IA3" i="32"/>
  <c r="FN4" i="32"/>
  <c r="GQ4" i="32"/>
  <c r="IG4" i="32"/>
  <c r="IF4" i="32"/>
  <c r="IB4" i="32"/>
  <c r="BV5" i="32"/>
  <c r="GV5" i="32"/>
  <c r="T7" i="32"/>
  <c r="U7" i="32"/>
  <c r="N7" i="32"/>
  <c r="DH7" i="32"/>
  <c r="DD7" i="32"/>
  <c r="DI7" i="32"/>
  <c r="DB7" i="32"/>
  <c r="HA7" i="32"/>
  <c r="GV7" i="32"/>
  <c r="GZ7" i="32"/>
  <c r="GQ7" i="32"/>
  <c r="S8" i="32"/>
  <c r="R8" i="32"/>
  <c r="FR8" i="32"/>
  <c r="FX8" i="32" s="1"/>
  <c r="DE9" i="32"/>
  <c r="DJ9" i="32" s="1"/>
  <c r="DK9" i="32"/>
  <c r="L10" i="32"/>
  <c r="Q10" i="32"/>
  <c r="G10" i="32"/>
  <c r="J10" i="32" s="1"/>
  <c r="P10" i="32"/>
  <c r="DK10" i="32"/>
  <c r="DE10" i="32"/>
  <c r="DJ10" i="32" s="1"/>
  <c r="FP10" i="32"/>
  <c r="FU10" i="32"/>
  <c r="FK10" i="32"/>
  <c r="GV10" i="32"/>
  <c r="GU10" i="32"/>
  <c r="HA10" i="32"/>
  <c r="GZ10" i="32"/>
  <c r="GX12" i="32"/>
  <c r="HD12" i="32" s="1"/>
  <c r="HE12" i="32"/>
  <c r="GV4" i="32"/>
  <c r="EN5" i="32"/>
  <c r="DH6" i="32"/>
  <c r="DD6" i="32"/>
  <c r="FT6" i="32"/>
  <c r="FP6" i="32"/>
  <c r="CC8" i="32"/>
  <c r="CB8" i="32"/>
  <c r="BX8" i="32"/>
  <c r="HE8" i="32"/>
  <c r="GX8" i="32"/>
  <c r="HD8" i="32" s="1"/>
  <c r="IG8" i="32"/>
  <c r="IB8" i="32"/>
  <c r="FU9" i="32"/>
  <c r="FP9" i="32"/>
  <c r="FT9" i="32"/>
  <c r="FK9" i="32"/>
  <c r="HC9" i="32"/>
  <c r="GW9" i="32"/>
  <c r="HB9" i="32" s="1"/>
  <c r="EQ10" i="32"/>
  <c r="EK10" i="32"/>
  <c r="EP10" i="32" s="1"/>
  <c r="EI10" i="32"/>
  <c r="EH10" i="32"/>
  <c r="CU2" i="32"/>
  <c r="CV2" i="32" s="1"/>
  <c r="EF2" i="32"/>
  <c r="EG2" i="32" s="1"/>
  <c r="FI2" i="32"/>
  <c r="FJ2" i="32" s="1"/>
  <c r="HS2" i="32"/>
  <c r="HT2" i="32" s="1"/>
  <c r="IF3" i="32"/>
  <c r="DI4" i="32"/>
  <c r="DH4" i="32"/>
  <c r="DD4" i="32"/>
  <c r="BO2" i="32"/>
  <c r="BP2" i="32" s="1"/>
  <c r="EC2" i="32"/>
  <c r="ED2" i="32" s="1"/>
  <c r="GM2" i="32"/>
  <c r="GN2" i="32" s="1"/>
  <c r="BW3" i="32"/>
  <c r="IB3" i="32"/>
  <c r="IM3" i="32"/>
  <c r="IN3" i="32" s="1"/>
  <c r="P4" i="32"/>
  <c r="L4" i="32"/>
  <c r="W4" i="32"/>
  <c r="X4" i="32" s="1"/>
  <c r="DO4" i="32"/>
  <c r="DP4" i="32" s="1"/>
  <c r="EU4" i="32"/>
  <c r="EV4" i="32" s="1"/>
  <c r="EI4" i="32"/>
  <c r="EJ4" i="32"/>
  <c r="GZ4" i="32"/>
  <c r="IM4" i="32"/>
  <c r="IN4" i="32" s="1"/>
  <c r="EJ5" i="32"/>
  <c r="GQ5" i="32"/>
  <c r="W6" i="32"/>
  <c r="X6" i="32" s="1"/>
  <c r="K6" i="32"/>
  <c r="L6" i="32"/>
  <c r="BS6" i="32"/>
  <c r="CY6" i="32"/>
  <c r="DI6" i="32"/>
  <c r="EE6" i="32"/>
  <c r="FK6" i="32"/>
  <c r="FU6" i="32"/>
  <c r="IC6" i="32"/>
  <c r="IH6" i="32"/>
  <c r="EL7" i="32"/>
  <c r="ER7" i="32" s="1"/>
  <c r="ES7" i="32"/>
  <c r="DB8" i="32"/>
  <c r="ES8" i="32"/>
  <c r="ER8" i="32"/>
  <c r="DB9" i="32"/>
  <c r="EQ9" i="32"/>
  <c r="EK9" i="32"/>
  <c r="EP9" i="32" s="1"/>
  <c r="EH9" i="32"/>
  <c r="EH11" i="32"/>
  <c r="EA2" i="32"/>
  <c r="EB2" i="32" s="1"/>
  <c r="DK4" i="32"/>
  <c r="II4" i="32"/>
  <c r="M5" i="32"/>
  <c r="FG2" i="32"/>
  <c r="FH2" i="32" s="1"/>
  <c r="BX3" i="32"/>
  <c r="EU3" i="32"/>
  <c r="EV3" i="32" s="1"/>
  <c r="EJ3" i="32"/>
  <c r="EN3" i="32"/>
  <c r="HG3" i="32"/>
  <c r="HH3" i="32" s="1"/>
  <c r="GU3" i="32"/>
  <c r="BV4" i="32"/>
  <c r="CC4" i="32"/>
  <c r="DB4" i="32"/>
  <c r="DC4" i="32" s="1"/>
  <c r="DJ4" i="32"/>
  <c r="EQ4" i="32"/>
  <c r="EP4" i="32"/>
  <c r="EK4" i="32"/>
  <c r="FU4" i="32"/>
  <c r="FT4" i="32"/>
  <c r="FP4" i="32"/>
  <c r="HA4" i="32"/>
  <c r="HZ4" i="32"/>
  <c r="IH4" i="32"/>
  <c r="J5" i="32"/>
  <c r="R5" i="32"/>
  <c r="DE5" i="32"/>
  <c r="DJ5" i="32" s="1"/>
  <c r="EE5" i="32"/>
  <c r="GZ5" i="32"/>
  <c r="S6" i="32"/>
  <c r="R6" i="32"/>
  <c r="M6" i="32"/>
  <c r="CB6" i="32"/>
  <c r="BX6" i="32"/>
  <c r="CC6" i="32"/>
  <c r="DB6" i="32"/>
  <c r="EN6" i="32"/>
  <c r="EJ6" i="32"/>
  <c r="EO6" i="32"/>
  <c r="FN6" i="32"/>
  <c r="GZ6" i="32"/>
  <c r="GV6" i="32"/>
  <c r="IK6" i="32"/>
  <c r="ID6" i="32"/>
  <c r="IJ6" i="32" s="1"/>
  <c r="CC7" i="32"/>
  <c r="CB7" i="32"/>
  <c r="BX7" i="32"/>
  <c r="CI7" i="32"/>
  <c r="CJ7" i="32" s="1"/>
  <c r="BS7" i="32"/>
  <c r="BW7" i="32" s="1"/>
  <c r="FY7" i="32"/>
  <c r="FR7" i="32"/>
  <c r="FX7" i="32" s="1"/>
  <c r="IF7" i="32"/>
  <c r="IB7" i="32"/>
  <c r="IG7" i="32"/>
  <c r="FY8" i="32"/>
  <c r="GW8" i="32"/>
  <c r="HB8" i="32" s="1"/>
  <c r="IF8" i="32"/>
  <c r="Q9" i="32"/>
  <c r="P9" i="32"/>
  <c r="L9" i="32"/>
  <c r="G9" i="32"/>
  <c r="CE9" i="32"/>
  <c r="BY9" i="32"/>
  <c r="CD9" i="32" s="1"/>
  <c r="II9" i="32"/>
  <c r="IC9" i="32"/>
  <c r="IH9" i="32" s="1"/>
  <c r="CF10" i="32"/>
  <c r="BZ10" i="32"/>
  <c r="DK11" i="32"/>
  <c r="DE11" i="32"/>
  <c r="DJ11" i="32" s="1"/>
  <c r="K5" i="32"/>
  <c r="W5" i="32"/>
  <c r="X5" i="32" s="1"/>
  <c r="DC5" i="32"/>
  <c r="DO5" i="32"/>
  <c r="DP5" i="32" s="1"/>
  <c r="IA5" i="32"/>
  <c r="IM5" i="32"/>
  <c r="IN5" i="32" s="1"/>
  <c r="IG6" i="32"/>
  <c r="IM6" i="32"/>
  <c r="IN6" i="32" s="1"/>
  <c r="IB6" i="32"/>
  <c r="IA6" i="32"/>
  <c r="EO7" i="32"/>
  <c r="EU7" i="32"/>
  <c r="EV7" i="32" s="1"/>
  <c r="EI7" i="32"/>
  <c r="EN7" i="32"/>
  <c r="EK8" i="32"/>
  <c r="EQ8" i="32"/>
  <c r="EP8" i="32"/>
  <c r="HA8" i="32"/>
  <c r="GZ8" i="32"/>
  <c r="GV8" i="32"/>
  <c r="GU8" i="32"/>
  <c r="CB9" i="32"/>
  <c r="BX9" i="32"/>
  <c r="CI9" i="32"/>
  <c r="CJ9" i="32" s="1"/>
  <c r="BW9" i="32"/>
  <c r="BV9" i="32"/>
  <c r="GZ9" i="32"/>
  <c r="GV9" i="32"/>
  <c r="HG9" i="32"/>
  <c r="HH9" i="32" s="1"/>
  <c r="GU9" i="32"/>
  <c r="GT9" i="32"/>
  <c r="CE10" i="32"/>
  <c r="CD10" i="32"/>
  <c r="BY10" i="32"/>
  <c r="BW10" i="32"/>
  <c r="DI10" i="32"/>
  <c r="DO10" i="32"/>
  <c r="DP10" i="32" s="1"/>
  <c r="DD10" i="32"/>
  <c r="II10" i="32"/>
  <c r="IH10" i="32"/>
  <c r="IC10" i="32"/>
  <c r="HZ10" i="32"/>
  <c r="FO11" i="32"/>
  <c r="FU11" i="32"/>
  <c r="FT11" i="32"/>
  <c r="FP11" i="32"/>
  <c r="L5" i="32"/>
  <c r="DD5" i="32"/>
  <c r="FP5" i="32"/>
  <c r="IB5" i="32"/>
  <c r="GQ6" i="32"/>
  <c r="S7" i="32"/>
  <c r="M7" i="32"/>
  <c r="CY7" i="32"/>
  <c r="EP7" i="32"/>
  <c r="EK7" i="32"/>
  <c r="EQ7" i="32"/>
  <c r="FW7" i="32"/>
  <c r="FQ7" i="32"/>
  <c r="FV7" i="32" s="1"/>
  <c r="HW7" i="32"/>
  <c r="HZ7" i="32" s="1"/>
  <c r="J8" i="32"/>
  <c r="BS8" i="32"/>
  <c r="DO8" i="32"/>
  <c r="DP8" i="32" s="1"/>
  <c r="DI8" i="32"/>
  <c r="DH8" i="32"/>
  <c r="FW8" i="32"/>
  <c r="FV8" i="32"/>
  <c r="DI9" i="32"/>
  <c r="DO9" i="32"/>
  <c r="DP9" i="32" s="1"/>
  <c r="DC9" i="32"/>
  <c r="DH9" i="32"/>
  <c r="HZ9" i="32"/>
  <c r="GW11" i="32"/>
  <c r="HB11" i="32" s="1"/>
  <c r="HC11" i="32"/>
  <c r="P7" i="32"/>
  <c r="L7" i="32"/>
  <c r="W7" i="32"/>
  <c r="X7" i="32" s="1"/>
  <c r="K7" i="32"/>
  <c r="Q7" i="32"/>
  <c r="GT7" i="32"/>
  <c r="CY8" i="32"/>
  <c r="EO8" i="32"/>
  <c r="EN8" i="32"/>
  <c r="EJ8" i="32"/>
  <c r="EU8" i="32"/>
  <c r="EV8" i="32" s="1"/>
  <c r="GA8" i="32"/>
  <c r="GB8" i="32" s="1"/>
  <c r="FO8" i="32"/>
  <c r="FP8" i="32"/>
  <c r="FN10" i="32"/>
  <c r="CG11" i="32"/>
  <c r="BZ11" i="32"/>
  <c r="CF11" i="32" s="1"/>
  <c r="DB11" i="32"/>
  <c r="FK11" i="32"/>
  <c r="EL12" i="32"/>
  <c r="ER12" i="32" s="1"/>
  <c r="ES12" i="32"/>
  <c r="GQ10" i="32"/>
  <c r="BW11" i="32"/>
  <c r="DI12" i="32"/>
  <c r="CY12" i="32"/>
  <c r="DD12" i="32"/>
  <c r="BV7" i="32"/>
  <c r="FT7" i="32"/>
  <c r="FP7" i="32"/>
  <c r="GA7" i="32"/>
  <c r="GB7" i="32" s="1"/>
  <c r="FO7" i="32"/>
  <c r="FU7" i="32"/>
  <c r="W8" i="32"/>
  <c r="X8" i="32" s="1"/>
  <c r="K8" i="32"/>
  <c r="L8" i="32"/>
  <c r="EI8" i="32"/>
  <c r="FT8" i="32"/>
  <c r="HW8" i="32"/>
  <c r="EN9" i="32"/>
  <c r="EJ9" i="32"/>
  <c r="EU9" i="32"/>
  <c r="EV9" i="32" s="1"/>
  <c r="EI9" i="32"/>
  <c r="EO9" i="32"/>
  <c r="IM9" i="32"/>
  <c r="IN9" i="32" s="1"/>
  <c r="IA9" i="32"/>
  <c r="IG9" i="32"/>
  <c r="IB9" i="32"/>
  <c r="DB10" i="32"/>
  <c r="S11" i="32"/>
  <c r="R11" i="32"/>
  <c r="M11" i="32"/>
  <c r="J11" i="32"/>
  <c r="HA11" i="32"/>
  <c r="GZ11" i="32"/>
  <c r="GV11" i="32"/>
  <c r="GU11" i="32"/>
  <c r="GT11" i="32"/>
  <c r="HG11" i="32" s="1"/>
  <c r="HH11" i="32" s="1"/>
  <c r="HC12" i="32"/>
  <c r="HB12" i="32"/>
  <c r="GW12" i="32"/>
  <c r="IC12" i="32"/>
  <c r="IH12" i="32" s="1"/>
  <c r="II12" i="32"/>
  <c r="CB10" i="32"/>
  <c r="BX10" i="32"/>
  <c r="CI10" i="32"/>
  <c r="CJ10" i="32" s="1"/>
  <c r="EN10" i="32"/>
  <c r="EJ10" i="32"/>
  <c r="EU10" i="32"/>
  <c r="EV10" i="32" s="1"/>
  <c r="CD11" i="32"/>
  <c r="EO11" i="32"/>
  <c r="EN11" i="32"/>
  <c r="EJ11" i="32"/>
  <c r="EE11" i="32"/>
  <c r="EI11" i="32"/>
  <c r="CB12" i="32"/>
  <c r="BX12" i="32"/>
  <c r="IG12" i="32"/>
  <c r="IF12" i="32"/>
  <c r="IF11" i="32"/>
  <c r="IB11" i="32"/>
  <c r="R12" i="32"/>
  <c r="M12" i="32"/>
  <c r="S12" i="32"/>
  <c r="DB12" i="32"/>
  <c r="EQ12" i="32"/>
  <c r="EK12" i="32"/>
  <c r="EP12" i="32" s="1"/>
  <c r="IB12" i="32"/>
  <c r="IF10" i="32"/>
  <c r="IB10" i="32"/>
  <c r="IM10" i="32"/>
  <c r="IN10" i="32" s="1"/>
  <c r="HW11" i="32"/>
  <c r="J12" i="32"/>
  <c r="P12" i="32"/>
  <c r="FK12" i="32"/>
  <c r="GA12" i="32"/>
  <c r="GB12" i="32" s="1"/>
  <c r="HZ12" i="32"/>
  <c r="IM12" i="32" s="1"/>
  <c r="IN12" i="32" s="1"/>
  <c r="GT10" i="32"/>
  <c r="K11" i="32"/>
  <c r="CC11" i="32"/>
  <c r="CB11" i="32"/>
  <c r="BX11" i="32"/>
  <c r="CI11" i="32"/>
  <c r="CJ11" i="32" s="1"/>
  <c r="DO11" i="32"/>
  <c r="DP11" i="32" s="1"/>
  <c r="DD11" i="32"/>
  <c r="FN11" i="32"/>
  <c r="K12" i="32"/>
  <c r="BS12" i="32"/>
  <c r="BV12" i="32" s="1"/>
  <c r="FN12" i="32"/>
  <c r="FT12" i="32"/>
  <c r="EI12" i="32"/>
  <c r="EU12" i="32"/>
  <c r="EV12" i="32" s="1"/>
  <c r="GU12" i="32"/>
  <c r="HG12" i="32"/>
  <c r="HH12" i="32" s="1"/>
  <c r="EJ12" i="32"/>
  <c r="GV12" i="32"/>
  <c r="P33" i="30"/>
  <c r="AQ228" i="12"/>
  <c r="EB195" i="12"/>
  <c r="E34" i="11" s="1"/>
  <c r="AB34" i="11" s="1"/>
  <c r="EB193" i="12"/>
  <c r="E32" i="11" s="1"/>
  <c r="EB192" i="12"/>
  <c r="E31" i="11" s="1"/>
  <c r="EB194" i="12"/>
  <c r="E33" i="11" s="1"/>
  <c r="AB33" i="11" s="1"/>
  <c r="AK1040" i="12"/>
  <c r="AK1039" i="12"/>
  <c r="AK1027" i="12"/>
  <c r="AK1034" i="12"/>
  <c r="AK1030" i="12"/>
  <c r="AK1037" i="12"/>
  <c r="AK1033" i="12"/>
  <c r="AK1029" i="12"/>
  <c r="AK1036" i="12"/>
  <c r="AK1032" i="12"/>
  <c r="AK1028" i="12"/>
  <c r="AK1035" i="12"/>
  <c r="AK1031" i="12"/>
  <c r="J946" i="12"/>
  <c r="J947" i="12" s="1"/>
  <c r="D1155" i="12"/>
  <c r="D939" i="12"/>
  <c r="D1156" i="12"/>
  <c r="AT228" i="12"/>
  <c r="AS227" i="12"/>
  <c r="EK194" i="12" s="1"/>
  <c r="N33" i="11" s="1"/>
  <c r="AC33" i="11" s="1"/>
  <c r="V33" i="11" s="1"/>
  <c r="AS228" i="12"/>
  <c r="AT226" i="12"/>
  <c r="EK193" i="12" s="1"/>
  <c r="N32" i="11" s="1"/>
  <c r="AS225" i="12"/>
  <c r="EK192" i="12" s="1"/>
  <c r="N31" i="11" s="1"/>
  <c r="AT224" i="12"/>
  <c r="EK191" i="12" s="1"/>
  <c r="BT58" i="12"/>
  <c r="BT54" i="12"/>
  <c r="BT50" i="12"/>
  <c r="BT56" i="12"/>
  <c r="BT52" i="12"/>
  <c r="BT48" i="12"/>
  <c r="BT47" i="12"/>
  <c r="BT55" i="12"/>
  <c r="BT51" i="12"/>
  <c r="BT57" i="12"/>
  <c r="BT53" i="12"/>
  <c r="D1145" i="12"/>
  <c r="D1151" i="12"/>
  <c r="D1147" i="12"/>
  <c r="D1143" i="12"/>
  <c r="D1152" i="12"/>
  <c r="D1148" i="12"/>
  <c r="D1144" i="12"/>
  <c r="D1154" i="12"/>
  <c r="D1150" i="12"/>
  <c r="D1146" i="12"/>
  <c r="D1153" i="12"/>
  <c r="D1149" i="12"/>
  <c r="AK255" i="12"/>
  <c r="DY222" i="12" s="1"/>
  <c r="B40" i="11" s="1"/>
  <c r="BI922" i="12"/>
  <c r="AO255" i="12" s="1"/>
  <c r="EB222" i="12" s="1"/>
  <c r="E40" i="11" s="1"/>
  <c r="BJ922" i="12"/>
  <c r="AP255" i="12" s="1"/>
  <c r="EC222" i="12" s="1"/>
  <c r="F40" i="11" s="1"/>
  <c r="BH922" i="12"/>
  <c r="AN255" i="12" s="1"/>
  <c r="DZ222" i="12" s="1"/>
  <c r="C40" i="11" s="1"/>
  <c r="BH917" i="12"/>
  <c r="AA153" i="8"/>
  <c r="BK922" i="12" s="1"/>
  <c r="AQ255" i="12" s="1"/>
  <c r="EJ196" i="12" l="1"/>
  <c r="E35" i="11"/>
  <c r="AB35" i="11" s="1"/>
  <c r="M35" i="11" s="1"/>
  <c r="Y35" i="11" s="1"/>
  <c r="ES196" i="12"/>
  <c r="ET196" i="12" s="1"/>
  <c r="N35" i="11"/>
  <c r="AC35" i="11" s="1"/>
  <c r="EK195" i="12"/>
  <c r="N34" i="11" s="1"/>
  <c r="CG12" i="32"/>
  <c r="BZ12" i="32"/>
  <c r="CF12" i="32" s="1"/>
  <c r="CI12" i="32"/>
  <c r="CJ12" i="32" s="1"/>
  <c r="DQ4" i="32"/>
  <c r="DG4" i="32"/>
  <c r="DN4" i="32" s="1"/>
  <c r="IJ7" i="32"/>
  <c r="ID7" i="32"/>
  <c r="IK7" i="32"/>
  <c r="IA7" i="32"/>
  <c r="IM7" i="32"/>
  <c r="IN7" i="32" s="1"/>
  <c r="CK7" i="32"/>
  <c r="CA7" i="32"/>
  <c r="CH7" i="32" s="1"/>
  <c r="N10" i="32"/>
  <c r="T10" i="32"/>
  <c r="U10" i="32"/>
  <c r="DF3" i="32"/>
  <c r="DM3" i="32"/>
  <c r="DL3" i="32"/>
  <c r="DC3" i="32"/>
  <c r="DF7" i="32"/>
  <c r="DL7" i="32" s="1"/>
  <c r="DM7" i="32"/>
  <c r="CA5" i="32"/>
  <c r="CH5" i="32" s="1"/>
  <c r="GC3" i="32"/>
  <c r="FS3" i="32"/>
  <c r="FZ3" i="32" s="1"/>
  <c r="CF3" i="32"/>
  <c r="CG3" i="32"/>
  <c r="BZ3" i="32"/>
  <c r="FR11" i="32"/>
  <c r="FY11" i="32"/>
  <c r="FX11" i="32"/>
  <c r="EK11" i="32"/>
  <c r="EP11" i="32" s="1"/>
  <c r="DZ11" i="32" s="1"/>
  <c r="DY11" i="32" s="1"/>
  <c r="DX11" i="32" s="1"/>
  <c r="EQ11" i="32"/>
  <c r="EU11" i="32"/>
  <c r="EV11" i="32" s="1"/>
  <c r="EW11" i="32" s="1"/>
  <c r="U11" i="32"/>
  <c r="N11" i="32"/>
  <c r="T11" i="32"/>
  <c r="B11" i="32" s="1"/>
  <c r="DF10" i="32"/>
  <c r="DL10" i="32"/>
  <c r="DM10" i="32"/>
  <c r="HI8" i="32"/>
  <c r="HF8" i="32"/>
  <c r="GY8" i="32"/>
  <c r="ET7" i="32"/>
  <c r="EW7" i="32"/>
  <c r="EM7" i="32"/>
  <c r="DG5" i="32"/>
  <c r="DN5" i="32"/>
  <c r="DQ5" i="32"/>
  <c r="CT5" i="32" s="1"/>
  <c r="CS5" i="32" s="1"/>
  <c r="CR5" i="32" s="1"/>
  <c r="BZ4" i="32"/>
  <c r="CF4" i="32"/>
  <c r="CG4" i="32"/>
  <c r="EM12" i="32"/>
  <c r="ET12" i="32" s="1"/>
  <c r="EW12" i="32"/>
  <c r="V12" i="32"/>
  <c r="Y12" i="32"/>
  <c r="O12" i="32"/>
  <c r="N12" i="32"/>
  <c r="U12" i="32"/>
  <c r="T12" i="32"/>
  <c r="B12" i="32" s="1"/>
  <c r="W12" i="32"/>
  <c r="X12" i="32" s="1"/>
  <c r="FR10" i="32"/>
  <c r="FX10" i="32" s="1"/>
  <c r="FY10" i="32"/>
  <c r="DN9" i="32"/>
  <c r="DQ9" i="32"/>
  <c r="DG9" i="32"/>
  <c r="HC6" i="32"/>
  <c r="HB6" i="32"/>
  <c r="GW6" i="32"/>
  <c r="FS11" i="32"/>
  <c r="FZ11" i="32"/>
  <c r="GC11" i="32"/>
  <c r="CA9" i="32"/>
  <c r="CH9" i="32" s="1"/>
  <c r="CK9" i="32"/>
  <c r="DZ7" i="32"/>
  <c r="DY7" i="32" s="1"/>
  <c r="DX7" i="32" s="1"/>
  <c r="FR6" i="32"/>
  <c r="FY6" i="32"/>
  <c r="FX6" i="32"/>
  <c r="EP5" i="32"/>
  <c r="EK5" i="32"/>
  <c r="EQ5" i="32"/>
  <c r="ES11" i="32"/>
  <c r="ER11" i="32"/>
  <c r="EL11" i="32"/>
  <c r="FW6" i="32"/>
  <c r="FQ6" i="32"/>
  <c r="FV6" i="32" s="1"/>
  <c r="CE6" i="32"/>
  <c r="BY6" i="32"/>
  <c r="CD6" i="32"/>
  <c r="EW10" i="32"/>
  <c r="EM10" i="32"/>
  <c r="ET10" i="32" s="1"/>
  <c r="FV9" i="32"/>
  <c r="FQ9" i="32"/>
  <c r="FW9" i="32"/>
  <c r="Y4" i="32"/>
  <c r="B4" i="32" s="1"/>
  <c r="O4" i="32"/>
  <c r="V4" i="32"/>
  <c r="FR5" i="32"/>
  <c r="FX5" i="32" s="1"/>
  <c r="FY5" i="32"/>
  <c r="O11" i="32"/>
  <c r="V11" i="32"/>
  <c r="Y11" i="32"/>
  <c r="II11" i="32"/>
  <c r="IC11" i="32"/>
  <c r="IH11" i="32" s="1"/>
  <c r="CK11" i="32"/>
  <c r="BN11" i="32" s="1"/>
  <c r="BM11" i="32" s="1"/>
  <c r="BL11" i="32" s="1"/>
  <c r="CA11" i="32"/>
  <c r="CH11" i="32" s="1"/>
  <c r="BY8" i="32"/>
  <c r="CD8" i="32"/>
  <c r="CE8" i="32"/>
  <c r="DK7" i="32"/>
  <c r="DE7" i="32"/>
  <c r="DJ7" i="32" s="1"/>
  <c r="GA11" i="32"/>
  <c r="GB11" i="32" s="1"/>
  <c r="R9" i="32"/>
  <c r="M9" i="32"/>
  <c r="S9" i="32"/>
  <c r="BV8" i="32"/>
  <c r="DF6" i="32"/>
  <c r="DL6" i="32" s="1"/>
  <c r="DM6" i="32"/>
  <c r="IK4" i="32"/>
  <c r="IJ4" i="32"/>
  <c r="ID4" i="32"/>
  <c r="IA4" i="32"/>
  <c r="DF8" i="32"/>
  <c r="DL8" i="32" s="1"/>
  <c r="DM8" i="32"/>
  <c r="EQ6" i="32"/>
  <c r="EK6" i="32"/>
  <c r="EP6" i="32"/>
  <c r="HB5" i="32"/>
  <c r="GW5" i="32"/>
  <c r="HC5" i="32"/>
  <c r="GZ2" i="32"/>
  <c r="GV2" i="32"/>
  <c r="HG2" i="32"/>
  <c r="HH2" i="32" s="1"/>
  <c r="HA2" i="32"/>
  <c r="IG2" i="32"/>
  <c r="IF2" i="32"/>
  <c r="IB2" i="32"/>
  <c r="DI2" i="32"/>
  <c r="DH2" i="32"/>
  <c r="DD2" i="32"/>
  <c r="FO6" i="32"/>
  <c r="DC6" i="32"/>
  <c r="EH5" i="32"/>
  <c r="FO10" i="32"/>
  <c r="BZ5" i="32"/>
  <c r="CF5" i="32" s="1"/>
  <c r="CG5" i="32"/>
  <c r="HC4" i="32"/>
  <c r="HB4" i="32"/>
  <c r="GW4" i="32"/>
  <c r="DO3" i="32"/>
  <c r="DP3" i="32" s="1"/>
  <c r="GT2" i="32"/>
  <c r="EU6" i="32"/>
  <c r="EV6" i="32" s="1"/>
  <c r="GQ2" i="32"/>
  <c r="CI8" i="32"/>
  <c r="CJ8" i="32" s="1"/>
  <c r="CY2" i="32"/>
  <c r="DO2" i="32" s="1"/>
  <c r="DP2" i="32" s="1"/>
  <c r="BY2" i="32"/>
  <c r="CE2" i="32"/>
  <c r="CD2" i="32"/>
  <c r="GY12" i="32"/>
  <c r="HF12" i="32" s="1"/>
  <c r="GL12" i="32" s="1"/>
  <c r="GK12" i="32" s="1"/>
  <c r="GJ12" i="32" s="1"/>
  <c r="HI12" i="32"/>
  <c r="FR12" i="32"/>
  <c r="FX12" i="32" s="1"/>
  <c r="FY12" i="32"/>
  <c r="W11" i="32"/>
  <c r="X11" i="32" s="1"/>
  <c r="FQ12" i="32"/>
  <c r="FV12" i="32" s="1"/>
  <c r="FW12" i="32"/>
  <c r="FO12" i="32"/>
  <c r="EW8" i="32"/>
  <c r="EM8" i="32"/>
  <c r="ET8" i="32" s="1"/>
  <c r="DJ12" i="32"/>
  <c r="DE12" i="32"/>
  <c r="DK12" i="32"/>
  <c r="HB10" i="32"/>
  <c r="GL10" i="32" s="1"/>
  <c r="GK10" i="32" s="1"/>
  <c r="GJ10" i="32" s="1"/>
  <c r="HC10" i="32"/>
  <c r="GW10" i="32"/>
  <c r="FN9" i="32"/>
  <c r="DK8" i="32"/>
  <c r="DJ8" i="32"/>
  <c r="DE8" i="32"/>
  <c r="O7" i="32"/>
  <c r="Y7" i="32"/>
  <c r="B7" i="32" s="1"/>
  <c r="V7" i="32"/>
  <c r="IK9" i="32"/>
  <c r="ID9" i="32"/>
  <c r="IJ9" i="32" s="1"/>
  <c r="HR9" i="32" s="1"/>
  <c r="HQ9" i="32" s="1"/>
  <c r="HP9" i="32" s="1"/>
  <c r="N8" i="32"/>
  <c r="T8" i="32"/>
  <c r="B8" i="32" s="1"/>
  <c r="U8" i="32"/>
  <c r="IJ10" i="32"/>
  <c r="ID10" i="32"/>
  <c r="IK10" i="32"/>
  <c r="IA10" i="32"/>
  <c r="DC10" i="32"/>
  <c r="CK10" i="32"/>
  <c r="CA10" i="32"/>
  <c r="CH10" i="32" s="1"/>
  <c r="BN10" i="32" s="1"/>
  <c r="BM10" i="32" s="1"/>
  <c r="BL10" i="32" s="1"/>
  <c r="HD9" i="32"/>
  <c r="GX9" i="32"/>
  <c r="HE9" i="32"/>
  <c r="GA5" i="32"/>
  <c r="GB5" i="32" s="1"/>
  <c r="EH6" i="32"/>
  <c r="EI6" i="32" s="1"/>
  <c r="GT5" i="32"/>
  <c r="BW4" i="32"/>
  <c r="FP2" i="32"/>
  <c r="FU2" i="32"/>
  <c r="FT2" i="32"/>
  <c r="DF9" i="32"/>
  <c r="DL9" i="32" s="1"/>
  <c r="CT9" i="32" s="1"/>
  <c r="CS9" i="32" s="1"/>
  <c r="CR9" i="32" s="1"/>
  <c r="DM9" i="32"/>
  <c r="O6" i="32"/>
  <c r="V6" i="32"/>
  <c r="Y6" i="32"/>
  <c r="B6" i="32" s="1"/>
  <c r="EE2" i="32"/>
  <c r="FK2" i="32"/>
  <c r="HG10" i="32"/>
  <c r="HH10" i="32" s="1"/>
  <c r="DC7" i="32"/>
  <c r="FY4" i="32"/>
  <c r="FR4" i="32"/>
  <c r="FX4" i="32" s="1"/>
  <c r="IK3" i="32"/>
  <c r="ID3" i="32"/>
  <c r="IJ3" i="32"/>
  <c r="DB2" i="32"/>
  <c r="BY5" i="32"/>
  <c r="CD5" i="32" s="1"/>
  <c r="CE5" i="32"/>
  <c r="HZ2" i="32"/>
  <c r="ID12" i="32"/>
  <c r="IJ12" i="32" s="1"/>
  <c r="IK12" i="32"/>
  <c r="DF12" i="32"/>
  <c r="DL12" i="32" s="1"/>
  <c r="DM12" i="32"/>
  <c r="EM11" i="32"/>
  <c r="ET11" i="32" s="1"/>
  <c r="HI11" i="32"/>
  <c r="GY11" i="32"/>
  <c r="HF11" i="32"/>
  <c r="IE9" i="32"/>
  <c r="IL9" i="32" s="1"/>
  <c r="IO9" i="32"/>
  <c r="II8" i="32"/>
  <c r="IH8" i="32"/>
  <c r="IC8" i="32"/>
  <c r="O8" i="32"/>
  <c r="V8" i="32"/>
  <c r="Y8" i="32"/>
  <c r="DC12" i="32"/>
  <c r="DF11" i="32"/>
  <c r="DL11" i="32"/>
  <c r="DM11" i="32"/>
  <c r="FS8" i="32"/>
  <c r="FZ8" i="32" s="1"/>
  <c r="FF8" i="32" s="1"/>
  <c r="FE8" i="32" s="1"/>
  <c r="FD8" i="32" s="1"/>
  <c r="GC8" i="32"/>
  <c r="GX7" i="32"/>
  <c r="HD7" i="32" s="1"/>
  <c r="HE7" i="32"/>
  <c r="HZ8" i="32"/>
  <c r="IA8" i="32" s="1"/>
  <c r="IO6" i="32"/>
  <c r="IE6" i="32"/>
  <c r="IL6" i="32" s="1"/>
  <c r="GY3" i="32"/>
  <c r="HF3" i="32" s="1"/>
  <c r="HI3" i="32"/>
  <c r="CK3" i="32"/>
  <c r="CA3" i="32"/>
  <c r="CH3" i="32" s="1"/>
  <c r="HI10" i="32"/>
  <c r="GY10" i="32"/>
  <c r="HF10" i="32" s="1"/>
  <c r="R10" i="32"/>
  <c r="S10" i="32"/>
  <c r="M10" i="32"/>
  <c r="K10" i="32"/>
  <c r="HG7" i="32"/>
  <c r="HH7" i="32" s="1"/>
  <c r="DJ3" i="32"/>
  <c r="DK3" i="32"/>
  <c r="DE3" i="32"/>
  <c r="IC2" i="32"/>
  <c r="IH2" i="32"/>
  <c r="II2" i="32"/>
  <c r="IE5" i="32"/>
  <c r="IL5" i="32" s="1"/>
  <c r="IO5" i="32"/>
  <c r="CE12" i="32"/>
  <c r="BY12" i="32"/>
  <c r="CD12" i="32" s="1"/>
  <c r="DC11" i="32"/>
  <c r="GX10" i="32"/>
  <c r="HD10" i="32" s="1"/>
  <c r="HE10" i="32"/>
  <c r="IM11" i="32"/>
  <c r="IN11" i="32" s="1"/>
  <c r="IA12" i="32"/>
  <c r="BW12" i="32"/>
  <c r="HZ11" i="32"/>
  <c r="HE11" i="32"/>
  <c r="GX11" i="32"/>
  <c r="HD11" i="32" s="1"/>
  <c r="GL11" i="32" s="1"/>
  <c r="GK11" i="32" s="1"/>
  <c r="GJ11" i="32" s="1"/>
  <c r="EM9" i="32"/>
  <c r="EW9" i="32"/>
  <c r="ET9" i="32"/>
  <c r="J9" i="32"/>
  <c r="FS7" i="32"/>
  <c r="GC7" i="32"/>
  <c r="FZ7" i="32"/>
  <c r="FF7" i="32" s="1"/>
  <c r="FE7" i="32" s="1"/>
  <c r="FD7" i="32" s="1"/>
  <c r="BZ7" i="32"/>
  <c r="CF7" i="32" s="1"/>
  <c r="CG7" i="32"/>
  <c r="DO12" i="32"/>
  <c r="DP12" i="32" s="1"/>
  <c r="FW11" i="32"/>
  <c r="FF11" i="32" s="1"/>
  <c r="FE11" i="32" s="1"/>
  <c r="FD11" i="32" s="1"/>
  <c r="FV11" i="32"/>
  <c r="FQ11" i="32"/>
  <c r="DC8" i="32"/>
  <c r="II7" i="32"/>
  <c r="IC7" i="32"/>
  <c r="IH7" i="32" s="1"/>
  <c r="HI9" i="32"/>
  <c r="GY9" i="32"/>
  <c r="HF9" i="32" s="1"/>
  <c r="BZ9" i="32"/>
  <c r="CF9" i="32" s="1"/>
  <c r="BN9" i="32" s="1"/>
  <c r="BM9" i="32" s="1"/>
  <c r="BL9" i="32" s="1"/>
  <c r="CG9" i="32"/>
  <c r="GL8" i="32"/>
  <c r="GK8" i="32" s="1"/>
  <c r="GJ8" i="32" s="1"/>
  <c r="FO5" i="32"/>
  <c r="O5" i="32"/>
  <c r="Y5" i="32"/>
  <c r="V5" i="32"/>
  <c r="BY7" i="32"/>
  <c r="CD7" i="32" s="1"/>
  <c r="CE7" i="32"/>
  <c r="GT6" i="32"/>
  <c r="GU6" i="32" s="1"/>
  <c r="BV6" i="32"/>
  <c r="EU5" i="32"/>
  <c r="EV5" i="32" s="1"/>
  <c r="T5" i="32"/>
  <c r="B5" i="32" s="1"/>
  <c r="U5" i="32"/>
  <c r="N5" i="32"/>
  <c r="GT4" i="32"/>
  <c r="DM4" i="32"/>
  <c r="DF4" i="32"/>
  <c r="DL4" i="32" s="1"/>
  <c r="CT4" i="32" s="1"/>
  <c r="CS4" i="32" s="1"/>
  <c r="CR4" i="32" s="1"/>
  <c r="CI4" i="32"/>
  <c r="CJ4" i="32" s="1"/>
  <c r="EO2" i="32"/>
  <c r="EN2" i="32"/>
  <c r="EJ2" i="32"/>
  <c r="ES9" i="32"/>
  <c r="EL9" i="32"/>
  <c r="ER9" i="32" s="1"/>
  <c r="DZ9" i="32" s="1"/>
  <c r="DY9" i="32" s="1"/>
  <c r="DX9" i="32" s="1"/>
  <c r="DJ6" i="32"/>
  <c r="DK6" i="32"/>
  <c r="DE6" i="32"/>
  <c r="EM4" i="32"/>
  <c r="ET4" i="32"/>
  <c r="EW4" i="32"/>
  <c r="DZ4" i="32" s="1"/>
  <c r="DY4" i="32" s="1"/>
  <c r="DX4" i="32" s="1"/>
  <c r="CI3" i="32"/>
  <c r="CJ3" i="32" s="1"/>
  <c r="CB2" i="32"/>
  <c r="BX2" i="32"/>
  <c r="CC2" i="32"/>
  <c r="EH2" i="32"/>
  <c r="ER10" i="32"/>
  <c r="DZ10" i="32" s="1"/>
  <c r="DY10" i="32" s="1"/>
  <c r="DX10" i="32" s="1"/>
  <c r="EL10" i="32"/>
  <c r="ES10" i="32"/>
  <c r="GA9" i="32"/>
  <c r="GB9" i="32" s="1"/>
  <c r="BW8" i="32"/>
  <c r="GA6" i="32"/>
  <c r="GB6" i="32" s="1"/>
  <c r="DO6" i="32"/>
  <c r="DP6" i="32" s="1"/>
  <c r="FW10" i="32"/>
  <c r="FQ10" i="32"/>
  <c r="FV10" i="32" s="1"/>
  <c r="GA10" i="32"/>
  <c r="GB10" i="32" s="1"/>
  <c r="W10" i="32"/>
  <c r="X10" i="32" s="1"/>
  <c r="HB7" i="32"/>
  <c r="GW7" i="32"/>
  <c r="HC7" i="32"/>
  <c r="GU7" i="32"/>
  <c r="DO7" i="32"/>
  <c r="DP7" i="32" s="1"/>
  <c r="IO3" i="32"/>
  <c r="IE3" i="32"/>
  <c r="IL3" i="32" s="1"/>
  <c r="HR3" i="32" s="1"/>
  <c r="HQ3" i="32" s="1"/>
  <c r="HP3" i="32" s="1"/>
  <c r="T4" i="32"/>
  <c r="N4" i="32"/>
  <c r="U4" i="32"/>
  <c r="HD3" i="32"/>
  <c r="GL3" i="32" s="1"/>
  <c r="GK3" i="32" s="1"/>
  <c r="GJ3" i="32" s="1"/>
  <c r="GX3" i="32"/>
  <c r="HE3" i="32"/>
  <c r="IJ5" i="32"/>
  <c r="HR5" i="32" s="1"/>
  <c r="HQ5" i="32" s="1"/>
  <c r="HP5" i="32" s="1"/>
  <c r="ID5" i="32"/>
  <c r="IK5" i="32"/>
  <c r="BW2" i="32"/>
  <c r="CI5" i="32"/>
  <c r="CJ5" i="32" s="1"/>
  <c r="CK5" i="32" s="1"/>
  <c r="FO4" i="32"/>
  <c r="FY3" i="32"/>
  <c r="FR3" i="32"/>
  <c r="FX3" i="32" s="1"/>
  <c r="BV2" i="32"/>
  <c r="EW3" i="32"/>
  <c r="EM3" i="32"/>
  <c r="ET3" i="32"/>
  <c r="DZ3" i="32" s="1"/>
  <c r="DY3" i="32" s="1"/>
  <c r="DX3" i="32" s="1"/>
  <c r="G935" i="12"/>
  <c r="N940" i="12" s="1"/>
  <c r="E935" i="12"/>
  <c r="K940" i="12" s="1"/>
  <c r="AD33" i="11"/>
  <c r="W33" i="11" s="1"/>
  <c r="M33" i="11"/>
  <c r="AD35" i="11" l="1"/>
  <c r="W35" i="11" s="1"/>
  <c r="V35" i="11"/>
  <c r="BN7" i="32"/>
  <c r="BM7" i="32" s="1"/>
  <c r="BL7" i="32" s="1"/>
  <c r="HR4" i="32"/>
  <c r="HQ4" i="32" s="1"/>
  <c r="HP4" i="32" s="1"/>
  <c r="FF3" i="32"/>
  <c r="FE3" i="32" s="1"/>
  <c r="FD3" i="32" s="1"/>
  <c r="HR6" i="32"/>
  <c r="HQ6" i="32" s="1"/>
  <c r="HP6" i="32" s="1"/>
  <c r="BN5" i="32"/>
  <c r="BM5" i="32" s="1"/>
  <c r="BL5" i="32" s="1"/>
  <c r="DZ8" i="32"/>
  <c r="DY8" i="32" s="1"/>
  <c r="DX8" i="32" s="1"/>
  <c r="GY6" i="32"/>
  <c r="HF6" i="32"/>
  <c r="IE8" i="32"/>
  <c r="IL8" i="32"/>
  <c r="EM6" i="32"/>
  <c r="EW6" i="32"/>
  <c r="ET6" i="32"/>
  <c r="GL9" i="32"/>
  <c r="GK9" i="32" s="1"/>
  <c r="GJ9" i="32" s="1"/>
  <c r="DZ12" i="32"/>
  <c r="DY12" i="32" s="1"/>
  <c r="DX12" i="32" s="1"/>
  <c r="BN3" i="32"/>
  <c r="BM3" i="32" s="1"/>
  <c r="BL3" i="32" s="1"/>
  <c r="FS5" i="32"/>
  <c r="FZ5" i="32"/>
  <c r="GC5" i="32"/>
  <c r="FF5" i="32" s="1"/>
  <c r="FE5" i="32" s="1"/>
  <c r="FD5" i="32" s="1"/>
  <c r="DG8" i="32"/>
  <c r="DN8" i="32"/>
  <c r="DQ8" i="32"/>
  <c r="CT8" i="32" s="1"/>
  <c r="CS8" i="32" s="1"/>
  <c r="CR8" i="32" s="1"/>
  <c r="N9" i="32"/>
  <c r="U9" i="32"/>
  <c r="T9" i="32"/>
  <c r="K9" i="32"/>
  <c r="W9" i="32"/>
  <c r="X9" i="32" s="1"/>
  <c r="DG7" i="32"/>
  <c r="DN7" i="32"/>
  <c r="DQ7" i="32"/>
  <c r="CT7" i="32" s="1"/>
  <c r="CS7" i="32" s="1"/>
  <c r="CR7" i="32" s="1"/>
  <c r="DQ10" i="32"/>
  <c r="DG10" i="32"/>
  <c r="DN10" i="32" s="1"/>
  <c r="CT10" i="32" s="1"/>
  <c r="CS10" i="32" s="1"/>
  <c r="CR10" i="32" s="1"/>
  <c r="IE7" i="32"/>
  <c r="IL7" i="32" s="1"/>
  <c r="HR7" i="32" s="1"/>
  <c r="HQ7" i="32" s="1"/>
  <c r="HP7" i="32" s="1"/>
  <c r="IO7" i="32"/>
  <c r="EL2" i="32"/>
  <c r="ES2" i="32"/>
  <c r="ER2" i="32"/>
  <c r="EU2" i="32"/>
  <c r="EV2" i="32" s="1"/>
  <c r="GX4" i="32"/>
  <c r="HD4" i="32"/>
  <c r="HE4" i="32"/>
  <c r="HG4" i="32"/>
  <c r="HH4" i="32" s="1"/>
  <c r="DM2" i="32"/>
  <c r="DL2" i="32"/>
  <c r="DF2" i="32"/>
  <c r="GX5" i="32"/>
  <c r="HE5" i="32"/>
  <c r="HD5" i="32"/>
  <c r="HG5" i="32"/>
  <c r="HH5" i="32" s="1"/>
  <c r="FS10" i="32"/>
  <c r="FZ10" i="32" s="1"/>
  <c r="GC10" i="32"/>
  <c r="GU5" i="32"/>
  <c r="CF6" i="32"/>
  <c r="CG6" i="32"/>
  <c r="BZ6" i="32"/>
  <c r="ID11" i="32"/>
  <c r="IJ11" i="32" s="1"/>
  <c r="IK11" i="32"/>
  <c r="ID8" i="32"/>
  <c r="IK8" i="32"/>
  <c r="IJ8" i="32"/>
  <c r="IO10" i="32"/>
  <c r="HR10" i="32" s="1"/>
  <c r="HQ10" i="32" s="1"/>
  <c r="HP10" i="32" s="1"/>
  <c r="IE10" i="32"/>
  <c r="IL10" i="32"/>
  <c r="IA11" i="32"/>
  <c r="HD2" i="32"/>
  <c r="HE2" i="32"/>
  <c r="GX2" i="32"/>
  <c r="EL5" i="32"/>
  <c r="ES5" i="32"/>
  <c r="ER5" i="32"/>
  <c r="CK8" i="32"/>
  <c r="CH8" i="32"/>
  <c r="CA8" i="32"/>
  <c r="HG6" i="32"/>
  <c r="HH6" i="32" s="1"/>
  <c r="HI6" i="32" s="1"/>
  <c r="CA12" i="32"/>
  <c r="CK12" i="32"/>
  <c r="BN12" i="32" s="1"/>
  <c r="BM12" i="32" s="1"/>
  <c r="BL12" i="32" s="1"/>
  <c r="CH12" i="32"/>
  <c r="DG11" i="32"/>
  <c r="DN11" i="32" s="1"/>
  <c r="CT11" i="32" s="1"/>
  <c r="CS11" i="32" s="1"/>
  <c r="CR11" i="32" s="1"/>
  <c r="DQ11" i="32"/>
  <c r="IK2" i="32"/>
  <c r="IJ2" i="32"/>
  <c r="ID2" i="32"/>
  <c r="IA2" i="32"/>
  <c r="EP2" i="32"/>
  <c r="EQ2" i="32"/>
  <c r="EK2" i="32"/>
  <c r="CA4" i="32"/>
  <c r="CH4" i="32"/>
  <c r="CK4" i="32"/>
  <c r="BN4" i="32" s="1"/>
  <c r="BM4" i="32" s="1"/>
  <c r="BL4" i="32" s="1"/>
  <c r="FR9" i="32"/>
  <c r="FY9" i="32"/>
  <c r="FX9" i="32"/>
  <c r="FO9" i="32"/>
  <c r="GC12" i="32"/>
  <c r="FF12" i="32" s="1"/>
  <c r="FE12" i="32" s="1"/>
  <c r="FD12" i="32" s="1"/>
  <c r="FS12" i="32"/>
  <c r="FZ12" i="32" s="1"/>
  <c r="HC2" i="32"/>
  <c r="HB2" i="32"/>
  <c r="GW2" i="32"/>
  <c r="GU2" i="32"/>
  <c r="DN6" i="32"/>
  <c r="CT6" i="32" s="1"/>
  <c r="CS6" i="32" s="1"/>
  <c r="CR6" i="32" s="1"/>
  <c r="DQ6" i="32"/>
  <c r="DG6" i="32"/>
  <c r="IM2" i="32"/>
  <c r="IN2" i="32" s="1"/>
  <c r="IO4" i="32"/>
  <c r="IE4" i="32"/>
  <c r="IL4" i="32"/>
  <c r="DN3" i="32"/>
  <c r="DQ3" i="32"/>
  <c r="CT3" i="32" s="1"/>
  <c r="CS3" i="32" s="1"/>
  <c r="CR3" i="32" s="1"/>
  <c r="DG3" i="32"/>
  <c r="V10" i="32"/>
  <c r="Y10" i="32"/>
  <c r="B10" i="32" s="1"/>
  <c r="O10" i="32"/>
  <c r="DE2" i="32"/>
  <c r="DK2" i="32"/>
  <c r="DJ2" i="32"/>
  <c r="DC2" i="32"/>
  <c r="EI2" i="32"/>
  <c r="CA2" i="32"/>
  <c r="CH2" i="32"/>
  <c r="CK2" i="32"/>
  <c r="HF7" i="32"/>
  <c r="HI7" i="32"/>
  <c r="GL7" i="32" s="1"/>
  <c r="GK7" i="32" s="1"/>
  <c r="GJ7" i="32" s="1"/>
  <c r="GY7" i="32"/>
  <c r="FW2" i="32"/>
  <c r="FV2" i="32"/>
  <c r="FQ2" i="32"/>
  <c r="ES6" i="32"/>
  <c r="EL6" i="32"/>
  <c r="ER6" i="32" s="1"/>
  <c r="DZ6" i="32" s="1"/>
  <c r="DY6" i="32" s="1"/>
  <c r="DX6" i="32" s="1"/>
  <c r="FN2" i="32"/>
  <c r="CF2" i="32"/>
  <c r="CG2" i="32"/>
  <c r="BN2" i="32" s="1"/>
  <c r="BM2" i="32" s="1"/>
  <c r="BL2" i="32" s="1"/>
  <c r="BZ2" i="32"/>
  <c r="GC4" i="32"/>
  <c r="FS4" i="32"/>
  <c r="FZ4" i="32" s="1"/>
  <c r="GU4" i="32"/>
  <c r="IM8" i="32"/>
  <c r="IN8" i="32" s="1"/>
  <c r="IO8" i="32" s="1"/>
  <c r="CI2" i="32"/>
  <c r="CJ2" i="32" s="1"/>
  <c r="HE6" i="32"/>
  <c r="GX6" i="32"/>
  <c r="HD6" i="32" s="1"/>
  <c r="GL6" i="32" s="1"/>
  <c r="GK6" i="32" s="1"/>
  <c r="GJ6" i="32" s="1"/>
  <c r="IO12" i="32"/>
  <c r="IE12" i="32"/>
  <c r="IL12" i="32" s="1"/>
  <c r="HR12" i="32" s="1"/>
  <c r="HQ12" i="32" s="1"/>
  <c r="HP12" i="32" s="1"/>
  <c r="DQ12" i="32"/>
  <c r="DG12" i="32"/>
  <c r="DN12" i="32" s="1"/>
  <c r="CT12" i="32" s="1"/>
  <c r="CS12" i="32" s="1"/>
  <c r="CR12" i="32" s="1"/>
  <c r="CI6" i="32"/>
  <c r="CJ6" i="32" s="1"/>
  <c r="BW6" i="32"/>
  <c r="GC6" i="32"/>
  <c r="FS6" i="32"/>
  <c r="FZ6" i="32" s="1"/>
  <c r="FF6" i="32" s="1"/>
  <c r="FE6" i="32" s="1"/>
  <c r="FD6" i="32" s="1"/>
  <c r="CG8" i="32"/>
  <c r="BZ8" i="32"/>
  <c r="CF8" i="32" s="1"/>
  <c r="BN8" i="32" s="1"/>
  <c r="BM8" i="32" s="1"/>
  <c r="BL8" i="32" s="1"/>
  <c r="EI5" i="32"/>
  <c r="AK1020" i="12"/>
  <c r="AK1023" i="12"/>
  <c r="AK1019" i="12"/>
  <c r="AK1026" i="12"/>
  <c r="AK1022" i="12"/>
  <c r="AK1018" i="12"/>
  <c r="AK1025" i="12"/>
  <c r="AK1021" i="12"/>
  <c r="AK1017" i="12"/>
  <c r="AK1024" i="12"/>
  <c r="FF10" i="32" l="1"/>
  <c r="FE10" i="32" s="1"/>
  <c r="FD10" i="32" s="1"/>
  <c r="HR8" i="32"/>
  <c r="HQ8" i="32" s="1"/>
  <c r="HP8" i="32" s="1"/>
  <c r="FF4" i="32"/>
  <c r="FE4" i="32" s="1"/>
  <c r="FD4" i="32" s="1"/>
  <c r="EW5" i="32"/>
  <c r="EM5" i="32"/>
  <c r="ET5" i="32" s="1"/>
  <c r="DZ5" i="32" s="1"/>
  <c r="DY5" i="32" s="1"/>
  <c r="DX5" i="32" s="1"/>
  <c r="GY2" i="32"/>
  <c r="HF2" i="32"/>
  <c r="HI2" i="32"/>
  <c r="IO2" i="32"/>
  <c r="HR2" i="32" s="1"/>
  <c r="HQ2" i="32" s="1"/>
  <c r="HP2" i="32" s="1"/>
  <c r="IL2" i="32"/>
  <c r="IE2" i="32"/>
  <c r="HF5" i="32"/>
  <c r="HI5" i="32"/>
  <c r="GL5" i="32" s="1"/>
  <c r="GK5" i="32" s="1"/>
  <c r="GJ5" i="32" s="1"/>
  <c r="GY5" i="32"/>
  <c r="GY4" i="32"/>
  <c r="HF4" i="32"/>
  <c r="HI4" i="32"/>
  <c r="GL4" i="32" s="1"/>
  <c r="GK4" i="32" s="1"/>
  <c r="GJ4" i="32" s="1"/>
  <c r="GC9" i="32"/>
  <c r="FS9" i="32"/>
  <c r="FZ9" i="32" s="1"/>
  <c r="V9" i="32"/>
  <c r="Y9" i="32"/>
  <c r="B9" i="32" s="1"/>
  <c r="O9" i="32"/>
  <c r="ET2" i="32"/>
  <c r="EW2" i="32"/>
  <c r="DZ2" i="32" s="1"/>
  <c r="DY2" i="32" s="1"/>
  <c r="DX2" i="32" s="1"/>
  <c r="EM2" i="32"/>
  <c r="CA6" i="32"/>
  <c r="CK6" i="32"/>
  <c r="CH6" i="32"/>
  <c r="BN6" i="32" s="1"/>
  <c r="BM6" i="32" s="1"/>
  <c r="BL6" i="32" s="1"/>
  <c r="FX2" i="32"/>
  <c r="FR2" i="32"/>
  <c r="FY2" i="32"/>
  <c r="GA2" i="32"/>
  <c r="GB2" i="32" s="1"/>
  <c r="FO2" i="32"/>
  <c r="DQ2" i="32"/>
  <c r="DG2" i="32"/>
  <c r="DN2" i="32"/>
  <c r="CT2" i="32" s="1"/>
  <c r="CS2" i="32" s="1"/>
  <c r="CR2" i="32" s="1"/>
  <c r="IE11" i="32"/>
  <c r="IL11" i="32" s="1"/>
  <c r="IO11" i="32"/>
  <c r="F1288" i="12"/>
  <c r="D1132" i="12"/>
  <c r="BZ47" i="12"/>
  <c r="HR11" i="32" l="1"/>
  <c r="HQ11" i="32" s="1"/>
  <c r="HP11" i="32" s="1"/>
  <c r="FF9" i="32"/>
  <c r="FE9" i="32" s="1"/>
  <c r="FD9" i="32" s="1"/>
  <c r="GL2" i="32"/>
  <c r="GK2" i="32" s="1"/>
  <c r="GJ2" i="32" s="1"/>
  <c r="FS2" i="32"/>
  <c r="FZ2" i="32"/>
  <c r="GC2" i="32"/>
  <c r="FF2" i="32" s="1"/>
  <c r="FE2" i="32" s="1"/>
  <c r="FD2" i="32" s="1"/>
  <c r="D1139" i="12"/>
  <c r="D1131" i="12"/>
  <c r="D1142" i="12"/>
  <c r="D1138" i="12"/>
  <c r="D1134" i="12"/>
  <c r="D1135" i="12"/>
  <c r="D1141" i="12"/>
  <c r="D1137" i="12"/>
  <c r="D1133" i="12"/>
  <c r="D1140" i="12"/>
  <c r="D1136" i="12"/>
  <c r="M479" i="12"/>
  <c r="L479" i="12"/>
  <c r="K478" i="12"/>
  <c r="AA100" i="8"/>
  <c r="Y100" i="8"/>
  <c r="M82" i="8"/>
  <c r="M455" i="12" l="1"/>
  <c r="AU226" i="12" s="1"/>
  <c r="AB32" i="11"/>
  <c r="M32" i="11" s="1"/>
  <c r="AC32" i="11"/>
  <c r="V32" i="11" l="1"/>
  <c r="AD32" i="11"/>
  <c r="W32" i="11" s="1"/>
  <c r="MX5" i="12"/>
  <c r="MX4" i="12"/>
  <c r="MX3" i="12"/>
  <c r="M431" i="12" l="1"/>
  <c r="AU225" i="12" s="1"/>
  <c r="AA93" i="8"/>
  <c r="Y93" i="8"/>
  <c r="M454" i="12"/>
  <c r="L454" i="12"/>
  <c r="Y86" i="8"/>
  <c r="AA86" i="8"/>
  <c r="M430" i="12"/>
  <c r="L430" i="12"/>
  <c r="D1277" i="12" l="1"/>
  <c r="AC40" i="11"/>
  <c r="V40" i="11" s="1"/>
  <c r="AB40" i="11"/>
  <c r="M40" i="11" s="1"/>
  <c r="Y40" i="11" s="1"/>
  <c r="AD40" i="11" l="1"/>
  <c r="W40" i="11" s="1"/>
  <c r="U27" i="11" l="1"/>
  <c r="U25" i="11" l="1"/>
  <c r="ES222" i="12" l="1"/>
  <c r="EJ222" i="12"/>
  <c r="ET222" i="12" l="1"/>
  <c r="EK190" i="12"/>
  <c r="N29" i="11" s="1"/>
  <c r="EC190" i="12"/>
  <c r="F29" i="11" s="1"/>
  <c r="EB190" i="12"/>
  <c r="E29" i="11" s="1"/>
  <c r="DZ190" i="12"/>
  <c r="C29" i="11" s="1"/>
  <c r="DY190" i="12"/>
  <c r="B29" i="11" s="1"/>
  <c r="EK189" i="12"/>
  <c r="N28" i="11" s="1"/>
  <c r="EC189" i="12"/>
  <c r="F28" i="11" s="1"/>
  <c r="EB189" i="12"/>
  <c r="E28" i="11" s="1"/>
  <c r="DZ189" i="12"/>
  <c r="C28" i="11" s="1"/>
  <c r="DY189" i="12"/>
  <c r="B28" i="11" s="1"/>
  <c r="AR223" i="12"/>
  <c r="ER188" i="12" s="1"/>
  <c r="AS222" i="12"/>
  <c r="EK187" i="12" s="1"/>
  <c r="N26" i="11" s="1"/>
  <c r="AR221" i="12"/>
  <c r="ER186" i="12" s="1"/>
  <c r="CB58" i="12"/>
  <c r="CB48" i="12"/>
  <c r="CB49" i="12"/>
  <c r="CB50" i="12"/>
  <c r="CB51" i="12"/>
  <c r="CB52" i="12"/>
  <c r="CB53" i="12"/>
  <c r="CB54" i="12"/>
  <c r="CB55" i="12"/>
  <c r="CB56" i="12"/>
  <c r="CB57" i="12"/>
  <c r="CB47" i="12"/>
  <c r="H44" i="25"/>
  <c r="H45" i="25"/>
  <c r="H46" i="25"/>
  <c r="H47" i="25"/>
  <c r="H48" i="25"/>
  <c r="H43" i="25"/>
  <c r="E44" i="25"/>
  <c r="E45" i="25"/>
  <c r="E46" i="25"/>
  <c r="E47" i="25"/>
  <c r="E48" i="25"/>
  <c r="E43" i="25"/>
  <c r="H74" i="13"/>
  <c r="H75" i="13"/>
  <c r="H76" i="13"/>
  <c r="H77" i="13"/>
  <c r="H78" i="13"/>
  <c r="H73" i="13"/>
  <c r="E74" i="13"/>
  <c r="E75" i="13"/>
  <c r="E76" i="13"/>
  <c r="E77" i="13"/>
  <c r="E78" i="13"/>
  <c r="E73" i="13"/>
  <c r="I23" i="13"/>
  <c r="K23" i="25" s="1"/>
  <c r="L42" i="30" s="1"/>
  <c r="I24" i="13"/>
  <c r="K24" i="25" s="1"/>
  <c r="L43" i="30" s="1"/>
  <c r="I22" i="13"/>
  <c r="K22" i="25" s="1"/>
  <c r="L41" i="30" s="1"/>
  <c r="P39" i="30" l="1"/>
  <c r="M21" i="25"/>
  <c r="AQ923" i="12" l="1"/>
  <c r="AR254" i="12" s="1"/>
  <c r="ER221" i="12" s="1"/>
  <c r="U39" i="11" s="1"/>
  <c r="AU922" i="12"/>
  <c r="AS254" i="12" s="1"/>
  <c r="AS922" i="12"/>
  <c r="AP254" i="12" s="1"/>
  <c r="EC221" i="12" s="1"/>
  <c r="F39" i="11" s="1"/>
  <c r="AR922" i="12"/>
  <c r="AO254" i="12" s="1"/>
  <c r="EB221" i="12" s="1"/>
  <c r="E39" i="11" s="1"/>
  <c r="AQ922" i="12"/>
  <c r="AN254" i="12" s="1"/>
  <c r="DZ221" i="12" s="1"/>
  <c r="AU921" i="12"/>
  <c r="AB146" i="8" s="1"/>
  <c r="AQ917" i="12"/>
  <c r="AA147" i="8"/>
  <c r="AT922" i="12" s="1"/>
  <c r="AQ254" i="12" s="1"/>
  <c r="AD922" i="12"/>
  <c r="AS253" i="12" s="1"/>
  <c r="N928" i="12"/>
  <c r="AB922" i="12"/>
  <c r="AP253" i="12" s="1"/>
  <c r="EC220" i="12" s="1"/>
  <c r="F38" i="11" s="1"/>
  <c r="AA922" i="12"/>
  <c r="AO253" i="12" s="1"/>
  <c r="EB220" i="12" s="1"/>
  <c r="E38" i="11" s="1"/>
  <c r="Z922" i="12"/>
  <c r="AN253" i="12" s="1"/>
  <c r="DZ220" i="12" s="1"/>
  <c r="C38" i="11" s="1"/>
  <c r="AA140" i="8"/>
  <c r="AC922" i="12" s="1"/>
  <c r="AQ253" i="12" s="1"/>
  <c r="AC919" i="12"/>
  <c r="AA919" i="12"/>
  <c r="AD921" i="12"/>
  <c r="AB139" i="8" s="1"/>
  <c r="Z917" i="12"/>
  <c r="AB38" i="11" l="1"/>
  <c r="M38" i="11" s="1"/>
  <c r="EK221" i="12"/>
  <c r="N39" i="11" s="1"/>
  <c r="AC39" i="11" s="1"/>
  <c r="V39" i="11" s="1"/>
  <c r="J75" i="13"/>
  <c r="J45" i="25" s="1"/>
  <c r="EJ221" i="12"/>
  <c r="C39" i="11"/>
  <c r="EJ220" i="12"/>
  <c r="AU253" i="12"/>
  <c r="EK220" i="12"/>
  <c r="N38" i="11" s="1"/>
  <c r="AC38" i="11" s="1"/>
  <c r="AK932" i="12"/>
  <c r="AK1008" i="12"/>
  <c r="AK992" i="12"/>
  <c r="AK984" i="12"/>
  <c r="AK976" i="12"/>
  <c r="AK968" i="12"/>
  <c r="AK1015" i="12"/>
  <c r="AK1011" i="12"/>
  <c r="AK1007" i="12"/>
  <c r="AK1003" i="12"/>
  <c r="AK999" i="12"/>
  <c r="AK995" i="12"/>
  <c r="AK991" i="12"/>
  <c r="AK987" i="12"/>
  <c r="AK983" i="12"/>
  <c r="AK979" i="12"/>
  <c r="AK975" i="12"/>
  <c r="AK971" i="12"/>
  <c r="AK967" i="12"/>
  <c r="AK963" i="12"/>
  <c r="AK959" i="12"/>
  <c r="AK955" i="12"/>
  <c r="AK951" i="12"/>
  <c r="AK947" i="12"/>
  <c r="AK943" i="12"/>
  <c r="AK939" i="12"/>
  <c r="AK935" i="12"/>
  <c r="AK1004" i="12"/>
  <c r="AK1014" i="12"/>
  <c r="AK1010" i="12"/>
  <c r="AK1006" i="12"/>
  <c r="AK1002" i="12"/>
  <c r="AK998" i="12"/>
  <c r="AK994" i="12"/>
  <c r="AK990" i="12"/>
  <c r="AK986" i="12"/>
  <c r="AK982" i="12"/>
  <c r="AK978" i="12"/>
  <c r="AK974" i="12"/>
  <c r="AK970" i="12"/>
  <c r="AK966" i="12"/>
  <c r="AK962" i="12"/>
  <c r="AK958" i="12"/>
  <c r="AK954" i="12"/>
  <c r="AK950" i="12"/>
  <c r="AK946" i="12"/>
  <c r="AK942" i="12"/>
  <c r="AK938" i="12"/>
  <c r="AK934" i="12"/>
  <c r="AK1012" i="12"/>
  <c r="AK1000" i="12"/>
  <c r="AK988" i="12"/>
  <c r="AK931" i="12"/>
  <c r="AK1013" i="12"/>
  <c r="AK1009" i="12"/>
  <c r="AK1005" i="12"/>
  <c r="AK1001" i="12"/>
  <c r="AK997" i="12"/>
  <c r="AK993" i="12"/>
  <c r="AK989" i="12"/>
  <c r="AK985" i="12"/>
  <c r="AK981" i="12"/>
  <c r="AK977" i="12"/>
  <c r="AK973" i="12"/>
  <c r="AK969" i="12"/>
  <c r="AK965" i="12"/>
  <c r="AK961" i="12"/>
  <c r="AK957" i="12"/>
  <c r="AK953" i="12"/>
  <c r="AK949" i="12"/>
  <c r="AK945" i="12"/>
  <c r="AK941" i="12"/>
  <c r="AK937" i="12"/>
  <c r="AK933" i="12"/>
  <c r="AK1016" i="12"/>
  <c r="AK996" i="12"/>
  <c r="AK980" i="12"/>
  <c r="AK972" i="12"/>
  <c r="AK964" i="12"/>
  <c r="AK960" i="12"/>
  <c r="AK956" i="12"/>
  <c r="AK952" i="12"/>
  <c r="AK948" i="12"/>
  <c r="AK944" i="12"/>
  <c r="AK940" i="12"/>
  <c r="AK936" i="12"/>
  <c r="T934" i="12"/>
  <c r="T941" i="12"/>
  <c r="T937" i="12"/>
  <c r="T933" i="12"/>
  <c r="T940" i="12"/>
  <c r="T936" i="12"/>
  <c r="T932" i="12"/>
  <c r="T931" i="12"/>
  <c r="T939" i="12"/>
  <c r="T935" i="12"/>
  <c r="T942" i="12"/>
  <c r="T938" i="12"/>
  <c r="AM926" i="12" l="1"/>
  <c r="AS927" i="12" s="1"/>
  <c r="AO926" i="12"/>
  <c r="AD38" i="11"/>
  <c r="W38" i="11" s="1"/>
  <c r="V38" i="11"/>
  <c r="AB39" i="11"/>
  <c r="M39" i="11" s="1"/>
  <c r="ES221" i="12"/>
  <c r="ET221" i="12" s="1"/>
  <c r="ES220" i="12"/>
  <c r="ET220" i="12" s="1"/>
  <c r="X925" i="12"/>
  <c r="V925" i="12"/>
  <c r="AD39" i="11" l="1"/>
  <c r="W39" i="11" s="1"/>
  <c r="AU927" i="12"/>
  <c r="AU928" i="12" s="1"/>
  <c r="AV927" i="12"/>
  <c r="AV928" i="12" s="1"/>
  <c r="AS928" i="12"/>
  <c r="AR927" i="12"/>
  <c r="AR928" i="12" s="1"/>
  <c r="AB926" i="12"/>
  <c r="AB927" i="12" s="1"/>
  <c r="AA926" i="12"/>
  <c r="AA927" i="12" s="1"/>
  <c r="AE926" i="12"/>
  <c r="AE927" i="12" s="1"/>
  <c r="AD926" i="12"/>
  <c r="AD927" i="12" s="1"/>
  <c r="AR929" i="12" l="1"/>
  <c r="AU929" i="12"/>
  <c r="AD928" i="12"/>
  <c r="AA928" i="12"/>
  <c r="AL922" i="12" l="1"/>
  <c r="Q147" i="8" s="1"/>
  <c r="U922" i="12"/>
  <c r="AK254" i="12" l="1"/>
  <c r="DY221" i="12" s="1"/>
  <c r="B39" i="11" s="1"/>
  <c r="Y39" i="11" s="1"/>
  <c r="Q140" i="8"/>
  <c r="AK253" i="12"/>
  <c r="DY220" i="12" s="1"/>
  <c r="B38" i="11" s="1"/>
  <c r="Y38" i="11" s="1"/>
  <c r="I1263" i="12"/>
  <c r="E1267" i="12" s="1"/>
  <c r="K947" i="12"/>
  <c r="I1262" i="12"/>
  <c r="G940" i="12"/>
  <c r="G941" i="12"/>
  <c r="G942" i="12"/>
  <c r="G943" i="12"/>
  <c r="G944" i="12"/>
  <c r="G945" i="12"/>
  <c r="G946" i="12"/>
  <c r="G947" i="12"/>
  <c r="G948" i="12"/>
  <c r="G949" i="12"/>
  <c r="G950" i="12"/>
  <c r="G951" i="12"/>
  <c r="G952" i="12"/>
  <c r="G953" i="12"/>
  <c r="G954" i="12"/>
  <c r="G955" i="12"/>
  <c r="G956" i="12"/>
  <c r="G957" i="12"/>
  <c r="G958" i="12"/>
  <c r="G959" i="12"/>
  <c r="G960" i="12"/>
  <c r="G961" i="12"/>
  <c r="G962" i="12"/>
  <c r="G963" i="12"/>
  <c r="G964" i="12"/>
  <c r="G965" i="12"/>
  <c r="G966" i="12"/>
  <c r="G967" i="12"/>
  <c r="G968" i="12"/>
  <c r="G969" i="12"/>
  <c r="G970" i="12"/>
  <c r="G971" i="12"/>
  <c r="G972" i="12"/>
  <c r="G973" i="12"/>
  <c r="G974" i="12"/>
  <c r="G975" i="12"/>
  <c r="G976" i="12"/>
  <c r="G977" i="12"/>
  <c r="G978" i="12"/>
  <c r="G939" i="12"/>
  <c r="AB39" i="12"/>
  <c r="K922" i="12"/>
  <c r="J922" i="12" s="1"/>
  <c r="E924" i="12" s="1"/>
  <c r="Q130" i="8" s="1"/>
  <c r="J921" i="12"/>
  <c r="F938" i="12" s="1"/>
  <c r="AA134" i="8"/>
  <c r="N929" i="12"/>
  <c r="AS252" i="12" s="1"/>
  <c r="EK219" i="12" s="1"/>
  <c r="N37" i="11" s="1"/>
  <c r="AC37" i="11" s="1"/>
  <c r="V37" i="11" s="1"/>
  <c r="L927" i="12"/>
  <c r="AS251" i="12" s="1"/>
  <c r="EK218" i="12" s="1"/>
  <c r="N36" i="11" s="1"/>
  <c r="L929" i="12"/>
  <c r="AP252" i="12" s="1"/>
  <c r="EC219" i="12" s="1"/>
  <c r="F37" i="11" s="1"/>
  <c r="K929" i="12"/>
  <c r="AO252" i="12" s="1"/>
  <c r="EB219" i="12" s="1"/>
  <c r="E37" i="11" s="1"/>
  <c r="J929" i="12"/>
  <c r="AN252" i="12" s="1"/>
  <c r="DZ219" i="12" s="1"/>
  <c r="C37" i="11" s="1"/>
  <c r="J927" i="12"/>
  <c r="AQ251" i="12" s="1"/>
  <c r="EJ218" i="12" s="1"/>
  <c r="M36" i="11" s="1"/>
  <c r="AB36" i="11" s="1"/>
  <c r="L926" i="12"/>
  <c r="AB131" i="8" s="1"/>
  <c r="K927" i="12"/>
  <c r="AB133" i="8"/>
  <c r="J917" i="12"/>
  <c r="F1267" i="12" l="1"/>
  <c r="E1270" i="12" s="1"/>
  <c r="E1271" i="12" s="1"/>
  <c r="AB37" i="11"/>
  <c r="J923" i="12"/>
  <c r="F1280" i="12" s="1"/>
  <c r="C1280" i="12" s="1"/>
  <c r="AR251" i="12"/>
  <c r="ER218" i="12" s="1"/>
  <c r="U36" i="11" s="1"/>
  <c r="AC36" i="11" s="1"/>
  <c r="V36" i="11" s="1"/>
  <c r="I78" i="13"/>
  <c r="I48" i="25" s="1"/>
  <c r="ES219" i="12"/>
  <c r="EJ219" i="12"/>
  <c r="J948" i="12"/>
  <c r="M947" i="12" s="1"/>
  <c r="Y128" i="8"/>
  <c r="D1087" i="12"/>
  <c r="D1123" i="12"/>
  <c r="D1115" i="12"/>
  <c r="D1099" i="12"/>
  <c r="D1083" i="12"/>
  <c r="D943" i="12"/>
  <c r="D1129" i="12"/>
  <c r="D1121" i="12"/>
  <c r="D1111" i="12"/>
  <c r="D1095" i="12"/>
  <c r="D1079" i="12"/>
  <c r="D1127" i="12"/>
  <c r="D1119" i="12"/>
  <c r="D1107" i="12"/>
  <c r="D1091" i="12"/>
  <c r="D1125" i="12"/>
  <c r="D1117" i="12"/>
  <c r="D1103" i="12"/>
  <c r="D1130" i="12"/>
  <c r="D1126" i="12"/>
  <c r="D1122" i="12"/>
  <c r="D1118" i="12"/>
  <c r="D1114" i="12"/>
  <c r="D1110" i="12"/>
  <c r="D1106" i="12"/>
  <c r="D1102" i="12"/>
  <c r="D1098" i="12"/>
  <c r="D1094" i="12"/>
  <c r="D1090" i="12"/>
  <c r="D1086" i="12"/>
  <c r="D1082" i="12"/>
  <c r="D1078" i="12"/>
  <c r="D1074" i="12"/>
  <c r="D1070" i="12"/>
  <c r="D1066" i="12"/>
  <c r="D1062" i="12"/>
  <c r="D1058" i="12"/>
  <c r="D1054" i="12"/>
  <c r="D1050" i="12"/>
  <c r="D1046" i="12"/>
  <c r="D1042" i="12"/>
  <c r="D1038" i="12"/>
  <c r="D1034" i="12"/>
  <c r="D1030" i="12"/>
  <c r="D1026" i="12"/>
  <c r="D1022" i="12"/>
  <c r="D1018" i="12"/>
  <c r="D1014" i="12"/>
  <c r="D1010" i="12"/>
  <c r="D1006" i="12"/>
  <c r="D1002" i="12"/>
  <c r="D998" i="12"/>
  <c r="D994" i="12"/>
  <c r="D990" i="12"/>
  <c r="D986" i="12"/>
  <c r="D982" i="12"/>
  <c r="D978" i="12"/>
  <c r="D974" i="12"/>
  <c r="D970" i="12"/>
  <c r="D966" i="12"/>
  <c r="D962" i="12"/>
  <c r="D958" i="12"/>
  <c r="D954" i="12"/>
  <c r="D950" i="12"/>
  <c r="D946" i="12"/>
  <c r="D942" i="12"/>
  <c r="D1109" i="12"/>
  <c r="D1097" i="12"/>
  <c r="D1089" i="12"/>
  <c r="D1081" i="12"/>
  <c r="D1069" i="12"/>
  <c r="D1057" i="12"/>
  <c r="D1049" i="12"/>
  <c r="D1045" i="12"/>
  <c r="D1037" i="12"/>
  <c r="D1033" i="12"/>
  <c r="D1029" i="12"/>
  <c r="D1025" i="12"/>
  <c r="D1021" i="12"/>
  <c r="D1017" i="12"/>
  <c r="D1013" i="12"/>
  <c r="D1009" i="12"/>
  <c r="D1005" i="12"/>
  <c r="D1001" i="12"/>
  <c r="D997" i="12"/>
  <c r="D993" i="12"/>
  <c r="D989" i="12"/>
  <c r="D985" i="12"/>
  <c r="D981" i="12"/>
  <c r="D977" i="12"/>
  <c r="D973" i="12"/>
  <c r="D969" i="12"/>
  <c r="D965" i="12"/>
  <c r="D961" i="12"/>
  <c r="D957" i="12"/>
  <c r="D953" i="12"/>
  <c r="D949" i="12"/>
  <c r="D945" i="12"/>
  <c r="D941" i="12"/>
  <c r="D1113" i="12"/>
  <c r="D1105" i="12"/>
  <c r="D1101" i="12"/>
  <c r="D1093" i="12"/>
  <c r="D1085" i="12"/>
  <c r="D1077" i="12"/>
  <c r="D1073" i="12"/>
  <c r="D1065" i="12"/>
  <c r="D1061" i="12"/>
  <c r="D1053" i="12"/>
  <c r="D1041" i="12"/>
  <c r="D1128" i="12"/>
  <c r="D1124" i="12"/>
  <c r="D1120" i="12"/>
  <c r="D1116" i="12"/>
  <c r="D1112" i="12"/>
  <c r="D1108" i="12"/>
  <c r="D1104" i="12"/>
  <c r="D1100" i="12"/>
  <c r="D1096" i="12"/>
  <c r="D1092" i="12"/>
  <c r="D1088" i="12"/>
  <c r="D1084" i="12"/>
  <c r="D1080" i="12"/>
  <c r="D1076" i="12"/>
  <c r="D1072" i="12"/>
  <c r="D1068" i="12"/>
  <c r="D1064" i="12"/>
  <c r="D1060" i="12"/>
  <c r="D1056" i="12"/>
  <c r="D1052" i="12"/>
  <c r="D1048" i="12"/>
  <c r="D1044" i="12"/>
  <c r="D1040" i="12"/>
  <c r="D1036" i="12"/>
  <c r="D1032" i="12"/>
  <c r="D1028" i="12"/>
  <c r="D1024" i="12"/>
  <c r="D1020" i="12"/>
  <c r="D1016" i="12"/>
  <c r="D1012" i="12"/>
  <c r="D1008" i="12"/>
  <c r="D1004" i="12"/>
  <c r="D1000" i="12"/>
  <c r="D996" i="12"/>
  <c r="D992" i="12"/>
  <c r="D988" i="12"/>
  <c r="D984" i="12"/>
  <c r="D980" i="12"/>
  <c r="D976" i="12"/>
  <c r="D972" i="12"/>
  <c r="D968" i="12"/>
  <c r="D964" i="12"/>
  <c r="D960" i="12"/>
  <c r="D956" i="12"/>
  <c r="D952" i="12"/>
  <c r="D948" i="12"/>
  <c r="D944" i="12"/>
  <c r="D940" i="12"/>
  <c r="D1075" i="12"/>
  <c r="D1071" i="12"/>
  <c r="D1067" i="12"/>
  <c r="D1063" i="12"/>
  <c r="D1059" i="12"/>
  <c r="D1055" i="12"/>
  <c r="D1051" i="12"/>
  <c r="D1047" i="12"/>
  <c r="D1043" i="12"/>
  <c r="D1039" i="12"/>
  <c r="D1035" i="12"/>
  <c r="D1031" i="12"/>
  <c r="D1027" i="12"/>
  <c r="D1023" i="12"/>
  <c r="D1019" i="12"/>
  <c r="D1015" i="12"/>
  <c r="D1011" i="12"/>
  <c r="D1007" i="12"/>
  <c r="D1003" i="12"/>
  <c r="D999" i="12"/>
  <c r="D995" i="12"/>
  <c r="D991" i="12"/>
  <c r="D987" i="12"/>
  <c r="D983" i="12"/>
  <c r="D979" i="12"/>
  <c r="D975" i="12"/>
  <c r="D971" i="12"/>
  <c r="D967" i="12"/>
  <c r="D963" i="12"/>
  <c r="D959" i="12"/>
  <c r="D955" i="12"/>
  <c r="D951" i="12"/>
  <c r="D947" i="12"/>
  <c r="M37" i="11" l="1"/>
  <c r="AD37" i="11"/>
  <c r="W37" i="11" s="1"/>
  <c r="G933" i="12"/>
  <c r="E933" i="12"/>
  <c r="AU251" i="12"/>
  <c r="AC34" i="11"/>
  <c r="ES218" i="12"/>
  <c r="ET218" i="12" s="1"/>
  <c r="AD36" i="11"/>
  <c r="W36" i="11" s="1"/>
  <c r="ET219" i="12"/>
  <c r="J940" i="12"/>
  <c r="J941" i="12" s="1"/>
  <c r="V34" i="11" l="1"/>
  <c r="N934" i="12"/>
  <c r="N935" i="12" s="1"/>
  <c r="M934" i="12"/>
  <c r="M935" i="12" s="1"/>
  <c r="K934" i="12"/>
  <c r="K935" i="12" s="1"/>
  <c r="J934" i="12"/>
  <c r="K941" i="12"/>
  <c r="J942" i="12" s="1"/>
  <c r="M940" i="12"/>
  <c r="M941" i="12" s="1"/>
  <c r="N941" i="12"/>
  <c r="M942" i="12" l="1"/>
  <c r="I1264" i="12" s="1"/>
  <c r="M936" i="12"/>
  <c r="J935" i="12"/>
  <c r="J936" i="12" s="1"/>
  <c r="E1268" i="12" l="1"/>
  <c r="F1268" i="12" s="1"/>
  <c r="E1266" i="12"/>
  <c r="F1266" i="12" s="1"/>
  <c r="E923" i="12"/>
  <c r="Q129" i="8" s="1"/>
  <c r="E921" i="12"/>
  <c r="Q127" i="8" s="1"/>
  <c r="E929" i="12"/>
  <c r="E927" i="12"/>
  <c r="AK251" i="12" s="1"/>
  <c r="DY218" i="12" s="1"/>
  <c r="B36" i="11" s="1"/>
  <c r="E1280" i="12" l="1"/>
  <c r="Q132" i="8"/>
  <c r="Q134" i="8"/>
  <c r="AK252" i="12"/>
  <c r="DY219" i="12" s="1"/>
  <c r="F1270" i="12"/>
  <c r="H1270" i="12" s="1"/>
  <c r="F1271" i="12"/>
  <c r="H1271" i="12" s="1"/>
  <c r="M929" i="12"/>
  <c r="AQ252" i="12" s="1"/>
  <c r="AU252" i="12" s="1"/>
  <c r="Y36" i="11" l="1"/>
  <c r="B37" i="11"/>
  <c r="Y37" i="11" s="1"/>
  <c r="H1274" i="12"/>
  <c r="E1281" i="12" s="1"/>
  <c r="H1281" i="12" l="1"/>
  <c r="E1282" i="12" s="1"/>
  <c r="C1281" i="12"/>
  <c r="F1281" i="12" s="1"/>
  <c r="K453" i="12"/>
  <c r="DY192" i="12"/>
  <c r="B31" i="11" s="1"/>
  <c r="K429" i="12"/>
  <c r="H1282" i="12" l="1"/>
  <c r="E1283" i="12" s="1"/>
  <c r="H1283" i="12" s="1"/>
  <c r="E1284" i="12" s="1"/>
  <c r="H1284" i="12" s="1"/>
  <c r="C1282" i="12"/>
  <c r="F1282" i="12" s="1"/>
  <c r="AC31" i="11"/>
  <c r="V31" i="11" s="1"/>
  <c r="EK205" i="12"/>
  <c r="EK209" i="12"/>
  <c r="EK213" i="12"/>
  <c r="EK217" i="12"/>
  <c r="EK206" i="12"/>
  <c r="EK210" i="12"/>
  <c r="EK214" i="12"/>
  <c r="EK203" i="12"/>
  <c r="EK207" i="12"/>
  <c r="EK211" i="12"/>
  <c r="EK215" i="12"/>
  <c r="EK204" i="12"/>
  <c r="EK208" i="12"/>
  <c r="EK212" i="12"/>
  <c r="EK216" i="12"/>
  <c r="N30" i="11"/>
  <c r="EK199" i="12"/>
  <c r="EK198" i="12"/>
  <c r="EK197" i="12"/>
  <c r="C1283" i="12" l="1"/>
  <c r="F1283" i="12" s="1"/>
  <c r="DY191" i="12"/>
  <c r="B30" i="11" s="1"/>
  <c r="C1284" i="12"/>
  <c r="F1284" i="12" s="1"/>
  <c r="E1285" i="12"/>
  <c r="H1285" i="12" s="1"/>
  <c r="ES208" i="12"/>
  <c r="ES211" i="12"/>
  <c r="ES214" i="12"/>
  <c r="ES217" i="12"/>
  <c r="ES204" i="12"/>
  <c r="ES207" i="12"/>
  <c r="ES210" i="12"/>
  <c r="ES213" i="12"/>
  <c r="ES216" i="12"/>
  <c r="ES203" i="12"/>
  <c r="ES206" i="12"/>
  <c r="ES209" i="12"/>
  <c r="ES212" i="12"/>
  <c r="ES215" i="12"/>
  <c r="ES205" i="12"/>
  <c r="AB31" i="11"/>
  <c r="DY195" i="12"/>
  <c r="B34" i="11" s="1"/>
  <c r="DY193" i="12"/>
  <c r="B32" i="11" s="1"/>
  <c r="Y32" i="11" s="1"/>
  <c r="DY194" i="12"/>
  <c r="B33" i="11" s="1"/>
  <c r="Y33" i="11" s="1"/>
  <c r="M15" i="25"/>
  <c r="C1285" i="12" l="1"/>
  <c r="F1285" i="12" s="1"/>
  <c r="E1286" i="12"/>
  <c r="H1286" i="12" s="1"/>
  <c r="EJ203" i="12"/>
  <c r="ET203" i="12" s="1"/>
  <c r="EJ213" i="12"/>
  <c r="ET213" i="12" s="1"/>
  <c r="EJ207" i="12"/>
  <c r="ET207" i="12" s="1"/>
  <c r="EJ214" i="12"/>
  <c r="ET214" i="12" s="1"/>
  <c r="EJ208" i="12"/>
  <c r="ET208" i="12" s="1"/>
  <c r="EJ212" i="12"/>
  <c r="ET212" i="12" s="1"/>
  <c r="EJ206" i="12"/>
  <c r="ET206" i="12" s="1"/>
  <c r="EJ216" i="12"/>
  <c r="ET216" i="12" s="1"/>
  <c r="EJ210" i="12"/>
  <c r="ET210" i="12" s="1"/>
  <c r="EJ204" i="12"/>
  <c r="ET204" i="12" s="1"/>
  <c r="EJ217" i="12"/>
  <c r="ET217" i="12" s="1"/>
  <c r="EJ211" i="12"/>
  <c r="ET211" i="12" s="1"/>
  <c r="EJ205" i="12"/>
  <c r="ET205" i="12" s="1"/>
  <c r="EJ215" i="12"/>
  <c r="ET215" i="12" s="1"/>
  <c r="EJ209" i="12"/>
  <c r="ET209" i="12" s="1"/>
  <c r="BW6" i="12"/>
  <c r="C1286" i="12" l="1"/>
  <c r="F1286" i="12" s="1"/>
  <c r="E1287" i="12"/>
  <c r="H1287" i="12" s="1"/>
  <c r="K51" i="13"/>
  <c r="K52" i="13"/>
  <c r="K53" i="13"/>
  <c r="K47" i="13"/>
  <c r="K48" i="13"/>
  <c r="K49" i="13"/>
  <c r="K50" i="13"/>
  <c r="K46" i="13"/>
  <c r="J48" i="15"/>
  <c r="C1287" i="12" l="1"/>
  <c r="F1287" i="12" s="1"/>
  <c r="E1288" i="12"/>
  <c r="H1288" i="12" s="1"/>
  <c r="FT6" i="12"/>
  <c r="CV173" i="12"/>
  <c r="M1267" i="12" l="1"/>
  <c r="M1271" i="12"/>
  <c r="M1275" i="12"/>
  <c r="M1279" i="12"/>
  <c r="M1283" i="12"/>
  <c r="M1287" i="12"/>
  <c r="M1291" i="12"/>
  <c r="M1295" i="12"/>
  <c r="M1299" i="12"/>
  <c r="M1303" i="12"/>
  <c r="M1307" i="12"/>
  <c r="M1311" i="12"/>
  <c r="M1315" i="12"/>
  <c r="M1319" i="12"/>
  <c r="M1323" i="12"/>
  <c r="M1327" i="12"/>
  <c r="M1331" i="12"/>
  <c r="M1335" i="12"/>
  <c r="M1339" i="12"/>
  <c r="M1343" i="12"/>
  <c r="M1347" i="12"/>
  <c r="M1274" i="12"/>
  <c r="M1286" i="12"/>
  <c r="M1294" i="12"/>
  <c r="M1306" i="12"/>
  <c r="M1314" i="12"/>
  <c r="M1326" i="12"/>
  <c r="M1338" i="12"/>
  <c r="M1266" i="12"/>
  <c r="M1268" i="12"/>
  <c r="M1272" i="12"/>
  <c r="M1276" i="12"/>
  <c r="M1280" i="12"/>
  <c r="M1284" i="12"/>
  <c r="M1288" i="12"/>
  <c r="M1292" i="12"/>
  <c r="M1296" i="12"/>
  <c r="M1300" i="12"/>
  <c r="M1304" i="12"/>
  <c r="M1308" i="12"/>
  <c r="M1312" i="12"/>
  <c r="M1316" i="12"/>
  <c r="M1320" i="12"/>
  <c r="M1324" i="12"/>
  <c r="M1328" i="12"/>
  <c r="M1332" i="12"/>
  <c r="M1336" i="12"/>
  <c r="M1340" i="12"/>
  <c r="M1344" i="12"/>
  <c r="M1348" i="12"/>
  <c r="M1282" i="12"/>
  <c r="M1298" i="12"/>
  <c r="M1310" i="12"/>
  <c r="M1330" i="12"/>
  <c r="M1342" i="12"/>
  <c r="M1269" i="12"/>
  <c r="M1273" i="12"/>
  <c r="M1277" i="12"/>
  <c r="M1281" i="12"/>
  <c r="M1285" i="12"/>
  <c r="M1289" i="12"/>
  <c r="M1293" i="12"/>
  <c r="M1297" i="12"/>
  <c r="M1301" i="12"/>
  <c r="M1305" i="12"/>
  <c r="M1309" i="12"/>
  <c r="M1313" i="12"/>
  <c r="M1317" i="12"/>
  <c r="M1321" i="12"/>
  <c r="M1325" i="12"/>
  <c r="M1329" i="12"/>
  <c r="M1333" i="12"/>
  <c r="M1337" i="12"/>
  <c r="M1341" i="12"/>
  <c r="M1345" i="12"/>
  <c r="M1349" i="12"/>
  <c r="M1270" i="12"/>
  <c r="M1278" i="12"/>
  <c r="M1290" i="12"/>
  <c r="M1302" i="12"/>
  <c r="M1318" i="12"/>
  <c r="M1322" i="12"/>
  <c r="M1334" i="12"/>
  <c r="M1346" i="12"/>
  <c r="M1352" i="12"/>
  <c r="Q1266" i="12" s="1"/>
  <c r="M1357" i="12"/>
  <c r="Q1271" i="12" s="1"/>
  <c r="M1358" i="12"/>
  <c r="Q1272" i="12" s="1"/>
  <c r="M1362" i="12"/>
  <c r="Q1276" i="12" s="1"/>
  <c r="M1356" i="12"/>
  <c r="Q1270" i="12" s="1"/>
  <c r="M1361" i="12"/>
  <c r="Q1275" i="12" s="1"/>
  <c r="M1351" i="12"/>
  <c r="M1363" i="12"/>
  <c r="Q1277" i="12" s="1"/>
  <c r="M1360" i="12"/>
  <c r="Q1274" i="12" s="1"/>
  <c r="M1350" i="12"/>
  <c r="M1355" i="12"/>
  <c r="Q1269" i="12" s="1"/>
  <c r="M1353" i="12"/>
  <c r="Q1267" i="12" s="1"/>
  <c r="M1354" i="12"/>
  <c r="Q1268" i="12" s="1"/>
  <c r="M1359" i="12"/>
  <c r="Q1273" i="12" s="1"/>
  <c r="DS13" i="12"/>
  <c r="DR13" i="12" s="1"/>
  <c r="DR12" i="12"/>
  <c r="CV153" i="12" s="1"/>
  <c r="DR11" i="12"/>
  <c r="DT7" i="12"/>
  <c r="S1547" i="12"/>
  <c r="Z1425" i="12"/>
  <c r="T1433" i="12" s="1"/>
  <c r="K1377" i="12" l="1"/>
  <c r="K1381" i="12"/>
  <c r="K1385" i="12"/>
  <c r="K1389" i="12"/>
  <c r="K1393" i="12"/>
  <c r="K1397" i="12"/>
  <c r="K1401" i="12"/>
  <c r="K1405" i="12"/>
  <c r="K1409" i="12"/>
  <c r="K1413" i="12"/>
  <c r="K1376" i="12"/>
  <c r="K1378" i="12"/>
  <c r="K1382" i="12"/>
  <c r="K1386" i="12"/>
  <c r="K1390" i="12"/>
  <c r="K1394" i="12"/>
  <c r="K1398" i="12"/>
  <c r="K1402" i="12"/>
  <c r="K1406" i="12"/>
  <c r="K1410" i="12"/>
  <c r="K1414" i="12"/>
  <c r="K1379" i="12"/>
  <c r="K1383" i="12"/>
  <c r="K1387" i="12"/>
  <c r="K1391" i="12"/>
  <c r="K1395" i="12"/>
  <c r="K1399" i="12"/>
  <c r="K1403" i="12"/>
  <c r="K1407" i="12"/>
  <c r="K1411" i="12"/>
  <c r="K1415" i="12"/>
  <c r="K1380" i="12"/>
  <c r="K1384" i="12"/>
  <c r="K1388" i="12"/>
  <c r="K1392" i="12"/>
  <c r="K1396" i="12"/>
  <c r="K1400" i="12"/>
  <c r="K1404" i="12"/>
  <c r="K1408" i="12"/>
  <c r="K1412" i="12"/>
  <c r="T1550" i="12"/>
  <c r="CT153" i="12"/>
  <c r="T1434" i="12"/>
  <c r="DS9" i="12" l="1"/>
  <c r="CW184" i="12"/>
  <c r="BU12" i="12"/>
  <c r="AM153" i="12" s="1"/>
  <c r="BV13" i="12"/>
  <c r="BU13" i="12" s="1"/>
  <c r="BW8" i="12"/>
  <c r="BV8" i="12" s="1"/>
  <c r="G1377" i="12"/>
  <c r="G1378" i="12"/>
  <c r="G1379" i="12"/>
  <c r="G1380" i="12"/>
  <c r="G1381" i="12"/>
  <c r="G1382" i="12"/>
  <c r="G1383" i="12"/>
  <c r="G1384" i="12"/>
  <c r="G1385" i="12"/>
  <c r="G1386" i="12"/>
  <c r="G1387" i="12"/>
  <c r="G1388" i="12"/>
  <c r="G1389" i="12"/>
  <c r="G1390" i="12"/>
  <c r="G1391" i="12"/>
  <c r="G1392" i="12"/>
  <c r="G1393" i="12"/>
  <c r="G1394" i="12"/>
  <c r="G1395" i="12"/>
  <c r="G1396" i="12"/>
  <c r="G1397" i="12"/>
  <c r="G1398" i="12"/>
  <c r="G1399" i="12"/>
  <c r="G1400" i="12"/>
  <c r="G1401" i="12"/>
  <c r="G1402" i="12"/>
  <c r="G1403" i="12"/>
  <c r="G1404" i="12"/>
  <c r="G1405" i="12"/>
  <c r="G1406" i="12"/>
  <c r="G1407" i="12"/>
  <c r="G1408" i="12"/>
  <c r="G1409" i="12"/>
  <c r="G1410" i="12"/>
  <c r="G1411" i="12"/>
  <c r="G1412" i="12"/>
  <c r="G1413" i="12"/>
  <c r="G1414" i="12"/>
  <c r="G1415" i="12"/>
  <c r="G1376" i="12"/>
  <c r="BV7" i="12"/>
  <c r="F1375" i="12" s="1"/>
  <c r="BV9" i="12" l="1"/>
  <c r="C1425" i="12"/>
  <c r="BL10" i="12"/>
  <c r="Q25" i="8" s="1"/>
  <c r="AR174" i="12"/>
  <c r="AR178" i="12"/>
  <c r="AR182" i="12"/>
  <c r="AM176" i="12"/>
  <c r="AR179" i="12"/>
  <c r="AR183" i="12"/>
  <c r="AR175" i="12"/>
  <c r="AR176" i="12"/>
  <c r="AR180" i="12"/>
  <c r="AR184" i="12"/>
  <c r="AR177" i="12"/>
  <c r="AR181" i="12"/>
  <c r="AR173" i="12"/>
  <c r="AW155" i="12"/>
  <c r="BU11" i="12"/>
  <c r="E1550" i="12" s="1"/>
  <c r="AK153" i="12"/>
  <c r="I77" i="13"/>
  <c r="I47" i="25" s="1"/>
  <c r="I76" i="13"/>
  <c r="I46" i="25" s="1"/>
  <c r="I75" i="13"/>
  <c r="I45" i="25" s="1"/>
  <c r="D38" i="15"/>
  <c r="H12" i="14"/>
  <c r="D12" i="14"/>
  <c r="D8" i="14"/>
  <c r="BJ5" i="25"/>
  <c r="BI5" i="25"/>
  <c r="AM15" i="23"/>
  <c r="AM13" i="23"/>
  <c r="L10" i="14"/>
  <c r="BR5" i="13"/>
  <c r="BQ5" i="13"/>
  <c r="AS12" i="11"/>
  <c r="AR12" i="11"/>
  <c r="CW157" i="12"/>
  <c r="AN181" i="12" l="1"/>
  <c r="AN182" i="12"/>
  <c r="AN183" i="12"/>
  <c r="AN180" i="12"/>
  <c r="AN184" i="12"/>
  <c r="AB59" i="8"/>
  <c r="AB46" i="8"/>
  <c r="AB28" i="8" l="1"/>
  <c r="AB16" i="8"/>
  <c r="Y23" i="8"/>
  <c r="MQ63" i="12" l="1"/>
  <c r="O58" i="9" s="1"/>
  <c r="AA77" i="9"/>
  <c r="AA76" i="9"/>
  <c r="S85" i="9"/>
  <c r="BF85" i="9"/>
  <c r="M49" i="23" l="1"/>
  <c r="Q25" i="23"/>
  <c r="M68" i="14"/>
  <c r="M69" i="14"/>
  <c r="M70" i="14"/>
  <c r="M71" i="14"/>
  <c r="G64" i="14"/>
  <c r="F64" i="14"/>
  <c r="M51" i="14"/>
  <c r="O51" i="14" s="1"/>
  <c r="M52" i="14"/>
  <c r="O52" i="14" s="1"/>
  <c r="M53" i="14"/>
  <c r="O53" i="14" s="1"/>
  <c r="M54" i="14"/>
  <c r="O54" i="14" s="1"/>
  <c r="M55" i="14"/>
  <c r="O55" i="14" s="1"/>
  <c r="M56" i="14"/>
  <c r="O56" i="14" s="1"/>
  <c r="M57" i="14"/>
  <c r="O57" i="14" s="1"/>
  <c r="M50" i="14"/>
  <c r="O50" i="14" s="1"/>
  <c r="K35" i="14"/>
  <c r="K34" i="14"/>
  <c r="K58" i="13" l="1"/>
  <c r="M62" i="14" s="1"/>
  <c r="M46" i="23" s="1"/>
  <c r="C56" i="13"/>
  <c r="C57" i="13"/>
  <c r="MQ28" i="12"/>
  <c r="L39" i="13" s="1"/>
  <c r="O76" i="14" s="1"/>
  <c r="M61" i="23" s="1"/>
  <c r="Q61" i="23" s="1"/>
  <c r="K39" i="13"/>
  <c r="M76" i="14" s="1"/>
  <c r="D39" i="13"/>
  <c r="C39" i="13"/>
  <c r="F76" i="14" l="1"/>
  <c r="D61" i="23" s="1"/>
  <c r="F76" i="30"/>
  <c r="G76" i="14"/>
  <c r="E61" i="23" s="1"/>
  <c r="G76" i="30"/>
  <c r="F61" i="14"/>
  <c r="F61" i="30"/>
  <c r="F60" i="14"/>
  <c r="F60" i="30"/>
  <c r="K38" i="13"/>
  <c r="M75" i="14" s="1"/>
  <c r="MQ38" i="12"/>
  <c r="K37" i="13"/>
  <c r="M74" i="14" s="1"/>
  <c r="MR26" i="12"/>
  <c r="K36" i="13"/>
  <c r="M73" i="14" s="1"/>
  <c r="O49" i="9"/>
  <c r="O61" i="9"/>
  <c r="K35" i="13"/>
  <c r="M72" i="14" s="1"/>
  <c r="OM5" i="12"/>
  <c r="NP12" i="12"/>
  <c r="NP11" i="12"/>
  <c r="NP10" i="12"/>
  <c r="NP7" i="12"/>
  <c r="NP6" i="12"/>
  <c r="NP5" i="12"/>
  <c r="MQ6" i="12"/>
  <c r="K29" i="13" s="1"/>
  <c r="M66" i="14" s="1"/>
  <c r="MQ5" i="12"/>
  <c r="K28" i="13" s="1"/>
  <c r="M65" i="14" s="1"/>
  <c r="MQ4" i="12"/>
  <c r="OA19" i="12"/>
  <c r="OA30" i="12"/>
  <c r="OA26" i="12"/>
  <c r="OA25" i="12"/>
  <c r="OA24" i="12"/>
  <c r="OA15" i="12"/>
  <c r="O15" i="9"/>
  <c r="MK23" i="12"/>
  <c r="M67" i="14" l="1"/>
  <c r="L30" i="13"/>
  <c r="OA27" i="12"/>
  <c r="X12" i="9" s="1"/>
  <c r="K14" i="21"/>
  <c r="D22" i="13"/>
  <c r="F41" i="30" s="1"/>
  <c r="F41" i="14" l="1"/>
  <c r="D22" i="25"/>
  <c r="L42" i="14"/>
  <c r="L41" i="14"/>
  <c r="L43" i="14"/>
  <c r="D24" i="13"/>
  <c r="F43" i="30" s="1"/>
  <c r="D23" i="13"/>
  <c r="F42" i="30" s="1"/>
  <c r="L21" i="13"/>
  <c r="BP81" i="9" s="1"/>
  <c r="AC81" i="9" s="1"/>
  <c r="F43" i="14" l="1"/>
  <c r="D24" i="25"/>
  <c r="F42" i="14"/>
  <c r="D23" i="25"/>
  <c r="P39" i="14"/>
  <c r="H79" i="13"/>
  <c r="EJ197" i="12"/>
  <c r="EJ198" i="12"/>
  <c r="EJ199" i="12"/>
  <c r="O24" i="11"/>
  <c r="R13" i="11"/>
  <c r="S13" i="11"/>
  <c r="R14" i="11"/>
  <c r="S14" i="11"/>
  <c r="R15" i="11"/>
  <c r="S15" i="11"/>
  <c r="R16" i="11"/>
  <c r="S16" i="11"/>
  <c r="R17" i="11"/>
  <c r="S17" i="11"/>
  <c r="R18" i="11"/>
  <c r="R19" i="11"/>
  <c r="S19" i="11"/>
  <c r="R20" i="11"/>
  <c r="S21" i="11"/>
  <c r="R22" i="11"/>
  <c r="S22" i="11"/>
  <c r="R23" i="11"/>
  <c r="S23" i="11"/>
  <c r="S12" i="11"/>
  <c r="ES197" i="12"/>
  <c r="AB75" i="8"/>
  <c r="I357" i="12"/>
  <c r="I356" i="12"/>
  <c r="I355" i="12"/>
  <c r="I354" i="12"/>
  <c r="G385" i="12"/>
  <c r="H390" i="12" s="1"/>
  <c r="G386" i="12"/>
  <c r="G391" i="12" s="1"/>
  <c r="G384" i="12"/>
  <c r="G389" i="12" s="1"/>
  <c r="G397" i="12" l="1"/>
  <c r="G395" i="12"/>
  <c r="G396" i="12"/>
  <c r="H391" i="12"/>
  <c r="J391" i="12" s="1"/>
  <c r="G377" i="12" s="1"/>
  <c r="G390" i="12"/>
  <c r="J390" i="12" s="1"/>
  <c r="G376" i="12" s="1"/>
  <c r="H389" i="12"/>
  <c r="J389" i="12" s="1"/>
  <c r="G375" i="12" s="1"/>
  <c r="AK790" i="12"/>
  <c r="AK791" i="12" s="1"/>
  <c r="F653" i="12"/>
  <c r="U650" i="12"/>
  <c r="U655" i="12" s="1"/>
  <c r="AA790" i="12"/>
  <c r="AA791" i="12" s="1"/>
  <c r="U676" i="12" l="1"/>
  <c r="U672" i="12"/>
  <c r="U688" i="12"/>
  <c r="U677" i="12"/>
  <c r="U666" i="12"/>
  <c r="U656" i="12"/>
  <c r="U686" i="12"/>
  <c r="U665" i="12"/>
  <c r="U654" i="12"/>
  <c r="U653" i="12"/>
  <c r="U682" i="12"/>
  <c r="U661" i="12"/>
  <c r="U692" i="12"/>
  <c r="U681" i="12"/>
  <c r="U670" i="12"/>
  <c r="U660" i="12"/>
  <c r="U690" i="12"/>
  <c r="U685" i="12"/>
  <c r="U680" i="12"/>
  <c r="U674" i="12"/>
  <c r="U669" i="12"/>
  <c r="U664" i="12"/>
  <c r="U658" i="12"/>
  <c r="U689" i="12"/>
  <c r="U684" i="12"/>
  <c r="U678" i="12"/>
  <c r="U673" i="12"/>
  <c r="U668" i="12"/>
  <c r="U662" i="12"/>
  <c r="U657" i="12"/>
  <c r="U691" i="12"/>
  <c r="U687" i="12"/>
  <c r="U683" i="12"/>
  <c r="U679" i="12"/>
  <c r="U675" i="12"/>
  <c r="U671" i="12"/>
  <c r="U667" i="12"/>
  <c r="U663" i="12"/>
  <c r="U659" i="12"/>
  <c r="Q790" i="12"/>
  <c r="Q791" i="12" s="1"/>
  <c r="AN781" i="12" l="1"/>
  <c r="AN774" i="12"/>
  <c r="AM790" i="12" l="1"/>
  <c r="AM791" i="12" s="1"/>
  <c r="AL790" i="12"/>
  <c r="AL791" i="12" s="1"/>
  <c r="AM781" i="12"/>
  <c r="AJ782" i="12" s="1"/>
  <c r="AN775" i="12"/>
  <c r="AM776" i="12"/>
  <c r="AM783" i="12" s="1"/>
  <c r="L653" i="12"/>
  <c r="L654" i="12"/>
  <c r="L655" i="12"/>
  <c r="L656" i="12"/>
  <c r="L657" i="12"/>
  <c r="L658" i="12"/>
  <c r="L659" i="12"/>
  <c r="L660" i="12"/>
  <c r="L661" i="12"/>
  <c r="L662" i="12"/>
  <c r="L663" i="12"/>
  <c r="L664" i="12"/>
  <c r="L665" i="12"/>
  <c r="L666" i="12"/>
  <c r="L667" i="12"/>
  <c r="L668" i="12"/>
  <c r="L669" i="12"/>
  <c r="L670" i="12"/>
  <c r="L671" i="12"/>
  <c r="L672" i="12"/>
  <c r="L673" i="12"/>
  <c r="L674" i="12"/>
  <c r="L675" i="12"/>
  <c r="L676" i="12"/>
  <c r="L677" i="12"/>
  <c r="L678" i="12"/>
  <c r="L679" i="12"/>
  <c r="L680" i="12"/>
  <c r="L681" i="12"/>
  <c r="L682" i="12"/>
  <c r="L683" i="12"/>
  <c r="L684" i="12"/>
  <c r="L685" i="12"/>
  <c r="L686" i="12"/>
  <c r="L687" i="12"/>
  <c r="L688" i="12"/>
  <c r="L689" i="12"/>
  <c r="L690" i="12"/>
  <c r="L691" i="12"/>
  <c r="L692" i="12"/>
  <c r="W779" i="12"/>
  <c r="W778" i="12"/>
  <c r="AG779" i="12"/>
  <c r="AE782" i="12" s="1"/>
  <c r="AO777" i="12"/>
  <c r="AO778" i="12" s="1"/>
  <c r="T652" i="12"/>
  <c r="AL793" i="12" l="1"/>
  <c r="AJ786" i="12" s="1"/>
  <c r="O685" i="12"/>
  <c r="O669" i="12"/>
  <c r="O681" i="12"/>
  <c r="O665" i="12"/>
  <c r="O653" i="12"/>
  <c r="O677" i="12"/>
  <c r="O661" i="12"/>
  <c r="O689" i="12"/>
  <c r="O673" i="12"/>
  <c r="O657" i="12"/>
  <c r="O690" i="12"/>
  <c r="O686" i="12"/>
  <c r="O682" i="12"/>
  <c r="O678" i="12"/>
  <c r="O674" i="12"/>
  <c r="O670" i="12"/>
  <c r="O666" i="12"/>
  <c r="O662" i="12"/>
  <c r="O658" i="12"/>
  <c r="O654" i="12"/>
  <c r="O692" i="12"/>
  <c r="O688" i="12"/>
  <c r="O684" i="12"/>
  <c r="O680" i="12"/>
  <c r="O676" i="12"/>
  <c r="O672" i="12"/>
  <c r="O668" i="12"/>
  <c r="O664" i="12"/>
  <c r="O660" i="12"/>
  <c r="O656" i="12"/>
  <c r="AN778" i="12"/>
  <c r="AG778" i="12"/>
  <c r="AE781" i="12" s="1"/>
  <c r="K652" i="12"/>
  <c r="O691" i="12"/>
  <c r="O687" i="12"/>
  <c r="O683" i="12"/>
  <c r="O679" i="12"/>
  <c r="O675" i="12"/>
  <c r="O671" i="12"/>
  <c r="O667" i="12"/>
  <c r="O663" i="12"/>
  <c r="O659" i="12"/>
  <c r="O655" i="12"/>
  <c r="AM777" i="12"/>
  <c r="AB790" i="12"/>
  <c r="AB791" i="12" s="1"/>
  <c r="AC790" i="12"/>
  <c r="AC791" i="12" s="1"/>
  <c r="AE777" i="12"/>
  <c r="AB782" i="12" s="1"/>
  <c r="Y787" i="12" l="1"/>
  <c r="AN777" i="12"/>
  <c r="N652" i="12"/>
  <c r="AB793" i="12"/>
  <c r="AG787" i="12" l="1"/>
  <c r="AG783" i="12"/>
  <c r="U777" i="12"/>
  <c r="T781" i="12"/>
  <c r="BV2" i="12"/>
  <c r="T774" i="12"/>
  <c r="S781" i="12" s="1"/>
  <c r="BV3" i="12"/>
  <c r="P782" i="12" l="1"/>
  <c r="BL11" i="12"/>
  <c r="BL27" i="12" s="1"/>
  <c r="BM9" i="12"/>
  <c r="Q24" i="8" s="1"/>
  <c r="BL12" i="12"/>
  <c r="Q27" i="8" s="1"/>
  <c r="D1547" i="12"/>
  <c r="AR168" i="12"/>
  <c r="Q28" i="8" s="1"/>
  <c r="T775" i="12"/>
  <c r="R790" i="12"/>
  <c r="R791" i="12" s="1"/>
  <c r="S790" i="12"/>
  <c r="S791" i="12" s="1"/>
  <c r="S776" i="12"/>
  <c r="F654" i="12"/>
  <c r="F655" i="12"/>
  <c r="F656" i="12"/>
  <c r="F657" i="12"/>
  <c r="F658" i="12"/>
  <c r="F659" i="12"/>
  <c r="F660" i="12"/>
  <c r="F661" i="12"/>
  <c r="F662" i="12"/>
  <c r="F663" i="12"/>
  <c r="F664" i="12"/>
  <c r="F665" i="12"/>
  <c r="F666" i="12"/>
  <c r="F667" i="12"/>
  <c r="F668" i="12"/>
  <c r="F669" i="12"/>
  <c r="F670" i="12"/>
  <c r="F671" i="12"/>
  <c r="F672" i="12"/>
  <c r="F673" i="12"/>
  <c r="F674" i="12"/>
  <c r="F675" i="12"/>
  <c r="F676" i="12"/>
  <c r="F677" i="12"/>
  <c r="F678" i="12"/>
  <c r="F679" i="12"/>
  <c r="F680" i="12"/>
  <c r="F681" i="12"/>
  <c r="F682" i="12"/>
  <c r="F683" i="12"/>
  <c r="F684" i="12"/>
  <c r="F685" i="12"/>
  <c r="F686" i="12"/>
  <c r="F687" i="12"/>
  <c r="F688" i="12"/>
  <c r="F689" i="12"/>
  <c r="F690" i="12"/>
  <c r="F691" i="12"/>
  <c r="F692" i="12"/>
  <c r="T777" i="12"/>
  <c r="R793" i="12" l="1"/>
  <c r="O786" i="12" s="1"/>
  <c r="S777" i="12"/>
  <c r="S783" i="12"/>
  <c r="U778" i="12"/>
  <c r="E652" i="12"/>
  <c r="X391" i="12"/>
  <c r="Z387" i="12"/>
  <c r="Z388" i="12" s="1"/>
  <c r="AP398" i="12"/>
  <c r="AZ396" i="12"/>
  <c r="BA393" i="12"/>
  <c r="AZ393" i="12"/>
  <c r="BA392" i="12"/>
  <c r="AZ392" i="12"/>
  <c r="AZ391" i="12"/>
  <c r="AZ390" i="12"/>
  <c r="AY398" i="12" s="1"/>
  <c r="AZ389" i="12"/>
  <c r="AY396" i="12" s="1"/>
  <c r="AP397" i="12" s="1"/>
  <c r="AA272" i="12"/>
  <c r="W394" i="12" s="1"/>
  <c r="U400" i="12" s="1"/>
  <c r="AB273" i="12"/>
  <c r="AA275" i="12" s="1"/>
  <c r="AB272" i="12"/>
  <c r="T275" i="12" s="1"/>
  <c r="AB271" i="12"/>
  <c r="BM6" i="12"/>
  <c r="Q21" i="8" s="1"/>
  <c r="AA387" i="12" l="1"/>
  <c r="AA388" i="12" s="1"/>
  <c r="AA274" i="12"/>
  <c r="AB387" i="12"/>
  <c r="AB388" i="12" s="1"/>
  <c r="AZ397" i="12"/>
  <c r="T778" i="12"/>
  <c r="V400" i="12"/>
  <c r="W388" i="12"/>
  <c r="T273" i="12"/>
  <c r="AY392" i="12"/>
  <c r="AY391" i="12"/>
  <c r="U327" i="12"/>
  <c r="U328" i="12"/>
  <c r="U329" i="12"/>
  <c r="U330" i="12"/>
  <c r="U331" i="12"/>
  <c r="U332" i="12"/>
  <c r="U333" i="12"/>
  <c r="AB270" i="12" s="1"/>
  <c r="U334" i="12"/>
  <c r="U335" i="12"/>
  <c r="U336" i="12"/>
  <c r="U337" i="12"/>
  <c r="U338" i="12"/>
  <c r="U339" i="12"/>
  <c r="U340" i="12"/>
  <c r="U341" i="12"/>
  <c r="U342" i="12"/>
  <c r="U343" i="12"/>
  <c r="U344" i="12"/>
  <c r="U345" i="12"/>
  <c r="U346" i="12"/>
  <c r="U347" i="12"/>
  <c r="U348" i="12"/>
  <c r="U349" i="12"/>
  <c r="U350" i="12"/>
  <c r="U351" i="12"/>
  <c r="U352" i="12"/>
  <c r="U353" i="12"/>
  <c r="U354" i="12"/>
  <c r="U355" i="12"/>
  <c r="U356" i="12"/>
  <c r="U357" i="12"/>
  <c r="U358" i="12"/>
  <c r="U359" i="12"/>
  <c r="U360" i="12"/>
  <c r="U361" i="12"/>
  <c r="U362" i="12"/>
  <c r="U363" i="12"/>
  <c r="U364" i="12"/>
  <c r="U365" i="12"/>
  <c r="U326" i="12"/>
  <c r="AC269" i="12"/>
  <c r="AB269" i="12" s="1"/>
  <c r="AB268" i="12"/>
  <c r="AA390" i="12" l="1"/>
  <c r="W389" i="12" s="1"/>
  <c r="V391" i="12" s="1"/>
  <c r="T325" i="12"/>
  <c r="W391" i="12"/>
  <c r="V394" i="12"/>
  <c r="T400" i="12"/>
  <c r="Z286" i="12"/>
  <c r="Z283" i="12"/>
  <c r="AB274" i="12" s="1"/>
  <c r="W390" i="12" s="1"/>
  <c r="W395" i="12" s="1"/>
  <c r="W396" i="12" s="1"/>
  <c r="AB275" i="12" s="1"/>
  <c r="Z287" i="12"/>
  <c r="Z284" i="12"/>
  <c r="Z282" i="12"/>
  <c r="Z285" i="12"/>
  <c r="T776" i="12"/>
  <c r="T782" i="12" s="1"/>
  <c r="T783" i="12" s="1"/>
  <c r="EJ195" i="12"/>
  <c r="AR222" i="12"/>
  <c r="AP222" i="12"/>
  <c r="EC187" i="12" s="1"/>
  <c r="F26" i="11" s="1"/>
  <c r="AO222" i="12"/>
  <c r="EB187" i="12" s="1"/>
  <c r="E26" i="11" s="1"/>
  <c r="AN222" i="12"/>
  <c r="DZ187" i="12" s="1"/>
  <c r="V390" i="12" l="1"/>
  <c r="V396" i="12"/>
  <c r="C26" i="11"/>
  <c r="ER187" i="12"/>
  <c r="V786" i="12"/>
  <c r="GJ3" i="12"/>
  <c r="U26" i="11" l="1"/>
  <c r="CA49" i="12"/>
  <c r="EQ175" i="12" s="1"/>
  <c r="T14" i="11" s="1"/>
  <c r="CA50" i="12"/>
  <c r="EQ176" i="12" s="1"/>
  <c r="T15" i="11" s="1"/>
  <c r="CA51" i="12"/>
  <c r="EQ177" i="12" s="1"/>
  <c r="T16" i="11" s="1"/>
  <c r="CA52" i="12"/>
  <c r="EQ178" i="12" s="1"/>
  <c r="T17" i="11" s="1"/>
  <c r="CA53" i="12"/>
  <c r="EQ179" i="12" s="1"/>
  <c r="T18" i="11" s="1"/>
  <c r="CA54" i="12"/>
  <c r="EQ180" i="12" s="1"/>
  <c r="T19" i="11" s="1"/>
  <c r="CA55" i="12"/>
  <c r="EQ181" i="12" s="1"/>
  <c r="T20" i="11" s="1"/>
  <c r="CA56" i="12"/>
  <c r="EQ182" i="12" s="1"/>
  <c r="T21" i="11" s="1"/>
  <c r="CA57" i="12"/>
  <c r="EQ183" i="12" s="1"/>
  <c r="T22" i="11" s="1"/>
  <c r="CA58" i="12"/>
  <c r="EQ184" i="12" s="1"/>
  <c r="T23" i="11" s="1"/>
  <c r="EQ173" i="12"/>
  <c r="T12" i="11" s="1"/>
  <c r="CA48" i="12"/>
  <c r="EQ174" i="12" s="1"/>
  <c r="ER174" i="12"/>
  <c r="U13" i="11" s="1"/>
  <c r="ER175" i="12"/>
  <c r="U14" i="11" s="1"/>
  <c r="ER176" i="12"/>
  <c r="U15" i="11" s="1"/>
  <c r="ER177" i="12"/>
  <c r="U16" i="11" s="1"/>
  <c r="ER178" i="12"/>
  <c r="U17" i="11" s="1"/>
  <c r="ER179" i="12"/>
  <c r="ER180" i="12"/>
  <c r="U19" i="11" s="1"/>
  <c r="ER181" i="12"/>
  <c r="U20" i="11" s="1"/>
  <c r="ER182" i="12"/>
  <c r="U21" i="11" s="1"/>
  <c r="ER183" i="12"/>
  <c r="U22" i="11" s="1"/>
  <c r="ER184" i="12"/>
  <c r="U23" i="11" s="1"/>
  <c r="ER173" i="12"/>
  <c r="U12" i="11" s="1"/>
  <c r="BZ48" i="12"/>
  <c r="BZ49" i="12"/>
  <c r="BZ50" i="12"/>
  <c r="BZ51" i="12"/>
  <c r="BZ52" i="12"/>
  <c r="BZ54" i="12"/>
  <c r="BZ56" i="12"/>
  <c r="BZ57" i="12"/>
  <c r="BZ58" i="12"/>
  <c r="FX26" i="12"/>
  <c r="FT3" i="12"/>
  <c r="FN6" i="12"/>
  <c r="FN3" i="12"/>
  <c r="FH6" i="12"/>
  <c r="FH3" i="12"/>
  <c r="FB6" i="12"/>
  <c r="FB3" i="12"/>
  <c r="FT5" i="12"/>
  <c r="FN5" i="12"/>
  <c r="FH5" i="12"/>
  <c r="EK6" i="12"/>
  <c r="EV6" i="12"/>
  <c r="EV5" i="12"/>
  <c r="EV4" i="12"/>
  <c r="EV3" i="12"/>
  <c r="EV2" i="12"/>
  <c r="EJ4" i="12"/>
  <c r="EJ2" i="12"/>
  <c r="DS7" i="12"/>
  <c r="CV174" i="12"/>
  <c r="DT4" i="12"/>
  <c r="EQ223" i="12" l="1"/>
  <c r="ER223" i="12"/>
  <c r="J1375" i="12"/>
  <c r="Y53" i="8"/>
  <c r="CV181" i="12"/>
  <c r="BK50" i="12"/>
  <c r="CV184" i="12"/>
  <c r="CV182" i="12"/>
  <c r="CV179" i="12"/>
  <c r="CV177" i="12"/>
  <c r="CV175" i="12"/>
  <c r="CV183" i="12"/>
  <c r="CV180" i="12"/>
  <c r="CV178" i="12"/>
  <c r="CV176" i="12"/>
  <c r="T13" i="11"/>
  <c r="T41" i="11" s="1"/>
  <c r="U18" i="11"/>
  <c r="U41" i="11" s="1"/>
  <c r="BK56" i="12"/>
  <c r="BK52" i="12"/>
  <c r="BK48" i="12"/>
  <c r="BK57" i="12"/>
  <c r="BK49" i="12"/>
  <c r="BK47" i="12"/>
  <c r="BK55" i="12"/>
  <c r="BK51" i="12"/>
  <c r="BK53" i="12"/>
  <c r="BK58" i="12"/>
  <c r="BK54" i="12"/>
  <c r="CJ102" i="12"/>
  <c r="CR14" i="12"/>
  <c r="BR155" i="12" s="1"/>
  <c r="CF15" i="12"/>
  <c r="CQ15" i="12" s="1"/>
  <c r="DD21" i="12" l="1"/>
  <c r="DD22" i="12" s="1"/>
  <c r="DC21" i="12"/>
  <c r="BT159" i="12"/>
  <c r="BT160" i="12" s="1"/>
  <c r="BS159" i="12"/>
  <c r="BS160" i="12" s="1"/>
  <c r="BU159" i="12"/>
  <c r="BU160" i="12" s="1"/>
  <c r="AA47" i="8"/>
  <c r="DB22" i="12"/>
  <c r="DB15" i="12"/>
  <c r="CR12" i="12"/>
  <c r="CR9" i="12"/>
  <c r="CS11" i="12"/>
  <c r="CS10" i="12"/>
  <c r="CM89" i="12"/>
  <c r="CG97" i="12" s="1"/>
  <c r="CG98" i="12" s="1"/>
  <c r="CH38" i="12"/>
  <c r="CG43" i="12" s="1"/>
  <c r="CG75" i="12" l="1"/>
  <c r="CG67" i="12"/>
  <c r="CG59" i="12"/>
  <c r="CG42" i="12"/>
  <c r="CG38" i="12"/>
  <c r="CG51" i="12"/>
  <c r="CG74" i="12"/>
  <c r="CG66" i="12"/>
  <c r="CG58" i="12"/>
  <c r="CG50" i="12"/>
  <c r="CG63" i="12"/>
  <c r="CG47" i="12"/>
  <c r="CR11" i="12"/>
  <c r="CY40" i="12"/>
  <c r="CH24" i="12"/>
  <c r="CG71" i="12"/>
  <c r="CG55" i="12"/>
  <c r="CQ25" i="12"/>
  <c r="CI102" i="12"/>
  <c r="CG39" i="12"/>
  <c r="CG78" i="12"/>
  <c r="CG70" i="12"/>
  <c r="CG62" i="12"/>
  <c r="CG54" i="12"/>
  <c r="CG46" i="12"/>
  <c r="CR10" i="12"/>
  <c r="AG42" i="12"/>
  <c r="AG50" i="12"/>
  <c r="AG62" i="12"/>
  <c r="AG78" i="12"/>
  <c r="AG43" i="12"/>
  <c r="AG47" i="12"/>
  <c r="AG51" i="12"/>
  <c r="AG55" i="12"/>
  <c r="AG59" i="12"/>
  <c r="AG63" i="12"/>
  <c r="AG71" i="12"/>
  <c r="AG39" i="12"/>
  <c r="AG40" i="12"/>
  <c r="AG44" i="12"/>
  <c r="AG48" i="12"/>
  <c r="AG52" i="12"/>
  <c r="AG56" i="12"/>
  <c r="AG60" i="12"/>
  <c r="AG64" i="12"/>
  <c r="AG68" i="12"/>
  <c r="AG72" i="12"/>
  <c r="AG76" i="12"/>
  <c r="AG46" i="12"/>
  <c r="AG54" i="12"/>
  <c r="AG58" i="12"/>
  <c r="AG66" i="12"/>
  <c r="AG70" i="12"/>
  <c r="AG41" i="12"/>
  <c r="AG45" i="12"/>
  <c r="AG49" i="12"/>
  <c r="AG53" i="12"/>
  <c r="AG57" i="12"/>
  <c r="AG61" i="12"/>
  <c r="AG65" i="12"/>
  <c r="AG69" i="12"/>
  <c r="AG73" i="12"/>
  <c r="AG77" i="12"/>
  <c r="AG74" i="12"/>
  <c r="AG67" i="12"/>
  <c r="AG75" i="12"/>
  <c r="CM38" i="12"/>
  <c r="BT162" i="12"/>
  <c r="AG777" i="12"/>
  <c r="W781" i="12" s="1"/>
  <c r="Y781" i="12" s="1"/>
  <c r="AG781" i="12" s="1"/>
  <c r="AG782" i="12" s="1"/>
  <c r="DD15" i="12"/>
  <c r="CG95" i="12" s="1"/>
  <c r="CH95" i="12" s="1"/>
  <c r="CV45" i="12"/>
  <c r="CG93" i="12"/>
  <c r="CH93" i="12" s="1"/>
  <c r="CG105" i="12"/>
  <c r="CH105" i="12" s="1"/>
  <c r="DC22" i="12"/>
  <c r="DC24" i="12" s="1"/>
  <c r="DC15" i="12"/>
  <c r="CG106" i="12" s="1"/>
  <c r="CH106" i="12" s="1"/>
  <c r="DB16" i="12"/>
  <c r="CG77" i="12"/>
  <c r="CG73" i="12"/>
  <c r="CG69" i="12"/>
  <c r="CG65" i="12"/>
  <c r="CG61" i="12"/>
  <c r="CG57" i="12"/>
  <c r="CG53" i="12"/>
  <c r="CG49" i="12"/>
  <c r="CG45" i="12"/>
  <c r="CG41" i="12"/>
  <c r="CG76" i="12"/>
  <c r="CG72" i="12"/>
  <c r="CG68" i="12"/>
  <c r="CG64" i="12"/>
  <c r="CG60" i="12"/>
  <c r="CG56" i="12"/>
  <c r="CG52" i="12"/>
  <c r="CG48" i="12"/>
  <c r="CG44" i="12"/>
  <c r="CG40" i="12"/>
  <c r="CR2" i="12"/>
  <c r="BF9" i="12"/>
  <c r="BF6" i="12"/>
  <c r="BS48" i="12"/>
  <c r="ED174" i="12" s="1"/>
  <c r="BS49" i="12"/>
  <c r="ED175" i="12" s="1"/>
  <c r="BS50" i="12"/>
  <c r="ED176" i="12" s="1"/>
  <c r="BS51" i="12"/>
  <c r="ED177" i="12" s="1"/>
  <c r="BS52" i="12"/>
  <c r="ED178" i="12" s="1"/>
  <c r="BS53" i="12"/>
  <c r="ED179" i="12" s="1"/>
  <c r="BS54" i="12"/>
  <c r="ED180" i="12" s="1"/>
  <c r="BS55" i="12"/>
  <c r="ED181" i="12" s="1"/>
  <c r="BS56" i="12"/>
  <c r="ED182" i="12" s="1"/>
  <c r="BS57" i="12"/>
  <c r="ED183" i="12" s="1"/>
  <c r="BS58" i="12"/>
  <c r="ED184" i="12" s="1"/>
  <c r="BS47" i="12"/>
  <c r="ED173" i="12" s="1"/>
  <c r="ED223" i="12" l="1"/>
  <c r="CG15" i="12"/>
  <c r="Q45" i="8" s="1"/>
  <c r="CR7" i="12"/>
  <c r="CQ22" i="12" s="1"/>
  <c r="CH26" i="12" s="1"/>
  <c r="CJ26" i="12" s="1"/>
  <c r="CQ26" i="12" s="1"/>
  <c r="CQ27" i="12" s="1"/>
  <c r="CO34" i="12" s="1"/>
  <c r="Y42" i="8" s="1"/>
  <c r="Y39" i="8"/>
  <c r="AE38" i="12"/>
  <c r="CI34" i="12"/>
  <c r="Q42" i="8" s="1"/>
  <c r="AX160" i="12"/>
  <c r="AX161" i="12" s="1"/>
  <c r="AV160" i="12"/>
  <c r="AV161" i="12" s="1"/>
  <c r="AW160" i="12"/>
  <c r="AW161" i="12" s="1"/>
  <c r="Y40" i="8"/>
  <c r="CX40" i="12"/>
  <c r="CQ24" i="12"/>
  <c r="CP27" i="12" s="1"/>
  <c r="CL42" i="12"/>
  <c r="CL46" i="12"/>
  <c r="CL50" i="12"/>
  <c r="CL54" i="12"/>
  <c r="CL58" i="12"/>
  <c r="CL62" i="12"/>
  <c r="CL66" i="12"/>
  <c r="CL74" i="12"/>
  <c r="CL78" i="12"/>
  <c r="CL43" i="12"/>
  <c r="CL47" i="12"/>
  <c r="CL51" i="12"/>
  <c r="CL55" i="12"/>
  <c r="CL59" i="12"/>
  <c r="CL63" i="12"/>
  <c r="CL67" i="12"/>
  <c r="CL71" i="12"/>
  <c r="CL75" i="12"/>
  <c r="CL39" i="12"/>
  <c r="CL40" i="12"/>
  <c r="CL44" i="12"/>
  <c r="CL48" i="12"/>
  <c r="CL52" i="12"/>
  <c r="CL56" i="12"/>
  <c r="CL60" i="12"/>
  <c r="CL68" i="12"/>
  <c r="CL72" i="12"/>
  <c r="CL76" i="12"/>
  <c r="CL70" i="12"/>
  <c r="CL64" i="12"/>
  <c r="CL41" i="12"/>
  <c r="CL45" i="12"/>
  <c r="CL49" i="12"/>
  <c r="CL53" i="12"/>
  <c r="CL57" i="12"/>
  <c r="CL61" i="12"/>
  <c r="CL65" i="12"/>
  <c r="CL69" i="12"/>
  <c r="CL73" i="12"/>
  <c r="CL77" i="12"/>
  <c r="CL38" i="12"/>
  <c r="AE787" i="12"/>
  <c r="DD16" i="12"/>
  <c r="CG107" i="12"/>
  <c r="DC16" i="12"/>
  <c r="CH94" i="12"/>
  <c r="CG94" i="12"/>
  <c r="CH97" i="12"/>
  <c r="CJ97" i="12" s="1"/>
  <c r="CH98" i="12"/>
  <c r="CJ98" i="12" s="1"/>
  <c r="AM183" i="12"/>
  <c r="BA184" i="12"/>
  <c r="BA183" i="12"/>
  <c r="BA182" i="12"/>
  <c r="BA181" i="12"/>
  <c r="BA180" i="12"/>
  <c r="BA179" i="12"/>
  <c r="BA178" i="12"/>
  <c r="BA177" i="12"/>
  <c r="BA176" i="12"/>
  <c r="BA175" i="12"/>
  <c r="BA174" i="12"/>
  <c r="AM184" i="12"/>
  <c r="AM182" i="12"/>
  <c r="AM181" i="12"/>
  <c r="AM180" i="12"/>
  <c r="AM179" i="12"/>
  <c r="AM178" i="12"/>
  <c r="AM177" i="12"/>
  <c r="AM175" i="12"/>
  <c r="AM174" i="12"/>
  <c r="AM173" i="12"/>
  <c r="BA173" i="12"/>
  <c r="AA77" i="8"/>
  <c r="AA76" i="8"/>
  <c r="CR15" i="12" l="1"/>
  <c r="CM97" i="12"/>
  <c r="CR8" i="12" s="1"/>
  <c r="DC18" i="12"/>
  <c r="BP155" i="12" s="1"/>
  <c r="BO159" i="12" s="1"/>
  <c r="BO160" i="12" s="1"/>
  <c r="AW163" i="12"/>
  <c r="CW45" i="12"/>
  <c r="CS45" i="12" s="1"/>
  <c r="CN114" i="12"/>
  <c r="CP114" i="12" s="1"/>
  <c r="CN108" i="12"/>
  <c r="CP108" i="12" s="1"/>
  <c r="CN119" i="12"/>
  <c r="CP119" i="12" s="1"/>
  <c r="CN106" i="12"/>
  <c r="CP106" i="12" s="1"/>
  <c r="CH107" i="12"/>
  <c r="CN110" i="12"/>
  <c r="CP110" i="12" s="1"/>
  <c r="CN121" i="12"/>
  <c r="CP121" i="12" s="1"/>
  <c r="CN116" i="12"/>
  <c r="CP116" i="12" s="1"/>
  <c r="CN122" i="12"/>
  <c r="CP122" i="12" s="1"/>
  <c r="CN120" i="12"/>
  <c r="CP120" i="12" s="1"/>
  <c r="CN112" i="12"/>
  <c r="CP112" i="12" s="1"/>
  <c r="CP22" i="12"/>
  <c r="CP34" i="12"/>
  <c r="AA42" i="8" s="1"/>
  <c r="CI31" i="12" l="1"/>
  <c r="CI101" i="12"/>
  <c r="BQ159" i="12"/>
  <c r="BQ160" i="12" s="1"/>
  <c r="BP159" i="12"/>
  <c r="BP160" i="12" s="1"/>
  <c r="BN201" i="9"/>
  <c r="BE201" i="9"/>
  <c r="BN200" i="9"/>
  <c r="BN199" i="9"/>
  <c r="BN198" i="9"/>
  <c r="BN197" i="9"/>
  <c r="BN196" i="9"/>
  <c r="BN195" i="9"/>
  <c r="BE195" i="9"/>
  <c r="BN193" i="9"/>
  <c r="BN192" i="9"/>
  <c r="BN190" i="9"/>
  <c r="BP155" i="9"/>
  <c r="BP153" i="9"/>
  <c r="BP152" i="9"/>
  <c r="BP151" i="9"/>
  <c r="BP150" i="9"/>
  <c r="BP154" i="9" s="1"/>
  <c r="BP149" i="9"/>
  <c r="BP148" i="9"/>
  <c r="BP147" i="9"/>
  <c r="BP162" i="12" l="1"/>
  <c r="E334" i="12"/>
  <c r="E335" i="12" s="1"/>
  <c r="D334" i="12"/>
  <c r="D335" i="12" s="1"/>
  <c r="E328" i="12"/>
  <c r="E329" i="12" s="1"/>
  <c r="D328" i="12"/>
  <c r="D329" i="12" s="1"/>
  <c r="J304" i="12"/>
  <c r="I304" i="12" s="1"/>
  <c r="J305" i="12"/>
  <c r="N305" i="12" s="1"/>
  <c r="M305" i="12" s="1"/>
  <c r="F319" i="12" s="1"/>
  <c r="J303" i="12"/>
  <c r="I303" i="12" s="1"/>
  <c r="F311" i="12" s="1"/>
  <c r="J308" i="12"/>
  <c r="I307" i="12"/>
  <c r="H318" i="12" s="1"/>
  <c r="K307" i="12"/>
  <c r="J307" i="12" s="1"/>
  <c r="D311" i="12" s="1"/>
  <c r="D312" i="12" s="1"/>
  <c r="BO166" i="12" l="1"/>
  <c r="AK222" i="12" s="1"/>
  <c r="DY187" i="12" s="1"/>
  <c r="B26" i="11" s="1"/>
  <c r="G331" i="12"/>
  <c r="D318" i="12"/>
  <c r="D319" i="12" s="1"/>
  <c r="H311" i="12"/>
  <c r="H319" i="12"/>
  <c r="H312" i="12"/>
  <c r="I305" i="12"/>
  <c r="F312" i="12" s="1"/>
  <c r="N303" i="12"/>
  <c r="M303" i="12" s="1"/>
  <c r="F318" i="12" s="1"/>
  <c r="M304" i="12"/>
  <c r="N304" i="12"/>
  <c r="AM5" i="23"/>
  <c r="G23" i="23"/>
  <c r="I22" i="23"/>
  <c r="I21" i="23"/>
  <c r="I20" i="23"/>
  <c r="I19" i="23"/>
  <c r="I18" i="23"/>
  <c r="I17" i="23"/>
  <c r="I16" i="23"/>
  <c r="H29" i="23"/>
  <c r="H28" i="23"/>
  <c r="H27" i="23"/>
  <c r="F59" i="14"/>
  <c r="Q3" i="21"/>
  <c r="Q2" i="21"/>
  <c r="Q3" i="22"/>
  <c r="L20" i="22" s="1"/>
  <c r="Q2" i="22"/>
  <c r="L12" i="22" s="1"/>
  <c r="MQ40" i="12"/>
  <c r="MQ27" i="12"/>
  <c r="MQ34" i="12"/>
  <c r="MQ35" i="12" s="1"/>
  <c r="MQ26" i="12"/>
  <c r="L36" i="13"/>
  <c r="D36" i="13"/>
  <c r="G73" i="30" s="1"/>
  <c r="C36" i="13"/>
  <c r="L35" i="13"/>
  <c r="D35" i="13"/>
  <c r="G72" i="30" s="1"/>
  <c r="C35" i="13"/>
  <c r="MO27" i="12"/>
  <c r="C38" i="13" s="1"/>
  <c r="MP27" i="12"/>
  <c r="D38" i="13" s="1"/>
  <c r="G75" i="30" s="1"/>
  <c r="MO26" i="12"/>
  <c r="C37" i="13" s="1"/>
  <c r="MP26" i="12"/>
  <c r="D37" i="13" s="1"/>
  <c r="G74" i="30" s="1"/>
  <c r="F74" i="14" l="1"/>
  <c r="F74" i="30"/>
  <c r="F75" i="14"/>
  <c r="D60" i="23" s="1"/>
  <c r="F75" i="30"/>
  <c r="F73" i="14"/>
  <c r="D58" i="23" s="1"/>
  <c r="F73" i="30"/>
  <c r="F72" i="14"/>
  <c r="D57" i="23" s="1"/>
  <c r="F72" i="30"/>
  <c r="O1018" i="12"/>
  <c r="G74" i="14"/>
  <c r="E59" i="23" s="1"/>
  <c r="G72" i="14"/>
  <c r="E57" i="23" s="1"/>
  <c r="O73" i="14"/>
  <c r="M58" i="23" s="1"/>
  <c r="Q58" i="23" s="1"/>
  <c r="G75" i="14"/>
  <c r="E60" i="23" s="1"/>
  <c r="G73" i="14"/>
  <c r="E58" i="23" s="1"/>
  <c r="O72" i="14"/>
  <c r="M57" i="23" s="1"/>
  <c r="Q57" i="23" s="1"/>
  <c r="L37" i="13"/>
  <c r="O52" i="9"/>
  <c r="D59" i="23"/>
  <c r="L7" i="22"/>
  <c r="L14" i="22"/>
  <c r="L18" i="22"/>
  <c r="L22" i="22"/>
  <c r="L17" i="22"/>
  <c r="L21" i="22"/>
  <c r="L15" i="22"/>
  <c r="L10" i="22"/>
  <c r="L9" i="22"/>
  <c r="C32" i="13"/>
  <c r="C33" i="13"/>
  <c r="C34" i="13"/>
  <c r="C31" i="13"/>
  <c r="NP9" i="12"/>
  <c r="NQ12" i="12"/>
  <c r="NQ11" i="12"/>
  <c r="NG11" i="12" s="1"/>
  <c r="NQ10" i="12"/>
  <c r="NG10" i="12" s="1"/>
  <c r="NQ9" i="12"/>
  <c r="NG9" i="12" s="1"/>
  <c r="L13" i="22"/>
  <c r="NQ7" i="12"/>
  <c r="NQ6" i="12"/>
  <c r="NQ5" i="12"/>
  <c r="NQ4" i="12"/>
  <c r="I12" i="20"/>
  <c r="F68" i="14" l="1"/>
  <c r="F68" i="30"/>
  <c r="F70" i="14"/>
  <c r="F70" i="30"/>
  <c r="F71" i="14"/>
  <c r="F71" i="30"/>
  <c r="F69" i="14"/>
  <c r="F69" i="30"/>
  <c r="O1019" i="12"/>
  <c r="O74" i="14"/>
  <c r="M59" i="23" s="1"/>
  <c r="Q59" i="23" s="1"/>
  <c r="F25" i="9"/>
  <c r="O25" i="9"/>
  <c r="G26" i="9"/>
  <c r="G27" i="9"/>
  <c r="L16" i="22"/>
  <c r="L19" i="22"/>
  <c r="NP4" i="12"/>
  <c r="NP8" i="12"/>
  <c r="NP3" i="12"/>
  <c r="NG4" i="12"/>
  <c r="F20" i="9" s="1"/>
  <c r="O1020" i="12" l="1"/>
  <c r="L8" i="22"/>
  <c r="O20" i="9"/>
  <c r="L11" i="22"/>
  <c r="OM4" i="12"/>
  <c r="OM2" i="12" s="1"/>
  <c r="O41" i="9" s="1"/>
  <c r="OF4" i="12"/>
  <c r="NU7" i="12"/>
  <c r="OB7" i="12"/>
  <c r="OB5" i="12" s="1"/>
  <c r="NU4" i="12"/>
  <c r="OB4" i="12"/>
  <c r="OB2" i="12" s="1"/>
  <c r="NG12" i="12"/>
  <c r="NG7" i="12"/>
  <c r="G23" i="9" s="1"/>
  <c r="NG6" i="12"/>
  <c r="G22" i="9" s="1"/>
  <c r="NG5" i="12"/>
  <c r="G21" i="9" s="1"/>
  <c r="O1021" i="12" l="1"/>
  <c r="O36" i="9"/>
  <c r="O32" i="9"/>
  <c r="G28" i="9"/>
  <c r="MQ23" i="12"/>
  <c r="L34" i="13" s="1"/>
  <c r="O71" i="14" s="1"/>
  <c r="MQ22" i="12"/>
  <c r="L33" i="13" s="1"/>
  <c r="O70" i="14" s="1"/>
  <c r="MQ21" i="12"/>
  <c r="L32" i="13" s="1"/>
  <c r="O69" i="14" s="1"/>
  <c r="NP13" i="12"/>
  <c r="O1022" i="12" l="1"/>
  <c r="O29" i="9"/>
  <c r="L23" i="22"/>
  <c r="MQ20" i="12"/>
  <c r="L31" i="13" s="1"/>
  <c r="O68" i="14" s="1"/>
  <c r="O1023" i="12" l="1"/>
  <c r="O1024" i="12" l="1"/>
  <c r="EJ194" i="12"/>
  <c r="JQ11" i="12"/>
  <c r="O1025" i="12" l="1"/>
  <c r="T257" i="12"/>
  <c r="AC218" i="12"/>
  <c r="AC219" i="12"/>
  <c r="AC217" i="12"/>
  <c r="AE211" i="12"/>
  <c r="JA12" i="12" l="1"/>
  <c r="IY10" i="12"/>
  <c r="IY8" i="12"/>
  <c r="IX12" i="12"/>
  <c r="IY12" i="12"/>
  <c r="IZ12" i="12"/>
  <c r="IW12" i="12"/>
  <c r="IX10" i="12"/>
  <c r="IW10" i="12"/>
  <c r="IX8" i="12"/>
  <c r="IW8" i="12"/>
  <c r="JO6" i="12" l="1"/>
  <c r="JM6" i="12"/>
  <c r="JA11" i="12"/>
  <c r="IY9" i="12"/>
  <c r="IY7" i="12"/>
  <c r="IZ6" i="12"/>
  <c r="IX6" i="12"/>
  <c r="IW4" i="12"/>
  <c r="IQ22" i="12" l="1"/>
  <c r="IQ73" i="12"/>
  <c r="IQ37" i="12"/>
  <c r="IQ85" i="12"/>
  <c r="IQ69" i="12"/>
  <c r="IQ53" i="12"/>
  <c r="IQ81" i="12"/>
  <c r="IQ65" i="12"/>
  <c r="IQ49" i="12"/>
  <c r="IQ89" i="12"/>
  <c r="IQ57" i="12"/>
  <c r="IQ93" i="12"/>
  <c r="IQ77" i="12"/>
  <c r="IQ61" i="12"/>
  <c r="IQ45" i="12"/>
  <c r="IQ92" i="12"/>
  <c r="IQ88" i="12"/>
  <c r="IQ84" i="12"/>
  <c r="IQ80" i="12"/>
  <c r="IQ76" i="12"/>
  <c r="IQ72" i="12"/>
  <c r="IQ68" i="12"/>
  <c r="IQ64" i="12"/>
  <c r="IQ60" i="12"/>
  <c r="IQ56" i="12"/>
  <c r="IQ52" i="12"/>
  <c r="IQ48" i="12"/>
  <c r="IQ44" i="12"/>
  <c r="IQ40" i="12"/>
  <c r="IQ36" i="12"/>
  <c r="IQ32" i="12"/>
  <c r="IQ28" i="12"/>
  <c r="IQ24" i="12"/>
  <c r="IQ29" i="12"/>
  <c r="IQ91" i="12"/>
  <c r="IQ87" i="12"/>
  <c r="IQ83" i="12"/>
  <c r="IQ79" i="12"/>
  <c r="IQ75" i="12"/>
  <c r="IQ71" i="12"/>
  <c r="IQ67" i="12"/>
  <c r="IQ63" i="12"/>
  <c r="IQ59" i="12"/>
  <c r="IQ55" i="12"/>
  <c r="IQ51" i="12"/>
  <c r="IQ47" i="12"/>
  <c r="IQ43" i="12"/>
  <c r="IQ39" i="12"/>
  <c r="IQ35" i="12"/>
  <c r="IQ31" i="12"/>
  <c r="IQ27" i="12"/>
  <c r="IQ23" i="12"/>
  <c r="IQ41" i="12"/>
  <c r="IQ33" i="12"/>
  <c r="IQ25" i="12"/>
  <c r="IQ21" i="12"/>
  <c r="IQ20" i="12"/>
  <c r="IQ90" i="12"/>
  <c r="IQ86" i="12"/>
  <c r="IQ82" i="12"/>
  <c r="IQ78" i="12"/>
  <c r="IQ74" i="12"/>
  <c r="IQ70" i="12"/>
  <c r="IQ66" i="12"/>
  <c r="IQ62" i="12"/>
  <c r="IQ58" i="12"/>
  <c r="IQ54" i="12"/>
  <c r="IQ50" i="12"/>
  <c r="IQ46" i="12"/>
  <c r="IQ42" i="12"/>
  <c r="IQ38" i="12"/>
  <c r="IQ34" i="12"/>
  <c r="IQ30" i="12"/>
  <c r="IQ26" i="12"/>
  <c r="JO101" i="12"/>
  <c r="JO105" i="12"/>
  <c r="JO14" i="12"/>
  <c r="JO109" i="12"/>
  <c r="JO98" i="12"/>
  <c r="JO108" i="12"/>
  <c r="JO104" i="12"/>
  <c r="JO100" i="12"/>
  <c r="JO107" i="12"/>
  <c r="JO103" i="12"/>
  <c r="JO99" i="12"/>
  <c r="JO106" i="12"/>
  <c r="JO102" i="12"/>
  <c r="N223" i="12"/>
  <c r="EK172" i="12" s="1"/>
  <c r="IV19" i="12" l="1"/>
  <c r="IT19" i="12"/>
  <c r="IV26" i="12"/>
  <c r="IT26" i="12"/>
  <c r="IT34" i="12"/>
  <c r="IV34" i="12"/>
  <c r="JG16" i="12"/>
  <c r="JI16" i="12"/>
  <c r="IG34" i="12"/>
  <c r="IE34" i="12"/>
  <c r="K211" i="3"/>
  <c r="G17" i="4" s="1"/>
  <c r="I211" i="3"/>
  <c r="E17" i="4" s="1"/>
  <c r="H29" i="2"/>
  <c r="F29" i="2"/>
  <c r="J28" i="2"/>
  <c r="J43" i="2" s="1"/>
  <c r="GJ55" i="3"/>
  <c r="GJ10" i="3"/>
  <c r="GJ8" i="3"/>
  <c r="GW19" i="3" s="1"/>
  <c r="GX19" i="3" s="1"/>
  <c r="H57" i="2"/>
  <c r="H43" i="2"/>
  <c r="F43" i="2"/>
  <c r="IY27" i="12" l="1"/>
  <c r="IY28" i="12" s="1"/>
  <c r="IX27" i="12"/>
  <c r="IX28" i="12" s="1"/>
  <c r="JB27" i="12"/>
  <c r="JB28" i="12" s="1"/>
  <c r="JA27" i="12"/>
  <c r="JA28" i="12" s="1"/>
  <c r="JB35" i="12"/>
  <c r="JB36" i="12" s="1"/>
  <c r="JA35" i="12"/>
  <c r="JA36" i="12" s="1"/>
  <c r="IY20" i="12"/>
  <c r="IY21" i="12" s="1"/>
  <c r="IX20" i="12"/>
  <c r="IX21" i="12" s="1"/>
  <c r="IY35" i="12"/>
  <c r="IY36" i="12" s="1"/>
  <c r="IX35" i="12"/>
  <c r="IX36" i="12" s="1"/>
  <c r="JB20" i="12"/>
  <c r="JB21" i="12" s="1"/>
  <c r="JA20" i="12"/>
  <c r="JA21" i="12" s="1"/>
  <c r="M211" i="3"/>
  <c r="I17" i="4" s="1"/>
  <c r="C17" i="4"/>
  <c r="GJ53" i="3"/>
  <c r="GW18" i="3"/>
  <c r="GX18" i="3" s="1"/>
  <c r="GN18" i="3" s="1"/>
  <c r="GW20" i="3"/>
  <c r="GX20" i="3" s="1"/>
  <c r="GN20" i="3" s="1"/>
  <c r="GW21" i="3"/>
  <c r="GX21" i="3" s="1"/>
  <c r="GN21" i="3" s="1"/>
  <c r="GN19" i="3"/>
  <c r="JA37" i="12" l="1"/>
  <c r="IX29" i="12"/>
  <c r="IX37" i="12"/>
  <c r="JA22" i="12"/>
  <c r="IX22" i="12"/>
  <c r="JA29" i="12"/>
  <c r="GX22" i="3"/>
  <c r="GN22" i="3" s="1"/>
  <c r="GW64" i="3"/>
  <c r="GX64" i="3" s="1"/>
  <c r="GW65" i="3"/>
  <c r="GX65" i="3" s="1"/>
  <c r="GN65" i="3" s="1"/>
  <c r="GW66" i="3"/>
  <c r="GX66" i="3" s="1"/>
  <c r="GN66" i="3" s="1"/>
  <c r="GW63" i="3"/>
  <c r="GX63" i="3" s="1"/>
  <c r="GN63" i="3" s="1"/>
  <c r="IP10" i="12" l="1"/>
  <c r="IP8" i="12"/>
  <c r="IP12" i="12"/>
  <c r="GX23" i="3"/>
  <c r="GN23" i="3" s="1"/>
  <c r="GN64" i="3"/>
  <c r="GX67" i="3"/>
  <c r="AT219" i="12"/>
  <c r="ES195" i="12"/>
  <c r="GX24" i="3" l="1"/>
  <c r="GX25" i="3" s="1"/>
  <c r="GN25" i="3" s="1"/>
  <c r="GN67" i="3"/>
  <c r="GX68" i="3"/>
  <c r="GN68" i="3" s="1"/>
  <c r="GN24" i="3"/>
  <c r="ET195" i="12"/>
  <c r="JP11" i="12"/>
  <c r="JO11" i="12"/>
  <c r="JN11" i="12"/>
  <c r="JM11" i="12"/>
  <c r="JO9" i="12"/>
  <c r="JN9" i="12"/>
  <c r="JM9" i="12"/>
  <c r="GX69" i="3" l="1"/>
  <c r="GN69" i="3" s="1"/>
  <c r="GX26" i="3"/>
  <c r="JO87" i="12"/>
  <c r="JO79" i="12"/>
  <c r="JO75" i="12"/>
  <c r="JO67" i="12"/>
  <c r="JO59" i="12"/>
  <c r="JO55" i="12"/>
  <c r="JO47" i="12"/>
  <c r="JO39" i="12"/>
  <c r="JO35" i="12"/>
  <c r="JO27" i="12"/>
  <c r="JO19" i="12"/>
  <c r="JO82" i="12"/>
  <c r="JO78" i="12"/>
  <c r="JO74" i="12"/>
  <c r="JO70" i="12"/>
  <c r="JO66" i="12"/>
  <c r="JO62" i="12"/>
  <c r="JO58" i="12"/>
  <c r="JO54" i="12"/>
  <c r="JO50" i="12"/>
  <c r="JO46" i="12"/>
  <c r="JO42" i="12"/>
  <c r="JO38" i="12"/>
  <c r="JO34" i="12"/>
  <c r="JO30" i="12"/>
  <c r="JO26" i="12"/>
  <c r="JO22" i="12"/>
  <c r="JO18" i="12"/>
  <c r="JO86" i="12"/>
  <c r="JO94" i="12"/>
  <c r="JO90" i="12"/>
  <c r="JO85" i="12"/>
  <c r="JO77" i="12"/>
  <c r="JO69" i="12"/>
  <c r="JO61" i="12"/>
  <c r="JO49" i="12"/>
  <c r="JO41" i="12"/>
  <c r="JO33" i="12"/>
  <c r="JO25" i="12"/>
  <c r="JO17" i="12"/>
  <c r="JO97" i="12"/>
  <c r="JO93" i="12"/>
  <c r="JO89" i="12"/>
  <c r="JO81" i="12"/>
  <c r="JO73" i="12"/>
  <c r="JO65" i="12"/>
  <c r="JO57" i="12"/>
  <c r="JO53" i="12"/>
  <c r="JO45" i="12"/>
  <c r="JO37" i="12"/>
  <c r="JO29" i="12"/>
  <c r="JO21" i="12"/>
  <c r="JO84" i="12"/>
  <c r="JO80" i="12"/>
  <c r="JO76" i="12"/>
  <c r="JO72" i="12"/>
  <c r="JO68" i="12"/>
  <c r="JO64" i="12"/>
  <c r="JO60" i="12"/>
  <c r="JO56" i="12"/>
  <c r="JO52" i="12"/>
  <c r="JO48" i="12"/>
  <c r="JO44" i="12"/>
  <c r="JO40" i="12"/>
  <c r="JO36" i="12"/>
  <c r="JO32" i="12"/>
  <c r="JO28" i="12"/>
  <c r="JO24" i="12"/>
  <c r="JO20" i="12"/>
  <c r="JO16" i="12"/>
  <c r="JO96" i="12"/>
  <c r="JO92" i="12"/>
  <c r="JO88" i="12"/>
  <c r="JO83" i="12"/>
  <c r="JO71" i="12"/>
  <c r="JO63" i="12"/>
  <c r="JO51" i="12"/>
  <c r="JO43" i="12"/>
  <c r="JO31" i="12"/>
  <c r="JO23" i="12"/>
  <c r="JO15" i="12"/>
  <c r="JO95" i="12"/>
  <c r="JO91" i="12"/>
  <c r="JQ10" i="12"/>
  <c r="JO8" i="12"/>
  <c r="JM3" i="12"/>
  <c r="JI14" i="12" l="1"/>
  <c r="JG14" i="12"/>
  <c r="GX70" i="3"/>
  <c r="GN70" i="3" s="1"/>
  <c r="GN26" i="3"/>
  <c r="GX28" i="3"/>
  <c r="GN28" i="3" s="1"/>
  <c r="P211" i="3" s="1"/>
  <c r="GX71" i="3" l="1"/>
  <c r="GX73" i="3" s="1"/>
  <c r="GN73" i="3" s="1"/>
  <c r="R211" i="3" s="1"/>
  <c r="N17" i="4" s="1"/>
  <c r="GN71" i="3"/>
  <c r="L17" i="4"/>
  <c r="M43" i="2"/>
  <c r="JG20" i="12"/>
  <c r="JG21" i="12" s="1"/>
  <c r="JH20" i="12"/>
  <c r="JH21" i="12" s="1"/>
  <c r="JJ20" i="12"/>
  <c r="JJ21" i="12" s="1"/>
  <c r="JK20" i="12"/>
  <c r="JK21" i="12" s="1"/>
  <c r="JK26" i="12"/>
  <c r="JK27" i="12" s="1"/>
  <c r="JJ26" i="12"/>
  <c r="JJ27" i="12" s="1"/>
  <c r="JH26" i="12"/>
  <c r="JH27" i="12" s="1"/>
  <c r="JG26" i="12"/>
  <c r="JG27" i="12" s="1"/>
  <c r="CV94" i="3"/>
  <c r="H52" i="2"/>
  <c r="H53" i="2"/>
  <c r="H54" i="2"/>
  <c r="H55" i="2"/>
  <c r="H56" i="2"/>
  <c r="T211" i="3" l="1"/>
  <c r="P17" i="4" s="1"/>
  <c r="O43" i="2"/>
  <c r="Q43" i="2"/>
  <c r="K57" i="2" s="1"/>
  <c r="JG22" i="12"/>
  <c r="JJ22" i="12"/>
  <c r="JG28" i="12"/>
  <c r="JJ28" i="12"/>
  <c r="M31" i="11" l="1"/>
  <c r="Y31" i="11" s="1"/>
  <c r="AD31" i="11"/>
  <c r="W31" i="11" s="1"/>
  <c r="JF9" i="12"/>
  <c r="JF11" i="12"/>
  <c r="D37" i="2"/>
  <c r="H51" i="2" s="1"/>
  <c r="D36" i="2"/>
  <c r="H50" i="2" s="1"/>
  <c r="BC16" i="6"/>
  <c r="BC15" i="6"/>
  <c r="BC14" i="6"/>
  <c r="BC13" i="6"/>
  <c r="BC12" i="6"/>
  <c r="BC11" i="6"/>
  <c r="BC10" i="6"/>
  <c r="BC9" i="6"/>
  <c r="CU94" i="3"/>
  <c r="BC18" i="6" s="1"/>
  <c r="CU93" i="3"/>
  <c r="BC17" i="6" s="1"/>
  <c r="H37" i="2"/>
  <c r="H38" i="2"/>
  <c r="H39" i="2"/>
  <c r="H40" i="2"/>
  <c r="H41" i="2"/>
  <c r="H42" i="2"/>
  <c r="H36" i="2"/>
  <c r="F37" i="2"/>
  <c r="F38" i="2"/>
  <c r="F39" i="2"/>
  <c r="F40" i="2"/>
  <c r="F41" i="2"/>
  <c r="F42" i="2"/>
  <c r="F36" i="2"/>
  <c r="Q11" i="2"/>
  <c r="K209" i="3"/>
  <c r="G15" i="4" s="1"/>
  <c r="K210" i="3"/>
  <c r="G16" i="4" s="1"/>
  <c r="K205" i="3"/>
  <c r="G11" i="4" s="1"/>
  <c r="K206" i="3"/>
  <c r="K207" i="3"/>
  <c r="G13" i="4" s="1"/>
  <c r="K208" i="3"/>
  <c r="G14" i="4" s="1"/>
  <c r="K204" i="3"/>
  <c r="G10" i="4" s="1"/>
  <c r="I209" i="3"/>
  <c r="E15" i="4" s="1"/>
  <c r="I210" i="3"/>
  <c r="E16" i="4" s="1"/>
  <c r="I205" i="3"/>
  <c r="E11" i="4" s="1"/>
  <c r="I206" i="3"/>
  <c r="I207" i="3"/>
  <c r="E13" i="4" s="1"/>
  <c r="I208" i="3"/>
  <c r="C14" i="4" s="1"/>
  <c r="I204" i="3"/>
  <c r="C10" i="4" s="1"/>
  <c r="FK55" i="3"/>
  <c r="EL55" i="3"/>
  <c r="DL55" i="3"/>
  <c r="CJ54" i="3"/>
  <c r="BH54" i="3"/>
  <c r="AG54" i="3"/>
  <c r="I54" i="3"/>
  <c r="FK10" i="3"/>
  <c r="FK8" i="3"/>
  <c r="FX21" i="3" s="1"/>
  <c r="FY21" i="3" s="1"/>
  <c r="FO21" i="3" s="1"/>
  <c r="EL10" i="3"/>
  <c r="EL8" i="3"/>
  <c r="EY18" i="3" s="1"/>
  <c r="EZ18" i="3" s="1"/>
  <c r="EP18" i="3" s="1"/>
  <c r="J27" i="2"/>
  <c r="M210" i="3" s="1"/>
  <c r="I16" i="4" s="1"/>
  <c r="J26" i="2"/>
  <c r="M209" i="3" s="1"/>
  <c r="I15" i="4" s="1"/>
  <c r="DL10" i="3"/>
  <c r="DL8" i="3"/>
  <c r="DY18" i="3" s="1"/>
  <c r="DZ18" i="3" s="1"/>
  <c r="DP18" i="3" s="1"/>
  <c r="CJ9" i="3"/>
  <c r="CJ7" i="3"/>
  <c r="CW20" i="3" s="1"/>
  <c r="CX20" i="3" s="1"/>
  <c r="CN20" i="3" s="1"/>
  <c r="BH9" i="3"/>
  <c r="BH7" i="3"/>
  <c r="BU17" i="3" s="1"/>
  <c r="BV17" i="3" s="1"/>
  <c r="BL17" i="3" s="1"/>
  <c r="AG9" i="3"/>
  <c r="AG7" i="3"/>
  <c r="AT18" i="3" s="1"/>
  <c r="AU18" i="3" s="1"/>
  <c r="I9" i="3"/>
  <c r="I7" i="3"/>
  <c r="V19" i="3" s="1"/>
  <c r="W19" i="3" s="1"/>
  <c r="M19" i="3" s="1"/>
  <c r="CE129" i="3"/>
  <c r="CE128" i="3"/>
  <c r="CE127" i="3"/>
  <c r="CE126" i="3"/>
  <c r="CE125" i="3"/>
  <c r="CE124" i="3"/>
  <c r="CE123" i="3"/>
  <c r="CE122" i="3"/>
  <c r="CE121" i="3"/>
  <c r="CE120" i="3"/>
  <c r="CE119" i="3"/>
  <c r="CE118" i="3"/>
  <c r="CE117" i="3"/>
  <c r="CE116" i="3"/>
  <c r="CE115" i="3"/>
  <c r="CE114" i="3"/>
  <c r="CE113" i="3"/>
  <c r="CE112" i="3"/>
  <c r="CE111" i="3"/>
  <c r="CE110" i="3"/>
  <c r="CE109" i="3"/>
  <c r="CE108" i="3"/>
  <c r="CE107" i="3"/>
  <c r="CE106" i="3"/>
  <c r="CE105" i="3"/>
  <c r="CE104" i="3"/>
  <c r="CE103" i="3"/>
  <c r="CE102" i="3"/>
  <c r="CE101" i="3"/>
  <c r="CE100" i="3"/>
  <c r="CE99" i="3"/>
  <c r="CE94" i="3"/>
  <c r="CM101" i="3" s="1"/>
  <c r="CN101" i="3" s="1"/>
  <c r="K212" i="3" l="1"/>
  <c r="I212" i="3"/>
  <c r="E18" i="4" s="1"/>
  <c r="D50" i="6"/>
  <c r="G12" i="4"/>
  <c r="T25" i="2"/>
  <c r="E12" i="4"/>
  <c r="J41" i="2"/>
  <c r="J42" i="2"/>
  <c r="C13" i="4"/>
  <c r="R13" i="4" s="1"/>
  <c r="E14" i="4"/>
  <c r="C16" i="4"/>
  <c r="R16" i="4" s="1"/>
  <c r="C11" i="4"/>
  <c r="R11" i="4" s="1"/>
  <c r="C15" i="4"/>
  <c r="R15" i="4" s="1"/>
  <c r="C12" i="4"/>
  <c r="R12" i="4" s="1"/>
  <c r="E10" i="4"/>
  <c r="H44" i="2"/>
  <c r="F44" i="2"/>
  <c r="FK53" i="3"/>
  <c r="EL53" i="3"/>
  <c r="EY63" i="3" s="1"/>
  <c r="EZ63" i="3" s="1"/>
  <c r="EP63" i="3" s="1"/>
  <c r="CM103" i="3"/>
  <c r="CN103" i="3" s="1"/>
  <c r="CM99" i="3"/>
  <c r="CN99" i="3" s="1"/>
  <c r="FX20" i="3"/>
  <c r="FY20" i="3" s="1"/>
  <c r="FO20" i="3" s="1"/>
  <c r="FX19" i="3"/>
  <c r="FY19" i="3" s="1"/>
  <c r="FX18" i="3"/>
  <c r="FY18" i="3" s="1"/>
  <c r="FO18" i="3" s="1"/>
  <c r="EY19" i="3"/>
  <c r="EZ19" i="3" s="1"/>
  <c r="EP19" i="3" s="1"/>
  <c r="EY21" i="3"/>
  <c r="EZ21" i="3" s="1"/>
  <c r="EP21" i="3" s="1"/>
  <c r="EY20" i="3"/>
  <c r="EZ20" i="3" s="1"/>
  <c r="EP20" i="3" s="1"/>
  <c r="V17" i="3"/>
  <c r="W17" i="3" s="1"/>
  <c r="M17" i="3" s="1"/>
  <c r="DY21" i="3"/>
  <c r="DZ21" i="3" s="1"/>
  <c r="DP21" i="3" s="1"/>
  <c r="DY20" i="3"/>
  <c r="DZ20" i="3" s="1"/>
  <c r="DP20" i="3" s="1"/>
  <c r="DY19" i="3"/>
  <c r="DZ19" i="3" s="1"/>
  <c r="CW17" i="3"/>
  <c r="CX17" i="3" s="1"/>
  <c r="CN17" i="3" s="1"/>
  <c r="CW18" i="3"/>
  <c r="CX18" i="3" s="1"/>
  <c r="CN18" i="3" s="1"/>
  <c r="AK18" i="3"/>
  <c r="AT17" i="3"/>
  <c r="AU17" i="3" s="1"/>
  <c r="AK17" i="3" s="1"/>
  <c r="V18" i="3"/>
  <c r="W18" i="3" s="1"/>
  <c r="CW19" i="3"/>
  <c r="CX19" i="3" s="1"/>
  <c r="CN19" i="3" s="1"/>
  <c r="BU20" i="3"/>
  <c r="BV20" i="3" s="1"/>
  <c r="BL20" i="3" s="1"/>
  <c r="BU19" i="3"/>
  <c r="BV19" i="3" s="1"/>
  <c r="BL19" i="3" s="1"/>
  <c r="AT20" i="3"/>
  <c r="AU20" i="3" s="1"/>
  <c r="AK20" i="3" s="1"/>
  <c r="BU18" i="3"/>
  <c r="BV18" i="3" s="1"/>
  <c r="AT19" i="3"/>
  <c r="AU19" i="3" s="1"/>
  <c r="AK19" i="3" s="1"/>
  <c r="V20" i="3"/>
  <c r="W20" i="3" s="1"/>
  <c r="M20" i="3" s="1"/>
  <c r="D57" i="6"/>
  <c r="H19" i="6"/>
  <c r="H17" i="6"/>
  <c r="H21" i="6"/>
  <c r="H18" i="6"/>
  <c r="H15" i="6"/>
  <c r="H13" i="6"/>
  <c r="H11" i="6"/>
  <c r="H9" i="6"/>
  <c r="R14" i="4"/>
  <c r="R10" i="4"/>
  <c r="K32" i="7"/>
  <c r="O16" i="7"/>
  <c r="M16" i="7"/>
  <c r="H16" i="7"/>
  <c r="F16" i="7"/>
  <c r="J16" i="7" s="1"/>
  <c r="O15" i="7"/>
  <c r="M15" i="7"/>
  <c r="H15" i="7"/>
  <c r="F15" i="7"/>
  <c r="J15" i="7" s="1"/>
  <c r="O14" i="7"/>
  <c r="M14" i="7"/>
  <c r="H14" i="7"/>
  <c r="F14" i="7"/>
  <c r="J14" i="7" s="1"/>
  <c r="O13" i="7"/>
  <c r="M13" i="7"/>
  <c r="H13" i="7"/>
  <c r="F13" i="7"/>
  <c r="J13" i="7" s="1"/>
  <c r="O12" i="7"/>
  <c r="M12" i="7"/>
  <c r="H12" i="7"/>
  <c r="F12" i="7"/>
  <c r="J12" i="7" s="1"/>
  <c r="O11" i="7"/>
  <c r="M11" i="7"/>
  <c r="H11" i="7"/>
  <c r="F11" i="7"/>
  <c r="J11" i="7" s="1"/>
  <c r="O10" i="7"/>
  <c r="M10" i="7"/>
  <c r="H10" i="7"/>
  <c r="F10" i="7"/>
  <c r="O9" i="7"/>
  <c r="M9" i="7"/>
  <c r="H9" i="7"/>
  <c r="H17" i="7" s="1"/>
  <c r="F9" i="7"/>
  <c r="J25" i="2"/>
  <c r="J40" i="2" s="1"/>
  <c r="J24" i="2"/>
  <c r="J39" i="2" s="1"/>
  <c r="J23" i="2"/>
  <c r="J22" i="2"/>
  <c r="J37" i="2" s="1"/>
  <c r="J21" i="2"/>
  <c r="Q12" i="7" l="1"/>
  <c r="K26" i="7" s="1"/>
  <c r="Q13" i="7"/>
  <c r="K27" i="7" s="1"/>
  <c r="J10" i="7"/>
  <c r="J38" i="2"/>
  <c r="J29" i="2"/>
  <c r="M17" i="7"/>
  <c r="Q14" i="7"/>
  <c r="K28" i="7" s="1"/>
  <c r="Q15" i="7"/>
  <c r="K29" i="7" s="1"/>
  <c r="Q9" i="7"/>
  <c r="K23" i="7" s="1"/>
  <c r="Q16" i="7"/>
  <c r="K30" i="7" s="1"/>
  <c r="J9" i="7"/>
  <c r="Q10" i="7"/>
  <c r="K24" i="7" s="1"/>
  <c r="Q11" i="7"/>
  <c r="K25" i="7" s="1"/>
  <c r="BO103" i="3"/>
  <c r="I8" i="5" s="1"/>
  <c r="G18" i="4"/>
  <c r="BO126" i="3"/>
  <c r="J36" i="2"/>
  <c r="FX66" i="3"/>
  <c r="FY66" i="3" s="1"/>
  <c r="FO66" i="3" s="1"/>
  <c r="FX65" i="3"/>
  <c r="FY65" i="3" s="1"/>
  <c r="FO65" i="3" s="1"/>
  <c r="FX64" i="3"/>
  <c r="FY64" i="3" s="1"/>
  <c r="FO64" i="3" s="1"/>
  <c r="FX63" i="3"/>
  <c r="FY63" i="3" s="1"/>
  <c r="FO63" i="3" s="1"/>
  <c r="EY66" i="3"/>
  <c r="EZ66" i="3" s="1"/>
  <c r="EP66" i="3" s="1"/>
  <c r="AG52" i="3"/>
  <c r="M205" i="3"/>
  <c r="I11" i="4" s="1"/>
  <c r="I52" i="3"/>
  <c r="M204" i="3"/>
  <c r="I10" i="4" s="1"/>
  <c r="M208" i="3"/>
  <c r="I14" i="4" s="1"/>
  <c r="DL53" i="3"/>
  <c r="BH52" i="3"/>
  <c r="M206" i="3"/>
  <c r="EY65" i="3"/>
  <c r="EZ65" i="3" s="1"/>
  <c r="EP65" i="3" s="1"/>
  <c r="EY64" i="3"/>
  <c r="EZ64" i="3" s="1"/>
  <c r="EP64" i="3" s="1"/>
  <c r="M207" i="3"/>
  <c r="I13" i="4" s="1"/>
  <c r="CJ52" i="3"/>
  <c r="CN106" i="3"/>
  <c r="E54" i="6" s="1"/>
  <c r="FY22" i="3"/>
  <c r="FY23" i="3" s="1"/>
  <c r="FO23" i="3" s="1"/>
  <c r="FO19" i="3"/>
  <c r="EZ22" i="3"/>
  <c r="DZ22" i="3"/>
  <c r="DZ23" i="3" s="1"/>
  <c r="DP23" i="3" s="1"/>
  <c r="DP19" i="3"/>
  <c r="BV21" i="3"/>
  <c r="BL18" i="3"/>
  <c r="M18" i="3"/>
  <c r="W21" i="3"/>
  <c r="CX21" i="3"/>
  <c r="CX22" i="3" s="1"/>
  <c r="CN22" i="3" s="1"/>
  <c r="AU21" i="3"/>
  <c r="F17" i="7"/>
  <c r="O17" i="7"/>
  <c r="Q17" i="7" l="1"/>
  <c r="K31" i="7" s="1"/>
  <c r="J17" i="7"/>
  <c r="M212" i="3"/>
  <c r="I18" i="4" s="1"/>
  <c r="I12" i="4"/>
  <c r="EZ23" i="3"/>
  <c r="EP23" i="3" s="1"/>
  <c r="L28" i="6"/>
  <c r="J44" i="2"/>
  <c r="FY67" i="3"/>
  <c r="FY68" i="3" s="1"/>
  <c r="FO68" i="3" s="1"/>
  <c r="CW63" i="3"/>
  <c r="CX63" i="3" s="1"/>
  <c r="CW65" i="3"/>
  <c r="CX65" i="3" s="1"/>
  <c r="CN65" i="3" s="1"/>
  <c r="CW62" i="3"/>
  <c r="CX62" i="3" s="1"/>
  <c r="CN62" i="3" s="1"/>
  <c r="CW64" i="3"/>
  <c r="CX64" i="3" s="1"/>
  <c r="CN64" i="3" s="1"/>
  <c r="EZ67" i="3"/>
  <c r="EP67" i="3" s="1"/>
  <c r="BU64" i="3"/>
  <c r="BV64" i="3" s="1"/>
  <c r="BL64" i="3" s="1"/>
  <c r="BU65" i="3"/>
  <c r="BV65" i="3" s="1"/>
  <c r="BL65" i="3" s="1"/>
  <c r="BU62" i="3"/>
  <c r="BV62" i="3" s="1"/>
  <c r="BL62" i="3" s="1"/>
  <c r="BU63" i="3"/>
  <c r="BV63" i="3" s="1"/>
  <c r="V65" i="3"/>
  <c r="W65" i="3" s="1"/>
  <c r="M65" i="3" s="1"/>
  <c r="V63" i="3"/>
  <c r="W63" i="3" s="1"/>
  <c r="V62" i="3"/>
  <c r="W62" i="3" s="1"/>
  <c r="M62" i="3" s="1"/>
  <c r="V64" i="3"/>
  <c r="W64" i="3" s="1"/>
  <c r="M64" i="3" s="1"/>
  <c r="DY64" i="3"/>
  <c r="DZ64" i="3" s="1"/>
  <c r="DY63" i="3"/>
  <c r="DZ63" i="3" s="1"/>
  <c r="DP63" i="3" s="1"/>
  <c r="DY65" i="3"/>
  <c r="DZ65" i="3" s="1"/>
  <c r="DP65" i="3" s="1"/>
  <c r="DY66" i="3"/>
  <c r="DZ66" i="3" s="1"/>
  <c r="DP66" i="3" s="1"/>
  <c r="AT65" i="3"/>
  <c r="AU65" i="3" s="1"/>
  <c r="AK65" i="3" s="1"/>
  <c r="AT63" i="3"/>
  <c r="AU63" i="3" s="1"/>
  <c r="AT62" i="3"/>
  <c r="AU62" i="3" s="1"/>
  <c r="AK62" i="3" s="1"/>
  <c r="AT64" i="3"/>
  <c r="AU64" i="3" s="1"/>
  <c r="AK64" i="3" s="1"/>
  <c r="FY24" i="3"/>
  <c r="FO22" i="3"/>
  <c r="EP22" i="3"/>
  <c r="DZ24" i="3"/>
  <c r="DP22" i="3"/>
  <c r="CN21" i="3"/>
  <c r="CX23" i="3"/>
  <c r="AK21" i="3"/>
  <c r="AU22" i="3"/>
  <c r="AK22" i="3" s="1"/>
  <c r="BL21" i="3"/>
  <c r="BV22" i="3"/>
  <c r="BL22" i="3" s="1"/>
  <c r="M21" i="3"/>
  <c r="W22" i="3"/>
  <c r="M22" i="3" s="1"/>
  <c r="EZ68" i="3" l="1"/>
  <c r="EP68" i="3" s="1"/>
  <c r="EZ24" i="3"/>
  <c r="FO24" i="3"/>
  <c r="FY25" i="3"/>
  <c r="FO25" i="3" s="1"/>
  <c r="FY69" i="3"/>
  <c r="FO69" i="3" s="1"/>
  <c r="FO67" i="3"/>
  <c r="M63" i="3"/>
  <c r="W66" i="3"/>
  <c r="DP64" i="3"/>
  <c r="DZ67" i="3"/>
  <c r="DZ68" i="3" s="1"/>
  <c r="DP68" i="3" s="1"/>
  <c r="BV66" i="3"/>
  <c r="BL63" i="3"/>
  <c r="AU66" i="3"/>
  <c r="AK63" i="3"/>
  <c r="CN63" i="3"/>
  <c r="CX66" i="3"/>
  <c r="CX67" i="3" s="1"/>
  <c r="CN67" i="3" s="1"/>
  <c r="DZ26" i="3"/>
  <c r="DP25" i="3" s="1"/>
  <c r="DZ25" i="3"/>
  <c r="DP24" i="3" s="1"/>
  <c r="AU23" i="3"/>
  <c r="BV23" i="3"/>
  <c r="CX25" i="3"/>
  <c r="CN24" i="3" s="1"/>
  <c r="CX24" i="3"/>
  <c r="CN23" i="3" s="1"/>
  <c r="W23" i="3"/>
  <c r="EZ69" i="3" l="1"/>
  <c r="EZ25" i="3"/>
  <c r="EP25" i="3" s="1"/>
  <c r="EP24" i="3"/>
  <c r="FY70" i="3"/>
  <c r="FY26" i="3"/>
  <c r="DZ69" i="3"/>
  <c r="DP67" i="3"/>
  <c r="AU67" i="3"/>
  <c r="AK67" i="3" s="1"/>
  <c r="AK66" i="3"/>
  <c r="CN66" i="3"/>
  <c r="CX68" i="3"/>
  <c r="W67" i="3"/>
  <c r="M67" i="3" s="1"/>
  <c r="M66" i="3"/>
  <c r="BL66" i="3"/>
  <c r="BV67" i="3"/>
  <c r="BL67" i="3" s="1"/>
  <c r="DZ27" i="3"/>
  <c r="DP26" i="3" s="1"/>
  <c r="CX26" i="3"/>
  <c r="CN25" i="3" s="1"/>
  <c r="BV25" i="3"/>
  <c r="BL24" i="3" s="1"/>
  <c r="BV24" i="3"/>
  <c r="BL23" i="3" s="1"/>
  <c r="W25" i="3"/>
  <c r="M24" i="3" s="1"/>
  <c r="W24" i="3"/>
  <c r="M23" i="3" s="1"/>
  <c r="AU25" i="3"/>
  <c r="AK24" i="3" s="1"/>
  <c r="AU24" i="3"/>
  <c r="AK23" i="3" s="1"/>
  <c r="EZ26" i="3" l="1"/>
  <c r="EZ28" i="3" s="1"/>
  <c r="EP28" i="3" s="1"/>
  <c r="P209" i="3" s="1"/>
  <c r="M41" i="2" s="1"/>
  <c r="EP69" i="3"/>
  <c r="EZ70" i="3"/>
  <c r="FY71" i="3"/>
  <c r="FO71" i="3" s="1"/>
  <c r="FO70" i="3"/>
  <c r="FO26" i="3"/>
  <c r="FY28" i="3"/>
  <c r="FO28" i="3" s="1"/>
  <c r="P210" i="3" s="1"/>
  <c r="AU68" i="3"/>
  <c r="AU69" i="3" s="1"/>
  <c r="W68" i="3"/>
  <c r="DZ70" i="3"/>
  <c r="DP69" i="3" s="1"/>
  <c r="DZ71" i="3"/>
  <c r="DP70" i="3" s="1"/>
  <c r="CX69" i="3"/>
  <c r="CN68" i="3" s="1"/>
  <c r="CX70" i="3"/>
  <c r="CN69" i="3" s="1"/>
  <c r="BV68" i="3"/>
  <c r="DZ29" i="3"/>
  <c r="DP28" i="3" s="1"/>
  <c r="P208" i="3" s="1"/>
  <c r="CX28" i="3"/>
  <c r="CN27" i="3" s="1"/>
  <c r="P207" i="3" s="1"/>
  <c r="BV26" i="3"/>
  <c r="AU26" i="3"/>
  <c r="W26" i="3"/>
  <c r="EP26" i="3" l="1"/>
  <c r="L15" i="4"/>
  <c r="EP70" i="3"/>
  <c r="EZ71" i="3"/>
  <c r="FY73" i="3"/>
  <c r="FO73" i="3" s="1"/>
  <c r="R210" i="3" s="1"/>
  <c r="N16" i="4" s="1"/>
  <c r="M39" i="2"/>
  <c r="L13" i="4"/>
  <c r="M40" i="2"/>
  <c r="L14" i="4"/>
  <c r="L16" i="4"/>
  <c r="M42" i="2"/>
  <c r="AU70" i="3"/>
  <c r="AK69" i="3" s="1"/>
  <c r="DZ72" i="3"/>
  <c r="DZ74" i="3" s="1"/>
  <c r="DP73" i="3" s="1"/>
  <c r="BV70" i="3"/>
  <c r="BL69" i="3" s="1"/>
  <c r="BV69" i="3"/>
  <c r="AK68" i="3"/>
  <c r="CX71" i="3"/>
  <c r="W70" i="3"/>
  <c r="M69" i="3" s="1"/>
  <c r="W69" i="3"/>
  <c r="M68" i="3" s="1"/>
  <c r="AK25" i="3"/>
  <c r="AU28" i="3"/>
  <c r="AK27" i="3" s="1"/>
  <c r="P205" i="3" s="1"/>
  <c r="W28" i="3"/>
  <c r="M27" i="3" s="1"/>
  <c r="P204" i="3" s="1"/>
  <c r="M25" i="3"/>
  <c r="BV28" i="3"/>
  <c r="BL27" i="3" s="1"/>
  <c r="P206" i="3" s="1"/>
  <c r="BL25" i="3"/>
  <c r="P212" i="3" l="1"/>
  <c r="O42" i="2"/>
  <c r="EZ73" i="3"/>
  <c r="EP73" i="3" s="1"/>
  <c r="R209" i="3" s="1"/>
  <c r="EP71" i="3"/>
  <c r="R208" i="3"/>
  <c r="L12" i="4"/>
  <c r="M38" i="2"/>
  <c r="L11" i="4"/>
  <c r="M37" i="2"/>
  <c r="AU71" i="3"/>
  <c r="AK70" i="3" s="1"/>
  <c r="M36" i="2"/>
  <c r="L10" i="4"/>
  <c r="DP71" i="3"/>
  <c r="T210" i="3"/>
  <c r="W71" i="3"/>
  <c r="BL68" i="3"/>
  <c r="BV71" i="3"/>
  <c r="CN70" i="3"/>
  <c r="CX73" i="3"/>
  <c r="CN72" i="3" s="1"/>
  <c r="R207" i="3" s="1"/>
  <c r="O41" i="2" l="1"/>
  <c r="N15" i="4"/>
  <c r="T209" i="3"/>
  <c r="P16" i="4"/>
  <c r="Q42" i="2"/>
  <c r="K56" i="2" s="1"/>
  <c r="O39" i="2"/>
  <c r="N13" i="4"/>
  <c r="O40" i="2"/>
  <c r="N14" i="4"/>
  <c r="T208" i="3"/>
  <c r="AU73" i="3"/>
  <c r="AK72" i="3" s="1"/>
  <c r="R205" i="3" s="1"/>
  <c r="O37" i="2" s="1"/>
  <c r="M44" i="2"/>
  <c r="L18" i="4"/>
  <c r="T207" i="3"/>
  <c r="W73" i="3"/>
  <c r="M72" i="3" s="1"/>
  <c r="R204" i="3" s="1"/>
  <c r="M70" i="3"/>
  <c r="BL70" i="3"/>
  <c r="BV73" i="3"/>
  <c r="BL72" i="3" s="1"/>
  <c r="R206" i="3" s="1"/>
  <c r="R212" i="3" l="1"/>
  <c r="Q41" i="2"/>
  <c r="K55" i="2" s="1"/>
  <c r="P15" i="4"/>
  <c r="Q39" i="2"/>
  <c r="K53" i="2" s="1"/>
  <c r="P13" i="4"/>
  <c r="Q40" i="2"/>
  <c r="K54" i="2" s="1"/>
  <c r="P14" i="4"/>
  <c r="T205" i="3"/>
  <c r="P11" i="4" s="1"/>
  <c r="N12" i="4"/>
  <c r="O38" i="2"/>
  <c r="N11" i="4"/>
  <c r="O36" i="2"/>
  <c r="N10" i="4"/>
  <c r="T206" i="3"/>
  <c r="T204" i="3"/>
  <c r="BQ90" i="8"/>
  <c r="T212" i="3" l="1"/>
  <c r="Q37" i="2"/>
  <c r="K51" i="2" s="1"/>
  <c r="P12" i="4"/>
  <c r="Q38" i="2"/>
  <c r="K52" i="2" s="1"/>
  <c r="O44" i="2"/>
  <c r="N18" i="4"/>
  <c r="Q36" i="2"/>
  <c r="P10" i="4"/>
  <c r="B10" i="4" s="1"/>
  <c r="B11" i="4" s="1"/>
  <c r="P18" i="4"/>
  <c r="B12" i="4" l="1"/>
  <c r="B13" i="4" s="1"/>
  <c r="B14" i="4" s="1"/>
  <c r="B15" i="4" s="1"/>
  <c r="B16" i="4" s="1"/>
  <c r="B17" i="4" s="1"/>
  <c r="BO115" i="3"/>
  <c r="Q44" i="2"/>
  <c r="T9" i="2" s="1"/>
  <c r="K50" i="2"/>
  <c r="K58" i="2" s="1"/>
  <c r="I19" i="5" l="1"/>
  <c r="AM23" i="23"/>
  <c r="AM17" i="23"/>
  <c r="AM11" i="23"/>
  <c r="AM10" i="23"/>
  <c r="AM8" i="23"/>
  <c r="AM7" i="23"/>
  <c r="M25" i="23"/>
  <c r="D43" i="13" l="1"/>
  <c r="G47" i="30" s="1"/>
  <c r="L6" i="25"/>
  <c r="D4" i="29" s="1"/>
  <c r="I6" i="25"/>
  <c r="I4" i="29" s="1"/>
  <c r="BH5" i="25"/>
  <c r="I4" i="25"/>
  <c r="I2" i="29" s="1"/>
  <c r="E5" i="25"/>
  <c r="D3" i="29" s="1"/>
  <c r="E4" i="25"/>
  <c r="D2" i="29" s="1"/>
  <c r="H49" i="25"/>
  <c r="J47" i="15"/>
  <c r="D46" i="15"/>
  <c r="H37" i="15"/>
  <c r="F57" i="14"/>
  <c r="G48" i="14"/>
  <c r="G49" i="14"/>
  <c r="O12" i="14"/>
  <c r="L12" i="14"/>
  <c r="L9" i="14"/>
  <c r="L8" i="14"/>
  <c r="D10" i="14"/>
  <c r="D9" i="14"/>
  <c r="K10" i="21"/>
  <c r="MP19" i="12"/>
  <c r="D30" i="13" s="1"/>
  <c r="L6" i="13"/>
  <c r="I6" i="13"/>
  <c r="BP5" i="13"/>
  <c r="I4" i="13"/>
  <c r="E5" i="13"/>
  <c r="E4" i="13"/>
  <c r="G67" i="14" l="1"/>
  <c r="G67" i="30"/>
  <c r="D2" i="21"/>
  <c r="D2" i="22"/>
  <c r="D3" i="22"/>
  <c r="D3" i="21"/>
  <c r="I4" i="21"/>
  <c r="I4" i="22"/>
  <c r="I2" i="22"/>
  <c r="I2" i="21"/>
  <c r="D4" i="21"/>
  <c r="D4" i="22"/>
  <c r="OA20" i="12"/>
  <c r="AG68" i="13"/>
  <c r="AG72" i="13"/>
  <c r="D34" i="13"/>
  <c r="D33" i="13"/>
  <c r="D32" i="13"/>
  <c r="D31" i="13"/>
  <c r="ML24" i="12"/>
  <c r="MK24" i="12"/>
  <c r="D53" i="13"/>
  <c r="ML20" i="12"/>
  <c r="ML21" i="12"/>
  <c r="ML22" i="12"/>
  <c r="MK20" i="12"/>
  <c r="D50" i="13" s="1"/>
  <c r="MK21" i="12"/>
  <c r="D51" i="13" s="1"/>
  <c r="MK22" i="12"/>
  <c r="D52" i="13" s="1"/>
  <c r="MJ20" i="12"/>
  <c r="MJ21" i="12"/>
  <c r="MJ22" i="12"/>
  <c r="ML19" i="12"/>
  <c r="MJ19" i="12"/>
  <c r="MK19" i="12"/>
  <c r="D49" i="13" s="1"/>
  <c r="G71" i="14" l="1"/>
  <c r="G71" i="30"/>
  <c r="F56" i="14"/>
  <c r="F56" i="30"/>
  <c r="G55" i="14"/>
  <c r="G55" i="30"/>
  <c r="G68" i="14"/>
  <c r="G68" i="30"/>
  <c r="F55" i="14"/>
  <c r="F55" i="30"/>
  <c r="G54" i="14"/>
  <c r="G54" i="30"/>
  <c r="G57" i="14"/>
  <c r="G57" i="30"/>
  <c r="G69" i="14"/>
  <c r="G69" i="30"/>
  <c r="G56" i="14"/>
  <c r="G56" i="30"/>
  <c r="G53" i="14"/>
  <c r="G53" i="30"/>
  <c r="F53" i="14"/>
  <c r="F53" i="30"/>
  <c r="F54" i="14"/>
  <c r="F54" i="30"/>
  <c r="D58" i="13"/>
  <c r="G62" i="30"/>
  <c r="G70" i="14"/>
  <c r="G70" i="30"/>
  <c r="OA21" i="12"/>
  <c r="AG67" i="13"/>
  <c r="K9" i="21"/>
  <c r="AG66" i="13"/>
  <c r="K8" i="21"/>
  <c r="AG56" i="13"/>
  <c r="K7" i="21"/>
  <c r="G62" i="14"/>
  <c r="AG62" i="13"/>
  <c r="AG61" i="13"/>
  <c r="MJ24" i="12"/>
  <c r="F62" i="30" s="1"/>
  <c r="MQ19" i="12"/>
  <c r="O67" i="14" s="1"/>
  <c r="MO19" i="12"/>
  <c r="MQ18" i="12"/>
  <c r="L29" i="13" s="1"/>
  <c r="O66" i="14" s="1"/>
  <c r="MP18" i="12"/>
  <c r="D29" i="13" s="1"/>
  <c r="MO18" i="12"/>
  <c r="ML18" i="12"/>
  <c r="MK18" i="12"/>
  <c r="D48" i="13" s="1"/>
  <c r="MJ18" i="12"/>
  <c r="MQ17" i="12"/>
  <c r="L28" i="13" s="1"/>
  <c r="O65" i="14" s="1"/>
  <c r="MP17" i="12"/>
  <c r="D28" i="13" s="1"/>
  <c r="MO17" i="12"/>
  <c r="ML17" i="12"/>
  <c r="MK17" i="12"/>
  <c r="D47" i="13" s="1"/>
  <c r="MJ17" i="12"/>
  <c r="MQ16" i="12"/>
  <c r="MP16" i="12"/>
  <c r="MO16" i="12"/>
  <c r="ML16" i="12"/>
  <c r="MK16" i="12"/>
  <c r="D46" i="13" s="1"/>
  <c r="MJ16" i="12"/>
  <c r="FQ8" i="12"/>
  <c r="FQ9" i="12"/>
  <c r="C10" i="11"/>
  <c r="AQ12" i="11"/>
  <c r="AP12" i="11"/>
  <c r="AO12" i="11"/>
  <c r="AN12" i="11"/>
  <c r="G51" i="14" l="1"/>
  <c r="G51" i="30"/>
  <c r="F50" i="14"/>
  <c r="F50" i="30"/>
  <c r="F52" i="14"/>
  <c r="F52" i="30"/>
  <c r="G66" i="14"/>
  <c r="G66" i="30"/>
  <c r="G50" i="14"/>
  <c r="G50" i="30"/>
  <c r="G52" i="14"/>
  <c r="G52" i="30"/>
  <c r="L7" i="14"/>
  <c r="L7" i="30"/>
  <c r="D7" i="14"/>
  <c r="D7" i="30"/>
  <c r="F51" i="14"/>
  <c r="F51" i="30"/>
  <c r="G65" i="14"/>
  <c r="G65" i="30"/>
  <c r="F62" i="14"/>
  <c r="C58" i="13"/>
  <c r="C29" i="13"/>
  <c r="C28" i="13"/>
  <c r="C30" i="13"/>
  <c r="K11" i="21"/>
  <c r="AG69" i="13"/>
  <c r="OA29" i="12"/>
  <c r="F8" i="11"/>
  <c r="F65" i="14" l="1"/>
  <c r="F65" i="30"/>
  <c r="F66" i="14"/>
  <c r="F66" i="30"/>
  <c r="F67" i="14"/>
  <c r="F67" i="30"/>
  <c r="AG71" i="13"/>
  <c r="X14" i="9"/>
  <c r="BQ51" i="12"/>
  <c r="BQ55" i="12"/>
  <c r="BQ50" i="12"/>
  <c r="BQ54" i="12"/>
  <c r="BQ58" i="12"/>
  <c r="BQ48" i="12"/>
  <c r="BQ52" i="12"/>
  <c r="BQ56" i="12"/>
  <c r="BQ49" i="12"/>
  <c r="BQ53" i="12"/>
  <c r="BQ57" i="12"/>
  <c r="BQ47" i="12"/>
  <c r="BR50" i="12"/>
  <c r="EE176" i="12" s="1"/>
  <c r="BR54" i="12"/>
  <c r="EE180" i="12" s="1"/>
  <c r="BR58" i="12"/>
  <c r="EE184" i="12" s="1"/>
  <c r="BR49" i="12"/>
  <c r="EE175" i="12" s="1"/>
  <c r="BR53" i="12"/>
  <c r="EE179" i="12" s="1"/>
  <c r="BR57" i="12"/>
  <c r="EE183" i="12" s="1"/>
  <c r="BR51" i="12"/>
  <c r="EE177" i="12" s="1"/>
  <c r="BR55" i="12"/>
  <c r="EE181" i="12" s="1"/>
  <c r="BR47" i="12"/>
  <c r="EE173" i="12" s="1"/>
  <c r="BR48" i="12"/>
  <c r="EE174" i="12" s="1"/>
  <c r="BR52" i="12"/>
  <c r="EE178" i="12" s="1"/>
  <c r="BR56" i="12"/>
  <c r="EE182" i="12" s="1"/>
  <c r="BO49" i="12"/>
  <c r="EA175" i="12" s="1"/>
  <c r="BO53" i="12"/>
  <c r="EA179" i="12" s="1"/>
  <c r="BO57" i="12"/>
  <c r="EA183" i="12" s="1"/>
  <c r="BO47" i="12"/>
  <c r="EA173" i="12" s="1"/>
  <c r="BO58" i="12"/>
  <c r="EA184" i="12" s="1"/>
  <c r="BO48" i="12"/>
  <c r="EA174" i="12" s="1"/>
  <c r="BO52" i="12"/>
  <c r="EA178" i="12" s="1"/>
  <c r="BO56" i="12"/>
  <c r="EA182" i="12" s="1"/>
  <c r="BO50" i="12"/>
  <c r="EA176" i="12" s="1"/>
  <c r="BO54" i="12"/>
  <c r="EA180" i="12" s="1"/>
  <c r="BO51" i="12"/>
  <c r="EA177" i="12" s="1"/>
  <c r="BO55" i="12"/>
  <c r="EA181" i="12" s="1"/>
  <c r="BP48" i="12"/>
  <c r="EG174" i="12" s="1"/>
  <c r="BP52" i="12"/>
  <c r="EG178" i="12" s="1"/>
  <c r="BP56" i="12"/>
  <c r="EG182" i="12" s="1"/>
  <c r="BP57" i="12"/>
  <c r="EG183" i="12" s="1"/>
  <c r="BP51" i="12"/>
  <c r="EG177" i="12" s="1"/>
  <c r="BP55" i="12"/>
  <c r="EG181" i="12" s="1"/>
  <c r="BP47" i="12"/>
  <c r="EG173" i="12" s="1"/>
  <c r="BP49" i="12"/>
  <c r="EG175" i="12" s="1"/>
  <c r="BP53" i="12"/>
  <c r="EG179" i="12" s="1"/>
  <c r="BP50" i="12"/>
  <c r="EG176" i="12" s="1"/>
  <c r="BP54" i="12"/>
  <c r="EG180" i="12" s="1"/>
  <c r="BP58" i="12"/>
  <c r="EG184" i="12" s="1"/>
  <c r="BN50" i="12"/>
  <c r="EF176" i="12" s="1"/>
  <c r="BN54" i="12"/>
  <c r="EF180" i="12" s="1"/>
  <c r="BN58" i="12"/>
  <c r="EF184" i="12" s="1"/>
  <c r="BN47" i="12"/>
  <c r="EF173" i="12" s="1"/>
  <c r="BN49" i="12"/>
  <c r="EF175" i="12" s="1"/>
  <c r="BN53" i="12"/>
  <c r="EF179" i="12" s="1"/>
  <c r="BN57" i="12"/>
  <c r="EF183" i="12" s="1"/>
  <c r="BN51" i="12"/>
  <c r="EF177" i="12" s="1"/>
  <c r="BN55" i="12"/>
  <c r="EF181" i="12" s="1"/>
  <c r="BN48" i="12"/>
  <c r="EF174" i="12" s="1"/>
  <c r="BN52" i="12"/>
  <c r="EF178" i="12" s="1"/>
  <c r="BN56" i="12"/>
  <c r="EF182" i="12" s="1"/>
  <c r="EI174" i="12"/>
  <c r="EI178" i="12"/>
  <c r="EI182" i="12"/>
  <c r="EI177" i="12"/>
  <c r="EI181" i="12"/>
  <c r="EI173" i="12"/>
  <c r="EI175" i="12"/>
  <c r="EI179" i="12"/>
  <c r="EI183" i="12"/>
  <c r="EI176" i="12"/>
  <c r="EI180" i="12"/>
  <c r="EI184" i="12"/>
  <c r="K13" i="21"/>
  <c r="K15" i="21" s="1"/>
  <c r="K16" i="21" s="1"/>
  <c r="OA31" i="12"/>
  <c r="OE33" i="12" l="1"/>
  <c r="OA23" i="12"/>
  <c r="OA40" i="12" s="1"/>
  <c r="EE223" i="12"/>
  <c r="EA223" i="12"/>
  <c r="EF223" i="12"/>
  <c r="EG223" i="12"/>
  <c r="EI223" i="12"/>
  <c r="EH173" i="12"/>
  <c r="EH182" i="12"/>
  <c r="EH180" i="12"/>
  <c r="EH183" i="12"/>
  <c r="EH178" i="12"/>
  <c r="EH176" i="12"/>
  <c r="EH179" i="12"/>
  <c r="EH174" i="12"/>
  <c r="EH181" i="12"/>
  <c r="EH175" i="12"/>
  <c r="EH184" i="12"/>
  <c r="EH177" i="12"/>
  <c r="AG73" i="13"/>
  <c r="OA16" i="12" l="1"/>
  <c r="X16" i="9" s="1"/>
  <c r="M20" i="25"/>
  <c r="P38" i="30" s="1"/>
  <c r="EH223" i="12"/>
  <c r="AG65" i="13"/>
  <c r="U72" i="13"/>
  <c r="L72" i="13" s="1"/>
  <c r="BO317" i="8"/>
  <c r="BF317" i="8"/>
  <c r="BO316" i="8"/>
  <c r="BO315" i="8"/>
  <c r="BO314" i="8"/>
  <c r="BO313" i="8"/>
  <c r="BO312" i="8"/>
  <c r="BO311" i="8"/>
  <c r="BF311" i="8"/>
  <c r="BO309" i="8"/>
  <c r="BO308" i="8"/>
  <c r="BO306" i="8"/>
  <c r="BQ271" i="8"/>
  <c r="BQ269" i="8"/>
  <c r="BQ268" i="8"/>
  <c r="BQ267" i="8"/>
  <c r="BQ266" i="8"/>
  <c r="BQ270" i="8" s="1"/>
  <c r="BQ265" i="8"/>
  <c r="BQ264" i="8"/>
  <c r="BQ263" i="8"/>
  <c r="AF217" i="8"/>
  <c r="AF216" i="8"/>
  <c r="AG58" i="13" l="1"/>
  <c r="AC58" i="13" s="1"/>
  <c r="CB95" i="8"/>
  <c r="BP94" i="9"/>
  <c r="AC94" i="9" s="1"/>
  <c r="U42" i="25"/>
  <c r="M42" i="25" s="1"/>
  <c r="M13" i="31" s="1"/>
  <c r="M40" i="25"/>
  <c r="M28" i="25"/>
  <c r="L20" i="13" l="1"/>
  <c r="P38" i="14" s="1"/>
  <c r="T260" i="12"/>
  <c r="T259" i="12"/>
  <c r="T258" i="12"/>
  <c r="BP80" i="9" l="1"/>
  <c r="AC80" i="9" s="1"/>
  <c r="LS12" i="12"/>
  <c r="LS13" i="12" s="1"/>
  <c r="LO9" i="12"/>
  <c r="LO6" i="12"/>
  <c r="LN6" i="12" s="1"/>
  <c r="LN5" i="12"/>
  <c r="LN3" i="12"/>
  <c r="LN2" i="12"/>
  <c r="LO4" i="12"/>
  <c r="LN4" i="12" s="1"/>
  <c r="KS15" i="12"/>
  <c r="KS16" i="12" s="1"/>
  <c r="KR16" i="12" s="1"/>
  <c r="KV12" i="12"/>
  <c r="KV13" i="12" s="1"/>
  <c r="KR7" i="12"/>
  <c r="KS8" i="12"/>
  <c r="KR8" i="12" s="1"/>
  <c r="KS6" i="12"/>
  <c r="KQ10" i="12" s="1"/>
  <c r="KS4" i="12"/>
  <c r="KR4" i="12" s="1"/>
  <c r="KR19" i="12" s="1"/>
  <c r="KJ24" i="12" s="1"/>
  <c r="KR3" i="12"/>
  <c r="KR2" i="12"/>
  <c r="GM38" i="12"/>
  <c r="GL42" i="12" s="1"/>
  <c r="KC2" i="12"/>
  <c r="GK38" i="12" s="1"/>
  <c r="KD3" i="12"/>
  <c r="KC3" i="12" s="1"/>
  <c r="LN16" i="12" l="1"/>
  <c r="LM18" i="12" s="1"/>
  <c r="LE16" i="12"/>
  <c r="KI6" i="12"/>
  <c r="KI7" i="12"/>
  <c r="KR15" i="12"/>
  <c r="KR12" i="12"/>
  <c r="KQ19" i="12" s="1"/>
  <c r="KI24" i="12" s="1"/>
  <c r="LO7" i="12"/>
  <c r="LM11" i="12"/>
  <c r="KG49" i="12"/>
  <c r="KG47" i="12"/>
  <c r="KF50" i="12"/>
  <c r="KF51" i="12"/>
  <c r="KG52" i="12"/>
  <c r="KG50" i="12"/>
  <c r="KF47" i="12"/>
  <c r="KF49" i="12"/>
  <c r="KG51" i="12"/>
  <c r="KF48" i="12"/>
  <c r="KF52" i="12"/>
  <c r="KG48" i="12"/>
  <c r="LU12" i="12"/>
  <c r="LU13" i="12" s="1"/>
  <c r="LT12" i="12"/>
  <c r="LT13" i="12" s="1"/>
  <c r="LM19" i="12"/>
  <c r="KB52" i="12"/>
  <c r="KB48" i="12"/>
  <c r="KC50" i="12"/>
  <c r="KX12" i="12"/>
  <c r="KX13" i="12" s="1"/>
  <c r="KB49" i="12"/>
  <c r="KB51" i="12"/>
  <c r="KC47" i="12"/>
  <c r="KC49" i="12"/>
  <c r="KQ9" i="12"/>
  <c r="KB47" i="12"/>
  <c r="KC51" i="12"/>
  <c r="KQ7" i="12"/>
  <c r="KW12" i="12"/>
  <c r="KW13" i="12" s="1"/>
  <c r="KB50" i="12"/>
  <c r="KC52" i="12"/>
  <c r="KC48" i="12"/>
  <c r="LM10" i="12"/>
  <c r="LM15" i="12" s="1"/>
  <c r="KK24" i="12"/>
  <c r="GL73" i="12"/>
  <c r="GL57" i="12"/>
  <c r="GL41" i="12"/>
  <c r="GL69" i="12"/>
  <c r="GL53" i="12"/>
  <c r="GL65" i="12"/>
  <c r="GL49" i="12"/>
  <c r="GL77" i="12"/>
  <c r="GL61" i="12"/>
  <c r="GL45" i="12"/>
  <c r="GL39" i="12"/>
  <c r="GL75" i="12"/>
  <c r="GL71" i="12"/>
  <c r="GL67" i="12"/>
  <c r="GL63" i="12"/>
  <c r="GL59" i="12"/>
  <c r="GL55" i="12"/>
  <c r="GL51" i="12"/>
  <c r="GL47" i="12"/>
  <c r="GL43" i="12"/>
  <c r="GL76" i="12"/>
  <c r="GL72" i="12"/>
  <c r="GL68" i="12"/>
  <c r="GL64" i="12"/>
  <c r="GL60" i="12"/>
  <c r="GL56" i="12"/>
  <c r="GL52" i="12"/>
  <c r="GL48" i="12"/>
  <c r="GL44" i="12"/>
  <c r="GL40" i="12"/>
  <c r="GL78" i="12"/>
  <c r="GL74" i="12"/>
  <c r="GL70" i="12"/>
  <c r="GL66" i="12"/>
  <c r="GL62" i="12"/>
  <c r="GL58" i="12"/>
  <c r="GL54" i="12"/>
  <c r="GL50" i="12"/>
  <c r="KC4" i="12" s="1"/>
  <c r="KA49" i="12" s="1"/>
  <c r="KD49" i="12" s="1"/>
  <c r="KE49" i="12" s="1"/>
  <c r="KH49" i="12" s="1"/>
  <c r="KI49" i="12" s="1"/>
  <c r="GL46" i="12"/>
  <c r="N11" i="11"/>
  <c r="AH23" i="11" s="1"/>
  <c r="AO155" i="12"/>
  <c r="H155" i="12"/>
  <c r="L13" i="11"/>
  <c r="L14" i="11"/>
  <c r="L15" i="11"/>
  <c r="L16" i="11"/>
  <c r="L17" i="11"/>
  <c r="L18" i="11"/>
  <c r="L19" i="11"/>
  <c r="L20" i="11"/>
  <c r="L21" i="11"/>
  <c r="L22" i="11"/>
  <c r="L23" i="11"/>
  <c r="G13" i="11"/>
  <c r="G14" i="11"/>
  <c r="G15" i="11"/>
  <c r="G16" i="11"/>
  <c r="G17" i="11"/>
  <c r="G18" i="11"/>
  <c r="G19" i="11"/>
  <c r="G20" i="11"/>
  <c r="G21" i="11"/>
  <c r="G22" i="11"/>
  <c r="G23" i="11"/>
  <c r="H13" i="11"/>
  <c r="H14" i="11"/>
  <c r="H15" i="11"/>
  <c r="H16" i="11"/>
  <c r="H17" i="11"/>
  <c r="H18" i="11"/>
  <c r="H19" i="11"/>
  <c r="H20" i="11"/>
  <c r="H21" i="11"/>
  <c r="H22" i="11"/>
  <c r="H23" i="11"/>
  <c r="K13" i="11"/>
  <c r="K14" i="11"/>
  <c r="K15" i="11"/>
  <c r="K16" i="11"/>
  <c r="K17" i="11"/>
  <c r="K18" i="11"/>
  <c r="K19" i="11"/>
  <c r="K20" i="11"/>
  <c r="K21" i="11"/>
  <c r="K22" i="11"/>
  <c r="K23" i="11"/>
  <c r="J13" i="11"/>
  <c r="J14" i="11"/>
  <c r="J15" i="11"/>
  <c r="J16" i="11"/>
  <c r="J17" i="11"/>
  <c r="J18" i="11"/>
  <c r="J19" i="11"/>
  <c r="J20" i="11"/>
  <c r="J21" i="11"/>
  <c r="J22" i="11"/>
  <c r="J23" i="11"/>
  <c r="D13" i="11"/>
  <c r="D14" i="11"/>
  <c r="D15" i="11"/>
  <c r="D16" i="11"/>
  <c r="D17" i="11"/>
  <c r="D18" i="11"/>
  <c r="D19" i="11"/>
  <c r="D20" i="11"/>
  <c r="D21" i="11"/>
  <c r="D22" i="11"/>
  <c r="D23" i="11"/>
  <c r="I13" i="11"/>
  <c r="I14" i="11"/>
  <c r="I15" i="11"/>
  <c r="I16" i="11"/>
  <c r="I17" i="11"/>
  <c r="I18" i="11"/>
  <c r="I19" i="11"/>
  <c r="I20" i="11"/>
  <c r="I21" i="11"/>
  <c r="I22" i="11"/>
  <c r="I23" i="11"/>
  <c r="GH22" i="12"/>
  <c r="GD6" i="12"/>
  <c r="CB88" i="8" s="1"/>
  <c r="GD3" i="12"/>
  <c r="BY56" i="12"/>
  <c r="EO182" i="12" s="1"/>
  <c r="R21" i="11" s="1"/>
  <c r="FT4" i="12"/>
  <c r="FN4" i="12"/>
  <c r="FH4" i="12"/>
  <c r="EV7" i="12"/>
  <c r="EK13" i="12"/>
  <c r="H160" i="12" s="1"/>
  <c r="EG13" i="12"/>
  <c r="EI14" i="12"/>
  <c r="F161" i="12" s="1"/>
  <c r="EJ3" i="12"/>
  <c r="AN39" i="12"/>
  <c r="AN40" i="12"/>
  <c r="AN41" i="12"/>
  <c r="AN42" i="12"/>
  <c r="AN43" i="12"/>
  <c r="AN44" i="12"/>
  <c r="AN45" i="12"/>
  <c r="AN46" i="12"/>
  <c r="AN47" i="12"/>
  <c r="AN48" i="12"/>
  <c r="AN49" i="12"/>
  <c r="AN50" i="12"/>
  <c r="AN51" i="12"/>
  <c r="AN52" i="12"/>
  <c r="AN53" i="12"/>
  <c r="AN54" i="12"/>
  <c r="AN55" i="12"/>
  <c r="AN56" i="12"/>
  <c r="AN57" i="12"/>
  <c r="AN58" i="12"/>
  <c r="AN59" i="12"/>
  <c r="AN60" i="12"/>
  <c r="AN61" i="12"/>
  <c r="AN62" i="12"/>
  <c r="AN63" i="12"/>
  <c r="AN64" i="12"/>
  <c r="AN65" i="12"/>
  <c r="AN66" i="12"/>
  <c r="AN67" i="12"/>
  <c r="AN68" i="12"/>
  <c r="AN69" i="12"/>
  <c r="AN70" i="12"/>
  <c r="AN71" i="12"/>
  <c r="AN72" i="12"/>
  <c r="AN73" i="12"/>
  <c r="AN74" i="12"/>
  <c r="AN75" i="12"/>
  <c r="AN76" i="12"/>
  <c r="AN77" i="12"/>
  <c r="AN78" i="12"/>
  <c r="DW12" i="12"/>
  <c r="DT8" i="12"/>
  <c r="DT23" i="12" s="1"/>
  <c r="AM38" i="12"/>
  <c r="DS4" i="12"/>
  <c r="DS26" i="12" s="1"/>
  <c r="DK30" i="12" s="1"/>
  <c r="DL30" i="12" s="1"/>
  <c r="DS3" i="12"/>
  <c r="DS2" i="12"/>
  <c r="CR3" i="12"/>
  <c r="CS4" i="12"/>
  <c r="CH23" i="12" s="1"/>
  <c r="AS15" i="12"/>
  <c r="KL24" i="12" s="1"/>
  <c r="KH20" i="12" s="1"/>
  <c r="AS14" i="12"/>
  <c r="W400" i="12" s="1"/>
  <c r="T395" i="12" s="1"/>
  <c r="BY12" i="12"/>
  <c r="BW21" i="12"/>
  <c r="BF2" i="12"/>
  <c r="AA38" i="12" s="1"/>
  <c r="BW4" i="12"/>
  <c r="BG10" i="12"/>
  <c r="BF10" i="12" s="1"/>
  <c r="BF8" i="12"/>
  <c r="BG7" i="12"/>
  <c r="BF5" i="12"/>
  <c r="AB40" i="12"/>
  <c r="AB41" i="12"/>
  <c r="AB42" i="12"/>
  <c r="AB43" i="12"/>
  <c r="AB44" i="12"/>
  <c r="AB45" i="12"/>
  <c r="AB46" i="12"/>
  <c r="AB47" i="12"/>
  <c r="AB48" i="12"/>
  <c r="AB49" i="12"/>
  <c r="AB50" i="12"/>
  <c r="AB51" i="12"/>
  <c r="AB52" i="12"/>
  <c r="AB53" i="12"/>
  <c r="AB54" i="12"/>
  <c r="AB55" i="12"/>
  <c r="AB56" i="12"/>
  <c r="AB57" i="12"/>
  <c r="AB58" i="12"/>
  <c r="AB59" i="12"/>
  <c r="AB60" i="12"/>
  <c r="AB61" i="12"/>
  <c r="AB62" i="12"/>
  <c r="AB63" i="12"/>
  <c r="AB64" i="12"/>
  <c r="AB65" i="12"/>
  <c r="AB66" i="12"/>
  <c r="AB67" i="12"/>
  <c r="AB68" i="12"/>
  <c r="AB69" i="12"/>
  <c r="AB70" i="12"/>
  <c r="AB71" i="12"/>
  <c r="AB72" i="12"/>
  <c r="AB73" i="12"/>
  <c r="AB74" i="12"/>
  <c r="AB75" i="12"/>
  <c r="AB76" i="12"/>
  <c r="AB77" i="12"/>
  <c r="AB78" i="12"/>
  <c r="BG3" i="12"/>
  <c r="BW22" i="12" s="1"/>
  <c r="L61" i="13"/>
  <c r="G47" i="14"/>
  <c r="E35" i="23" s="1"/>
  <c r="S16" i="13"/>
  <c r="I5" i="13"/>
  <c r="E10" i="27"/>
  <c r="K10" i="27"/>
  <c r="E20" i="27"/>
  <c r="K20" i="27"/>
  <c r="K6" i="23"/>
  <c r="K7" i="23"/>
  <c r="K8" i="23"/>
  <c r="K10" i="23"/>
  <c r="K9" i="23"/>
  <c r="K11" i="23"/>
  <c r="D35" i="23"/>
  <c r="D36" i="23"/>
  <c r="E36" i="23"/>
  <c r="D37" i="23"/>
  <c r="E37" i="23"/>
  <c r="D41" i="23"/>
  <c r="D48" i="23"/>
  <c r="E48" i="23"/>
  <c r="D66" i="23"/>
  <c r="M67" i="23"/>
  <c r="D47" i="15"/>
  <c r="F7" i="24"/>
  <c r="D38" i="23"/>
  <c r="E38" i="23"/>
  <c r="D40" i="23"/>
  <c r="E40" i="23"/>
  <c r="D42" i="23"/>
  <c r="E42" i="23"/>
  <c r="D44" i="23"/>
  <c r="D45" i="23"/>
  <c r="D50" i="23"/>
  <c r="D52" i="23"/>
  <c r="D54" i="23"/>
  <c r="D56" i="23"/>
  <c r="D39" i="23"/>
  <c r="D51" i="23"/>
  <c r="D53" i="23"/>
  <c r="D43" i="23"/>
  <c r="D55" i="23"/>
  <c r="D46" i="23"/>
  <c r="AN30" i="25"/>
  <c r="AN31" i="25"/>
  <c r="E50" i="23"/>
  <c r="M50" i="23"/>
  <c r="Q50" i="23" s="1"/>
  <c r="AN34" i="25"/>
  <c r="AT34" i="25" s="1"/>
  <c r="E51" i="23"/>
  <c r="E52" i="23"/>
  <c r="M52" i="23"/>
  <c r="Q52" i="23" s="1"/>
  <c r="E53" i="23"/>
  <c r="M53" i="23"/>
  <c r="Q53" i="23" s="1"/>
  <c r="E54" i="23"/>
  <c r="M54" i="23"/>
  <c r="Q54" i="23" s="1"/>
  <c r="E55" i="23"/>
  <c r="M55" i="23"/>
  <c r="Q55" i="23" s="1"/>
  <c r="E56" i="23"/>
  <c r="M56" i="23"/>
  <c r="Q56" i="23" s="1"/>
  <c r="M38" i="23"/>
  <c r="Q38" i="23" s="1"/>
  <c r="M40" i="23"/>
  <c r="Q40" i="23" s="1"/>
  <c r="M41" i="23"/>
  <c r="Q41" i="23" s="1"/>
  <c r="M42" i="23"/>
  <c r="Q42" i="23" s="1"/>
  <c r="E43" i="23"/>
  <c r="M43" i="23"/>
  <c r="Q43" i="23" s="1"/>
  <c r="E44" i="23"/>
  <c r="M44" i="23"/>
  <c r="Q44" i="23" s="1"/>
  <c r="E45" i="23"/>
  <c r="M45" i="23"/>
  <c r="Q45" i="23" s="1"/>
  <c r="E46" i="23"/>
  <c r="AK66" i="25"/>
  <c r="AK68" i="25"/>
  <c r="AK70" i="25"/>
  <c r="AK72" i="25"/>
  <c r="AQ78" i="25"/>
  <c r="AU90" i="11"/>
  <c r="AU91" i="11"/>
  <c r="AU92" i="11"/>
  <c r="AX92" i="11"/>
  <c r="AU93" i="11" s="1"/>
  <c r="AU94" i="11"/>
  <c r="AU95" i="11"/>
  <c r="AU96" i="11"/>
  <c r="AU98" i="11"/>
  <c r="BK2" i="10"/>
  <c r="CQ2" i="10"/>
  <c r="CW2" i="10" s="1"/>
  <c r="CX2" i="10" s="1"/>
  <c r="DW2" i="10"/>
  <c r="EA2" i="10" s="1"/>
  <c r="EB2" i="10" s="1"/>
  <c r="FC2" i="10"/>
  <c r="FG2" i="10" s="1"/>
  <c r="FH2" i="10" s="1"/>
  <c r="FL2" i="10"/>
  <c r="FM2" i="10" s="1"/>
  <c r="GI2" i="10"/>
  <c r="GR2" i="10" s="1"/>
  <c r="GS2" i="10" s="1"/>
  <c r="HO2" i="10"/>
  <c r="HU2" i="10" s="1"/>
  <c r="HV2" i="10" s="1"/>
  <c r="IU2" i="10"/>
  <c r="IV2" i="10"/>
  <c r="BO3" i="10"/>
  <c r="BP3" i="10" s="1"/>
  <c r="BQ3" i="10"/>
  <c r="BR3" i="10" s="1"/>
  <c r="BT3" i="10"/>
  <c r="BU3" i="10" s="1"/>
  <c r="CU3" i="10"/>
  <c r="CV3" i="10" s="1"/>
  <c r="CW3" i="10"/>
  <c r="CX3" i="10" s="1"/>
  <c r="CZ3" i="10"/>
  <c r="DA3" i="10" s="1"/>
  <c r="EA3" i="10"/>
  <c r="EB3" i="10" s="1"/>
  <c r="EC3" i="10"/>
  <c r="ED3" i="10" s="1"/>
  <c r="EF3" i="10"/>
  <c r="EG3" i="10" s="1"/>
  <c r="FG3" i="10"/>
  <c r="FH3" i="10" s="1"/>
  <c r="FI3" i="10"/>
  <c r="FJ3" i="10" s="1"/>
  <c r="FL3" i="10"/>
  <c r="FM3" i="10" s="1"/>
  <c r="GM3" i="10"/>
  <c r="GN3" i="10" s="1"/>
  <c r="GV3" i="10" s="1"/>
  <c r="GO3" i="10"/>
  <c r="GP3" i="10" s="1"/>
  <c r="GQ3" i="10" s="1"/>
  <c r="HB3" i="10" s="1"/>
  <c r="GR3" i="10"/>
  <c r="GS3" i="10" s="1"/>
  <c r="HS3" i="10"/>
  <c r="HT3" i="10"/>
  <c r="IF3" i="10" s="1"/>
  <c r="HU3" i="10"/>
  <c r="HV3" i="10"/>
  <c r="HX3" i="10"/>
  <c r="HY3" i="10"/>
  <c r="IV3" i="10"/>
  <c r="C4" i="10"/>
  <c r="D4" i="10" s="1"/>
  <c r="E4" i="10"/>
  <c r="F4" i="10" s="1"/>
  <c r="H4" i="10"/>
  <c r="I4" i="10" s="1"/>
  <c r="BO4" i="10"/>
  <c r="BP4" i="10" s="1"/>
  <c r="BQ4" i="10"/>
  <c r="BR4" i="10" s="1"/>
  <c r="BT4" i="10"/>
  <c r="BU4" i="10" s="1"/>
  <c r="CU4" i="10"/>
  <c r="CV4" i="10" s="1"/>
  <c r="CW4" i="10"/>
  <c r="CX4" i="10" s="1"/>
  <c r="CZ4" i="10"/>
  <c r="DA4" i="10" s="1"/>
  <c r="EA4" i="10"/>
  <c r="EB4" i="10" s="1"/>
  <c r="EC4" i="10"/>
  <c r="ED4" i="10"/>
  <c r="EF4" i="10"/>
  <c r="EG4" i="10" s="1"/>
  <c r="FG4" i="10"/>
  <c r="FH4" i="10" s="1"/>
  <c r="FI4" i="10"/>
  <c r="FJ4" i="10" s="1"/>
  <c r="FL4" i="10"/>
  <c r="FM4" i="10" s="1"/>
  <c r="GM4" i="10"/>
  <c r="GN4" i="10" s="1"/>
  <c r="GO4" i="10"/>
  <c r="GP4" i="10" s="1"/>
  <c r="GR4" i="10"/>
  <c r="GS4" i="10" s="1"/>
  <c r="HS4" i="10"/>
  <c r="HT4" i="10" s="1"/>
  <c r="HU4" i="10"/>
  <c r="HV4" i="10" s="1"/>
  <c r="HX4" i="10"/>
  <c r="HY4" i="10" s="1"/>
  <c r="IV4" i="10"/>
  <c r="C5" i="10"/>
  <c r="D5" i="10" s="1"/>
  <c r="L5" i="10" s="1"/>
  <c r="E5" i="10"/>
  <c r="F5" i="10" s="1"/>
  <c r="H5" i="10"/>
  <c r="I5" i="10" s="1"/>
  <c r="BO5" i="10"/>
  <c r="BP5" i="10" s="1"/>
  <c r="BQ5" i="10"/>
  <c r="BR5" i="10" s="1"/>
  <c r="BT5" i="10"/>
  <c r="BU5" i="10" s="1"/>
  <c r="CU5" i="10"/>
  <c r="CV5" i="10" s="1"/>
  <c r="CW5" i="10"/>
  <c r="CX5" i="10" s="1"/>
  <c r="CZ5" i="10"/>
  <c r="DA5" i="10" s="1"/>
  <c r="EA5" i="10"/>
  <c r="EB5" i="10" s="1"/>
  <c r="EN5" i="10" s="1"/>
  <c r="EC5" i="10"/>
  <c r="ED5" i="10" s="1"/>
  <c r="EF5" i="10"/>
  <c r="EG5" i="10" s="1"/>
  <c r="FG5" i="10"/>
  <c r="FH5" i="10" s="1"/>
  <c r="FI5" i="10"/>
  <c r="FJ5" i="10" s="1"/>
  <c r="FL5" i="10"/>
  <c r="FM5" i="10" s="1"/>
  <c r="GM5" i="10"/>
  <c r="GN5" i="10" s="1"/>
  <c r="GO5" i="10"/>
  <c r="GP5" i="10" s="1"/>
  <c r="GR5" i="10"/>
  <c r="GS5" i="10" s="1"/>
  <c r="HS5" i="10"/>
  <c r="HT5" i="10" s="1"/>
  <c r="HU5" i="10"/>
  <c r="HV5" i="10" s="1"/>
  <c r="HX5" i="10"/>
  <c r="HY5" i="10" s="1"/>
  <c r="IV5" i="10"/>
  <c r="C6" i="10"/>
  <c r="D6" i="10" s="1"/>
  <c r="E6" i="10"/>
  <c r="F6" i="10" s="1"/>
  <c r="H6" i="10"/>
  <c r="I6" i="10"/>
  <c r="Q6" i="10"/>
  <c r="BO6" i="10"/>
  <c r="BP6" i="10" s="1"/>
  <c r="BQ6" i="10"/>
  <c r="BR6" i="10" s="1"/>
  <c r="BT6" i="10"/>
  <c r="BU6" i="10" s="1"/>
  <c r="CU6" i="10"/>
  <c r="CV6" i="10" s="1"/>
  <c r="CW6" i="10"/>
  <c r="CX6" i="10" s="1"/>
  <c r="CZ6" i="10"/>
  <c r="DA6" i="10"/>
  <c r="DI6" i="10"/>
  <c r="EA6" i="10"/>
  <c r="EB6" i="10" s="1"/>
  <c r="EC6" i="10"/>
  <c r="ED6" i="10" s="1"/>
  <c r="EF6" i="10"/>
  <c r="EG6" i="10" s="1"/>
  <c r="FG6" i="10"/>
  <c r="FH6" i="10" s="1"/>
  <c r="FI6" i="10"/>
  <c r="FJ6" i="10" s="1"/>
  <c r="FL6" i="10"/>
  <c r="FM6" i="10"/>
  <c r="FU6" i="10"/>
  <c r="GM6" i="10"/>
  <c r="GN6" i="10" s="1"/>
  <c r="GO6" i="10"/>
  <c r="GP6" i="10" s="1"/>
  <c r="GR6" i="10"/>
  <c r="GS6" i="10" s="1"/>
  <c r="HS6" i="10"/>
  <c r="HT6" i="10" s="1"/>
  <c r="IG6" i="10" s="1"/>
  <c r="HU6" i="10"/>
  <c r="HV6" i="10" s="1"/>
  <c r="HX6" i="10"/>
  <c r="HY6" i="10" s="1"/>
  <c r="IV6" i="10"/>
  <c r="C7" i="10"/>
  <c r="D7" i="10" s="1"/>
  <c r="E7" i="10"/>
  <c r="F7" i="10" s="1"/>
  <c r="H7" i="10"/>
  <c r="I7" i="10" s="1"/>
  <c r="BO7" i="10"/>
  <c r="BP7" i="10" s="1"/>
  <c r="BQ7" i="10"/>
  <c r="BR7" i="10" s="1"/>
  <c r="BT7" i="10"/>
  <c r="BU7" i="10" s="1"/>
  <c r="CU7" i="10"/>
  <c r="CV7" i="10" s="1"/>
  <c r="DH7" i="10" s="1"/>
  <c r="CW7" i="10"/>
  <c r="CX7" i="10" s="1"/>
  <c r="CZ7" i="10"/>
  <c r="DA7" i="10" s="1"/>
  <c r="EA7" i="10"/>
  <c r="EB7" i="10" s="1"/>
  <c r="EJ7" i="10" s="1"/>
  <c r="EC7" i="10"/>
  <c r="ED7" i="10" s="1"/>
  <c r="EE7" i="10" s="1"/>
  <c r="EH7" i="10" s="1"/>
  <c r="EF7" i="10"/>
  <c r="EG7" i="10" s="1"/>
  <c r="FG7" i="10"/>
  <c r="FH7" i="10"/>
  <c r="FP7" i="10" s="1"/>
  <c r="FI7" i="10"/>
  <c r="FJ7" i="10" s="1"/>
  <c r="FL7" i="10"/>
  <c r="FM7" i="10" s="1"/>
  <c r="GM7" i="10"/>
  <c r="GN7" i="10" s="1"/>
  <c r="GZ7" i="10" s="1"/>
  <c r="GO7" i="10"/>
  <c r="GP7" i="10" s="1"/>
  <c r="GR7" i="10"/>
  <c r="GS7" i="10" s="1"/>
  <c r="HS7" i="10"/>
  <c r="HT7" i="10" s="1"/>
  <c r="HU7" i="10"/>
  <c r="HV7" i="10" s="1"/>
  <c r="HX7" i="10"/>
  <c r="HY7" i="10" s="1"/>
  <c r="IV7" i="10"/>
  <c r="C8" i="10"/>
  <c r="D8" i="10" s="1"/>
  <c r="L8" i="10" s="1"/>
  <c r="E8" i="10"/>
  <c r="F8" i="10" s="1"/>
  <c r="H8" i="10"/>
  <c r="I8" i="10" s="1"/>
  <c r="BO8" i="10"/>
  <c r="BP8" i="10" s="1"/>
  <c r="BQ8" i="10"/>
  <c r="BR8" i="10" s="1"/>
  <c r="BT8" i="10"/>
  <c r="BU8" i="10" s="1"/>
  <c r="CU8" i="10"/>
  <c r="CV8" i="10" s="1"/>
  <c r="CW8" i="10"/>
  <c r="CX8" i="10" s="1"/>
  <c r="CZ8" i="10"/>
  <c r="DA8" i="10" s="1"/>
  <c r="EA8" i="10"/>
  <c r="EB8" i="10" s="1"/>
  <c r="EC8" i="10"/>
  <c r="ED8" i="10" s="1"/>
  <c r="EF8" i="10"/>
  <c r="EG8" i="10" s="1"/>
  <c r="FG8" i="10"/>
  <c r="FH8" i="10" s="1"/>
  <c r="FI8" i="10"/>
  <c r="FJ8" i="10" s="1"/>
  <c r="FL8" i="10"/>
  <c r="FM8" i="10" s="1"/>
  <c r="GM8" i="10"/>
  <c r="GN8" i="10" s="1"/>
  <c r="GO8" i="10"/>
  <c r="GP8" i="10" s="1"/>
  <c r="GR8" i="10"/>
  <c r="GS8" i="10" s="1"/>
  <c r="HS8" i="10"/>
  <c r="HT8" i="10"/>
  <c r="HU8" i="10"/>
  <c r="HV8" i="10" s="1"/>
  <c r="HX8" i="10"/>
  <c r="HY8" i="10"/>
  <c r="IV8" i="10"/>
  <c r="C9" i="10"/>
  <c r="D9" i="10" s="1"/>
  <c r="E9" i="10"/>
  <c r="F9" i="10"/>
  <c r="H9" i="10"/>
  <c r="I9" i="10" s="1"/>
  <c r="BO9" i="10"/>
  <c r="BP9" i="10" s="1"/>
  <c r="BQ9" i="10"/>
  <c r="BR9" i="10"/>
  <c r="BT9" i="10"/>
  <c r="BU9" i="10" s="1"/>
  <c r="CU9" i="10"/>
  <c r="CV9" i="10" s="1"/>
  <c r="CW9" i="10"/>
  <c r="CX9" i="10"/>
  <c r="CZ9" i="10"/>
  <c r="DA9" i="10" s="1"/>
  <c r="EA9" i="10"/>
  <c r="EB9" i="10" s="1"/>
  <c r="EC9" i="10"/>
  <c r="ED9" i="10" s="1"/>
  <c r="EF9" i="10"/>
  <c r="EG9" i="10" s="1"/>
  <c r="FG9" i="10"/>
  <c r="FH9" i="10" s="1"/>
  <c r="FI9" i="10"/>
  <c r="FJ9" i="10" s="1"/>
  <c r="FL9" i="10"/>
  <c r="FM9" i="10" s="1"/>
  <c r="GM9" i="10"/>
  <c r="GN9" i="10" s="1"/>
  <c r="GO9" i="10"/>
  <c r="GP9" i="10" s="1"/>
  <c r="GR9" i="10"/>
  <c r="GS9" i="10" s="1"/>
  <c r="HS9" i="10"/>
  <c r="HT9" i="10" s="1"/>
  <c r="HU9" i="10"/>
  <c r="HV9" i="10" s="1"/>
  <c r="HX9" i="10"/>
  <c r="HY9" i="10" s="1"/>
  <c r="IV9" i="10"/>
  <c r="C10" i="10"/>
  <c r="D10" i="10" s="1"/>
  <c r="E10" i="10"/>
  <c r="F10" i="10" s="1"/>
  <c r="H10" i="10"/>
  <c r="I10" i="10"/>
  <c r="BO10" i="10"/>
  <c r="BP10" i="10" s="1"/>
  <c r="CC10" i="10" s="1"/>
  <c r="BQ10" i="10"/>
  <c r="BR10" i="10" s="1"/>
  <c r="BT10" i="10"/>
  <c r="BU10" i="10"/>
  <c r="CU10" i="10"/>
  <c r="CV10" i="10" s="1"/>
  <c r="CW10" i="10"/>
  <c r="CX10" i="10" s="1"/>
  <c r="CZ10" i="10"/>
  <c r="DA10" i="10"/>
  <c r="EA10" i="10"/>
  <c r="EB10" i="10" s="1"/>
  <c r="EC10" i="10"/>
  <c r="ED10" i="10" s="1"/>
  <c r="EF10" i="10"/>
  <c r="EG10" i="10"/>
  <c r="EO10" i="10"/>
  <c r="FG10" i="10"/>
  <c r="FH10" i="10" s="1"/>
  <c r="FI10" i="10"/>
  <c r="FJ10" i="10" s="1"/>
  <c r="FK10" i="10"/>
  <c r="FW10" i="10" s="1"/>
  <c r="FL10" i="10"/>
  <c r="FM10" i="10" s="1"/>
  <c r="GM10" i="10"/>
  <c r="GN10" i="10" s="1"/>
  <c r="GO10" i="10"/>
  <c r="GP10" i="10" s="1"/>
  <c r="GR10" i="10"/>
  <c r="GS10" i="10" s="1"/>
  <c r="HA10" i="10"/>
  <c r="HS10" i="10"/>
  <c r="HT10" i="10" s="1"/>
  <c r="HU10" i="10"/>
  <c r="HV10" i="10" s="1"/>
  <c r="HX10" i="10"/>
  <c r="HY10" i="10" s="1"/>
  <c r="IV10" i="10"/>
  <c r="C11" i="10"/>
  <c r="D11" i="10" s="1"/>
  <c r="E11" i="10"/>
  <c r="F11" i="10" s="1"/>
  <c r="H11" i="10"/>
  <c r="I11" i="10" s="1"/>
  <c r="BO11" i="10"/>
  <c r="BP11" i="10" s="1"/>
  <c r="BQ11" i="10"/>
  <c r="BR11" i="10"/>
  <c r="BT11" i="10"/>
  <c r="BU11" i="10" s="1"/>
  <c r="CU11" i="10"/>
  <c r="CV11" i="10"/>
  <c r="DD11" i="10" s="1"/>
  <c r="CW11" i="10"/>
  <c r="CX11" i="10" s="1"/>
  <c r="CY11" i="10" s="1"/>
  <c r="CZ11" i="10"/>
  <c r="DA11" i="10" s="1"/>
  <c r="EA11" i="10"/>
  <c r="EB11" i="10" s="1"/>
  <c r="EC11" i="10"/>
  <c r="ED11" i="10"/>
  <c r="EF11" i="10"/>
  <c r="EG11" i="10" s="1"/>
  <c r="FG11" i="10"/>
  <c r="FH11" i="10"/>
  <c r="FP11" i="10" s="1"/>
  <c r="FI11" i="10"/>
  <c r="FJ11" i="10" s="1"/>
  <c r="FL11" i="10"/>
  <c r="FM11" i="10" s="1"/>
  <c r="GM11" i="10"/>
  <c r="GN11" i="10" s="1"/>
  <c r="GO11" i="10"/>
  <c r="GP11" i="10" s="1"/>
  <c r="GR11" i="10"/>
  <c r="GS11" i="10" s="1"/>
  <c r="HS11" i="10"/>
  <c r="HT11" i="10" s="1"/>
  <c r="IB11" i="10" s="1"/>
  <c r="HU11" i="10"/>
  <c r="HV11" i="10" s="1"/>
  <c r="HX11" i="10"/>
  <c r="HY11" i="10" s="1"/>
  <c r="IV11" i="10"/>
  <c r="C12" i="10"/>
  <c r="D12" i="10" s="1"/>
  <c r="E12" i="10"/>
  <c r="F12" i="10" s="1"/>
  <c r="G12" i="10"/>
  <c r="R12" i="10" s="1"/>
  <c r="H12" i="10"/>
  <c r="I12" i="10" s="1"/>
  <c r="Q12" i="10"/>
  <c r="BO12" i="10"/>
  <c r="BP12" i="10" s="1"/>
  <c r="CC12" i="10" s="1"/>
  <c r="BQ12" i="10"/>
  <c r="BR12" i="10" s="1"/>
  <c r="BT12" i="10"/>
  <c r="BU12" i="10" s="1"/>
  <c r="CU12" i="10"/>
  <c r="CV12" i="10" s="1"/>
  <c r="DI12" i="10" s="1"/>
  <c r="CW12" i="10"/>
  <c r="CX12" i="10" s="1"/>
  <c r="CY12" i="10" s="1"/>
  <c r="DE12" i="10" s="1"/>
  <c r="CZ12" i="10"/>
  <c r="DA12" i="10" s="1"/>
  <c r="EA12" i="10"/>
  <c r="EB12" i="10" s="1"/>
  <c r="EJ12" i="10" s="1"/>
  <c r="EC12" i="10"/>
  <c r="ED12" i="10" s="1"/>
  <c r="EF12" i="10"/>
  <c r="EG12" i="10" s="1"/>
  <c r="FG12" i="10"/>
  <c r="FH12" i="10"/>
  <c r="FU12" i="10" s="1"/>
  <c r="FI12" i="10"/>
  <c r="FJ12" i="10" s="1"/>
  <c r="FL12" i="10"/>
  <c r="FM12" i="10" s="1"/>
  <c r="GM12" i="10"/>
  <c r="GN12" i="10" s="1"/>
  <c r="GO12" i="10"/>
  <c r="GP12" i="10" s="1"/>
  <c r="GR12" i="10"/>
  <c r="GS12" i="10" s="1"/>
  <c r="HS12" i="10"/>
  <c r="HT12" i="10"/>
  <c r="IF12" i="10" s="1"/>
  <c r="HU12" i="10"/>
  <c r="HV12" i="10" s="1"/>
  <c r="HX12" i="10"/>
  <c r="HY12" i="10" s="1"/>
  <c r="IV12" i="10"/>
  <c r="I5" i="25"/>
  <c r="I3" i="29" s="1"/>
  <c r="M39" i="23"/>
  <c r="Q39" i="23" s="1"/>
  <c r="BB34" i="25"/>
  <c r="BZ12" i="12"/>
  <c r="CA12" i="12"/>
  <c r="Q49" i="23"/>
  <c r="DT22" i="12" l="1"/>
  <c r="FU9" i="10"/>
  <c r="FT9" i="10"/>
  <c r="IB12" i="10"/>
  <c r="FT12" i="10"/>
  <c r="FK9" i="10"/>
  <c r="IG3" i="10"/>
  <c r="HW3" i="10"/>
  <c r="GQ8" i="10"/>
  <c r="GT8" i="10" s="1"/>
  <c r="HG8" i="10" s="1"/>
  <c r="HH8" i="10" s="1"/>
  <c r="G5" i="10"/>
  <c r="R5" i="10" s="1"/>
  <c r="IB3" i="10"/>
  <c r="BF3" i="12"/>
  <c r="Y9" i="8" s="1"/>
  <c r="BZ55" i="12"/>
  <c r="EN9" i="10"/>
  <c r="EJ9" i="10"/>
  <c r="FU3" i="10"/>
  <c r="FT3" i="10"/>
  <c r="P11" i="10"/>
  <c r="L11" i="10"/>
  <c r="FK12" i="10"/>
  <c r="HW11" i="10"/>
  <c r="HZ11" i="10" s="1"/>
  <c r="DH11" i="10"/>
  <c r="FP9" i="10"/>
  <c r="EE8" i="10"/>
  <c r="CY6" i="10"/>
  <c r="DB6" i="10" s="1"/>
  <c r="DC6" i="10" s="1"/>
  <c r="DI11" i="12"/>
  <c r="DI9" i="12"/>
  <c r="Q55" i="8" s="1"/>
  <c r="DJ7" i="12"/>
  <c r="Q53" i="8" s="1"/>
  <c r="DI12" i="12"/>
  <c r="Q58" i="8" s="1"/>
  <c r="CS157" i="12"/>
  <c r="DB168" i="12"/>
  <c r="Q59" i="8" s="1"/>
  <c r="DW13" i="12"/>
  <c r="T1429" i="12"/>
  <c r="U1429" i="12" s="1"/>
  <c r="FP12" i="10"/>
  <c r="IF11" i="10"/>
  <c r="FI2" i="10"/>
  <c r="FJ2" i="10" s="1"/>
  <c r="BY13" i="12"/>
  <c r="D1429" i="12"/>
  <c r="E1429" i="12" s="1"/>
  <c r="G11" i="10"/>
  <c r="EE9" i="10"/>
  <c r="EH8" i="10"/>
  <c r="EL8" i="10" s="1"/>
  <c r="ER8" i="10" s="1"/>
  <c r="BS8" i="10"/>
  <c r="G8" i="10"/>
  <c r="EE4" i="10"/>
  <c r="EQ4" i="10" s="1"/>
  <c r="FK3" i="10"/>
  <c r="FW3" i="10" s="1"/>
  <c r="EE3" i="10"/>
  <c r="DG155" i="12"/>
  <c r="DF160" i="12" s="1"/>
  <c r="DF161" i="12" s="1"/>
  <c r="CA13" i="12"/>
  <c r="D1431" i="12"/>
  <c r="E1431" i="12" s="1"/>
  <c r="BZ13" i="12"/>
  <c r="D1430" i="12"/>
  <c r="E1430" i="12" s="1"/>
  <c r="EC2" i="10"/>
  <c r="ED2" i="10" s="1"/>
  <c r="EE2" i="10" s="1"/>
  <c r="BV4" i="12"/>
  <c r="BV25" i="12" s="1"/>
  <c r="BN30" i="12" s="1"/>
  <c r="CX155" i="12"/>
  <c r="G156" i="12"/>
  <c r="BY47" i="12"/>
  <c r="EO173" i="12" s="1"/>
  <c r="EO223" i="12" s="1"/>
  <c r="G153" i="12"/>
  <c r="Q155" i="12" s="1"/>
  <c r="J175" i="12"/>
  <c r="K177" i="12"/>
  <c r="S177" i="12" s="1"/>
  <c r="J179" i="12"/>
  <c r="K181" i="12"/>
  <c r="S181" i="12" s="1"/>
  <c r="M183" i="12"/>
  <c r="U183" i="12" s="1"/>
  <c r="R184" i="12"/>
  <c r="K176" i="12"/>
  <c r="S176" i="12" s="1"/>
  <c r="R173" i="12"/>
  <c r="M182" i="12"/>
  <c r="U182" i="12" s="1"/>
  <c r="M173" i="12"/>
  <c r="U173" i="12" s="1"/>
  <c r="R176" i="12"/>
  <c r="K179" i="12"/>
  <c r="S179" i="12" s="1"/>
  <c r="K182" i="12"/>
  <c r="S182" i="12" s="1"/>
  <c r="M181" i="12"/>
  <c r="K174" i="12"/>
  <c r="S174" i="12" s="1"/>
  <c r="R174" i="12"/>
  <c r="M175" i="12"/>
  <c r="M177" i="12"/>
  <c r="K178" i="12"/>
  <c r="S178" i="12" s="1"/>
  <c r="M179" i="12"/>
  <c r="M184" i="12"/>
  <c r="M174" i="12"/>
  <c r="U174" i="12" s="1"/>
  <c r="R175" i="12"/>
  <c r="M176" i="12"/>
  <c r="M178" i="12"/>
  <c r="U178" i="12" s="1"/>
  <c r="M180" i="12"/>
  <c r="J181" i="12"/>
  <c r="R181" i="12"/>
  <c r="R182" i="12"/>
  <c r="K183" i="12"/>
  <c r="S183" i="12" s="1"/>
  <c r="J184" i="12"/>
  <c r="K173" i="12"/>
  <c r="S173" i="12" s="1"/>
  <c r="J176" i="12"/>
  <c r="J180" i="12"/>
  <c r="J182" i="12"/>
  <c r="K184" i="12"/>
  <c r="S184" i="12" s="1"/>
  <c r="J173" i="12"/>
  <c r="J174" i="12"/>
  <c r="K175" i="12"/>
  <c r="S175" i="12" s="1"/>
  <c r="K180" i="12"/>
  <c r="S180" i="12" s="1"/>
  <c r="R183" i="12"/>
  <c r="J183" i="12"/>
  <c r="BU7" i="12"/>
  <c r="BV51" i="12"/>
  <c r="EL177" i="12" s="1"/>
  <c r="O16" i="11" s="1"/>
  <c r="BV55" i="12"/>
  <c r="BV47" i="12"/>
  <c r="EL173" i="12" s="1"/>
  <c r="BV48" i="12"/>
  <c r="EL174" i="12" s="1"/>
  <c r="O13" i="11" s="1"/>
  <c r="BV52" i="12"/>
  <c r="BV56" i="12"/>
  <c r="BV49" i="12"/>
  <c r="EL175" i="12" s="1"/>
  <c r="O14" i="11" s="1"/>
  <c r="BV53" i="12"/>
  <c r="EL179" i="12" s="1"/>
  <c r="O18" i="11" s="1"/>
  <c r="BV57" i="12"/>
  <c r="BV50" i="12"/>
  <c r="BV54" i="12"/>
  <c r="BV58" i="12"/>
  <c r="EL184" i="12" s="1"/>
  <c r="O23" i="11" s="1"/>
  <c r="BX49" i="12"/>
  <c r="CC49" i="12" s="1"/>
  <c r="EN175" i="12" s="1"/>
  <c r="Q14" i="11" s="1"/>
  <c r="BX53" i="12"/>
  <c r="BX57" i="12"/>
  <c r="BX50" i="12"/>
  <c r="BX54" i="12"/>
  <c r="BX58" i="12"/>
  <c r="BX51" i="12"/>
  <c r="BX55" i="12"/>
  <c r="CC55" i="12" s="1"/>
  <c r="EN181" i="12" s="1"/>
  <c r="Q20" i="11" s="1"/>
  <c r="BX47" i="12"/>
  <c r="CC47" i="12" s="1"/>
  <c r="EN173" i="12" s="1"/>
  <c r="BX48" i="12"/>
  <c r="CC48" i="12" s="1"/>
  <c r="EN174" i="12" s="1"/>
  <c r="Q13" i="11" s="1"/>
  <c r="BX52" i="12"/>
  <c r="BX56" i="12"/>
  <c r="BU48" i="12"/>
  <c r="BU52" i="12"/>
  <c r="BU56" i="12"/>
  <c r="BU49" i="12"/>
  <c r="BU53" i="12"/>
  <c r="BU57" i="12"/>
  <c r="BU47" i="12"/>
  <c r="BU50" i="12"/>
  <c r="BU54" i="12"/>
  <c r="BU58" i="12"/>
  <c r="BU51" i="12"/>
  <c r="BU55" i="12"/>
  <c r="BW50" i="12"/>
  <c r="BW54" i="12"/>
  <c r="BW58" i="12"/>
  <c r="BW51" i="12"/>
  <c r="BW55" i="12"/>
  <c r="BW48" i="12"/>
  <c r="EM174" i="12" s="1"/>
  <c r="P13" i="11" s="1"/>
  <c r="BW52" i="12"/>
  <c r="BW56" i="12"/>
  <c r="BW49" i="12"/>
  <c r="EM175" i="12" s="1"/>
  <c r="P14" i="11" s="1"/>
  <c r="BW53" i="12"/>
  <c r="BW57" i="12"/>
  <c r="BW47" i="12"/>
  <c r="EM173" i="12" s="1"/>
  <c r="I3" i="21"/>
  <c r="I3" i="22"/>
  <c r="EI13" i="12"/>
  <c r="F160" i="12" s="1"/>
  <c r="CU160" i="12" s="1"/>
  <c r="CU165" i="12" s="1"/>
  <c r="GO2" i="10"/>
  <c r="GP2" i="10" s="1"/>
  <c r="CZ2" i="10"/>
  <c r="DA2" i="10" s="1"/>
  <c r="EF2" i="10"/>
  <c r="EG2" i="10" s="1"/>
  <c r="CU2" i="10"/>
  <c r="CV2" i="10" s="1"/>
  <c r="DH2" i="10" s="1"/>
  <c r="BF4" i="12"/>
  <c r="K108" i="12" s="1"/>
  <c r="BU9" i="12"/>
  <c r="DS22" i="12"/>
  <c r="BF7" i="12"/>
  <c r="DX12" i="12"/>
  <c r="DY12" i="12"/>
  <c r="D160" i="12"/>
  <c r="D161" i="12" s="1"/>
  <c r="EG14" i="12"/>
  <c r="EK14" i="12" s="1"/>
  <c r="H161" i="12" s="1"/>
  <c r="AN161" i="12" s="1"/>
  <c r="DR9" i="12"/>
  <c r="DR7" i="12"/>
  <c r="DM30" i="12"/>
  <c r="G155" i="12"/>
  <c r="BX6" i="10"/>
  <c r="BS6" i="10"/>
  <c r="CB9" i="10"/>
  <c r="CC9" i="10"/>
  <c r="BX9" i="10"/>
  <c r="R11" i="10"/>
  <c r="J11" i="10"/>
  <c r="BY8" i="10"/>
  <c r="CE8" i="10"/>
  <c r="EJ2" i="10"/>
  <c r="EO2" i="10"/>
  <c r="EJ6" i="10"/>
  <c r="EE6" i="10"/>
  <c r="EO6" i="10"/>
  <c r="FU2" i="10"/>
  <c r="FP2" i="10"/>
  <c r="FT2" i="10"/>
  <c r="DI5" i="10"/>
  <c r="DH5" i="10"/>
  <c r="CB5" i="10"/>
  <c r="BX5" i="10"/>
  <c r="CC5" i="10"/>
  <c r="CB11" i="10"/>
  <c r="BX11" i="10"/>
  <c r="DI9" i="10"/>
  <c r="DH9" i="10"/>
  <c r="DD9" i="10"/>
  <c r="Q9" i="10"/>
  <c r="L9" i="10"/>
  <c r="P9" i="10"/>
  <c r="IF7" i="10"/>
  <c r="IG7" i="10"/>
  <c r="IB7" i="10"/>
  <c r="GZ11" i="10"/>
  <c r="GV11" i="10"/>
  <c r="IG9" i="10"/>
  <c r="IF9" i="10"/>
  <c r="IB9" i="10"/>
  <c r="GV9" i="10"/>
  <c r="GZ9" i="10"/>
  <c r="EU7" i="10"/>
  <c r="EV7" i="10" s="1"/>
  <c r="HW12" i="10"/>
  <c r="GQ10" i="10"/>
  <c r="BS10" i="10"/>
  <c r="G10" i="10"/>
  <c r="G6" i="10"/>
  <c r="M6" i="10" s="1"/>
  <c r="EE5" i="10"/>
  <c r="FK2" i="10"/>
  <c r="FQ2" i="10" s="1"/>
  <c r="BV21" i="12"/>
  <c r="CR4" i="12"/>
  <c r="KA50" i="12"/>
  <c r="KD50" i="12" s="1"/>
  <c r="KE50" i="12" s="1"/>
  <c r="KH50" i="12" s="1"/>
  <c r="KI50" i="12" s="1"/>
  <c r="GQ9" i="10"/>
  <c r="GT9" i="10" s="1"/>
  <c r="G9" i="10"/>
  <c r="J9" i="10" s="1"/>
  <c r="GQ7" i="10"/>
  <c r="HC7" i="10" s="1"/>
  <c r="CY5" i="10"/>
  <c r="DB5" i="10" s="1"/>
  <c r="BS5" i="10"/>
  <c r="BV5" i="10" s="1"/>
  <c r="KA47" i="12"/>
  <c r="KD47" i="12" s="1"/>
  <c r="KE47" i="12" s="1"/>
  <c r="KH47" i="12" s="1"/>
  <c r="KI47" i="12" s="1"/>
  <c r="KA51" i="12"/>
  <c r="KD51" i="12" s="1"/>
  <c r="KE51" i="12" s="1"/>
  <c r="KH51" i="12" s="1"/>
  <c r="EE12" i="10"/>
  <c r="M12" i="10"/>
  <c r="GQ11" i="10"/>
  <c r="GT11" i="10" s="1"/>
  <c r="DB11" i="10"/>
  <c r="BS11" i="10"/>
  <c r="BV11" i="10" s="1"/>
  <c r="HW9" i="10"/>
  <c r="HZ9" i="10" s="1"/>
  <c r="CY9" i="10"/>
  <c r="DB9" i="10" s="1"/>
  <c r="BS9" i="10"/>
  <c r="BV9" i="10" s="1"/>
  <c r="CC8" i="10"/>
  <c r="HW6" i="10"/>
  <c r="II6" i="10" s="1"/>
  <c r="HZ3" i="10"/>
  <c r="FP3" i="10"/>
  <c r="KA48" i="12"/>
  <c r="KD48" i="12" s="1"/>
  <c r="KE48" i="12" s="1"/>
  <c r="KH48" i="12" s="1"/>
  <c r="KI48" i="12" s="1"/>
  <c r="IG12" i="10"/>
  <c r="BS12" i="10"/>
  <c r="HW10" i="10"/>
  <c r="IC10" i="10" s="1"/>
  <c r="IH10" i="10" s="1"/>
  <c r="CY10" i="10"/>
  <c r="HW7" i="10"/>
  <c r="CY7" i="10"/>
  <c r="FK6" i="10"/>
  <c r="FN6" i="10" s="1"/>
  <c r="EH5" i="10"/>
  <c r="KA52" i="12"/>
  <c r="KD52" i="12" s="1"/>
  <c r="KE52" i="12" s="1"/>
  <c r="KH52" i="12" s="1"/>
  <c r="KI52" i="12" s="1"/>
  <c r="LE17" i="12"/>
  <c r="LN7" i="12"/>
  <c r="H12" i="11"/>
  <c r="H41" i="11" s="1"/>
  <c r="L12" i="11"/>
  <c r="L41" i="11" s="1"/>
  <c r="D12" i="11"/>
  <c r="D41" i="11" s="1"/>
  <c r="K12" i="11"/>
  <c r="I12" i="11"/>
  <c r="I41" i="11" s="1"/>
  <c r="J12" i="11"/>
  <c r="J41" i="11" s="1"/>
  <c r="G12" i="11"/>
  <c r="G41" i="11" s="1"/>
  <c r="AS31" i="25"/>
  <c r="AN32" i="25" s="1"/>
  <c r="AD216" i="8" s="1"/>
  <c r="E6" i="13"/>
  <c r="E6" i="25"/>
  <c r="BN7" i="12"/>
  <c r="Q22" i="8" s="1"/>
  <c r="L11" i="11"/>
  <c r="LT15" i="12"/>
  <c r="LG23" i="12" s="1"/>
  <c r="KW15" i="12"/>
  <c r="DJ6" i="12"/>
  <c r="Q52" i="8" s="1"/>
  <c r="DS8" i="12"/>
  <c r="DS19" i="12"/>
  <c r="BV18" i="12"/>
  <c r="BU25" i="12" s="1"/>
  <c r="BM30" i="12" s="1"/>
  <c r="FW12" i="10"/>
  <c r="FQ12" i="10"/>
  <c r="FV12" i="10" s="1"/>
  <c r="EK12" i="10"/>
  <c r="EP12" i="10" s="1"/>
  <c r="EQ12" i="10"/>
  <c r="DM11" i="10"/>
  <c r="DF11" i="10"/>
  <c r="DL11" i="10" s="1"/>
  <c r="GV12" i="10"/>
  <c r="GZ12" i="10"/>
  <c r="HA12" i="10"/>
  <c r="GQ12" i="10"/>
  <c r="FN12" i="10"/>
  <c r="FO12" i="10" s="1"/>
  <c r="CE12" i="10"/>
  <c r="BY12" i="10"/>
  <c r="CD12" i="10" s="1"/>
  <c r="DE10" i="10"/>
  <c r="DJ10" i="10" s="1"/>
  <c r="DK10" i="10"/>
  <c r="DJ12" i="10"/>
  <c r="BV12" i="10"/>
  <c r="BW12" i="10" s="1"/>
  <c r="BX12" i="10"/>
  <c r="CB12" i="10"/>
  <c r="GW11" i="10"/>
  <c r="HB11" i="10" s="1"/>
  <c r="HC11" i="10"/>
  <c r="EO11" i="10"/>
  <c r="BY11" i="10"/>
  <c r="HC10" i="10"/>
  <c r="CE10" i="10"/>
  <c r="S10" i="10"/>
  <c r="M10" i="10"/>
  <c r="R10" i="10"/>
  <c r="FQ9" i="10"/>
  <c r="FV9" i="10" s="1"/>
  <c r="FW9" i="10"/>
  <c r="CS160" i="12"/>
  <c r="EH12" i="10"/>
  <c r="EU12" i="10" s="1"/>
  <c r="EV12" i="10" s="1"/>
  <c r="DK12" i="10"/>
  <c r="S12" i="10"/>
  <c r="FU11" i="10"/>
  <c r="EN11" i="10"/>
  <c r="DK11" i="10"/>
  <c r="DE11" i="10"/>
  <c r="K11" i="10"/>
  <c r="HZ10" i="10"/>
  <c r="IM10" i="10" s="1"/>
  <c r="IN10" i="10" s="1"/>
  <c r="IB10" i="10"/>
  <c r="IF10" i="10"/>
  <c r="IG10" i="10"/>
  <c r="GW10" i="10"/>
  <c r="HB10" i="10" s="1"/>
  <c r="GV10" i="10"/>
  <c r="GZ10" i="10"/>
  <c r="FQ10" i="10"/>
  <c r="FV10" i="10" s="1"/>
  <c r="DB10" i="10"/>
  <c r="DD10" i="10"/>
  <c r="DH10" i="10"/>
  <c r="DI10" i="10"/>
  <c r="BY10" i="10"/>
  <c r="CD10" i="10" s="1"/>
  <c r="BX10" i="10"/>
  <c r="CB10" i="10"/>
  <c r="L10" i="10"/>
  <c r="P10" i="10"/>
  <c r="Q10" i="10"/>
  <c r="HC9" i="10"/>
  <c r="GW9" i="10"/>
  <c r="HB9" i="10" s="1"/>
  <c r="M9" i="10"/>
  <c r="R9" i="10"/>
  <c r="S9" i="10"/>
  <c r="GW8" i="10"/>
  <c r="HB8" i="10" s="1"/>
  <c r="GA12" i="10"/>
  <c r="GB12" i="10" s="1"/>
  <c r="EO12" i="10"/>
  <c r="DB12" i="10"/>
  <c r="DC12" i="10" s="1"/>
  <c r="DD12" i="10"/>
  <c r="DH12" i="10"/>
  <c r="J12" i="10"/>
  <c r="L12" i="10"/>
  <c r="P12" i="10"/>
  <c r="HA11" i="10"/>
  <c r="FT11" i="10"/>
  <c r="EE11" i="10"/>
  <c r="CC11" i="10"/>
  <c r="GT10" i="10"/>
  <c r="GU10" i="10" s="1"/>
  <c r="EE10" i="10"/>
  <c r="BV10" i="10"/>
  <c r="J10" i="10"/>
  <c r="W10" i="10" s="1"/>
  <c r="X10" i="10" s="1"/>
  <c r="IC9" i="10"/>
  <c r="IH9" i="10" s="1"/>
  <c r="II9" i="10"/>
  <c r="EH9" i="10"/>
  <c r="DE9" i="10"/>
  <c r="DJ9" i="10" s="1"/>
  <c r="DK9" i="10"/>
  <c r="CE9" i="10"/>
  <c r="BY9" i="10"/>
  <c r="CD9" i="10" s="1"/>
  <c r="EQ8" i="10"/>
  <c r="EK8" i="10"/>
  <c r="EP8" i="10" s="1"/>
  <c r="EU8" i="10"/>
  <c r="EV8" i="10" s="1"/>
  <c r="EN12" i="10"/>
  <c r="W12" i="10"/>
  <c r="X12" i="10" s="1"/>
  <c r="IG11" i="10"/>
  <c r="FK11" i="10"/>
  <c r="EJ11" i="10"/>
  <c r="DJ11" i="10"/>
  <c r="DC11" i="10"/>
  <c r="DO11" i="10"/>
  <c r="DP11" i="10" s="1"/>
  <c r="DI11" i="10"/>
  <c r="N11" i="10"/>
  <c r="S11" i="10"/>
  <c r="M11" i="10"/>
  <c r="FN10" i="10"/>
  <c r="FP10" i="10"/>
  <c r="FT10" i="10"/>
  <c r="FU10" i="10"/>
  <c r="EJ10" i="10"/>
  <c r="EN10" i="10"/>
  <c r="FN9" i="10"/>
  <c r="GA9" i="10" s="1"/>
  <c r="GB9" i="10" s="1"/>
  <c r="EQ9" i="10"/>
  <c r="EK9" i="10"/>
  <c r="EP9" i="10" s="1"/>
  <c r="Q11" i="10"/>
  <c r="HA9" i="10"/>
  <c r="EO9" i="10"/>
  <c r="GV8" i="10"/>
  <c r="GZ8" i="10"/>
  <c r="EJ8" i="10"/>
  <c r="EN8" i="10"/>
  <c r="CD8" i="10"/>
  <c r="FU7" i="10"/>
  <c r="ES7" i="10"/>
  <c r="EL7" i="10"/>
  <c r="ER7" i="10" s="1"/>
  <c r="BS7" i="10"/>
  <c r="GZ6" i="10"/>
  <c r="HA6" i="10"/>
  <c r="GQ6" i="10"/>
  <c r="S6" i="10"/>
  <c r="IG8" i="10"/>
  <c r="IB8" i="10"/>
  <c r="HW8" i="10"/>
  <c r="HA8" i="10"/>
  <c r="FU8" i="10"/>
  <c r="FP8" i="10"/>
  <c r="FK8" i="10"/>
  <c r="FN8" i="10" s="1"/>
  <c r="GA8" i="10" s="1"/>
  <c r="GB8" i="10" s="1"/>
  <c r="EO8" i="10"/>
  <c r="DI8" i="10"/>
  <c r="DD8" i="10"/>
  <c r="CY8" i="10"/>
  <c r="DB8" i="10" s="1"/>
  <c r="BV8" i="10"/>
  <c r="J8" i="10"/>
  <c r="W8" i="10" s="1"/>
  <c r="X8" i="10" s="1"/>
  <c r="K8" i="10"/>
  <c r="P8" i="10"/>
  <c r="FK7" i="10"/>
  <c r="FN7" i="10" s="1"/>
  <c r="FO7" i="10" s="1"/>
  <c r="EO7" i="10"/>
  <c r="EI7" i="10"/>
  <c r="EN7" i="10"/>
  <c r="IC6" i="10"/>
  <c r="IH6" i="10" s="1"/>
  <c r="GV6" i="10"/>
  <c r="W11" i="10"/>
  <c r="X11" i="10" s="1"/>
  <c r="EU9" i="10"/>
  <c r="EV9" i="10" s="1"/>
  <c r="IF8" i="10"/>
  <c r="FT8" i="10"/>
  <c r="DH8" i="10"/>
  <c r="Q8" i="10"/>
  <c r="HA7" i="10"/>
  <c r="GV7" i="10"/>
  <c r="EK7" i="10"/>
  <c r="EP7" i="10" s="1"/>
  <c r="EQ7" i="10"/>
  <c r="CC7" i="10"/>
  <c r="CB7" i="10"/>
  <c r="BX7" i="10"/>
  <c r="GT6" i="10"/>
  <c r="R8" i="10"/>
  <c r="M8" i="10"/>
  <c r="S8" i="10"/>
  <c r="FT7" i="10"/>
  <c r="BV7" i="10"/>
  <c r="CI7" i="10" s="1"/>
  <c r="CJ7" i="10" s="1"/>
  <c r="L7" i="10"/>
  <c r="Q7" i="10"/>
  <c r="P7" i="10"/>
  <c r="EL5" i="10"/>
  <c r="ER5" i="10" s="1"/>
  <c r="ES5" i="10"/>
  <c r="BX8" i="10"/>
  <c r="CB8" i="10"/>
  <c r="EK6" i="10"/>
  <c r="EP6" i="10" s="1"/>
  <c r="EQ6" i="10"/>
  <c r="CC6" i="10"/>
  <c r="IG5" i="10"/>
  <c r="IB5" i="10"/>
  <c r="EQ5" i="10"/>
  <c r="EK5" i="10"/>
  <c r="EP5" i="10" s="1"/>
  <c r="DE5" i="10"/>
  <c r="DJ5" i="10" s="1"/>
  <c r="DK5" i="10"/>
  <c r="HW4" i="10"/>
  <c r="HZ4" i="10" s="1"/>
  <c r="CY4" i="10"/>
  <c r="ID3" i="10"/>
  <c r="IJ3" i="10" s="1"/>
  <c r="IK3" i="10"/>
  <c r="EH3" i="10"/>
  <c r="DH3" i="10"/>
  <c r="DD3" i="10"/>
  <c r="DI3" i="10"/>
  <c r="CY2" i="10"/>
  <c r="DE6" i="10"/>
  <c r="DJ6" i="10" s="1"/>
  <c r="GZ5" i="10"/>
  <c r="GV5" i="10"/>
  <c r="HA5" i="10"/>
  <c r="IF4" i="10"/>
  <c r="IB4" i="10"/>
  <c r="IG4" i="10"/>
  <c r="GV4" i="10"/>
  <c r="GZ4" i="10"/>
  <c r="HA4" i="10"/>
  <c r="DH4" i="10"/>
  <c r="DD4" i="10"/>
  <c r="DI4" i="10"/>
  <c r="BX4" i="10"/>
  <c r="CB4" i="10"/>
  <c r="CC4" i="10"/>
  <c r="EK3" i="10"/>
  <c r="EP3" i="10"/>
  <c r="CC3" i="10"/>
  <c r="CB3" i="10"/>
  <c r="BS3" i="10"/>
  <c r="BX3" i="10"/>
  <c r="DI7" i="10"/>
  <c r="DD7" i="10"/>
  <c r="FP6" i="10"/>
  <c r="FT6" i="10"/>
  <c r="EH6" i="10"/>
  <c r="EI6" i="10" s="1"/>
  <c r="EN6" i="10"/>
  <c r="IF5" i="10"/>
  <c r="HW5" i="10"/>
  <c r="FU5" i="10"/>
  <c r="FT5" i="10"/>
  <c r="FK5" i="10"/>
  <c r="FP5" i="10"/>
  <c r="CE5" i="10"/>
  <c r="BY5" i="10"/>
  <c r="CD5" i="10" s="1"/>
  <c r="Q5" i="10"/>
  <c r="J5" i="10"/>
  <c r="K5" i="10"/>
  <c r="P5" i="10"/>
  <c r="FK4" i="10"/>
  <c r="FN4" i="10" s="1"/>
  <c r="EK4" i="10"/>
  <c r="EP4" i="10" s="1"/>
  <c r="G4" i="10"/>
  <c r="J4" i="10" s="1"/>
  <c r="II3" i="10"/>
  <c r="IC3" i="10"/>
  <c r="IH3" i="10"/>
  <c r="HA3" i="10"/>
  <c r="GT3" i="10"/>
  <c r="GU3" i="10" s="1"/>
  <c r="GZ3" i="10"/>
  <c r="EQ3" i="10"/>
  <c r="DD2" i="10"/>
  <c r="BT2" i="10"/>
  <c r="BU2" i="10" s="1"/>
  <c r="BQ2" i="10"/>
  <c r="BR2" i="10" s="1"/>
  <c r="BO2" i="10"/>
  <c r="BP2" i="10" s="1"/>
  <c r="G7" i="10"/>
  <c r="HZ6" i="10"/>
  <c r="IM6" i="10" s="1"/>
  <c r="IN6" i="10" s="1"/>
  <c r="IB6" i="10"/>
  <c r="IF6" i="10"/>
  <c r="DK6" i="10"/>
  <c r="CB6" i="10"/>
  <c r="M5" i="10"/>
  <c r="S5" i="10"/>
  <c r="GQ4" i="10"/>
  <c r="GT4" i="10" s="1"/>
  <c r="FT4" i="10"/>
  <c r="FP4" i="10"/>
  <c r="FU4" i="10"/>
  <c r="EJ4" i="10"/>
  <c r="EN4" i="10"/>
  <c r="EH4" i="10"/>
  <c r="EI4" i="10" s="1"/>
  <c r="EO4" i="10"/>
  <c r="DB4" i="10"/>
  <c r="DC4" i="10" s="1"/>
  <c r="BS4" i="10"/>
  <c r="P4" i="10"/>
  <c r="L4" i="10"/>
  <c r="Q4" i="10"/>
  <c r="GW3" i="10"/>
  <c r="HC3" i="10"/>
  <c r="EO3" i="10"/>
  <c r="EI3" i="10"/>
  <c r="EN3" i="10"/>
  <c r="EJ3" i="10"/>
  <c r="EU3" i="10"/>
  <c r="EV3" i="10" s="1"/>
  <c r="M51" i="23"/>
  <c r="Q51" i="23" s="1"/>
  <c r="DD6" i="10"/>
  <c r="DH6" i="10"/>
  <c r="L6" i="10"/>
  <c r="P6" i="10"/>
  <c r="EI5" i="10"/>
  <c r="EU5" i="10"/>
  <c r="EV5" i="10" s="1"/>
  <c r="GQ5" i="10"/>
  <c r="IA3" i="10"/>
  <c r="IM3" i="10"/>
  <c r="IN3" i="10" s="1"/>
  <c r="CY3" i="10"/>
  <c r="EO5" i="10"/>
  <c r="EJ5" i="10"/>
  <c r="DD5" i="10"/>
  <c r="HX2" i="10"/>
  <c r="HY2" i="10" s="1"/>
  <c r="HS2" i="10"/>
  <c r="HT2" i="10" s="1"/>
  <c r="GM2" i="10"/>
  <c r="GN2" i="10" s="1"/>
  <c r="GQ2" i="10" s="1"/>
  <c r="EN2" i="10"/>
  <c r="AN155" i="12"/>
  <c r="E41" i="23"/>
  <c r="E39" i="23"/>
  <c r="CU161" i="12"/>
  <c r="CU166" i="12" s="1"/>
  <c r="AL161" i="12"/>
  <c r="F167" i="12"/>
  <c r="E153" i="12"/>
  <c r="AN160" i="12"/>
  <c r="H166" i="12"/>
  <c r="CW160" i="12"/>
  <c r="CW165" i="12" s="1"/>
  <c r="O108" i="12" l="1"/>
  <c r="AL160" i="12"/>
  <c r="D166" i="12"/>
  <c r="AJ160" i="12"/>
  <c r="AO156" i="12" s="1"/>
  <c r="IK11" i="10"/>
  <c r="ID11" i="10"/>
  <c r="IJ11" i="10" s="1"/>
  <c r="IA11" i="10"/>
  <c r="IO11" i="10" s="1"/>
  <c r="CE6" i="10"/>
  <c r="DB2" i="10"/>
  <c r="J6" i="10"/>
  <c r="T6" i="10" s="1"/>
  <c r="FW6" i="10"/>
  <c r="R6" i="10"/>
  <c r="HC8" i="10"/>
  <c r="IC12" i="10"/>
  <c r="IH12" i="10" s="1"/>
  <c r="FV3" i="10"/>
  <c r="FQ3" i="10"/>
  <c r="BV6" i="10"/>
  <c r="CI6" i="10" s="1"/>
  <c r="CJ6" i="10" s="1"/>
  <c r="BY6" i="10"/>
  <c r="CD6" i="10" s="1"/>
  <c r="FQ6" i="10"/>
  <c r="FV6" i="10" s="1"/>
  <c r="GW7" i="10"/>
  <c r="HB7" i="10" s="1"/>
  <c r="IC11" i="10"/>
  <c r="IH11" i="10" s="1"/>
  <c r="ES8" i="10"/>
  <c r="II10" i="10"/>
  <c r="II12" i="10"/>
  <c r="FN3" i="10"/>
  <c r="HZ12" i="10"/>
  <c r="EI8" i="10"/>
  <c r="IM11" i="10"/>
  <c r="IN11" i="10" s="1"/>
  <c r="CD11" i="10"/>
  <c r="II11" i="10"/>
  <c r="CE11" i="10"/>
  <c r="S20" i="11"/>
  <c r="K41" i="11"/>
  <c r="L13" i="13" s="1"/>
  <c r="D1262" i="12"/>
  <c r="CF89" i="12"/>
  <c r="EK2" i="10"/>
  <c r="EQ2" i="10"/>
  <c r="DI2" i="10"/>
  <c r="FV2" i="10"/>
  <c r="FW2" i="10"/>
  <c r="F166" i="12"/>
  <c r="BO30" i="12"/>
  <c r="BP30" i="12"/>
  <c r="BL26" i="12" s="1"/>
  <c r="BZ15" i="12"/>
  <c r="BV19" i="12" s="1"/>
  <c r="BU27" i="12" s="1"/>
  <c r="IM9" i="10"/>
  <c r="IN9" i="10" s="1"/>
  <c r="IK9" i="10"/>
  <c r="IA9" i="10"/>
  <c r="IO9" i="10" s="1"/>
  <c r="ID9" i="10"/>
  <c r="IJ9" i="10" s="1"/>
  <c r="HE9" i="10"/>
  <c r="GU9" i="10"/>
  <c r="HG9" i="10"/>
  <c r="HH9" i="10" s="1"/>
  <c r="HI9" i="10" s="1"/>
  <c r="GX9" i="10"/>
  <c r="HD9" i="10" s="1"/>
  <c r="GT7" i="10"/>
  <c r="IA12" i="10"/>
  <c r="IE12" i="10" s="1"/>
  <c r="IL12" i="10" s="1"/>
  <c r="S1425" i="12"/>
  <c r="DI10" i="12"/>
  <c r="DY13" i="12"/>
  <c r="T1431" i="12"/>
  <c r="U1431" i="12" s="1"/>
  <c r="DG160" i="12"/>
  <c r="DG161" i="12" s="1"/>
  <c r="DX13" i="12"/>
  <c r="T1430" i="12"/>
  <c r="U1430" i="12" s="1"/>
  <c r="DH160" i="12"/>
  <c r="DH161" i="12" s="1"/>
  <c r="E1433" i="12"/>
  <c r="E1434" i="12"/>
  <c r="R12" i="11"/>
  <c r="CY175" i="12"/>
  <c r="CY177" i="12"/>
  <c r="CY179" i="12"/>
  <c r="CY181" i="12"/>
  <c r="CY182" i="12"/>
  <c r="CY184" i="12"/>
  <c r="DH173" i="12"/>
  <c r="DH174" i="12"/>
  <c r="DA175" i="12"/>
  <c r="DJ175" i="12" s="1"/>
  <c r="DH176" i="12"/>
  <c r="DA177" i="12"/>
  <c r="DJ177" i="12" s="1"/>
  <c r="DH178" i="12"/>
  <c r="DA179" i="12"/>
  <c r="DJ179" i="12" s="1"/>
  <c r="CY180" i="12"/>
  <c r="DH181" i="12"/>
  <c r="DA182" i="12"/>
  <c r="DJ182" i="12" s="1"/>
  <c r="DH183" i="12"/>
  <c r="DA184" i="12"/>
  <c r="DJ184" i="12" s="1"/>
  <c r="CY174" i="12"/>
  <c r="CY176" i="12"/>
  <c r="CY178" i="12"/>
  <c r="DH180" i="12"/>
  <c r="CY183" i="12"/>
  <c r="DF184" i="12"/>
  <c r="DG184" i="12" s="1"/>
  <c r="DA173" i="12"/>
  <c r="DJ173" i="12" s="1"/>
  <c r="DA174" i="12"/>
  <c r="DJ174" i="12" s="1"/>
  <c r="DH175" i="12"/>
  <c r="DA176" i="12"/>
  <c r="DJ176" i="12" s="1"/>
  <c r="DH177" i="12"/>
  <c r="DA178" i="12"/>
  <c r="DJ178" i="12" s="1"/>
  <c r="DH179" i="12"/>
  <c r="DH182" i="12"/>
  <c r="DA183" i="12"/>
  <c r="DJ183" i="12" s="1"/>
  <c r="CX184" i="12"/>
  <c r="DH184" i="12"/>
  <c r="CY173" i="12"/>
  <c r="DA180" i="12"/>
  <c r="DJ180" i="12" s="1"/>
  <c r="DA181" i="12"/>
  <c r="DJ181" i="12" s="1"/>
  <c r="CQ23" i="12"/>
  <c r="CP26" i="12" s="1"/>
  <c r="P160" i="12"/>
  <c r="P161" i="12" s="1"/>
  <c r="Q160" i="12"/>
  <c r="Q161" i="12" s="1"/>
  <c r="R160" i="12"/>
  <c r="R161" i="12" s="1"/>
  <c r="O12" i="11"/>
  <c r="P12" i="11"/>
  <c r="Q12" i="11"/>
  <c r="H156" i="12"/>
  <c r="M155" i="12"/>
  <c r="EM182" i="12"/>
  <c r="P21" i="11" s="1"/>
  <c r="EM177" i="12"/>
  <c r="P16" i="11" s="1"/>
  <c r="CC56" i="12"/>
  <c r="EN182" i="12" s="1"/>
  <c r="Q21" i="11" s="1"/>
  <c r="CC50" i="12"/>
  <c r="EN176" i="12" s="1"/>
  <c r="Q15" i="11" s="1"/>
  <c r="EM183" i="12"/>
  <c r="P22" i="11" s="1"/>
  <c r="EM178" i="12"/>
  <c r="P17" i="11" s="1"/>
  <c r="EM184" i="12"/>
  <c r="P23" i="11" s="1"/>
  <c r="CC52" i="12"/>
  <c r="EN178" i="12" s="1"/>
  <c r="Q17" i="11" s="1"/>
  <c r="CC51" i="12"/>
  <c r="EN177" i="12" s="1"/>
  <c r="Q16" i="11" s="1"/>
  <c r="CC57" i="12"/>
  <c r="EN183" i="12" s="1"/>
  <c r="Q22" i="11" s="1"/>
  <c r="EL180" i="12"/>
  <c r="O19" i="11" s="1"/>
  <c r="EM179" i="12"/>
  <c r="P18" i="11" s="1"/>
  <c r="EM180" i="12"/>
  <c r="P19" i="11" s="1"/>
  <c r="CC58" i="12"/>
  <c r="EN184" i="12" s="1"/>
  <c r="Q23" i="11" s="1"/>
  <c r="CC53" i="12"/>
  <c r="EN179" i="12" s="1"/>
  <c r="Q18" i="11" s="1"/>
  <c r="EL176" i="12"/>
  <c r="O15" i="11" s="1"/>
  <c r="EL182" i="12"/>
  <c r="O21" i="11" s="1"/>
  <c r="EL181" i="12"/>
  <c r="O20" i="11" s="1"/>
  <c r="EM181" i="12"/>
  <c r="P20" i="11" s="1"/>
  <c r="EM176" i="12"/>
  <c r="P15" i="11" s="1"/>
  <c r="CC54" i="12"/>
  <c r="EN180" i="12" s="1"/>
  <c r="Q19" i="11" s="1"/>
  <c r="EL183" i="12"/>
  <c r="O22" i="11" s="1"/>
  <c r="EL178" i="12"/>
  <c r="O17" i="11" s="1"/>
  <c r="T181" i="12"/>
  <c r="Y181" i="12" s="1"/>
  <c r="CW155" i="12"/>
  <c r="K112" i="12"/>
  <c r="J177" i="12" s="1"/>
  <c r="L177" i="12" s="1"/>
  <c r="K113" i="12"/>
  <c r="J178" i="12" s="1"/>
  <c r="L178" i="12" s="1"/>
  <c r="K116" i="12"/>
  <c r="K117" i="12"/>
  <c r="K114" i="12"/>
  <c r="K119" i="12"/>
  <c r="K115" i="12"/>
  <c r="K118" i="12"/>
  <c r="K109" i="12"/>
  <c r="K111" i="12"/>
  <c r="K110" i="12"/>
  <c r="BE50" i="12"/>
  <c r="BF50" i="12" s="1"/>
  <c r="AW176" i="12" s="1"/>
  <c r="AX176" i="12" s="1"/>
  <c r="BE56" i="12"/>
  <c r="BE47" i="12"/>
  <c r="BE55" i="12"/>
  <c r="AW181" i="12" s="1"/>
  <c r="AX181" i="12" s="1"/>
  <c r="BE53" i="12"/>
  <c r="BE52" i="12"/>
  <c r="BF52" i="12" s="1"/>
  <c r="AW178" i="12" s="1"/>
  <c r="AX178" i="12" s="1"/>
  <c r="BE58" i="12"/>
  <c r="BE57" i="12"/>
  <c r="BE48" i="12"/>
  <c r="BE54" i="12"/>
  <c r="BE49" i="12"/>
  <c r="BF49" i="12" s="1"/>
  <c r="AW175" i="12" s="1"/>
  <c r="AX175" i="12" s="1"/>
  <c r="BE51" i="12"/>
  <c r="BF51" i="12" s="1"/>
  <c r="AO180" i="12"/>
  <c r="AO183" i="12"/>
  <c r="AO184" i="12"/>
  <c r="AW177" i="12"/>
  <c r="AX177" i="12" s="1"/>
  <c r="AW182" i="12"/>
  <c r="AX182" i="12" s="1"/>
  <c r="AW183" i="12"/>
  <c r="AX183" i="12" s="1"/>
  <c r="AW184" i="12"/>
  <c r="AX184" i="12" s="1"/>
  <c r="AP174" i="12"/>
  <c r="AY174" i="12" s="1"/>
  <c r="AP175" i="12"/>
  <c r="AY175" i="12" s="1"/>
  <c r="AP176" i="12"/>
  <c r="AY176" i="12" s="1"/>
  <c r="AP177" i="12"/>
  <c r="AY177" i="12" s="1"/>
  <c r="AP178" i="12"/>
  <c r="AY178" i="12" s="1"/>
  <c r="AP179" i="12"/>
  <c r="AY179" i="12" s="1"/>
  <c r="AP180" i="12"/>
  <c r="AY180" i="12" s="1"/>
  <c r="AP181" i="12"/>
  <c r="AY181" i="12" s="1"/>
  <c r="AP182" i="12"/>
  <c r="AY182" i="12" s="1"/>
  <c r="AP183" i="12"/>
  <c r="AY183" i="12" s="1"/>
  <c r="AP184" i="12"/>
  <c r="AY184" i="12" s="1"/>
  <c r="AP173" i="12"/>
  <c r="AY173" i="12" s="1"/>
  <c r="R180" i="12"/>
  <c r="Z180" i="12" s="1"/>
  <c r="L182" i="12"/>
  <c r="Z182" i="12"/>
  <c r="N182" i="12"/>
  <c r="L184" i="12"/>
  <c r="Q184" i="12" s="1"/>
  <c r="Z184" i="12"/>
  <c r="L181" i="12"/>
  <c r="Z181" i="12"/>
  <c r="U177" i="12"/>
  <c r="N181" i="12"/>
  <c r="U181" i="12"/>
  <c r="V181" i="12" s="1"/>
  <c r="L179" i="12"/>
  <c r="V183" i="12"/>
  <c r="T183" i="12"/>
  <c r="Y183" i="12" s="1"/>
  <c r="L174" i="12"/>
  <c r="Q174" i="12" s="1"/>
  <c r="N174" i="12"/>
  <c r="Z174" i="12"/>
  <c r="L180" i="12"/>
  <c r="Q180" i="12" s="1"/>
  <c r="N180" i="12"/>
  <c r="U180" i="12"/>
  <c r="N184" i="12"/>
  <c r="U184" i="12"/>
  <c r="V184" i="12" s="1"/>
  <c r="N175" i="12"/>
  <c r="U175" i="12"/>
  <c r="V175" i="12" s="1"/>
  <c r="T184" i="12"/>
  <c r="Y184" i="12" s="1"/>
  <c r="Z173" i="12"/>
  <c r="L173" i="12"/>
  <c r="N173" i="12"/>
  <c r="L176" i="12"/>
  <c r="Z176" i="12"/>
  <c r="T182" i="12"/>
  <c r="Y182" i="12" s="1"/>
  <c r="V182" i="12"/>
  <c r="N176" i="12"/>
  <c r="U176" i="12"/>
  <c r="V176" i="12" s="1"/>
  <c r="N179" i="12"/>
  <c r="U179" i="12"/>
  <c r="T174" i="12"/>
  <c r="Y174" i="12" s="1"/>
  <c r="V174" i="12"/>
  <c r="V173" i="12"/>
  <c r="T173" i="12"/>
  <c r="Y173" i="12" s="1"/>
  <c r="L175" i="12"/>
  <c r="Z175" i="12"/>
  <c r="N183" i="12"/>
  <c r="L183" i="12"/>
  <c r="Z183" i="12"/>
  <c r="T175" i="12"/>
  <c r="T176" i="12"/>
  <c r="Y176" i="12" s="1"/>
  <c r="CW161" i="12"/>
  <c r="CW166" i="12" s="1"/>
  <c r="H167" i="12"/>
  <c r="EH2" i="10"/>
  <c r="EI2" i="10" s="1"/>
  <c r="EM2" i="10" s="1"/>
  <c r="EP2" i="10"/>
  <c r="FN2" i="10"/>
  <c r="GA2" i="10" s="1"/>
  <c r="GB2" i="10" s="1"/>
  <c r="KR9" i="12"/>
  <c r="KR14" i="12" s="1"/>
  <c r="KR20" i="12" s="1"/>
  <c r="KR21" i="12" s="1"/>
  <c r="KR10" i="12" s="1"/>
  <c r="LN10" i="12"/>
  <c r="LN15" i="12" s="1"/>
  <c r="LE18" i="12" s="1"/>
  <c r="LG18" i="12" s="1"/>
  <c r="LN18" i="12" s="1"/>
  <c r="LN19" i="12" s="1"/>
  <c r="LN11" i="12" s="1"/>
  <c r="K4" i="10"/>
  <c r="W4" i="10"/>
  <c r="X4" i="10" s="1"/>
  <c r="BW5" i="10"/>
  <c r="BZ5" i="10"/>
  <c r="CF5" i="10" s="1"/>
  <c r="CI5" i="10"/>
  <c r="CJ5" i="10" s="1"/>
  <c r="CG5" i="10"/>
  <c r="BW11" i="10"/>
  <c r="CI11" i="10"/>
  <c r="CJ11" i="10" s="1"/>
  <c r="CG11" i="10"/>
  <c r="BZ11" i="10"/>
  <c r="CF11" i="10" s="1"/>
  <c r="DM5" i="10"/>
  <c r="DC5" i="10"/>
  <c r="DF5" i="10"/>
  <c r="DL5" i="10" s="1"/>
  <c r="DO5" i="10"/>
  <c r="DP5" i="10" s="1"/>
  <c r="DQ5" i="10" s="1"/>
  <c r="BZ9" i="10"/>
  <c r="CF9" i="10" s="1"/>
  <c r="CG9" i="10"/>
  <c r="CI9" i="10"/>
  <c r="CJ9" i="10" s="1"/>
  <c r="DO9" i="10"/>
  <c r="DP9" i="10" s="1"/>
  <c r="DF9" i="10"/>
  <c r="DL9" i="10" s="1"/>
  <c r="DM9" i="10"/>
  <c r="DC9" i="10"/>
  <c r="HE11" i="10"/>
  <c r="GX11" i="10"/>
  <c r="HD11" i="10" s="1"/>
  <c r="GU11" i="10"/>
  <c r="HG11" i="10"/>
  <c r="HH11" i="10" s="1"/>
  <c r="U9" i="10"/>
  <c r="K9" i="10"/>
  <c r="W9" i="10"/>
  <c r="X9" i="10" s="1"/>
  <c r="N9" i="10"/>
  <c r="T9" i="10"/>
  <c r="U11" i="10"/>
  <c r="T11" i="10"/>
  <c r="CI12" i="10"/>
  <c r="CJ12" i="10" s="1"/>
  <c r="BW9" i="10"/>
  <c r="CA9" i="10" s="1"/>
  <c r="CH9" i="10" s="1"/>
  <c r="HZ8" i="10"/>
  <c r="IA8" i="10" s="1"/>
  <c r="KR13" i="12"/>
  <c r="KQ21" i="12" s="1"/>
  <c r="KH10" i="12"/>
  <c r="LN17" i="12"/>
  <c r="DK7" i="10"/>
  <c r="DE7" i="10"/>
  <c r="DJ7" i="10" s="1"/>
  <c r="DB7" i="10"/>
  <c r="DO2" i="10"/>
  <c r="DP2" i="10" s="1"/>
  <c r="DC8" i="10"/>
  <c r="DG8" i="10" s="1"/>
  <c r="DN8" i="10" s="1"/>
  <c r="GU8" i="10"/>
  <c r="HG6" i="10"/>
  <c r="HH6" i="10" s="1"/>
  <c r="II7" i="10"/>
  <c r="IC7" i="10"/>
  <c r="IH7" i="10" s="1"/>
  <c r="Y34" i="8"/>
  <c r="HZ7" i="10"/>
  <c r="BV22" i="12"/>
  <c r="AS32" i="25"/>
  <c r="BB31" i="25" s="1"/>
  <c r="AD217" i="8"/>
  <c r="AG63" i="13"/>
  <c r="KI51" i="12"/>
  <c r="DS23" i="12"/>
  <c r="Y54" i="8"/>
  <c r="DR26" i="12"/>
  <c r="DJ30" i="12"/>
  <c r="DI27" i="12" s="1"/>
  <c r="FS7" i="10"/>
  <c r="FZ7" i="10" s="1"/>
  <c r="DG4" i="10"/>
  <c r="DN4" i="10" s="1"/>
  <c r="GX4" i="10"/>
  <c r="HD4" i="10" s="1"/>
  <c r="HE4" i="10"/>
  <c r="FR4" i="10"/>
  <c r="FX4" i="10" s="1"/>
  <c r="FY4" i="10"/>
  <c r="FO4" i="10"/>
  <c r="GA4" i="10"/>
  <c r="GB4" i="10" s="1"/>
  <c r="EM6" i="10"/>
  <c r="ET6" i="10" s="1"/>
  <c r="FS12" i="10"/>
  <c r="FZ12" i="10" s="1"/>
  <c r="GC12" i="10"/>
  <c r="HC2" i="10"/>
  <c r="GW2" i="10"/>
  <c r="HB2" i="10"/>
  <c r="EM4" i="10"/>
  <c r="ET4" i="10" s="1"/>
  <c r="GY10" i="10"/>
  <c r="HF10" i="10" s="1"/>
  <c r="DG12" i="10"/>
  <c r="DN12" i="10" s="1"/>
  <c r="DK3" i="10"/>
  <c r="DE3" i="10"/>
  <c r="DJ3" i="10"/>
  <c r="CA5" i="10"/>
  <c r="CH5" i="10" s="1"/>
  <c r="CK5" i="10"/>
  <c r="EW3" i="10"/>
  <c r="EM3" i="10"/>
  <c r="ET3" i="10" s="1"/>
  <c r="V4" i="10"/>
  <c r="O4" i="10"/>
  <c r="Y4" i="10"/>
  <c r="S7" i="10"/>
  <c r="M7" i="10"/>
  <c r="R7" i="10"/>
  <c r="R4" i="10"/>
  <c r="S4" i="10"/>
  <c r="M4" i="10"/>
  <c r="HG4" i="10"/>
  <c r="HH4" i="10" s="1"/>
  <c r="DG5" i="10"/>
  <c r="DN5" i="10" s="1"/>
  <c r="FY6" i="10"/>
  <c r="FR6" i="10"/>
  <c r="FX6" i="10" s="1"/>
  <c r="DO4" i="10"/>
  <c r="DP4" i="10" s="1"/>
  <c r="DQ4" i="10" s="1"/>
  <c r="ES3" i="10"/>
  <c r="EL3" i="10"/>
  <c r="ER3" i="10" s="1"/>
  <c r="DE4" i="10"/>
  <c r="DJ4" i="10" s="1"/>
  <c r="DK4" i="10"/>
  <c r="GA7" i="10"/>
  <c r="GB7" i="10" s="1"/>
  <c r="GC7" i="10" s="1"/>
  <c r="ID8" i="10"/>
  <c r="IJ8" i="10" s="1"/>
  <c r="IK8" i="10"/>
  <c r="EW7" i="10"/>
  <c r="EM7" i="10"/>
  <c r="ET7" i="10" s="1"/>
  <c r="DZ7" i="10" s="1"/>
  <c r="DY7" i="10" s="1"/>
  <c r="DX7" i="10" s="1"/>
  <c r="V8" i="10"/>
  <c r="O8" i="10"/>
  <c r="Y8" i="10"/>
  <c r="Y9" i="10"/>
  <c r="V9" i="10"/>
  <c r="O9" i="10"/>
  <c r="IE9" i="10"/>
  <c r="IL9" i="10" s="1"/>
  <c r="FY9" i="10"/>
  <c r="FR9" i="10"/>
  <c r="FX9" i="10" s="1"/>
  <c r="FW11" i="10"/>
  <c r="FQ11" i="10"/>
  <c r="FV11" i="10" s="1"/>
  <c r="FN11" i="10"/>
  <c r="BZ10" i="10"/>
  <c r="CF10" i="10" s="1"/>
  <c r="CG10" i="10"/>
  <c r="EK11" i="10"/>
  <c r="EP11" i="10" s="1"/>
  <c r="EQ11" i="10"/>
  <c r="EH11" i="10"/>
  <c r="N12" i="10"/>
  <c r="T12" i="10"/>
  <c r="U12" i="10"/>
  <c r="DO12" i="10"/>
  <c r="DP12" i="10" s="1"/>
  <c r="DQ12" i="10" s="1"/>
  <c r="DM10" i="10"/>
  <c r="DF10" i="10"/>
  <c r="DL10" i="10" s="1"/>
  <c r="O11" i="10"/>
  <c r="Y11" i="10"/>
  <c r="V11" i="10"/>
  <c r="D167" i="12"/>
  <c r="AL166" i="12"/>
  <c r="GV2" i="10"/>
  <c r="GZ2" i="10"/>
  <c r="HA2" i="10"/>
  <c r="HC5" i="10"/>
  <c r="GW5" i="10"/>
  <c r="HB5" i="10" s="1"/>
  <c r="CE4" i="10"/>
  <c r="BY4" i="10"/>
  <c r="CD4" i="10" s="1"/>
  <c r="EL4" i="10"/>
  <c r="ER4" i="10" s="1"/>
  <c r="ES4" i="10"/>
  <c r="HC4" i="10"/>
  <c r="GW4" i="10"/>
  <c r="HB4" i="10" s="1"/>
  <c r="EL6" i="10"/>
  <c r="ER6" i="10" s="1"/>
  <c r="ES6" i="10"/>
  <c r="EU6" i="10"/>
  <c r="EV6" i="10" s="1"/>
  <c r="EW6" i="10" s="1"/>
  <c r="BY3" i="10"/>
  <c r="CD3" i="10"/>
  <c r="CE3" i="10"/>
  <c r="BV3" i="10"/>
  <c r="BV4" i="10"/>
  <c r="CI4" i="10" s="1"/>
  <c r="CJ4" i="10" s="1"/>
  <c r="IC4" i="10"/>
  <c r="IH4" i="10" s="1"/>
  <c r="II4" i="10"/>
  <c r="J7" i="10"/>
  <c r="K7" i="10" s="1"/>
  <c r="N8" i="10"/>
  <c r="U8" i="10"/>
  <c r="T8" i="10"/>
  <c r="FQ8" i="10"/>
  <c r="FV8" i="10" s="1"/>
  <c r="FW8" i="10"/>
  <c r="HI8" i="10"/>
  <c r="GY8" i="10"/>
  <c r="HF8" i="10" s="1"/>
  <c r="BY7" i="10"/>
  <c r="CD7" i="10" s="1"/>
  <c r="CE7" i="10"/>
  <c r="FO9" i="10"/>
  <c r="GY9" i="10"/>
  <c r="HF9" i="10" s="1"/>
  <c r="DG11" i="10"/>
  <c r="DN11" i="10" s="1"/>
  <c r="DQ11" i="10"/>
  <c r="EQ10" i="10"/>
  <c r="EK10" i="10"/>
  <c r="EP10" i="10" s="1"/>
  <c r="CK11" i="10"/>
  <c r="CA11" i="10"/>
  <c r="CH11" i="10" s="1"/>
  <c r="HG10" i="10"/>
  <c r="HH10" i="10" s="1"/>
  <c r="HI10" i="10" s="1"/>
  <c r="GA11" i="10"/>
  <c r="GB11" i="10" s="1"/>
  <c r="K12" i="10"/>
  <c r="EH10" i="10"/>
  <c r="BZ12" i="10"/>
  <c r="CF12" i="10" s="1"/>
  <c r="CG12" i="10"/>
  <c r="AN166" i="12"/>
  <c r="AN165" i="12"/>
  <c r="IG2" i="10"/>
  <c r="IF2" i="10"/>
  <c r="IB2" i="10"/>
  <c r="HW2" i="10"/>
  <c r="DM2" i="10"/>
  <c r="DF2" i="10"/>
  <c r="DL2" i="10"/>
  <c r="IE3" i="10"/>
  <c r="IL3" i="10" s="1"/>
  <c r="IO3" i="10"/>
  <c r="EM5" i="10"/>
  <c r="ET5" i="10" s="1"/>
  <c r="EW5" i="10"/>
  <c r="DZ5" i="10" s="1"/>
  <c r="DY5" i="10" s="1"/>
  <c r="DX5" i="10" s="1"/>
  <c r="DF4" i="10"/>
  <c r="DL4" i="10" s="1"/>
  <c r="DM4" i="10"/>
  <c r="ID4" i="10"/>
  <c r="IJ4" i="10" s="1"/>
  <c r="IK4" i="10"/>
  <c r="CG6" i="10"/>
  <c r="BX2" i="10"/>
  <c r="CB2" i="10"/>
  <c r="CC2" i="10"/>
  <c r="FX2" i="10"/>
  <c r="FR2" i="10"/>
  <c r="FY2" i="10"/>
  <c r="GY3" i="10"/>
  <c r="HF3" i="10"/>
  <c r="Y5" i="10"/>
  <c r="O5" i="10"/>
  <c r="V5" i="10"/>
  <c r="DG6" i="10"/>
  <c r="DN6" i="10" s="1"/>
  <c r="GT2" i="10"/>
  <c r="HG2" i="10" s="1"/>
  <c r="HH2" i="10" s="1"/>
  <c r="N4" i="10"/>
  <c r="T4" i="10"/>
  <c r="U4" i="10"/>
  <c r="GT5" i="10"/>
  <c r="HG5" i="10" s="1"/>
  <c r="HH5" i="10" s="1"/>
  <c r="DE2" i="10"/>
  <c r="DJ2" i="10"/>
  <c r="DK2" i="10"/>
  <c r="CG7" i="10"/>
  <c r="BZ7" i="10"/>
  <c r="CF7" i="10" s="1"/>
  <c r="FY7" i="10"/>
  <c r="FR7" i="10"/>
  <c r="FX7" i="10" s="1"/>
  <c r="DF8" i="10"/>
  <c r="DL8" i="10" s="1"/>
  <c r="DM8" i="10"/>
  <c r="GX6" i="10"/>
  <c r="HD6" i="10" s="1"/>
  <c r="HE6" i="10"/>
  <c r="FW7" i="10"/>
  <c r="FQ7" i="10"/>
  <c r="FV7" i="10" s="1"/>
  <c r="BZ8" i="10"/>
  <c r="CF8" i="10" s="1"/>
  <c r="CG8" i="10"/>
  <c r="DO8" i="10"/>
  <c r="DP8" i="10" s="1"/>
  <c r="DQ8" i="10" s="1"/>
  <c r="IM8" i="10"/>
  <c r="IN8" i="10" s="1"/>
  <c r="K6" i="10"/>
  <c r="FO6" i="10"/>
  <c r="DQ9" i="10"/>
  <c r="DG9" i="10"/>
  <c r="DN9" i="10" s="1"/>
  <c r="B11" i="10"/>
  <c r="FY10" i="10"/>
  <c r="FR10" i="10"/>
  <c r="FX10" i="10" s="1"/>
  <c r="CA12" i="10"/>
  <c r="CH12" i="10" s="1"/>
  <c r="CK12" i="10"/>
  <c r="BW8" i="10"/>
  <c r="FO10" i="10"/>
  <c r="CI10" i="10"/>
  <c r="CJ10" i="10" s="1"/>
  <c r="FO11" i="10"/>
  <c r="ES12" i="10"/>
  <c r="EL12" i="10"/>
  <c r="ER12" i="10" s="1"/>
  <c r="CS165" i="12"/>
  <c r="CS161" i="12"/>
  <c r="EU11" i="10"/>
  <c r="EV11" i="10" s="1"/>
  <c r="DC10" i="10"/>
  <c r="GW12" i="10"/>
  <c r="HB12" i="10" s="1"/>
  <c r="HC12" i="10"/>
  <c r="EI12" i="10"/>
  <c r="CX156" i="12"/>
  <c r="AL165" i="12"/>
  <c r="M13" i="15"/>
  <c r="AQ80" i="25"/>
  <c r="ER2" i="10"/>
  <c r="DM6" i="10"/>
  <c r="DF6" i="10"/>
  <c r="DL6" i="10" s="1"/>
  <c r="ID6" i="10"/>
  <c r="IJ6" i="10" s="1"/>
  <c r="IK6" i="10"/>
  <c r="BS2" i="10"/>
  <c r="BV2" i="10" s="1"/>
  <c r="HE3" i="10"/>
  <c r="GX3" i="10"/>
  <c r="HD3" i="10" s="1"/>
  <c r="HG3" i="10"/>
  <c r="HH3" i="10" s="1"/>
  <c r="HI3" i="10" s="1"/>
  <c r="FW4" i="10"/>
  <c r="FQ4" i="10"/>
  <c r="FV4" i="10" s="1"/>
  <c r="U5" i="10"/>
  <c r="N5" i="10"/>
  <c r="T5" i="10"/>
  <c r="W5" i="10"/>
  <c r="X5" i="10" s="1"/>
  <c r="FQ5" i="10"/>
  <c r="FV5" i="10" s="1"/>
  <c r="FW5" i="10"/>
  <c r="FN5" i="10"/>
  <c r="IC5" i="10"/>
  <c r="IH5" i="10" s="1"/>
  <c r="II5" i="10"/>
  <c r="BW3" i="10"/>
  <c r="GU4" i="10"/>
  <c r="IM4" i="10"/>
  <c r="IN4" i="10" s="1"/>
  <c r="IA4" i="10"/>
  <c r="HZ5" i="10"/>
  <c r="DO6" i="10"/>
  <c r="DP6" i="10" s="1"/>
  <c r="DQ6" i="10" s="1"/>
  <c r="DC2" i="10"/>
  <c r="DB3" i="10"/>
  <c r="DC3" i="10" s="1"/>
  <c r="IM5" i="10"/>
  <c r="IN5" i="10" s="1"/>
  <c r="EU4" i="10"/>
  <c r="EV4" i="10" s="1"/>
  <c r="EW4" i="10" s="1"/>
  <c r="GA6" i="10"/>
  <c r="GB6" i="10" s="1"/>
  <c r="W7" i="10"/>
  <c r="X7" i="10" s="1"/>
  <c r="FR8" i="10"/>
  <c r="FX8" i="10" s="1"/>
  <c r="FY8" i="10"/>
  <c r="IA6" i="10"/>
  <c r="BW7" i="10"/>
  <c r="DE8" i="10"/>
  <c r="DJ8" i="10" s="1"/>
  <c r="DK8" i="10"/>
  <c r="EW8" i="10"/>
  <c r="EM8" i="10"/>
  <c r="ET8" i="10" s="1"/>
  <c r="IC8" i="10"/>
  <c r="IH8" i="10" s="1"/>
  <c r="II8" i="10"/>
  <c r="W6" i="10"/>
  <c r="X6" i="10" s="1"/>
  <c r="GW6" i="10"/>
  <c r="HB6" i="10" s="1"/>
  <c r="HC6" i="10"/>
  <c r="GU6" i="10"/>
  <c r="CI8" i="10"/>
  <c r="CJ8" i="10" s="1"/>
  <c r="GX8" i="10"/>
  <c r="HD8" i="10" s="1"/>
  <c r="HE8" i="10"/>
  <c r="GA10" i="10"/>
  <c r="GB10" i="10" s="1"/>
  <c r="IE11" i="10"/>
  <c r="IL11" i="10" s="1"/>
  <c r="FO8" i="10"/>
  <c r="EL9" i="10"/>
  <c r="ER9" i="10" s="1"/>
  <c r="ES9" i="10"/>
  <c r="T10" i="10"/>
  <c r="U10" i="10"/>
  <c r="N10" i="10"/>
  <c r="GX10" i="10"/>
  <c r="HD10" i="10" s="1"/>
  <c r="HE10" i="10"/>
  <c r="HI11" i="10"/>
  <c r="GY11" i="10"/>
  <c r="HF11" i="10" s="1"/>
  <c r="DF12" i="10"/>
  <c r="DL12" i="10" s="1"/>
  <c r="DM12" i="10"/>
  <c r="EI9" i="10"/>
  <c r="K10" i="10"/>
  <c r="BW10" i="10"/>
  <c r="IK10" i="10"/>
  <c r="ID10" i="10"/>
  <c r="IJ10" i="10" s="1"/>
  <c r="EI11" i="10"/>
  <c r="DO10" i="10"/>
  <c r="DP10" i="10" s="1"/>
  <c r="IA10" i="10"/>
  <c r="FR12" i="10"/>
  <c r="FX12" i="10" s="1"/>
  <c r="FY12" i="10"/>
  <c r="GT12" i="10"/>
  <c r="HG12" i="10" s="1"/>
  <c r="HH12" i="10" s="1"/>
  <c r="M11" i="25" l="1"/>
  <c r="DX15" i="12"/>
  <c r="DI32" i="12" s="1"/>
  <c r="Q57" i="8" s="1"/>
  <c r="AJ161" i="12"/>
  <c r="AJ165" i="12"/>
  <c r="KQ14" i="12"/>
  <c r="FO3" i="10"/>
  <c r="FR3" i="10"/>
  <c r="FX3" i="10" s="1"/>
  <c r="FY3" i="10"/>
  <c r="N6" i="10"/>
  <c r="BZ6" i="10"/>
  <c r="CF6" i="10" s="1"/>
  <c r="BW6" i="10"/>
  <c r="GL10" i="10"/>
  <c r="GK10" i="10" s="1"/>
  <c r="GJ10" i="10" s="1"/>
  <c r="U6" i="10"/>
  <c r="GA3" i="10"/>
  <c r="GB3" i="10" s="1"/>
  <c r="FF7" i="10"/>
  <c r="FE7" i="10" s="1"/>
  <c r="FD7" i="10" s="1"/>
  <c r="BN11" i="10"/>
  <c r="BM11" i="10" s="1"/>
  <c r="BL11" i="10" s="1"/>
  <c r="ID12" i="10"/>
  <c r="IJ12" i="10" s="1"/>
  <c r="HR12" i="10" s="1"/>
  <c r="HQ12" i="10" s="1"/>
  <c r="HP12" i="10" s="1"/>
  <c r="IK12" i="10"/>
  <c r="IM12" i="10"/>
  <c r="IN12" i="10" s="1"/>
  <c r="IO12" i="10" s="1"/>
  <c r="O176" i="12"/>
  <c r="P176" i="12" s="1"/>
  <c r="O184" i="12"/>
  <c r="W183" i="12"/>
  <c r="X183" i="12" s="1"/>
  <c r="AS155" i="12"/>
  <c r="AR160" i="12" s="1"/>
  <c r="AR161" i="12" s="1"/>
  <c r="W182" i="12"/>
  <c r="X182" i="12" s="1"/>
  <c r="O173" i="12"/>
  <c r="P173" i="12" s="1"/>
  <c r="W175" i="12"/>
  <c r="X175" i="12" s="1"/>
  <c r="O174" i="12"/>
  <c r="P174" i="12" s="1"/>
  <c r="O182" i="12"/>
  <c r="AB182" i="12" s="1"/>
  <c r="O183" i="12"/>
  <c r="P183" i="12" s="1"/>
  <c r="O179" i="12"/>
  <c r="P179" i="12" s="1"/>
  <c r="O175" i="12"/>
  <c r="P175" i="12" s="1"/>
  <c r="O180" i="12"/>
  <c r="P180" i="12" s="1"/>
  <c r="W181" i="12"/>
  <c r="X181" i="12" s="1"/>
  <c r="W173" i="12"/>
  <c r="X173" i="12" s="1"/>
  <c r="W174" i="12"/>
  <c r="X174" i="12" s="1"/>
  <c r="W176" i="12"/>
  <c r="X176" i="12" s="1"/>
  <c r="W184" i="12"/>
  <c r="X184" i="12" s="1"/>
  <c r="O181" i="12"/>
  <c r="R41" i="11"/>
  <c r="M31" i="14"/>
  <c r="BP72" i="9"/>
  <c r="AC72" i="9" s="1"/>
  <c r="O41" i="11"/>
  <c r="AK25" i="11" s="1"/>
  <c r="Q41" i="11"/>
  <c r="P41" i="11"/>
  <c r="AK27" i="11" s="1"/>
  <c r="N177" i="12"/>
  <c r="O177" i="12" s="1"/>
  <c r="P177" i="12" s="1"/>
  <c r="EN223" i="12"/>
  <c r="EM223" i="12"/>
  <c r="EL223" i="12"/>
  <c r="R178" i="12"/>
  <c r="V178" i="12" s="1"/>
  <c r="W178" i="12" s="1"/>
  <c r="V180" i="12"/>
  <c r="W180" i="12" s="1"/>
  <c r="N178" i="12"/>
  <c r="O178" i="12" s="1"/>
  <c r="P178" i="12" s="1"/>
  <c r="T180" i="12"/>
  <c r="Y180" i="12" s="1"/>
  <c r="AD180" i="12" s="1"/>
  <c r="DG163" i="12"/>
  <c r="FF12" i="10"/>
  <c r="FE12" i="10" s="1"/>
  <c r="FD12" i="10" s="1"/>
  <c r="GL11" i="10"/>
  <c r="GK11" i="10" s="1"/>
  <c r="GJ11" i="10" s="1"/>
  <c r="DZ8" i="10"/>
  <c r="DY8" i="10" s="1"/>
  <c r="DX8" i="10" s="1"/>
  <c r="KQ15" i="12"/>
  <c r="Q56" i="8"/>
  <c r="DI28" i="12"/>
  <c r="B5" i="10"/>
  <c r="GL9" i="10"/>
  <c r="GK9" i="10" s="1"/>
  <c r="GJ9" i="10" s="1"/>
  <c r="DZ6" i="10"/>
  <c r="DY6" i="10" s="1"/>
  <c r="DX6" i="10" s="1"/>
  <c r="GX7" i="10"/>
  <c r="HE7" i="10"/>
  <c r="HG7" i="10"/>
  <c r="HH7" i="10" s="1"/>
  <c r="HD7" i="10"/>
  <c r="GU7" i="10"/>
  <c r="BF48" i="12"/>
  <c r="BF47" i="12"/>
  <c r="U1434" i="12"/>
  <c r="W1434" i="12" s="1"/>
  <c r="Z1433" i="12" s="1"/>
  <c r="DS10" i="12" s="1"/>
  <c r="T1551" i="12" s="1"/>
  <c r="W1551" i="12" s="1"/>
  <c r="T1552" i="12" s="1"/>
  <c r="W1552" i="12" s="1"/>
  <c r="T1553" i="12" s="1"/>
  <c r="W1553" i="12" s="1"/>
  <c r="T1554" i="12" s="1"/>
  <c r="W1554" i="12" s="1"/>
  <c r="T1555" i="12" s="1"/>
  <c r="W1555" i="12" s="1"/>
  <c r="T1556" i="12" s="1"/>
  <c r="W1556" i="12" s="1"/>
  <c r="T1557" i="12" s="1"/>
  <c r="U1433" i="12"/>
  <c r="W1433" i="12" s="1"/>
  <c r="R177" i="12"/>
  <c r="T177" i="12" s="1"/>
  <c r="Y177" i="12" s="1"/>
  <c r="ES2" i="10"/>
  <c r="ET2" i="10"/>
  <c r="EL2" i="10"/>
  <c r="EW2" i="10"/>
  <c r="EU2" i="10"/>
  <c r="EV2" i="10" s="1"/>
  <c r="DK184" i="12"/>
  <c r="DL184" i="12" s="1"/>
  <c r="DI184" i="12"/>
  <c r="DN184" i="12" s="1"/>
  <c r="DB184" i="12"/>
  <c r="DC184" i="12" s="1"/>
  <c r="CZ184" i="12"/>
  <c r="DO184" i="12"/>
  <c r="Q163" i="12"/>
  <c r="DS20" i="12"/>
  <c r="DC155" i="12"/>
  <c r="M160" i="12"/>
  <c r="M161" i="12" s="1"/>
  <c r="L160" i="12"/>
  <c r="L161" i="12" s="1"/>
  <c r="N160" i="12"/>
  <c r="N161" i="12" s="1"/>
  <c r="BL31" i="12"/>
  <c r="Q26" i="8" s="1"/>
  <c r="BU21" i="12"/>
  <c r="BU20" i="12"/>
  <c r="R179" i="12"/>
  <c r="AZ182" i="12"/>
  <c r="BB182" i="12"/>
  <c r="BC182" i="12" s="1"/>
  <c r="AZ178" i="12"/>
  <c r="BB178" i="12"/>
  <c r="BC178" i="12" s="1"/>
  <c r="AZ181" i="12"/>
  <c r="BB181" i="12"/>
  <c r="BC181" i="12" s="1"/>
  <c r="AZ177" i="12"/>
  <c r="BB177" i="12"/>
  <c r="BC177" i="12" s="1"/>
  <c r="AS184" i="12"/>
  <c r="AT184" i="12" s="1"/>
  <c r="BF184" i="12"/>
  <c r="AQ184" i="12"/>
  <c r="AV184" i="12" s="1"/>
  <c r="AQ180" i="12"/>
  <c r="AV180" i="12" s="1"/>
  <c r="AS180" i="12"/>
  <c r="AT180" i="12" s="1"/>
  <c r="AZ184" i="12"/>
  <c r="BB184" i="12"/>
  <c r="BC184" i="12" s="1"/>
  <c r="AZ176" i="12"/>
  <c r="BB176" i="12"/>
  <c r="BC176" i="12" s="1"/>
  <c r="AQ183" i="12"/>
  <c r="AS183" i="12"/>
  <c r="AT183" i="12" s="1"/>
  <c r="BF183" i="12"/>
  <c r="AZ183" i="12"/>
  <c r="BB183" i="12"/>
  <c r="BC183" i="12" s="1"/>
  <c r="AZ175" i="12"/>
  <c r="BB175" i="12"/>
  <c r="BC175" i="12" s="1"/>
  <c r="AN156" i="12"/>
  <c r="Q183" i="12"/>
  <c r="AD183" i="12" s="1"/>
  <c r="AA175" i="12"/>
  <c r="AA183" i="12"/>
  <c r="Q178" i="12"/>
  <c r="AA176" i="12"/>
  <c r="AA182" i="12"/>
  <c r="Q175" i="12"/>
  <c r="AA173" i="12"/>
  <c r="Y175" i="12"/>
  <c r="Q177" i="12"/>
  <c r="AA174" i="12"/>
  <c r="Q179" i="12"/>
  <c r="AD174" i="12"/>
  <c r="AD184" i="12"/>
  <c r="Q182" i="12"/>
  <c r="AD182" i="12" s="1"/>
  <c r="Q176" i="12"/>
  <c r="AD176" i="12" s="1"/>
  <c r="Q173" i="12"/>
  <c r="AD173" i="12" s="1"/>
  <c r="Q181" i="12"/>
  <c r="AD181" i="12" s="1"/>
  <c r="AA181" i="12"/>
  <c r="AA184" i="12"/>
  <c r="BV20" i="12"/>
  <c r="BV26" i="12" s="1"/>
  <c r="E160" i="12"/>
  <c r="G161" i="12" s="1"/>
  <c r="I161" i="12" s="1"/>
  <c r="FO2" i="10"/>
  <c r="IE8" i="10"/>
  <c r="IL8" i="10" s="1"/>
  <c r="GL8" i="10"/>
  <c r="GK8" i="10" s="1"/>
  <c r="GJ8" i="10" s="1"/>
  <c r="B4" i="10"/>
  <c r="B8" i="10"/>
  <c r="BN5" i="10"/>
  <c r="BM5" i="10" s="1"/>
  <c r="BL5" i="10" s="1"/>
  <c r="DM7" i="10"/>
  <c r="DF7" i="10"/>
  <c r="DL7" i="10" s="1"/>
  <c r="DO7" i="10"/>
  <c r="DP7" i="10" s="1"/>
  <c r="DC7" i="10"/>
  <c r="CT8" i="10"/>
  <c r="CS8" i="10" s="1"/>
  <c r="CR8" i="10" s="1"/>
  <c r="IO8" i="10"/>
  <c r="HR3" i="10"/>
  <c r="HQ3" i="10" s="1"/>
  <c r="HP3" i="10" s="1"/>
  <c r="DO3" i="10"/>
  <c r="DP3" i="10" s="1"/>
  <c r="KH21" i="12"/>
  <c r="CT12" i="10"/>
  <c r="CS12" i="10" s="1"/>
  <c r="CR12" i="10" s="1"/>
  <c r="GL3" i="10"/>
  <c r="GK3" i="10" s="1"/>
  <c r="GJ3" i="10" s="1"/>
  <c r="CT9" i="10"/>
  <c r="CS9" i="10" s="1"/>
  <c r="CR9" i="10" s="1"/>
  <c r="CT11" i="10"/>
  <c r="CS11" i="10" s="1"/>
  <c r="CR11" i="10" s="1"/>
  <c r="CT5" i="10"/>
  <c r="CS5" i="10" s="1"/>
  <c r="CR5" i="10" s="1"/>
  <c r="IK7" i="10"/>
  <c r="ID7" i="10"/>
  <c r="IJ7" i="10" s="1"/>
  <c r="IA7" i="10"/>
  <c r="IM7" i="10"/>
  <c r="IN7" i="10" s="1"/>
  <c r="BN12" i="10"/>
  <c r="BM12" i="10" s="1"/>
  <c r="BL12" i="10" s="1"/>
  <c r="DZ3" i="10"/>
  <c r="DY3" i="10" s="1"/>
  <c r="DX3" i="10" s="1"/>
  <c r="CK9" i="10"/>
  <c r="BN9" i="10" s="1"/>
  <c r="BM9" i="10" s="1"/>
  <c r="BL9" i="10" s="1"/>
  <c r="AS35" i="25"/>
  <c r="O7" i="10"/>
  <c r="V7" i="10"/>
  <c r="Y7" i="10"/>
  <c r="HR11" i="10"/>
  <c r="HQ11" i="10" s="1"/>
  <c r="HP11" i="10" s="1"/>
  <c r="DZ4" i="10"/>
  <c r="DY4" i="10" s="1"/>
  <c r="DX4" i="10" s="1"/>
  <c r="HR9" i="10"/>
  <c r="HQ9" i="10" s="1"/>
  <c r="HP9" i="10" s="1"/>
  <c r="CT6" i="10"/>
  <c r="CS6" i="10" s="1"/>
  <c r="CR6" i="10" s="1"/>
  <c r="CT4" i="10"/>
  <c r="CS4" i="10" s="1"/>
  <c r="CR4" i="10" s="1"/>
  <c r="IE4" i="10"/>
  <c r="IL4" i="10" s="1"/>
  <c r="IO4" i="10"/>
  <c r="CW156" i="12"/>
  <c r="EW12" i="10"/>
  <c r="EM12" i="10"/>
  <c r="ET12" i="10" s="1"/>
  <c r="GY6" i="10"/>
  <c r="HF6" i="10" s="1"/>
  <c r="HI6" i="10"/>
  <c r="GL6" i="10" s="1"/>
  <c r="GK6" i="10" s="1"/>
  <c r="GJ6" i="10" s="1"/>
  <c r="GC10" i="10"/>
  <c r="FS10" i="10"/>
  <c r="FZ10" i="10" s="1"/>
  <c r="GC9" i="10"/>
  <c r="FZ9" i="10"/>
  <c r="FS9" i="10"/>
  <c r="GU5" i="10"/>
  <c r="FY11" i="10"/>
  <c r="FR11" i="10"/>
  <c r="FX11" i="10" s="1"/>
  <c r="DQ2" i="10"/>
  <c r="DN2" i="10"/>
  <c r="DG2" i="10"/>
  <c r="HD2" i="10"/>
  <c r="GX2" i="10"/>
  <c r="HE2" i="10"/>
  <c r="CG3" i="10"/>
  <c r="BZ3" i="10"/>
  <c r="CF3" i="10" s="1"/>
  <c r="CI3" i="10"/>
  <c r="CJ3" i="10" s="1"/>
  <c r="IC2" i="10"/>
  <c r="II2" i="10"/>
  <c r="IH2" i="10"/>
  <c r="HE12" i="10"/>
  <c r="GX12" i="10"/>
  <c r="HD12" i="10" s="1"/>
  <c r="IO10" i="10"/>
  <c r="IE10" i="10"/>
  <c r="IL10" i="10" s="1"/>
  <c r="FS8" i="10"/>
  <c r="FZ8" i="10" s="1"/>
  <c r="GC8" i="10"/>
  <c r="IE6" i="10"/>
  <c r="IL6" i="10" s="1"/>
  <c r="IO6" i="10"/>
  <c r="IK5" i="10"/>
  <c r="ID5" i="10"/>
  <c r="IJ5" i="10" s="1"/>
  <c r="HI4" i="10"/>
  <c r="GY4" i="10"/>
  <c r="HF4" i="10" s="1"/>
  <c r="BY2" i="10"/>
  <c r="CD2" i="10"/>
  <c r="CE2" i="10"/>
  <c r="HZ2" i="10"/>
  <c r="IM2" i="10" s="1"/>
  <c r="IN2" i="10" s="1"/>
  <c r="CA8" i="10"/>
  <c r="CK8" i="10"/>
  <c r="CH8" i="10"/>
  <c r="FS6" i="10"/>
  <c r="FZ6" i="10" s="1"/>
  <c r="GC6" i="10"/>
  <c r="ES11" i="10"/>
  <c r="EL11" i="10"/>
  <c r="ER11" i="10" s="1"/>
  <c r="B9" i="10"/>
  <c r="GU12" i="10"/>
  <c r="FS4" i="10"/>
  <c r="FZ4" i="10" s="1"/>
  <c r="GC4" i="10"/>
  <c r="CK3" i="10"/>
  <c r="CA3" i="10"/>
  <c r="CH3" i="10" s="1"/>
  <c r="DQ10" i="10"/>
  <c r="DG10" i="10"/>
  <c r="DN10" i="10" s="1"/>
  <c r="FS11" i="10"/>
  <c r="FZ11" i="10" s="1"/>
  <c r="GC11" i="10"/>
  <c r="V12" i="10"/>
  <c r="O12" i="10"/>
  <c r="Y12" i="10"/>
  <c r="EM9" i="10"/>
  <c r="ET9" i="10" s="1"/>
  <c r="EW9" i="10"/>
  <c r="CK7" i="10"/>
  <c r="CA7" i="10"/>
  <c r="CH7" i="10" s="1"/>
  <c r="DG3" i="10"/>
  <c r="DN3" i="10" s="1"/>
  <c r="DQ3" i="10"/>
  <c r="HE5" i="10"/>
  <c r="GX5" i="10"/>
  <c r="HD5" i="10" s="1"/>
  <c r="EW11" i="10"/>
  <c r="EM11" i="10"/>
  <c r="ET11" i="10" s="1"/>
  <c r="CA10" i="10"/>
  <c r="CH10" i="10" s="1"/>
  <c r="CK10" i="10"/>
  <c r="DM3" i="10"/>
  <c r="DF3" i="10"/>
  <c r="DL3" i="10" s="1"/>
  <c r="IA5" i="10"/>
  <c r="FY5" i="10"/>
  <c r="FR5" i="10"/>
  <c r="FX5" i="10" s="1"/>
  <c r="FO5" i="10"/>
  <c r="GA5" i="10"/>
  <c r="GB5" i="10" s="1"/>
  <c r="GU2" i="10"/>
  <c r="O6" i="10"/>
  <c r="V6" i="10"/>
  <c r="Y6" i="10"/>
  <c r="CI2" i="10"/>
  <c r="CJ2" i="10" s="1"/>
  <c r="EL10" i="10"/>
  <c r="ER10" i="10" s="1"/>
  <c r="ES10" i="10"/>
  <c r="EI10" i="10"/>
  <c r="EU10" i="10"/>
  <c r="EV10" i="10" s="1"/>
  <c r="U7" i="10"/>
  <c r="N7" i="10"/>
  <c r="T7" i="10"/>
  <c r="BZ4" i="10"/>
  <c r="CF4" i="10" s="1"/>
  <c r="CG4" i="10"/>
  <c r="CA6" i="10"/>
  <c r="CH6" i="10" s="1"/>
  <c r="CK6" i="10"/>
  <c r="BW2" i="10"/>
  <c r="O10" i="10"/>
  <c r="Y10" i="10"/>
  <c r="V10" i="10"/>
  <c r="CS166" i="12"/>
  <c r="CF2" i="10"/>
  <c r="CG2" i="10"/>
  <c r="BZ2" i="10"/>
  <c r="BW4" i="10"/>
  <c r="M29" i="30" l="1"/>
  <c r="P28" i="30" s="1"/>
  <c r="M13" i="25"/>
  <c r="AJ166" i="12"/>
  <c r="P182" i="12"/>
  <c r="AT160" i="12"/>
  <c r="AT161" i="12" s="1"/>
  <c r="AB176" i="12"/>
  <c r="AB183" i="12"/>
  <c r="AB184" i="12"/>
  <c r="P184" i="12"/>
  <c r="AC184" i="12" s="1"/>
  <c r="Z178" i="12"/>
  <c r="B10" i="10"/>
  <c r="FS3" i="10"/>
  <c r="FZ3" i="10" s="1"/>
  <c r="GC3" i="10"/>
  <c r="AS160" i="12"/>
  <c r="AS161" i="12" s="1"/>
  <c r="AB181" i="12"/>
  <c r="P181" i="12"/>
  <c r="AC181" i="12" s="1"/>
  <c r="AB173" i="12"/>
  <c r="AB180" i="12"/>
  <c r="AB175" i="12"/>
  <c r="AB174" i="12"/>
  <c r="AB178" i="12"/>
  <c r="T178" i="12"/>
  <c r="Y178" i="12" s="1"/>
  <c r="AD178" i="12" s="1"/>
  <c r="AK30" i="11"/>
  <c r="K18" i="13" s="1"/>
  <c r="DZ2" i="10"/>
  <c r="DY2" i="10" s="1"/>
  <c r="DX2" i="10" s="1"/>
  <c r="AA180" i="12"/>
  <c r="X180" i="12"/>
  <c r="AC180" i="12" s="1"/>
  <c r="AA177" i="12"/>
  <c r="BG47" i="12"/>
  <c r="AW173" i="12"/>
  <c r="AX173" i="12" s="1"/>
  <c r="AW174" i="12"/>
  <c r="AX174" i="12" s="1"/>
  <c r="HR4" i="10"/>
  <c r="HQ4" i="10" s="1"/>
  <c r="HP4" i="10" s="1"/>
  <c r="B7" i="10"/>
  <c r="B6" i="10"/>
  <c r="HR8" i="10"/>
  <c r="HQ8" i="10" s="1"/>
  <c r="HP8" i="10" s="1"/>
  <c r="FF8" i="10"/>
  <c r="FE8" i="10" s="1"/>
  <c r="FD8" i="10" s="1"/>
  <c r="AD177" i="12"/>
  <c r="HI7" i="10"/>
  <c r="GY7" i="10"/>
  <c r="HF7" i="10"/>
  <c r="CT10" i="10"/>
  <c r="CS10" i="10" s="1"/>
  <c r="CR10" i="10" s="1"/>
  <c r="Z177" i="12"/>
  <c r="V177" i="12"/>
  <c r="W177" i="12" s="1"/>
  <c r="AB177" i="12" s="1"/>
  <c r="W1557" i="12"/>
  <c r="DD184" i="12"/>
  <c r="DM184" i="12"/>
  <c r="DC160" i="12"/>
  <c r="DC161" i="12" s="1"/>
  <c r="DB160" i="12"/>
  <c r="DB161" i="12" s="1"/>
  <c r="DD160" i="12"/>
  <c r="DD161" i="12" s="1"/>
  <c r="DR21" i="12"/>
  <c r="DR22" i="12"/>
  <c r="DR28" i="12"/>
  <c r="DE184" i="12"/>
  <c r="DS184" i="12" s="1"/>
  <c r="DP184" i="12"/>
  <c r="K44" i="13"/>
  <c r="M48" i="14" s="1"/>
  <c r="O48" i="14" s="1"/>
  <c r="M36" i="23" s="1"/>
  <c r="Q36" i="23" s="1"/>
  <c r="M163" i="12"/>
  <c r="L166" i="12" s="1"/>
  <c r="BV27" i="12"/>
  <c r="AZ398" i="12"/>
  <c r="AC183" i="12"/>
  <c r="DQ184" i="12"/>
  <c r="Z179" i="12"/>
  <c r="T179" i="12"/>
  <c r="V179" i="12"/>
  <c r="W179" i="12" s="1"/>
  <c r="AB179" i="12" s="1"/>
  <c r="AC176" i="12"/>
  <c r="BD176" i="12"/>
  <c r="BD178" i="12"/>
  <c r="BD177" i="12"/>
  <c r="AU183" i="12"/>
  <c r="BD181" i="12"/>
  <c r="BD184" i="12"/>
  <c r="BD182" i="12"/>
  <c r="BD175" i="12"/>
  <c r="BD183" i="12"/>
  <c r="BE175" i="12"/>
  <c r="BE183" i="12"/>
  <c r="BH184" i="12"/>
  <c r="AU180" i="12"/>
  <c r="BE177" i="12"/>
  <c r="BE181" i="12"/>
  <c r="BH183" i="12"/>
  <c r="AV183" i="12"/>
  <c r="BE176" i="12"/>
  <c r="BE184" i="12"/>
  <c r="BJ184" i="12" s="1"/>
  <c r="BE178" i="12"/>
  <c r="BE182" i="12"/>
  <c r="AU184" i="12"/>
  <c r="BG183" i="12"/>
  <c r="BG184" i="12"/>
  <c r="AC173" i="12"/>
  <c r="AC175" i="12"/>
  <c r="AC182" i="12"/>
  <c r="AC174" i="12"/>
  <c r="AD175" i="12"/>
  <c r="G160" i="12"/>
  <c r="I160" i="12" s="1"/>
  <c r="I162" i="12" s="1"/>
  <c r="FZ2" i="10"/>
  <c r="FS2" i="10"/>
  <c r="GC2" i="10"/>
  <c r="CB92" i="8"/>
  <c r="BN6" i="10"/>
  <c r="BM6" i="10" s="1"/>
  <c r="BL6" i="10" s="1"/>
  <c r="CT3" i="10"/>
  <c r="CS3" i="10" s="1"/>
  <c r="CR3" i="10" s="1"/>
  <c r="IA2" i="10"/>
  <c r="IO2" i="10" s="1"/>
  <c r="BN3" i="10"/>
  <c r="BM3" i="10" s="1"/>
  <c r="BL3" i="10" s="1"/>
  <c r="DQ7" i="10"/>
  <c r="DG7" i="10"/>
  <c r="DN7" i="10" s="1"/>
  <c r="FF4" i="10"/>
  <c r="FE4" i="10" s="1"/>
  <c r="FD4" i="10" s="1"/>
  <c r="CT2" i="10"/>
  <c r="CS2" i="10" s="1"/>
  <c r="CR2" i="10" s="1"/>
  <c r="FF11" i="10"/>
  <c r="FE11" i="10" s="1"/>
  <c r="FD11" i="10" s="1"/>
  <c r="DZ12" i="10"/>
  <c r="DY12" i="10" s="1"/>
  <c r="DX12" i="10" s="1"/>
  <c r="IE7" i="10"/>
  <c r="IL7" i="10" s="1"/>
  <c r="IO7" i="10"/>
  <c r="HR6" i="10"/>
  <c r="HQ6" i="10" s="1"/>
  <c r="HP6" i="10" s="1"/>
  <c r="FF10" i="10"/>
  <c r="FE10" i="10" s="1"/>
  <c r="FD10" i="10" s="1"/>
  <c r="BN7" i="10"/>
  <c r="BM7" i="10" s="1"/>
  <c r="BL7" i="10" s="1"/>
  <c r="DZ11" i="10"/>
  <c r="DY11" i="10" s="1"/>
  <c r="DX11" i="10" s="1"/>
  <c r="FF6" i="10"/>
  <c r="FE6" i="10" s="1"/>
  <c r="FD6" i="10" s="1"/>
  <c r="BN8" i="10"/>
  <c r="BM8" i="10" s="1"/>
  <c r="BL8" i="10" s="1"/>
  <c r="GL4" i="10"/>
  <c r="GK4" i="10" s="1"/>
  <c r="GJ4" i="10" s="1"/>
  <c r="FF9" i="10"/>
  <c r="FE9" i="10" s="1"/>
  <c r="FD9" i="10" s="1"/>
  <c r="E166" i="12"/>
  <c r="BN10" i="10"/>
  <c r="BM10" i="10" s="1"/>
  <c r="BL10" i="10" s="1"/>
  <c r="DZ9" i="10"/>
  <c r="DY9" i="10" s="1"/>
  <c r="DX9" i="10" s="1"/>
  <c r="HR10" i="10"/>
  <c r="HQ10" i="10" s="1"/>
  <c r="HP10" i="10" s="1"/>
  <c r="GC5" i="10"/>
  <c r="FS5" i="10"/>
  <c r="FZ5" i="10" s="1"/>
  <c r="IO5" i="10"/>
  <c r="IE5" i="10"/>
  <c r="IL5" i="10"/>
  <c r="K45" i="13"/>
  <c r="M49" i="14" s="1"/>
  <c r="O49" i="14" s="1"/>
  <c r="M37" i="23" s="1"/>
  <c r="Q37" i="23" s="1"/>
  <c r="CK4" i="10"/>
  <c r="CA4" i="10"/>
  <c r="CH4" i="10" s="1"/>
  <c r="CK2" i="10"/>
  <c r="CH2" i="10"/>
  <c r="CA2" i="10"/>
  <c r="B12" i="10"/>
  <c r="IK2" i="10"/>
  <c r="ID2" i="10"/>
  <c r="IJ2" i="10"/>
  <c r="HI2" i="10"/>
  <c r="GY2" i="10"/>
  <c r="HF2" i="10"/>
  <c r="GY5" i="10"/>
  <c r="HF5" i="10" s="1"/>
  <c r="HI5" i="10"/>
  <c r="BO42" i="25"/>
  <c r="EM10" i="10"/>
  <c r="ET10" i="10" s="1"/>
  <c r="EW10" i="10"/>
  <c r="HI12" i="10"/>
  <c r="GY12" i="10"/>
  <c r="HF12" i="10" s="1"/>
  <c r="BO310" i="8" l="1"/>
  <c r="BN194" i="9"/>
  <c r="AS163" i="12"/>
  <c r="AR166" i="12" s="1"/>
  <c r="AK221" i="12" s="1"/>
  <c r="DY186" i="12" s="1"/>
  <c r="B25" i="11" s="1"/>
  <c r="AA178" i="12"/>
  <c r="FF3" i="10"/>
  <c r="FE3" i="10" s="1"/>
  <c r="FD3" i="10" s="1"/>
  <c r="HR5" i="10"/>
  <c r="HQ5" i="10" s="1"/>
  <c r="HP5" i="10" s="1"/>
  <c r="BH47" i="12"/>
  <c r="X178" i="12"/>
  <c r="AC178" i="12" s="1"/>
  <c r="BN78" i="9"/>
  <c r="K36" i="14"/>
  <c r="P33" i="14" s="1"/>
  <c r="L15" i="13"/>
  <c r="IL2" i="10"/>
  <c r="HR2" i="10" s="1"/>
  <c r="HQ2" i="10" s="1"/>
  <c r="HP2" i="10" s="1"/>
  <c r="IE2" i="10"/>
  <c r="AZ174" i="12"/>
  <c r="BB174" i="12"/>
  <c r="BC174" i="12" s="1"/>
  <c r="AZ173" i="12"/>
  <c r="BB173" i="12"/>
  <c r="BC173" i="12" s="1"/>
  <c r="Z185" i="12"/>
  <c r="X17" i="8" s="1"/>
  <c r="HR7" i="10"/>
  <c r="HQ7" i="10" s="1"/>
  <c r="HP7" i="10" s="1"/>
  <c r="CT7" i="10"/>
  <c r="CS7" i="10" s="1"/>
  <c r="CR7" i="10" s="1"/>
  <c r="GL7" i="10"/>
  <c r="GK7" i="10" s="1"/>
  <c r="GJ7" i="10" s="1"/>
  <c r="FF2" i="10"/>
  <c r="FE2" i="10" s="1"/>
  <c r="FD2" i="10" s="1"/>
  <c r="AK220" i="12"/>
  <c r="AB185" i="12"/>
  <c r="Z17" i="8" s="1"/>
  <c r="X177" i="12"/>
  <c r="AC177" i="12" s="1"/>
  <c r="DC163" i="12"/>
  <c r="Y26" i="8"/>
  <c r="BV11" i="12"/>
  <c r="F1550" i="12" s="1"/>
  <c r="C1550" i="12" s="1"/>
  <c r="DR184" i="12"/>
  <c r="AO182" i="12"/>
  <c r="AO181" i="12"/>
  <c r="AS181" i="12" s="1"/>
  <c r="AT181" i="12" s="1"/>
  <c r="BH181" i="12" s="1"/>
  <c r="X179" i="12"/>
  <c r="AC179" i="12" s="1"/>
  <c r="Y179" i="12"/>
  <c r="AD179" i="12" s="1"/>
  <c r="AD185" i="12" s="1"/>
  <c r="AB17" i="8" s="1"/>
  <c r="AA179" i="12"/>
  <c r="BI184" i="12"/>
  <c r="BJ183" i="12"/>
  <c r="BI183" i="12"/>
  <c r="AK160" i="12"/>
  <c r="AM161" i="12" s="1"/>
  <c r="AO161" i="12" s="1"/>
  <c r="GL5" i="10"/>
  <c r="GK5" i="10" s="1"/>
  <c r="GJ5" i="10" s="1"/>
  <c r="GL2" i="10"/>
  <c r="GK2" i="10" s="1"/>
  <c r="GJ2" i="10" s="1"/>
  <c r="BN2" i="10"/>
  <c r="BM2" i="10" s="1"/>
  <c r="BL2" i="10" s="1"/>
  <c r="FF5" i="10"/>
  <c r="FE5" i="10" s="1"/>
  <c r="FD5" i="10" s="1"/>
  <c r="DZ10" i="10"/>
  <c r="DY10" i="10" s="1"/>
  <c r="DX10" i="10" s="1"/>
  <c r="BW40" i="13"/>
  <c r="G166" i="12"/>
  <c r="I166" i="12" s="1"/>
  <c r="G167" i="12"/>
  <c r="I167" i="12" s="1"/>
  <c r="GL12" i="10"/>
  <c r="GK12" i="10" s="1"/>
  <c r="GJ12" i="10" s="1"/>
  <c r="BN4" i="10"/>
  <c r="BM4" i="10" s="1"/>
  <c r="BL4" i="10" s="1"/>
  <c r="AN220" i="12" l="1"/>
  <c r="DZ185" i="12" s="1"/>
  <c r="AA185" i="12"/>
  <c r="Y17" i="8" s="1"/>
  <c r="AA17" i="8" s="1"/>
  <c r="BE64" i="12"/>
  <c r="BI47" i="12" s="1"/>
  <c r="DZ173" i="12" s="1"/>
  <c r="C12" i="11" s="1"/>
  <c r="DF173" i="12"/>
  <c r="DG173" i="12" s="1"/>
  <c r="AA78" i="9"/>
  <c r="BP75" i="9"/>
  <c r="AC75" i="9" s="1"/>
  <c r="F24" i="11"/>
  <c r="N24" i="11"/>
  <c r="C24" i="11"/>
  <c r="DY185" i="12"/>
  <c r="B24" i="11" s="1"/>
  <c r="BE173" i="12"/>
  <c r="BD173" i="12"/>
  <c r="BD174" i="12"/>
  <c r="BE174" i="12"/>
  <c r="AC185" i="12"/>
  <c r="DB166" i="12"/>
  <c r="AK223" i="12" s="1"/>
  <c r="DY188" i="12" s="1"/>
  <c r="B27" i="11" s="1"/>
  <c r="AP220" i="12"/>
  <c r="EC185" i="12" s="1"/>
  <c r="AQ181" i="12"/>
  <c r="BG181" i="12" s="1"/>
  <c r="BF181" i="12"/>
  <c r="AO220" i="12"/>
  <c r="EB185" i="12" s="1"/>
  <c r="AS220" i="12"/>
  <c r="EK185" i="12" s="1"/>
  <c r="AM160" i="12"/>
  <c r="AO160" i="12" s="1"/>
  <c r="AO162" i="12" s="1"/>
  <c r="AQ182" i="12"/>
  <c r="BG182" i="12" s="1"/>
  <c r="AS182" i="12"/>
  <c r="AT182" i="12" s="1"/>
  <c r="BH182" i="12" s="1"/>
  <c r="BF182" i="12"/>
  <c r="CG109" i="12"/>
  <c r="CG111" i="12" s="1"/>
  <c r="CI103" i="12" s="1"/>
  <c r="CR13" i="12" s="1"/>
  <c r="I168" i="12"/>
  <c r="E24" i="11" l="1"/>
  <c r="AF14" i="8"/>
  <c r="BL47" i="12"/>
  <c r="BM47" i="12" s="1"/>
  <c r="EC173" i="12" s="1"/>
  <c r="J225" i="12"/>
  <c r="L225" i="12" s="1"/>
  <c r="BJ47" i="12" s="1"/>
  <c r="EB173" i="12" s="1"/>
  <c r="E12" i="11" s="1"/>
  <c r="DI173" i="12"/>
  <c r="DN173" i="12" s="1"/>
  <c r="DK173" i="12"/>
  <c r="DL173" i="12" s="1"/>
  <c r="AV181" i="12"/>
  <c r="BJ181" i="12" s="1"/>
  <c r="AU181" i="12"/>
  <c r="BI181" i="12" s="1"/>
  <c r="CQ28" i="12"/>
  <c r="Y43" i="8"/>
  <c r="AV182" i="12"/>
  <c r="BJ182" i="12" s="1"/>
  <c r="AU182" i="12"/>
  <c r="BI182" i="12" s="1"/>
  <c r="U257" i="12"/>
  <c r="M225" i="12" l="1"/>
  <c r="N225" i="12" s="1"/>
  <c r="EK173" i="12" s="1"/>
  <c r="N12" i="11" s="1"/>
  <c r="EJ173" i="12"/>
  <c r="DM173" i="12"/>
  <c r="CO35" i="12"/>
  <c r="CV46" i="12"/>
  <c r="CY46" i="12" s="1"/>
  <c r="ES189" i="12"/>
  <c r="ES194" i="12"/>
  <c r="AQ220" i="12"/>
  <c r="V257" i="12"/>
  <c r="ES173" i="12" l="1"/>
  <c r="ET173" i="12" s="1"/>
  <c r="AC28" i="11"/>
  <c r="V28" i="11" s="1"/>
  <c r="CS46" i="12"/>
  <c r="CW46" i="12" s="1"/>
  <c r="CV47" i="12"/>
  <c r="CY47" i="12" s="1"/>
  <c r="ES198" i="12"/>
  <c r="ET198" i="12" s="1"/>
  <c r="ET197" i="12"/>
  <c r="AK3" i="25"/>
  <c r="AL23" i="25"/>
  <c r="AC12" i="11"/>
  <c r="V12" i="11" s="1"/>
  <c r="CV48" i="12" l="1"/>
  <c r="CY48" i="12" s="1"/>
  <c r="CS47" i="12"/>
  <c r="CW47" i="12" s="1"/>
  <c r="ES192" i="12"/>
  <c r="ES199" i="12"/>
  <c r="ET199" i="12" s="1"/>
  <c r="V258" i="12"/>
  <c r="V259" i="12"/>
  <c r="V260" i="12"/>
  <c r="R1556" i="12" l="1"/>
  <c r="U1556" i="12" s="1"/>
  <c r="CV49" i="12"/>
  <c r="CY49" i="12" s="1"/>
  <c r="CS48" i="12"/>
  <c r="CW48" i="12" s="1"/>
  <c r="AC29" i="11"/>
  <c r="V29" i="11" s="1"/>
  <c r="ES190" i="12"/>
  <c r="U260" i="12"/>
  <c r="U258" i="12"/>
  <c r="U259" i="12"/>
  <c r="ET194" i="12"/>
  <c r="R1557" i="12" l="1"/>
  <c r="U1557" i="12" s="1"/>
  <c r="CV50" i="12"/>
  <c r="CY50" i="12" s="1"/>
  <c r="CS49" i="12"/>
  <c r="CW49" i="12" s="1"/>
  <c r="AQ222" i="12"/>
  <c r="EJ190" i="12"/>
  <c r="ET190" i="12" s="1"/>
  <c r="CV51" i="12" l="1"/>
  <c r="CY51" i="12" s="1"/>
  <c r="CS50" i="12"/>
  <c r="CW50" i="12" s="1"/>
  <c r="EJ192" i="12"/>
  <c r="AK12" i="25"/>
  <c r="BO43" i="25"/>
  <c r="CV52" i="12" l="1"/>
  <c r="CS51" i="12"/>
  <c r="CW51" i="12" s="1"/>
  <c r="ET192" i="12"/>
  <c r="AB29" i="11"/>
  <c r="CY52" i="12" l="1"/>
  <c r="DJ45" i="12"/>
  <c r="DJ134" i="12"/>
  <c r="DO48" i="12" s="1"/>
  <c r="DJ131" i="12"/>
  <c r="DO45" i="12" s="1"/>
  <c r="S108" i="12" s="1"/>
  <c r="DJ135" i="12"/>
  <c r="DO49" i="12" s="1"/>
  <c r="DJ139" i="12"/>
  <c r="DO53" i="12" s="1"/>
  <c r="DJ137" i="12"/>
  <c r="DO51" i="12" s="1"/>
  <c r="DJ141" i="12"/>
  <c r="DO55" i="12" s="1"/>
  <c r="DJ142" i="12"/>
  <c r="DO56" i="12" s="1"/>
  <c r="DJ132" i="12"/>
  <c r="DO46" i="12" s="1"/>
  <c r="DJ136" i="12"/>
  <c r="DO50" i="12" s="1"/>
  <c r="DJ140" i="12"/>
  <c r="DO54" i="12" s="1"/>
  <c r="DJ133" i="12"/>
  <c r="DO47" i="12" s="1"/>
  <c r="DJ138" i="12"/>
  <c r="DO52" i="12" s="1"/>
  <c r="DJ48" i="12"/>
  <c r="DJ52" i="12"/>
  <c r="DJ56" i="12"/>
  <c r="DJ60" i="12"/>
  <c r="DJ64" i="12"/>
  <c r="DJ68" i="12"/>
  <c r="DJ72" i="12"/>
  <c r="DJ76" i="12"/>
  <c r="DJ80" i="12"/>
  <c r="DJ84" i="12"/>
  <c r="DJ88" i="12"/>
  <c r="DJ92" i="12"/>
  <c r="DJ96" i="12"/>
  <c r="DJ100" i="12"/>
  <c r="DJ104" i="12"/>
  <c r="DJ108" i="12"/>
  <c r="DJ112" i="12"/>
  <c r="DJ116" i="12"/>
  <c r="DJ120" i="12"/>
  <c r="DJ124" i="12"/>
  <c r="DJ128" i="12"/>
  <c r="DJ49" i="12"/>
  <c r="DJ53" i="12"/>
  <c r="DJ57" i="12"/>
  <c r="DJ61" i="12"/>
  <c r="DJ65" i="12"/>
  <c r="DJ69" i="12"/>
  <c r="DJ73" i="12"/>
  <c r="DJ77" i="12"/>
  <c r="DJ81" i="12"/>
  <c r="DJ85" i="12"/>
  <c r="DJ89" i="12"/>
  <c r="DJ93" i="12"/>
  <c r="DJ97" i="12"/>
  <c r="DJ101" i="12"/>
  <c r="DJ105" i="12"/>
  <c r="DJ109" i="12"/>
  <c r="DJ113" i="12"/>
  <c r="DJ117" i="12"/>
  <c r="DJ121" i="12"/>
  <c r="DJ125" i="12"/>
  <c r="DJ129" i="12"/>
  <c r="DJ47" i="12"/>
  <c r="DJ51" i="12"/>
  <c r="DJ55" i="12"/>
  <c r="DJ59" i="12"/>
  <c r="DJ63" i="12"/>
  <c r="DJ67" i="12"/>
  <c r="DJ71" i="12"/>
  <c r="DJ75" i="12"/>
  <c r="DJ79" i="12"/>
  <c r="DJ83" i="12"/>
  <c r="DJ87" i="12"/>
  <c r="DJ91" i="12"/>
  <c r="DJ95" i="12"/>
  <c r="DJ99" i="12"/>
  <c r="DJ103" i="12"/>
  <c r="DJ107" i="12"/>
  <c r="DJ111" i="12"/>
  <c r="DJ115" i="12"/>
  <c r="DJ119" i="12"/>
  <c r="DJ123" i="12"/>
  <c r="DJ127" i="12"/>
  <c r="DJ46" i="12"/>
  <c r="DJ50" i="12"/>
  <c r="DJ54" i="12"/>
  <c r="DJ58" i="12"/>
  <c r="DJ62" i="12"/>
  <c r="DJ66" i="12"/>
  <c r="DJ70" i="12"/>
  <c r="DJ74" i="12"/>
  <c r="DJ78" i="12"/>
  <c r="DJ82" i="12"/>
  <c r="DJ86" i="12"/>
  <c r="DJ90" i="12"/>
  <c r="DJ94" i="12"/>
  <c r="DJ98" i="12"/>
  <c r="DJ102" i="12"/>
  <c r="DJ106" i="12"/>
  <c r="DJ110" i="12"/>
  <c r="DJ114" i="12"/>
  <c r="DJ118" i="12"/>
  <c r="DJ122" i="12"/>
  <c r="DJ126" i="12"/>
  <c r="DJ130" i="12"/>
  <c r="M29" i="11"/>
  <c r="Y29" i="11" s="1"/>
  <c r="AD29" i="11"/>
  <c r="W29" i="11" s="1"/>
  <c r="CS52" i="12"/>
  <c r="CW52" i="12" s="1"/>
  <c r="DS21" i="12" l="1"/>
  <c r="DS27" i="12" s="1"/>
  <c r="DS28" i="12" s="1"/>
  <c r="DS11" i="12" l="1"/>
  <c r="Y57" i="8" l="1"/>
  <c r="U1550" i="12"/>
  <c r="E318" i="12"/>
  <c r="E311" i="12"/>
  <c r="F12" i="11"/>
  <c r="AN64" i="25"/>
  <c r="W1611" i="12" l="1"/>
  <c r="W1612" i="12"/>
  <c r="W1606" i="12"/>
  <c r="W1602" i="12"/>
  <c r="W1605" i="12"/>
  <c r="W1610" i="12"/>
  <c r="W1603" i="12"/>
  <c r="W1604" i="12"/>
  <c r="W1609" i="12"/>
  <c r="W1607" i="12"/>
  <c r="W1608" i="12"/>
  <c r="W1613" i="12"/>
  <c r="AB12" i="11"/>
  <c r="AD12" i="11" s="1"/>
  <c r="W12" i="11" s="1"/>
  <c r="R1550" i="12"/>
  <c r="R1551" i="12" s="1"/>
  <c r="R1552" i="12" s="1"/>
  <c r="U1552" i="12" s="1"/>
  <c r="AO66" i="25"/>
  <c r="AO72" i="25"/>
  <c r="AQ72" i="25" s="1"/>
  <c r="AO68" i="25"/>
  <c r="AQ68" i="25" s="1"/>
  <c r="AO70" i="25"/>
  <c r="AQ70" i="25" s="1"/>
  <c r="M12" i="11" l="1"/>
  <c r="Y12" i="11" s="1"/>
  <c r="U1551" i="12"/>
  <c r="W1627" i="12" s="1"/>
  <c r="R1553" i="12"/>
  <c r="U1553" i="12" s="1"/>
  <c r="AQ73" i="25"/>
  <c r="W1626" i="12" l="1"/>
  <c r="W1629" i="12"/>
  <c r="W1630" i="12"/>
  <c r="W1637" i="12"/>
  <c r="W1633" i="12"/>
  <c r="W1636" i="12"/>
  <c r="W1632" i="12"/>
  <c r="W1628" i="12"/>
  <c r="W1634" i="12"/>
  <c r="W1635" i="12"/>
  <c r="W1631" i="12"/>
  <c r="W1617" i="12"/>
  <c r="W1622" i="12"/>
  <c r="W1618" i="12"/>
  <c r="W1615" i="12"/>
  <c r="W1616" i="12"/>
  <c r="W1621" i="12"/>
  <c r="W1619" i="12"/>
  <c r="W1620" i="12"/>
  <c r="W1625" i="12"/>
  <c r="W1614" i="12"/>
  <c r="W1623" i="12"/>
  <c r="W1624" i="12"/>
  <c r="W1643" i="12"/>
  <c r="W1644" i="12"/>
  <c r="W1638" i="12"/>
  <c r="W1640" i="12"/>
  <c r="W1642" i="12"/>
  <c r="W1641" i="12"/>
  <c r="W1646" i="12"/>
  <c r="W1639" i="12"/>
  <c r="W1645" i="12"/>
  <c r="W1649" i="12"/>
  <c r="W1647" i="12"/>
  <c r="W1648" i="12"/>
  <c r="R1554" i="12"/>
  <c r="EJ189" i="12"/>
  <c r="ET189" i="12" s="1"/>
  <c r="AB28" i="11"/>
  <c r="AQ74" i="25"/>
  <c r="AQ75" i="25" s="1"/>
  <c r="AQ76" i="25" s="1"/>
  <c r="AQ77" i="25" s="1"/>
  <c r="AQ79" i="25" s="1"/>
  <c r="AK74" i="25"/>
  <c r="U1554" i="12" l="1"/>
  <c r="R1555" i="12"/>
  <c r="U1555" i="12" s="1"/>
  <c r="M28" i="11"/>
  <c r="Y28" i="11" s="1"/>
  <c r="AD28" i="11"/>
  <c r="W28" i="11" s="1"/>
  <c r="AQ81" i="25"/>
  <c r="W1668" i="12" l="1"/>
  <c r="W1670" i="12"/>
  <c r="W1664" i="12"/>
  <c r="W1663" i="12"/>
  <c r="W1671" i="12"/>
  <c r="W1672" i="12"/>
  <c r="W1665" i="12"/>
  <c r="W1669" i="12"/>
  <c r="W1673" i="12"/>
  <c r="W1667" i="12"/>
  <c r="W1662" i="12"/>
  <c r="W1666" i="12"/>
  <c r="W1677" i="12"/>
  <c r="AA1603" i="12" s="1"/>
  <c r="W1679" i="12"/>
  <c r="AA1605" i="12" s="1"/>
  <c r="W1684" i="12"/>
  <c r="AA1610" i="12" s="1"/>
  <c r="W1683" i="12"/>
  <c r="W1682" i="12"/>
  <c r="AA1608" i="12" s="1"/>
  <c r="W1676" i="12"/>
  <c r="W1678" i="12"/>
  <c r="W1681" i="12"/>
  <c r="AA1607" i="12" s="1"/>
  <c r="W1680" i="12"/>
  <c r="AA1606" i="12" s="1"/>
  <c r="W1674" i="12"/>
  <c r="W1685" i="12"/>
  <c r="AA1611" i="12" s="1"/>
  <c r="W1675" i="12"/>
  <c r="W1686" i="12"/>
  <c r="AA1612" i="12" s="1"/>
  <c r="W1687" i="12"/>
  <c r="W1656" i="12"/>
  <c r="W1660" i="12"/>
  <c r="W1658" i="12"/>
  <c r="W1650" i="12"/>
  <c r="W1659" i="12"/>
  <c r="W1653" i="12"/>
  <c r="W1652" i="12"/>
  <c r="W1661" i="12"/>
  <c r="W1657" i="12"/>
  <c r="W1651" i="12"/>
  <c r="W1654" i="12"/>
  <c r="W1655" i="12"/>
  <c r="AA1604" i="12" l="1"/>
  <c r="AA1613" i="12"/>
  <c r="AA1609" i="12"/>
  <c r="AA1602" i="12"/>
  <c r="W108" i="12" l="1"/>
  <c r="CW173" i="12" s="1"/>
  <c r="CX173" i="12" s="1"/>
  <c r="L70" i="13"/>
  <c r="CZ173" i="12" l="1"/>
  <c r="DO173" i="12"/>
  <c r="DB173" i="12"/>
  <c r="DC173" i="12" s="1"/>
  <c r="DQ173" i="12" s="1"/>
  <c r="J282" i="12"/>
  <c r="L282" i="12" s="1"/>
  <c r="M10" i="15"/>
  <c r="BP92" i="9"/>
  <c r="AC92" i="9" s="1"/>
  <c r="DD173" i="12" l="1"/>
  <c r="DR173" i="12" s="1"/>
  <c r="DE173" i="12"/>
  <c r="DS173" i="12" s="1"/>
  <c r="DP173" i="12"/>
  <c r="AN776" i="12"/>
  <c r="AN782" i="12" s="1"/>
  <c r="AN783" i="12" s="1"/>
  <c r="AQ786" i="12" l="1"/>
  <c r="E362" i="12" l="1"/>
  <c r="D362" i="12" s="1"/>
  <c r="F361" i="12"/>
  <c r="E361" i="12"/>
  <c r="F362" i="12" l="1"/>
  <c r="H361" i="12"/>
  <c r="G361" i="12"/>
  <c r="F363" i="12"/>
  <c r="E363" i="12"/>
  <c r="D363" i="12" s="1"/>
  <c r="G362" i="12" l="1"/>
  <c r="H362" i="12"/>
  <c r="J361" i="12"/>
  <c r="I361" i="12"/>
  <c r="H363" i="12"/>
  <c r="G363" i="12"/>
  <c r="F364" i="12"/>
  <c r="E364" i="12"/>
  <c r="D364" i="12" s="1"/>
  <c r="J362" i="12" l="1"/>
  <c r="I362" i="12"/>
  <c r="K361" i="12"/>
  <c r="I363" i="12"/>
  <c r="H364" i="12"/>
  <c r="G364" i="12"/>
  <c r="J363" i="12"/>
  <c r="F365" i="12"/>
  <c r="E365" i="12"/>
  <c r="D365" i="12" s="1"/>
  <c r="K362" i="12" l="1"/>
  <c r="K363" i="12"/>
  <c r="I364" i="12"/>
  <c r="H365" i="12"/>
  <c r="G365" i="12"/>
  <c r="J364" i="12"/>
  <c r="F366" i="12"/>
  <c r="E366" i="12"/>
  <c r="D366" i="12" s="1"/>
  <c r="I365" i="12" l="1"/>
  <c r="K364" i="12"/>
  <c r="H366" i="12"/>
  <c r="G366" i="12"/>
  <c r="J365" i="12"/>
  <c r="F367" i="12"/>
  <c r="E367" i="12"/>
  <c r="K365" i="12" l="1"/>
  <c r="I366" i="12"/>
  <c r="G367" i="12"/>
  <c r="D367" i="12"/>
  <c r="H367" i="12"/>
  <c r="J366" i="12"/>
  <c r="F368" i="12"/>
  <c r="E368" i="12"/>
  <c r="J367" i="12" l="1"/>
  <c r="I367" i="12"/>
  <c r="K366" i="12"/>
  <c r="H368" i="12"/>
  <c r="G368" i="12"/>
  <c r="D368" i="12"/>
  <c r="K367" i="12" l="1"/>
  <c r="J368" i="12"/>
  <c r="I368" i="12"/>
  <c r="J369" i="12" l="1"/>
  <c r="I375" i="12" s="1"/>
  <c r="I395" i="12" s="1"/>
  <c r="K368" i="12"/>
  <c r="I369" i="12"/>
  <c r="I376" i="12" l="1"/>
  <c r="I396" i="12" s="1"/>
  <c r="ES187" i="12" s="1"/>
  <c r="K369" i="12"/>
  <c r="H375" i="12"/>
  <c r="H395" i="12" s="1"/>
  <c r="ES185" i="12"/>
  <c r="J375" i="12" l="1"/>
  <c r="J395" i="12" s="1"/>
  <c r="I377" i="12"/>
  <c r="I397" i="12" s="1"/>
  <c r="H376" i="12"/>
  <c r="H396" i="12" s="1"/>
  <c r="AB26" i="11" s="1"/>
  <c r="AQ224" i="12"/>
  <c r="EJ185" i="12"/>
  <c r="ET185" i="12" s="1"/>
  <c r="AC24" i="11"/>
  <c r="V24" i="11" s="1"/>
  <c r="AB24" i="11"/>
  <c r="I378" i="12" l="1"/>
  <c r="H377" i="12"/>
  <c r="H397" i="12" s="1"/>
  <c r="EJ187" i="12"/>
  <c r="ET187" i="12" s="1"/>
  <c r="J376" i="12"/>
  <c r="J396" i="12" s="1"/>
  <c r="AD24" i="11"/>
  <c r="W24" i="11" s="1"/>
  <c r="M24" i="11"/>
  <c r="Y24" i="11" s="1"/>
  <c r="M26" i="11"/>
  <c r="Y26" i="11" s="1"/>
  <c r="AC26" i="11"/>
  <c r="V26" i="11" s="1"/>
  <c r="H378" i="12" l="1"/>
  <c r="J377" i="12"/>
  <c r="J397" i="12" s="1"/>
  <c r="AD26" i="11"/>
  <c r="W26" i="11" s="1"/>
  <c r="J378" i="12" l="1"/>
  <c r="Q46" i="23" l="1"/>
  <c r="J1425" i="12" l="1"/>
  <c r="D1433" i="12" s="1"/>
  <c r="G1433" i="12" l="1"/>
  <c r="D1434" i="12"/>
  <c r="G1434" i="12" s="1"/>
  <c r="J1433" i="12" s="1"/>
  <c r="BV10" i="12" s="1"/>
  <c r="E1551" i="12" l="1"/>
  <c r="H1551" i="12" l="1"/>
  <c r="E1552" i="12" s="1"/>
  <c r="C1551" i="12"/>
  <c r="F1551" i="12" s="1"/>
  <c r="C1552" i="12" l="1"/>
  <c r="F1552" i="12" s="1"/>
  <c r="H1552" i="12"/>
  <c r="E1553" i="12" s="1"/>
  <c r="C1553" i="12" l="1"/>
  <c r="F1553" i="12" s="1"/>
  <c r="H1553" i="12"/>
  <c r="E1554" i="12" s="1"/>
  <c r="H1554" i="12" l="1"/>
  <c r="E1555" i="12" s="1"/>
  <c r="C1554" i="12"/>
  <c r="F1554" i="12" s="1"/>
  <c r="C1555" i="12" l="1"/>
  <c r="F1555" i="12" s="1"/>
  <c r="H1555" i="12"/>
  <c r="E1556" i="12" s="1"/>
  <c r="C1556" i="12" l="1"/>
  <c r="F1556" i="12" s="1"/>
  <c r="H1556" i="12"/>
  <c r="E1557" i="12" s="1"/>
  <c r="H1635" i="12" l="1"/>
  <c r="H1612" i="12"/>
  <c r="H1676" i="12"/>
  <c r="H1634" i="12"/>
  <c r="H1672" i="12"/>
  <c r="H1616" i="12"/>
  <c r="H1638" i="12"/>
  <c r="H1604" i="12"/>
  <c r="H1645" i="12"/>
  <c r="H1663" i="12"/>
  <c r="H1651" i="12"/>
  <c r="H1628" i="12"/>
  <c r="H1605" i="12"/>
  <c r="H1669" i="12"/>
  <c r="H1650" i="12"/>
  <c r="H1633" i="12"/>
  <c r="H1678" i="12"/>
  <c r="H1655" i="12"/>
  <c r="H1632" i="12"/>
  <c r="H1609" i="12"/>
  <c r="H1673" i="12"/>
  <c r="H1654" i="12"/>
  <c r="H1681" i="12"/>
  <c r="H1643" i="12"/>
  <c r="H1620" i="12"/>
  <c r="H1684" i="12"/>
  <c r="H1661" i="12"/>
  <c r="H1642" i="12"/>
  <c r="H1615" i="12"/>
  <c r="H1679" i="12"/>
  <c r="H1656" i="12"/>
  <c r="H1625" i="12"/>
  <c r="H1670" i="12"/>
  <c r="H1659" i="12"/>
  <c r="H1613" i="12"/>
  <c r="H1658" i="12"/>
  <c r="H1608" i="12"/>
  <c r="H1603" i="12"/>
  <c r="H1667" i="12"/>
  <c r="H1644" i="12"/>
  <c r="H1621" i="12"/>
  <c r="H1685" i="12"/>
  <c r="H1666" i="12"/>
  <c r="H1665" i="12"/>
  <c r="H1607" i="12"/>
  <c r="H1671" i="12"/>
  <c r="H1648" i="12"/>
  <c r="H1606" i="12"/>
  <c r="H1630" i="12"/>
  <c r="H1636" i="12"/>
  <c r="H1677" i="12"/>
  <c r="H1631" i="12"/>
  <c r="H1617" i="12"/>
  <c r="H1619" i="12"/>
  <c r="H1683" i="12"/>
  <c r="H1660" i="12"/>
  <c r="H1637" i="12"/>
  <c r="H1618" i="12"/>
  <c r="H1682" i="12"/>
  <c r="H1614" i="12"/>
  <c r="H1623" i="12"/>
  <c r="H1687" i="12"/>
  <c r="H1664" i="12"/>
  <c r="H1641" i="12"/>
  <c r="H1622" i="12"/>
  <c r="H1686" i="12"/>
  <c r="H1611" i="12"/>
  <c r="H1675" i="12"/>
  <c r="H1652" i="12"/>
  <c r="H1629" i="12"/>
  <c r="H1610" i="12"/>
  <c r="H1674" i="12"/>
  <c r="H1647" i="12"/>
  <c r="H1624" i="12"/>
  <c r="H1649" i="12"/>
  <c r="H1653" i="12"/>
  <c r="H1646" i="12"/>
  <c r="H1639" i="12"/>
  <c r="H1680" i="12"/>
  <c r="H1657" i="12"/>
  <c r="H1602" i="12"/>
  <c r="H1627" i="12"/>
  <c r="H1668" i="12"/>
  <c r="H1626" i="12"/>
  <c r="H1557" i="12"/>
  <c r="H1640" i="12"/>
  <c r="H1662" i="12"/>
  <c r="C1557" i="12"/>
  <c r="F1557" i="12" s="1"/>
  <c r="L1606" i="12" l="1"/>
  <c r="O112" i="12" s="1"/>
  <c r="L1608" i="12"/>
  <c r="O114" i="12" s="1"/>
  <c r="S114" i="12" s="1"/>
  <c r="W114" i="12" s="1"/>
  <c r="L1609" i="12"/>
  <c r="O115" i="12" s="1"/>
  <c r="L1603" i="12"/>
  <c r="O109" i="12" s="1"/>
  <c r="L1607" i="12"/>
  <c r="O113" i="12" s="1"/>
  <c r="L1602" i="12"/>
  <c r="AN173" i="12" s="1"/>
  <c r="AO173" i="12" s="1"/>
  <c r="AQ173" i="12" s="1"/>
  <c r="BG173" i="12" s="1"/>
  <c r="L1612" i="12"/>
  <c r="O118" i="12" s="1"/>
  <c r="L1613" i="12"/>
  <c r="O119" i="12" s="1"/>
  <c r="L1611" i="12"/>
  <c r="O117" i="12" s="1"/>
  <c r="L1605" i="12"/>
  <c r="O111" i="12" s="1"/>
  <c r="L1610" i="12"/>
  <c r="O116" i="12" s="1"/>
  <c r="L1604" i="12"/>
  <c r="O110" i="12" s="1"/>
  <c r="J288" i="12" l="1"/>
  <c r="L288" i="12" s="1"/>
  <c r="CW179" i="12"/>
  <c r="CX179" i="12" s="1"/>
  <c r="BF55" i="12"/>
  <c r="S116" i="12"/>
  <c r="W116" i="12" s="1"/>
  <c r="CW181" i="12" s="1"/>
  <c r="CX181" i="12" s="1"/>
  <c r="BF56" i="12"/>
  <c r="S117" i="12"/>
  <c r="W117" i="12" s="1"/>
  <c r="AN178" i="12"/>
  <c r="AO178" i="12" s="1"/>
  <c r="AS178" i="12" s="1"/>
  <c r="AT178" i="12" s="1"/>
  <c r="BH178" i="12" s="1"/>
  <c r="S113" i="12"/>
  <c r="AN175" i="12"/>
  <c r="AO175" i="12" s="1"/>
  <c r="AQ175" i="12" s="1"/>
  <c r="AV175" i="12" s="1"/>
  <c r="BJ175" i="12" s="1"/>
  <c r="S110" i="12"/>
  <c r="BF58" i="12"/>
  <c r="S119" i="12"/>
  <c r="W119" i="12" s="1"/>
  <c r="J293" i="12" s="1"/>
  <c r="L293" i="12" s="1"/>
  <c r="AN174" i="12"/>
  <c r="AO174" i="12" s="1"/>
  <c r="AS174" i="12" s="1"/>
  <c r="AT174" i="12" s="1"/>
  <c r="BH174" i="12" s="1"/>
  <c r="S109" i="12"/>
  <c r="BF57" i="12"/>
  <c r="S118" i="12"/>
  <c r="W118" i="12" s="1"/>
  <c r="BF54" i="12"/>
  <c r="AW180" i="12" s="1"/>
  <c r="S115" i="12"/>
  <c r="W115" i="12" s="1"/>
  <c r="AN176" i="12"/>
  <c r="AO176" i="12" s="1"/>
  <c r="BF176" i="12" s="1"/>
  <c r="S111" i="12"/>
  <c r="AN177" i="12"/>
  <c r="AO177" i="12" s="1"/>
  <c r="AS177" i="12" s="1"/>
  <c r="AT177" i="12" s="1"/>
  <c r="BH177" i="12" s="1"/>
  <c r="S112" i="12"/>
  <c r="BF53" i="12"/>
  <c r="AN179" i="12"/>
  <c r="AO179" i="12" s="1"/>
  <c r="AS173" i="12"/>
  <c r="AT173" i="12" s="1"/>
  <c r="BH173" i="12" s="1"/>
  <c r="BF173" i="12"/>
  <c r="AV173" i="12"/>
  <c r="BJ173" i="12" s="1"/>
  <c r="AX180" i="12" l="1"/>
  <c r="AK165" i="12"/>
  <c r="BG175" i="12"/>
  <c r="BF178" i="12"/>
  <c r="W111" i="12"/>
  <c r="BG50" i="12"/>
  <c r="W112" i="12"/>
  <c r="CW177" i="12" s="1"/>
  <c r="CX177" i="12" s="1"/>
  <c r="BG51" i="12"/>
  <c r="W109" i="12"/>
  <c r="CW174" i="12" s="1"/>
  <c r="CX174" i="12" s="1"/>
  <c r="BG48" i="12"/>
  <c r="W110" i="12"/>
  <c r="CW175" i="12" s="1"/>
  <c r="CX175" i="12" s="1"/>
  <c r="BG49" i="12"/>
  <c r="J292" i="12"/>
  <c r="L292" i="12" s="1"/>
  <c r="CW183" i="12"/>
  <c r="CX183" i="12" s="1"/>
  <c r="DB181" i="12"/>
  <c r="DC181" i="12" s="1"/>
  <c r="CZ181" i="12"/>
  <c r="J289" i="12"/>
  <c r="L289" i="12" s="1"/>
  <c r="CW180" i="12"/>
  <c r="J291" i="12"/>
  <c r="L291" i="12" s="1"/>
  <c r="CW182" i="12"/>
  <c r="CX182" i="12" s="1"/>
  <c r="CZ179" i="12"/>
  <c r="DE179" i="12" s="1"/>
  <c r="DB179" i="12"/>
  <c r="DC179" i="12" s="1"/>
  <c r="BG56" i="12"/>
  <c r="BH56" i="12" s="1"/>
  <c r="DF182" i="12" s="1"/>
  <c r="DG182" i="12" s="1"/>
  <c r="W113" i="12"/>
  <c r="CW178" i="12" s="1"/>
  <c r="CX178" i="12" s="1"/>
  <c r="BG52" i="12"/>
  <c r="CW176" i="12"/>
  <c r="CX176" i="12" s="1"/>
  <c r="BG57" i="12"/>
  <c r="BH57" i="12" s="1"/>
  <c r="BG58" i="12"/>
  <c r="BH58" i="12" s="1"/>
  <c r="BG55" i="12"/>
  <c r="BH55" i="12" s="1"/>
  <c r="DF181" i="12" s="1"/>
  <c r="DG181" i="12" s="1"/>
  <c r="DO181" i="12" s="1"/>
  <c r="BG54" i="12"/>
  <c r="BH54" i="12" s="1"/>
  <c r="DF180" i="12" s="1"/>
  <c r="AS176" i="12"/>
  <c r="AT176" i="12" s="1"/>
  <c r="BH176" i="12" s="1"/>
  <c r="AS175" i="12"/>
  <c r="AT175" i="12" s="1"/>
  <c r="BH175" i="12" s="1"/>
  <c r="BF175" i="12"/>
  <c r="AQ178" i="12"/>
  <c r="BG178" i="12" s="1"/>
  <c r="AQ176" i="12"/>
  <c r="AV176" i="12" s="1"/>
  <c r="BJ176" i="12" s="1"/>
  <c r="AQ177" i="12"/>
  <c r="BG177" i="12" s="1"/>
  <c r="BF174" i="12"/>
  <c r="AQ174" i="12"/>
  <c r="BG174" i="12" s="1"/>
  <c r="BF177" i="12"/>
  <c r="J290" i="12"/>
  <c r="L290" i="12" s="1"/>
  <c r="FZ26" i="12"/>
  <c r="AS179" i="12"/>
  <c r="AT179" i="12" s="1"/>
  <c r="AQ179" i="12"/>
  <c r="BG53" i="12"/>
  <c r="BH53" i="12" s="1"/>
  <c r="DF179" i="12" s="1"/>
  <c r="DG179" i="12" s="1"/>
  <c r="AW179" i="12"/>
  <c r="AX179" i="12" s="1"/>
  <c r="AU173" i="12"/>
  <c r="BI173" i="12" s="1"/>
  <c r="BH51" i="12" l="1"/>
  <c r="BH50" i="12"/>
  <c r="AM166" i="12"/>
  <c r="AO166" i="12" s="1"/>
  <c r="AM165" i="12"/>
  <c r="AO165" i="12" s="1"/>
  <c r="BF180" i="12"/>
  <c r="AZ180" i="12"/>
  <c r="BG180" i="12" s="1"/>
  <c r="BB180" i="12"/>
  <c r="BC180" i="12" s="1"/>
  <c r="BH180" i="12" s="1"/>
  <c r="DF183" i="12"/>
  <c r="DG183" i="12" s="1"/>
  <c r="DK183" i="12" s="1"/>
  <c r="DL183" i="12" s="1"/>
  <c r="BE74" i="12"/>
  <c r="BI57" i="12" s="1"/>
  <c r="AF24" i="8" s="1"/>
  <c r="BH48" i="12"/>
  <c r="BH49" i="12"/>
  <c r="BE66" i="12" s="1"/>
  <c r="BI49" i="12" s="1"/>
  <c r="J285" i="12"/>
  <c r="L285" i="12" s="1"/>
  <c r="CX180" i="12"/>
  <c r="DB180" i="12" s="1"/>
  <c r="DC180" i="12" s="1"/>
  <c r="CT160" i="12"/>
  <c r="DG180" i="12"/>
  <c r="DI180" i="12" s="1"/>
  <c r="CT165" i="12"/>
  <c r="J284" i="12"/>
  <c r="L284" i="12" s="1"/>
  <c r="J283" i="12"/>
  <c r="L283" i="12" s="1"/>
  <c r="J286" i="12"/>
  <c r="L286" i="12" s="1"/>
  <c r="DD181" i="12"/>
  <c r="DK182" i="12"/>
  <c r="DL182" i="12" s="1"/>
  <c r="DI182" i="12"/>
  <c r="DN182" i="12" s="1"/>
  <c r="DI181" i="12"/>
  <c r="DN181" i="12" s="1"/>
  <c r="DK181" i="12"/>
  <c r="DL181" i="12" s="1"/>
  <c r="DQ181" i="12" s="1"/>
  <c r="DI179" i="12"/>
  <c r="DN179" i="12" s="1"/>
  <c r="DS179" i="12" s="1"/>
  <c r="DK179" i="12"/>
  <c r="DL179" i="12" s="1"/>
  <c r="DQ179" i="12" s="1"/>
  <c r="DD179" i="12"/>
  <c r="DO182" i="12"/>
  <c r="CZ182" i="12"/>
  <c r="DB182" i="12"/>
  <c r="DC182" i="12" s="1"/>
  <c r="CZ183" i="12"/>
  <c r="DE183" i="12" s="1"/>
  <c r="DB183" i="12"/>
  <c r="DC183" i="12" s="1"/>
  <c r="DO179" i="12"/>
  <c r="DE181" i="12"/>
  <c r="BH52" i="12"/>
  <c r="BE69" i="12" s="1"/>
  <c r="BI52" i="12" s="1"/>
  <c r="J230" i="12" s="1"/>
  <c r="J287" i="12"/>
  <c r="L287" i="12" s="1"/>
  <c r="DB174" i="12"/>
  <c r="DC174" i="12" s="1"/>
  <c r="CZ174" i="12"/>
  <c r="BE70" i="12"/>
  <c r="BI53" i="12" s="1"/>
  <c r="AF20" i="8" s="1"/>
  <c r="BE71" i="12"/>
  <c r="BI54" i="12" s="1"/>
  <c r="BL54" i="12" s="1"/>
  <c r="BM54" i="12" s="1"/>
  <c r="EC180" i="12" s="1"/>
  <c r="F19" i="11" s="1"/>
  <c r="BE72" i="12"/>
  <c r="BI55" i="12" s="1"/>
  <c r="DZ181" i="12" s="1"/>
  <c r="C20" i="11" s="1"/>
  <c r="BE75" i="12"/>
  <c r="BI58" i="12" s="1"/>
  <c r="J236" i="12" s="1"/>
  <c r="L236" i="12" s="1"/>
  <c r="BJ58" i="12" s="1"/>
  <c r="EB184" i="12" s="1"/>
  <c r="E23" i="11" s="1"/>
  <c r="BE73" i="12"/>
  <c r="BI56" i="12" s="1"/>
  <c r="DZ182" i="12" s="1"/>
  <c r="C21" i="11" s="1"/>
  <c r="DB175" i="12"/>
  <c r="DC175" i="12" s="1"/>
  <c r="CZ175" i="12"/>
  <c r="DB176" i="12"/>
  <c r="DC176" i="12" s="1"/>
  <c r="CZ176" i="12"/>
  <c r="DB177" i="12"/>
  <c r="DC177" i="12" s="1"/>
  <c r="CZ177" i="12"/>
  <c r="AV178" i="12"/>
  <c r="BJ178" i="12" s="1"/>
  <c r="AU178" i="12"/>
  <c r="BI178" i="12" s="1"/>
  <c r="AU177" i="12"/>
  <c r="BI177" i="12" s="1"/>
  <c r="AU176" i="12"/>
  <c r="BI176" i="12" s="1"/>
  <c r="AU175" i="12"/>
  <c r="BI175" i="12" s="1"/>
  <c r="AV177" i="12"/>
  <c r="BJ177" i="12" s="1"/>
  <c r="BG176" i="12"/>
  <c r="AU174" i="12"/>
  <c r="BI174" i="12" s="1"/>
  <c r="AV174" i="12"/>
  <c r="BJ174" i="12" s="1"/>
  <c r="AU179" i="12"/>
  <c r="CZ178" i="12"/>
  <c r="DB178" i="12"/>
  <c r="DC178" i="12" s="1"/>
  <c r="FZ22" i="12"/>
  <c r="FY9" i="12" s="1"/>
  <c r="BZ53" i="12" s="1"/>
  <c r="EP179" i="12" s="1"/>
  <c r="FZ23" i="12"/>
  <c r="AV179" i="12"/>
  <c r="AZ179" i="12"/>
  <c r="BG179" i="12" s="1"/>
  <c r="BB179" i="12"/>
  <c r="BC179" i="12" s="1"/>
  <c r="BH179" i="12" s="1"/>
  <c r="BF179" i="12"/>
  <c r="BF185" i="12" s="1"/>
  <c r="BH185" i="12" l="1"/>
  <c r="DK180" i="12"/>
  <c r="DL180" i="12" s="1"/>
  <c r="DQ180" i="12" s="1"/>
  <c r="BE67" i="12"/>
  <c r="BI50" i="12" s="1"/>
  <c r="DZ176" i="12" s="1"/>
  <c r="C15" i="11" s="1"/>
  <c r="DF176" i="12"/>
  <c r="DG176" i="12" s="1"/>
  <c r="BE68" i="12"/>
  <c r="BI51" i="12" s="1"/>
  <c r="J229" i="12" s="1"/>
  <c r="L229" i="12" s="1"/>
  <c r="BJ51" i="12" s="1"/>
  <c r="EB177" i="12" s="1"/>
  <c r="E16" i="11" s="1"/>
  <c r="DF177" i="12"/>
  <c r="DG177" i="12" s="1"/>
  <c r="BL50" i="12"/>
  <c r="BM50" i="12" s="1"/>
  <c r="EC176" i="12" s="1"/>
  <c r="F15" i="11" s="1"/>
  <c r="DO183" i="12"/>
  <c r="DI183" i="12"/>
  <c r="DN183" i="12" s="1"/>
  <c r="DS183" i="12" s="1"/>
  <c r="BE180" i="12"/>
  <c r="BJ180" i="12" s="1"/>
  <c r="BD180" i="12"/>
  <c r="BI180" i="12" s="1"/>
  <c r="AO167" i="12"/>
  <c r="BE65" i="12"/>
  <c r="BI48" i="12" s="1"/>
  <c r="DF174" i="12"/>
  <c r="DG174" i="12" s="1"/>
  <c r="DZ175" i="12"/>
  <c r="C14" i="11" s="1"/>
  <c r="J227" i="12"/>
  <c r="L227" i="12" s="1"/>
  <c r="BJ49" i="12" s="1"/>
  <c r="EB175" i="12" s="1"/>
  <c r="E14" i="11" s="1"/>
  <c r="AF16" i="8"/>
  <c r="BL49" i="12"/>
  <c r="BM49" i="12" s="1"/>
  <c r="EC175" i="12" s="1"/>
  <c r="F14" i="11" s="1"/>
  <c r="DF175" i="12"/>
  <c r="DG175" i="12" s="1"/>
  <c r="DO175" i="12" s="1"/>
  <c r="CZ180" i="12"/>
  <c r="DE180" i="12" s="1"/>
  <c r="DO180" i="12"/>
  <c r="CV160" i="12"/>
  <c r="CX160" i="12" s="1"/>
  <c r="CV161" i="12"/>
  <c r="CX161" i="12" s="1"/>
  <c r="CV165" i="12"/>
  <c r="CX165" i="12" s="1"/>
  <c r="CV166" i="12"/>
  <c r="CX166" i="12" s="1"/>
  <c r="DP182" i="12"/>
  <c r="DD182" i="12"/>
  <c r="DD183" i="12"/>
  <c r="DP183" i="12"/>
  <c r="DM182" i="12"/>
  <c r="DS181" i="12"/>
  <c r="DQ182" i="12"/>
  <c r="DM179" i="12"/>
  <c r="DR179" i="12" s="1"/>
  <c r="DM181" i="12"/>
  <c r="DR181" i="12" s="1"/>
  <c r="DN180" i="12"/>
  <c r="DF178" i="12"/>
  <c r="DG178" i="12" s="1"/>
  <c r="DO178" i="12" s="1"/>
  <c r="DP181" i="12"/>
  <c r="DQ183" i="12"/>
  <c r="DE182" i="12"/>
  <c r="DS182" i="12" s="1"/>
  <c r="DP179" i="12"/>
  <c r="DZ178" i="12"/>
  <c r="C17" i="11" s="1"/>
  <c r="AF19" i="8"/>
  <c r="BL52" i="12"/>
  <c r="BM52" i="12" s="1"/>
  <c r="EC178" i="12" s="1"/>
  <c r="F17" i="11" s="1"/>
  <c r="DE174" i="12"/>
  <c r="DD174" i="12"/>
  <c r="L230" i="12"/>
  <c r="BJ52" i="12" s="1"/>
  <c r="EB178" i="12" s="1"/>
  <c r="E17" i="11" s="1"/>
  <c r="S18" i="11"/>
  <c r="S41" i="11" s="1"/>
  <c r="AK21" i="11" s="1"/>
  <c r="K27" i="13" s="1"/>
  <c r="EP223" i="12"/>
  <c r="BL53" i="12"/>
  <c r="BM53" i="12" s="1"/>
  <c r="EC179" i="12" s="1"/>
  <c r="F18" i="11" s="1"/>
  <c r="AF23" i="8"/>
  <c r="J235" i="12"/>
  <c r="J231" i="12"/>
  <c r="L231" i="12" s="1"/>
  <c r="BJ53" i="12" s="1"/>
  <c r="EB179" i="12" s="1"/>
  <c r="DZ184" i="12"/>
  <c r="C23" i="11" s="1"/>
  <c r="DZ180" i="12"/>
  <c r="C19" i="11" s="1"/>
  <c r="DZ183" i="12"/>
  <c r="C22" i="11" s="1"/>
  <c r="BL56" i="12"/>
  <c r="BM56" i="12" s="1"/>
  <c r="EC182" i="12" s="1"/>
  <c r="F21" i="11" s="1"/>
  <c r="AF25" i="8"/>
  <c r="EH13" i="12"/>
  <c r="AF21" i="8"/>
  <c r="J232" i="12"/>
  <c r="L232" i="12" s="1"/>
  <c r="BJ54" i="12" s="1"/>
  <c r="EB180" i="12" s="1"/>
  <c r="E19" i="11" s="1"/>
  <c r="BL58" i="12"/>
  <c r="BM58" i="12" s="1"/>
  <c r="EC184" i="12" s="1"/>
  <c r="F23" i="11" s="1"/>
  <c r="DZ179" i="12"/>
  <c r="C18" i="11" s="1"/>
  <c r="BL57" i="12"/>
  <c r="BM57" i="12" s="1"/>
  <c r="EC183" i="12" s="1"/>
  <c r="F22" i="11" s="1"/>
  <c r="J234" i="12"/>
  <c r="BL55" i="12"/>
  <c r="BM55" i="12" s="1"/>
  <c r="EC181" i="12" s="1"/>
  <c r="F20" i="11" s="1"/>
  <c r="J233" i="12"/>
  <c r="AF22" i="8"/>
  <c r="E18" i="11"/>
  <c r="M236" i="12"/>
  <c r="N236" i="12" s="1"/>
  <c r="EK184" i="12" s="1"/>
  <c r="ES184" i="12" s="1"/>
  <c r="DD176" i="12"/>
  <c r="DE176" i="12"/>
  <c r="DD175" i="12"/>
  <c r="DD177" i="12"/>
  <c r="DE177" i="12"/>
  <c r="DE175" i="12"/>
  <c r="BG185" i="12"/>
  <c r="Y29" i="8" s="1"/>
  <c r="DE178" i="12"/>
  <c r="DD178" i="12"/>
  <c r="BD179" i="12"/>
  <c r="BI179" i="12" s="1"/>
  <c r="BI185" i="12" s="1"/>
  <c r="Z29" i="8"/>
  <c r="AP221" i="12"/>
  <c r="BE179" i="12"/>
  <c r="BJ179" i="12" s="1"/>
  <c r="BJ185" i="12" s="1"/>
  <c r="X29" i="8"/>
  <c r="AN221" i="12"/>
  <c r="DZ186" i="12" s="1"/>
  <c r="DM180" i="12" l="1"/>
  <c r="DM183" i="12"/>
  <c r="AF18" i="8"/>
  <c r="BL51" i="12"/>
  <c r="BM51" i="12" s="1"/>
  <c r="EC177" i="12" s="1"/>
  <c r="F16" i="11" s="1"/>
  <c r="DZ177" i="12"/>
  <c r="M229" i="12"/>
  <c r="N229" i="12" s="1"/>
  <c r="EK177" i="12" s="1"/>
  <c r="ES177" i="12" s="1"/>
  <c r="J228" i="12"/>
  <c r="AF17" i="8"/>
  <c r="DK177" i="12"/>
  <c r="DL177" i="12" s="1"/>
  <c r="DQ177" i="12" s="1"/>
  <c r="DO177" i="12"/>
  <c r="DI177" i="12"/>
  <c r="DK176" i="12"/>
  <c r="DL176" i="12" s="1"/>
  <c r="DQ176" i="12" s="1"/>
  <c r="DI176" i="12"/>
  <c r="DO176" i="12"/>
  <c r="DS180" i="12"/>
  <c r="DD180" i="12"/>
  <c r="M227" i="12"/>
  <c r="N227" i="12" s="1"/>
  <c r="EK175" i="12" s="1"/>
  <c r="ES175" i="12" s="1"/>
  <c r="DP180" i="12"/>
  <c r="DO174" i="12"/>
  <c r="DK174" i="12"/>
  <c r="DL174" i="12" s="1"/>
  <c r="DQ174" i="12" s="1"/>
  <c r="DI174" i="12"/>
  <c r="AF15" i="8"/>
  <c r="BL48" i="12"/>
  <c r="BM48" i="12" s="1"/>
  <c r="EC174" i="12" s="1"/>
  <c r="F13" i="11" s="1"/>
  <c r="J226" i="12"/>
  <c r="L226" i="12" s="1"/>
  <c r="BJ48" i="12" s="1"/>
  <c r="EB174" i="12" s="1"/>
  <c r="E13" i="11" s="1"/>
  <c r="DZ174" i="12"/>
  <c r="C13" i="11" s="1"/>
  <c r="AB14" i="11"/>
  <c r="M14" i="11" s="1"/>
  <c r="Y14" i="11" s="1"/>
  <c r="EJ175" i="12"/>
  <c r="DI175" i="12"/>
  <c r="DN175" i="12" s="1"/>
  <c r="DS175" i="12" s="1"/>
  <c r="DK175" i="12"/>
  <c r="DL175" i="12" s="1"/>
  <c r="DQ175" i="12" s="1"/>
  <c r="CX167" i="12"/>
  <c r="CX162" i="12"/>
  <c r="DR182" i="12"/>
  <c r="DR183" i="12"/>
  <c r="DI178" i="12"/>
  <c r="DN178" i="12" s="1"/>
  <c r="DS178" i="12" s="1"/>
  <c r="DK178" i="12"/>
  <c r="DL178" i="12" s="1"/>
  <c r="DQ178" i="12" s="1"/>
  <c r="M231" i="12"/>
  <c r="N231" i="12" s="1"/>
  <c r="EK179" i="12" s="1"/>
  <c r="N18" i="11" s="1"/>
  <c r="M230" i="12"/>
  <c r="N230" i="12" s="1"/>
  <c r="EK178" i="12" s="1"/>
  <c r="EJ178" i="12"/>
  <c r="AB17" i="11"/>
  <c r="M64" i="14"/>
  <c r="M77" i="14" s="1"/>
  <c r="L27" i="13"/>
  <c r="AO221" i="12"/>
  <c r="EB186" i="12" s="1"/>
  <c r="M232" i="12"/>
  <c r="N232" i="12" s="1"/>
  <c r="EK180" i="12" s="1"/>
  <c r="ES180" i="12" s="1"/>
  <c r="AB23" i="11"/>
  <c r="M23" i="11" s="1"/>
  <c r="Y23" i="11" s="1"/>
  <c r="EJ184" i="12"/>
  <c r="ET184" i="12" s="1"/>
  <c r="L235" i="12"/>
  <c r="BJ57" i="12" s="1"/>
  <c r="EB183" i="12" s="1"/>
  <c r="AB19" i="11"/>
  <c r="M19" i="11" s="1"/>
  <c r="Y19" i="11" s="1"/>
  <c r="AB18" i="11"/>
  <c r="M18" i="11" s="1"/>
  <c r="Y18" i="11" s="1"/>
  <c r="L234" i="12"/>
  <c r="BJ56" i="12" s="1"/>
  <c r="EB182" i="12" s="1"/>
  <c r="EJ180" i="12"/>
  <c r="EJ179" i="12"/>
  <c r="EJ14" i="12"/>
  <c r="EL14" i="12" s="1"/>
  <c r="G311" i="12"/>
  <c r="I311" i="12" s="1"/>
  <c r="G319" i="12"/>
  <c r="I319" i="12" s="1"/>
  <c r="G318" i="12"/>
  <c r="I318" i="12" s="1"/>
  <c r="G312" i="12"/>
  <c r="I312" i="12" s="1"/>
  <c r="EJ13" i="12"/>
  <c r="EL13" i="12" s="1"/>
  <c r="L233" i="12"/>
  <c r="BJ55" i="12" s="1"/>
  <c r="EB181" i="12" s="1"/>
  <c r="C25" i="11"/>
  <c r="E25" i="11"/>
  <c r="AB30" i="11"/>
  <c r="F25" i="11"/>
  <c r="ES191" i="12"/>
  <c r="AS221" i="12"/>
  <c r="EK186" i="12" s="1"/>
  <c r="ES186" i="12" s="1"/>
  <c r="N23" i="11"/>
  <c r="AC23" i="11" s="1"/>
  <c r="V23" i="11" s="1"/>
  <c r="EC186" i="12"/>
  <c r="EJ191" i="12"/>
  <c r="AA29" i="8"/>
  <c r="AB29" i="8"/>
  <c r="DR180" i="12" l="1"/>
  <c r="N16" i="11"/>
  <c r="AC16" i="11" s="1"/>
  <c r="V16" i="11" s="1"/>
  <c r="DM176" i="12"/>
  <c r="DR176" i="12" s="1"/>
  <c r="C16" i="11"/>
  <c r="AB16" i="11" s="1"/>
  <c r="M16" i="11" s="1"/>
  <c r="Y16" i="11" s="1"/>
  <c r="EJ177" i="12"/>
  <c r="ET177" i="12" s="1"/>
  <c r="DO185" i="12"/>
  <c r="AN223" i="12" s="1"/>
  <c r="DZ188" i="12" s="1"/>
  <c r="DZ223" i="12" s="1"/>
  <c r="DN176" i="12"/>
  <c r="DS176" i="12" s="1"/>
  <c r="DP176" i="12"/>
  <c r="DN177" i="12"/>
  <c r="DS177" i="12" s="1"/>
  <c r="DP177" i="12"/>
  <c r="DM177" i="12"/>
  <c r="DR177" i="12" s="1"/>
  <c r="L228" i="12"/>
  <c r="BJ50" i="12" s="1"/>
  <c r="EB176" i="12" s="1"/>
  <c r="O64" i="14"/>
  <c r="M48" i="23" s="1"/>
  <c r="Q48" i="23" s="1"/>
  <c r="ET175" i="12"/>
  <c r="N14" i="11"/>
  <c r="AC14" i="11" s="1"/>
  <c r="V14" i="11" s="1"/>
  <c r="AB13" i="11"/>
  <c r="M13" i="11" s="1"/>
  <c r="Y13" i="11" s="1"/>
  <c r="M226" i="12"/>
  <c r="N226" i="12" s="1"/>
  <c r="EK174" i="12" s="1"/>
  <c r="ES174" i="12" s="1"/>
  <c r="EJ174" i="12"/>
  <c r="DN174" i="12"/>
  <c r="DS174" i="12" s="1"/>
  <c r="DM174" i="12"/>
  <c r="DR174" i="12" s="1"/>
  <c r="DP174" i="12"/>
  <c r="DP175" i="12"/>
  <c r="DQ185" i="12"/>
  <c r="Z60" i="8" s="1"/>
  <c r="F27" i="11" s="1"/>
  <c r="F41" i="11" s="1"/>
  <c r="DM175" i="12"/>
  <c r="DR175" i="12" s="1"/>
  <c r="DP178" i="12"/>
  <c r="ES179" i="12"/>
  <c r="ET179" i="12" s="1"/>
  <c r="DM178" i="12"/>
  <c r="DR178" i="12" s="1"/>
  <c r="AQ221" i="12"/>
  <c r="M17" i="11"/>
  <c r="Y17" i="11" s="1"/>
  <c r="N17" i="11"/>
  <c r="AC17" i="11" s="1"/>
  <c r="V17" i="11" s="1"/>
  <c r="ES178" i="12"/>
  <c r="ET178" i="12" s="1"/>
  <c r="AD23" i="11"/>
  <c r="W23" i="11" s="1"/>
  <c r="N19" i="11"/>
  <c r="AC19" i="11" s="1"/>
  <c r="ET180" i="12"/>
  <c r="M235" i="12"/>
  <c r="N235" i="12" s="1"/>
  <c r="EK183" i="12" s="1"/>
  <c r="E22" i="11"/>
  <c r="AB22" i="11" s="1"/>
  <c r="EJ183" i="12"/>
  <c r="M233" i="12"/>
  <c r="N233" i="12" s="1"/>
  <c r="EK181" i="12" s="1"/>
  <c r="ES181" i="12" s="1"/>
  <c r="I320" i="12"/>
  <c r="EL15" i="12"/>
  <c r="I313" i="12"/>
  <c r="M234" i="12"/>
  <c r="N234" i="12" s="1"/>
  <c r="EK182" i="12" s="1"/>
  <c r="E21" i="11"/>
  <c r="AB21" i="11" s="1"/>
  <c r="M21" i="11" s="1"/>
  <c r="Y21" i="11" s="1"/>
  <c r="EJ182" i="12"/>
  <c r="E20" i="11"/>
  <c r="EJ181" i="12"/>
  <c r="AC18" i="11"/>
  <c r="AB25" i="11"/>
  <c r="M25" i="11" s="1"/>
  <c r="Y25" i="11" s="1"/>
  <c r="N25" i="11"/>
  <c r="AC25" i="11" s="1"/>
  <c r="V25" i="11" s="1"/>
  <c r="AC30" i="11"/>
  <c r="V30" i="11" s="1"/>
  <c r="EJ186" i="12"/>
  <c r="ET186" i="12" s="1"/>
  <c r="ET191" i="12"/>
  <c r="M30" i="11"/>
  <c r="Y30" i="11" s="1"/>
  <c r="AD16" i="11" l="1"/>
  <c r="W16" i="11" s="1"/>
  <c r="X60" i="8"/>
  <c r="C27" i="11" s="1"/>
  <c r="C41" i="11" s="1"/>
  <c r="AF11" i="13" s="1"/>
  <c r="M228" i="12"/>
  <c r="N228" i="12" s="1"/>
  <c r="EK176" i="12" s="1"/>
  <c r="N15" i="11" s="1"/>
  <c r="AC15" i="11" s="1"/>
  <c r="V15" i="11" s="1"/>
  <c r="DS185" i="12"/>
  <c r="AS223" i="12" s="1"/>
  <c r="EK188" i="12" s="1"/>
  <c r="E15" i="11"/>
  <c r="AB15" i="11" s="1"/>
  <c r="EJ176" i="12"/>
  <c r="N13" i="11"/>
  <c r="AC13" i="11" s="1"/>
  <c r="AD13" i="11" s="1"/>
  <c r="W13" i="11" s="1"/>
  <c r="AD14" i="11"/>
  <c r="W14" i="11" s="1"/>
  <c r="ET174" i="12"/>
  <c r="DP185" i="12"/>
  <c r="AO223" i="12" s="1"/>
  <c r="EB188" i="12" s="1"/>
  <c r="EB223" i="12" s="1"/>
  <c r="DR185" i="12"/>
  <c r="AP223" i="12"/>
  <c r="EC188" i="12" s="1"/>
  <c r="EC223" i="12" s="1"/>
  <c r="GW22" i="12"/>
  <c r="K8" i="29" s="1"/>
  <c r="AF10" i="13"/>
  <c r="AD17" i="11"/>
  <c r="W17" i="11" s="1"/>
  <c r="AD18" i="11"/>
  <c r="W18" i="11" s="1"/>
  <c r="V18" i="11"/>
  <c r="AD19" i="11"/>
  <c r="W19" i="11" s="1"/>
  <c r="V19" i="11"/>
  <c r="M22" i="11"/>
  <c r="Y22" i="11" s="1"/>
  <c r="ES183" i="12"/>
  <c r="N22" i="11"/>
  <c r="AC22" i="11" s="1"/>
  <c r="N20" i="11"/>
  <c r="AC20" i="11" s="1"/>
  <c r="V20" i="11" s="1"/>
  <c r="ET181" i="12"/>
  <c r="ES182" i="12"/>
  <c r="N21" i="11"/>
  <c r="AC21" i="11" s="1"/>
  <c r="AB20" i="11"/>
  <c r="M20" i="11" s="1"/>
  <c r="Y20" i="11" s="1"/>
  <c r="AD25" i="11"/>
  <c r="W25" i="11" s="1"/>
  <c r="AD30" i="11"/>
  <c r="W30" i="11" s="1"/>
  <c r="EJ193" i="12"/>
  <c r="ES193" i="12"/>
  <c r="ES176" i="12" l="1"/>
  <c r="ET176" i="12" s="1"/>
  <c r="GW25" i="12"/>
  <c r="K11" i="29" s="1"/>
  <c r="AB60" i="8"/>
  <c r="N27" i="11" s="1"/>
  <c r="AC27" i="11" s="1"/>
  <c r="V27" i="11" s="1"/>
  <c r="M15" i="11"/>
  <c r="Y15" i="11" s="1"/>
  <c r="AD15" i="11"/>
  <c r="W15" i="11" s="1"/>
  <c r="V13" i="11"/>
  <c r="Y60" i="8"/>
  <c r="E27" i="11" s="1"/>
  <c r="E41" i="11" s="1"/>
  <c r="AF12" i="13" s="1"/>
  <c r="AF13" i="13" s="1"/>
  <c r="AK15" i="13" s="1"/>
  <c r="K12" i="13" s="1"/>
  <c r="EJ188" i="12"/>
  <c r="EJ223" i="12" s="1"/>
  <c r="AQ223" i="12"/>
  <c r="AI14" i="13"/>
  <c r="AD21" i="11"/>
  <c r="W21" i="11" s="1"/>
  <c r="V21" i="11"/>
  <c r="AD22" i="11"/>
  <c r="W22" i="11" s="1"/>
  <c r="V22" i="11"/>
  <c r="ET183" i="12"/>
  <c r="AD20" i="11"/>
  <c r="W20" i="11" s="1"/>
  <c r="ET182" i="12"/>
  <c r="ES188" i="12"/>
  <c r="EK223" i="12"/>
  <c r="K10" i="13"/>
  <c r="ET193" i="12"/>
  <c r="ES223" i="12" l="1"/>
  <c r="AC41" i="11"/>
  <c r="N41" i="11"/>
  <c r="AK23" i="11" s="1"/>
  <c r="K43" i="13" s="1"/>
  <c r="M47" i="14" s="1"/>
  <c r="M58" i="14" s="1"/>
  <c r="GW26" i="12"/>
  <c r="K12" i="29" s="1"/>
  <c r="AF14" i="13"/>
  <c r="AI15" i="13" s="1"/>
  <c r="AI16" i="13" s="1"/>
  <c r="AI17" i="13" s="1"/>
  <c r="G9" i="24" s="1"/>
  <c r="S11" i="13"/>
  <c r="AA60" i="8"/>
  <c r="AB27" i="11"/>
  <c r="AD27" i="11" s="1"/>
  <c r="AS12" i="13"/>
  <c r="V41" i="11"/>
  <c r="ET188" i="12"/>
  <c r="ET223" i="12" s="1"/>
  <c r="AT17" i="13"/>
  <c r="AS3" i="13"/>
  <c r="AS11" i="13"/>
  <c r="AK11" i="25"/>
  <c r="AK13" i="25" s="1"/>
  <c r="S10" i="13"/>
  <c r="ML78" i="12" l="1"/>
  <c r="ML79" i="12" s="1"/>
  <c r="X24" i="9" s="1"/>
  <c r="K54" i="13"/>
  <c r="BW41" i="13"/>
  <c r="K56" i="13" s="1"/>
  <c r="O60" i="14" s="1"/>
  <c r="O47" i="14"/>
  <c r="O58" i="14" s="1"/>
  <c r="M58" i="30"/>
  <c r="GW24" i="12"/>
  <c r="GW28" i="12" s="1"/>
  <c r="K14" i="29" s="1"/>
  <c r="AS14" i="13"/>
  <c r="AU19" i="13" s="1"/>
  <c r="AB41" i="11"/>
  <c r="M27" i="11"/>
  <c r="Y27" i="11" s="1"/>
  <c r="S12" i="13"/>
  <c r="S14" i="13" s="1"/>
  <c r="S17" i="13" s="1"/>
  <c r="AO16" i="13"/>
  <c r="AN16" i="13" s="1"/>
  <c r="AI18" i="13"/>
  <c r="AN14" i="13"/>
  <c r="W27" i="11"/>
  <c r="AD41" i="11"/>
  <c r="AK14" i="25"/>
  <c r="K55" i="13" l="1"/>
  <c r="K57" i="13" s="1"/>
  <c r="L57" i="13" s="1"/>
  <c r="CB90" i="8"/>
  <c r="X23" i="9"/>
  <c r="M35" i="23"/>
  <c r="Q35" i="23" s="1"/>
  <c r="O61" i="30"/>
  <c r="Q61" i="30" s="1"/>
  <c r="AF15" i="13"/>
  <c r="K11" i="13" s="1"/>
  <c r="S7" i="24"/>
  <c r="K10" i="29"/>
  <c r="AS15" i="13"/>
  <c r="BD3" i="13" s="1"/>
  <c r="BD4" i="13" s="1"/>
  <c r="P24" i="13"/>
  <c r="AY3" i="13"/>
  <c r="AY4" i="13" s="1"/>
  <c r="AY5" i="13" s="1"/>
  <c r="AX17" i="13"/>
  <c r="AV6" i="25"/>
  <c r="AV7" i="25" s="1"/>
  <c r="AK6" i="25"/>
  <c r="AV3" i="25"/>
  <c r="AV4" i="25" s="1"/>
  <c r="AR3" i="25"/>
  <c r="AR4" i="25" s="1"/>
  <c r="AR5" i="25" s="1"/>
  <c r="AR6" i="25" s="1"/>
  <c r="AQ3" i="25"/>
  <c r="AQ4" i="25" s="1"/>
  <c r="AQ5" i="25" s="1"/>
  <c r="AP23" i="25"/>
  <c r="O59" i="14" l="1"/>
  <c r="O61" i="14" s="1"/>
  <c r="Q61" i="14" s="1"/>
  <c r="AF16" i="13"/>
  <c r="I11" i="13" s="1"/>
  <c r="BD6" i="13"/>
  <c r="BD7" i="13" s="1"/>
  <c r="AS6" i="13"/>
  <c r="AZ3" i="13"/>
  <c r="AZ4" i="13" s="1"/>
  <c r="AZ5" i="13" s="1"/>
  <c r="AZ6" i="13" s="1"/>
  <c r="L58" i="13"/>
  <c r="BP85" i="9"/>
  <c r="AC85" i="9" s="1"/>
  <c r="AX18" i="13"/>
  <c r="AT19" i="13"/>
  <c r="AM22" i="25"/>
  <c r="AK5" i="25"/>
  <c r="AS6" i="25"/>
  <c r="AK22" i="25" s="1"/>
  <c r="AK23" i="25" s="1"/>
  <c r="AL12" i="25"/>
  <c r="O62" i="14" l="1"/>
  <c r="Q62" i="14" s="1"/>
  <c r="Q62" i="30"/>
  <c r="GZ23" i="12"/>
  <c r="BA6" i="13"/>
  <c r="AS16" i="13" s="1"/>
  <c r="AS17" i="13" s="1"/>
  <c r="AS5" i="13"/>
  <c r="BB19" i="13" s="1"/>
  <c r="AU16" i="13"/>
  <c r="AT12" i="13"/>
  <c r="AU8" i="23" s="1"/>
  <c r="BO318" i="8"/>
  <c r="BO319" i="8" s="1"/>
  <c r="BP156" i="9"/>
  <c r="BQ272" i="8"/>
  <c r="BN202" i="9"/>
  <c r="BN203" i="9" s="1"/>
  <c r="AQ6" i="25"/>
  <c r="AK4" i="25"/>
  <c r="GW23" i="12" l="1"/>
  <c r="GW27" i="12" s="1"/>
  <c r="K13" i="29" s="1"/>
  <c r="AS4" i="13"/>
  <c r="Q2" i="25"/>
  <c r="GT23" i="12"/>
  <c r="G9" i="29" s="1"/>
  <c r="AU9" i="23"/>
  <c r="M14" i="23" s="1"/>
  <c r="Q14" i="23" s="1"/>
  <c r="G15" i="23"/>
  <c r="BM278" i="8"/>
  <c r="BQ273" i="8"/>
  <c r="BP157" i="9"/>
  <c r="BL162" i="9"/>
  <c r="AR18" i="13"/>
  <c r="AY6" i="13"/>
  <c r="L11" i="13" s="1"/>
  <c r="K9" i="29" l="1"/>
  <c r="GW29" i="12"/>
  <c r="K15" i="29" s="1"/>
  <c r="A2" i="10"/>
  <c r="E2" i="10" s="1"/>
  <c r="F2" i="10" s="1"/>
  <c r="Q2" i="13"/>
  <c r="L8" i="13"/>
  <c r="BP71" i="9"/>
  <c r="M29" i="14"/>
  <c r="P28" i="14" s="1"/>
  <c r="H2" i="10" l="1"/>
  <c r="I2" i="10" s="1"/>
  <c r="C2" i="10"/>
  <c r="D2" i="10" s="1"/>
  <c r="L2" i="10" s="1"/>
  <c r="P2" i="10" s="1"/>
  <c r="BP73" i="9"/>
  <c r="AC71" i="9"/>
  <c r="G2" i="10" l="1"/>
  <c r="M2" i="10" s="1"/>
  <c r="R2" i="10" s="1"/>
  <c r="Q2" i="10"/>
  <c r="AC73" i="9"/>
  <c r="S2" i="10" l="1"/>
  <c r="J2" i="10"/>
  <c r="W2" i="10" s="1"/>
  <c r="X2" i="10" s="1"/>
  <c r="K2" i="10" l="1"/>
  <c r="V2" i="10" s="1"/>
  <c r="N2" i="10"/>
  <c r="T2" i="10" s="1"/>
  <c r="U2" i="10"/>
  <c r="O2" i="10" l="1"/>
  <c r="Y2" i="10"/>
  <c r="B2" i="10" s="1"/>
  <c r="H8" i="24" s="1"/>
  <c r="AD34" i="11"/>
  <c r="W34" i="11" s="1"/>
  <c r="W41" i="11" s="1"/>
  <c r="M34" i="11"/>
  <c r="Y34" i="11" l="1"/>
  <c r="M41" i="11"/>
  <c r="L21" i="30" s="1"/>
  <c r="P20" i="30" s="1"/>
  <c r="P32" i="30" s="1"/>
  <c r="P37" i="30" s="1"/>
  <c r="P44" i="30" s="1"/>
  <c r="L21" i="14" l="1"/>
  <c r="P20" i="14" s="1"/>
  <c r="P32" i="14" s="1"/>
  <c r="P37" i="14" s="1"/>
  <c r="P44" i="14" s="1"/>
  <c r="L7" i="13"/>
  <c r="L14" i="13" s="1"/>
  <c r="BP70" i="9"/>
  <c r="M8" i="25"/>
  <c r="M7" i="25" s="1"/>
  <c r="M14" i="25" s="1"/>
  <c r="CB85" i="8"/>
  <c r="M19" i="25" l="1"/>
  <c r="M25" i="25" s="1"/>
  <c r="AC70" i="9"/>
  <c r="BP74" i="9"/>
  <c r="L19" i="13"/>
  <c r="CB89" i="8"/>
  <c r="U25" i="25" l="1"/>
  <c r="M4" i="31"/>
  <c r="L25" i="13"/>
  <c r="MQ31" i="12"/>
  <c r="MQ36" i="12" s="1"/>
  <c r="MQ37" i="12" s="1"/>
  <c r="MQ39" i="12" s="1"/>
  <c r="MQ41" i="12" s="1"/>
  <c r="AC74" i="9"/>
  <c r="BP79" i="9"/>
  <c r="R34" i="25" l="1"/>
  <c r="U34" i="25" s="1"/>
  <c r="M34" i="25" s="1"/>
  <c r="Z34" i="25"/>
  <c r="Z36" i="25" s="1"/>
  <c r="R29" i="25"/>
  <c r="U29" i="25" s="1"/>
  <c r="M29" i="25" s="1"/>
  <c r="BB30" i="25" s="1"/>
  <c r="BB32" i="25" s="1"/>
  <c r="BB42" i="25" s="1"/>
  <c r="R33" i="25"/>
  <c r="U33" i="25" s="1"/>
  <c r="M33" i="25" s="1"/>
  <c r="R31" i="25"/>
  <c r="U31" i="25" s="1"/>
  <c r="M31" i="25" s="1"/>
  <c r="R32" i="25"/>
  <c r="U32" i="25" s="1"/>
  <c r="M32" i="25" s="1"/>
  <c r="R28" i="25"/>
  <c r="R30" i="25"/>
  <c r="U30" i="25" s="1"/>
  <c r="M30" i="25" s="1"/>
  <c r="BP82" i="9"/>
  <c r="AC79" i="9"/>
  <c r="L38" i="13"/>
  <c r="Q77" i="30" s="1"/>
  <c r="Q78" i="30" s="1"/>
  <c r="O54" i="9"/>
  <c r="U35" i="25" l="1"/>
  <c r="Z35" i="25" s="1"/>
  <c r="Z37" i="25" s="1"/>
  <c r="U36" i="25" s="1"/>
  <c r="O62" i="9"/>
  <c r="O55" i="9"/>
  <c r="O75" i="14"/>
  <c r="L40" i="13"/>
  <c r="AC82" i="9"/>
  <c r="M35" i="25" l="1"/>
  <c r="M5" i="31" s="1"/>
  <c r="U37" i="25"/>
  <c r="CB91" i="8"/>
  <c r="BP83" i="9"/>
  <c r="L41" i="13"/>
  <c r="L59" i="13" s="1"/>
  <c r="O77" i="14"/>
  <c r="Q77" i="14" s="1"/>
  <c r="Q78" i="14" s="1"/>
  <c r="M60" i="23"/>
  <c r="Q60" i="23" s="1"/>
  <c r="M36" i="25" l="1"/>
  <c r="M6" i="31" s="1"/>
  <c r="F36" i="25"/>
  <c r="F6" i="31" s="1"/>
  <c r="U38" i="25"/>
  <c r="M37" i="25"/>
  <c r="M7" i="31" s="1"/>
  <c r="AC83" i="9"/>
  <c r="BP84" i="9"/>
  <c r="AC84" i="9" s="1"/>
  <c r="BO127" i="3"/>
  <c r="BO125" i="3" s="1"/>
  <c r="BO101" i="3" s="1"/>
  <c r="U58" i="13"/>
  <c r="CB93" i="8"/>
  <c r="M4" i="15"/>
  <c r="BP86" i="9"/>
  <c r="AC86" i="9" s="1"/>
  <c r="M38" i="25" l="1"/>
  <c r="M8" i="31" s="1"/>
  <c r="U39" i="25"/>
  <c r="R64" i="13"/>
  <c r="U64" i="13" s="1"/>
  <c r="L64" i="13" s="1"/>
  <c r="R62" i="13"/>
  <c r="U62" i="13" s="1"/>
  <c r="R61" i="13"/>
  <c r="R63" i="13"/>
  <c r="U63" i="13" s="1"/>
  <c r="L63" i="13" s="1"/>
  <c r="BO105" i="3"/>
  <c r="AJ97" i="3"/>
  <c r="I6" i="5"/>
  <c r="M39" i="25" l="1"/>
  <c r="U41" i="25"/>
  <c r="L62" i="13"/>
  <c r="L65" i="13" s="1"/>
  <c r="U65" i="13"/>
  <c r="AW110" i="3"/>
  <c r="AX110" i="3" s="1"/>
  <c r="AN110" i="3" s="1"/>
  <c r="AW109" i="3"/>
  <c r="AX109" i="3" s="1"/>
  <c r="AN109" i="3" s="1"/>
  <c r="AW108" i="3"/>
  <c r="AX108" i="3" s="1"/>
  <c r="AW107" i="3"/>
  <c r="AX107" i="3" s="1"/>
  <c r="AN107" i="3" s="1"/>
  <c r="I10" i="5"/>
  <c r="H97" i="3"/>
  <c r="U66" i="13" l="1"/>
  <c r="M41" i="25"/>
  <c r="U43" i="25"/>
  <c r="U110" i="3"/>
  <c r="V110" i="3" s="1"/>
  <c r="L110" i="3" s="1"/>
  <c r="U109" i="3"/>
  <c r="V109" i="3" s="1"/>
  <c r="L109" i="3" s="1"/>
  <c r="U108" i="3"/>
  <c r="V108" i="3" s="1"/>
  <c r="U107" i="3"/>
  <c r="V107" i="3" s="1"/>
  <c r="L107" i="3" s="1"/>
  <c r="AX111" i="3"/>
  <c r="AX112" i="3" s="1"/>
  <c r="AN112" i="3" s="1"/>
  <c r="AN108" i="3"/>
  <c r="M5" i="15"/>
  <c r="BP87" i="9"/>
  <c r="AC87" i="9" s="1"/>
  <c r="F66" i="13" l="1"/>
  <c r="F6" i="15" s="1"/>
  <c r="L66" i="13"/>
  <c r="U67" i="13"/>
  <c r="M50" i="25"/>
  <c r="M14" i="31" s="1"/>
  <c r="I50" i="25"/>
  <c r="C14" i="31" s="1"/>
  <c r="P43" i="25"/>
  <c r="A2" i="32"/>
  <c r="N68" i="9"/>
  <c r="L38" i="31"/>
  <c r="AX113" i="3"/>
  <c r="AN111" i="3"/>
  <c r="V111" i="3"/>
  <c r="V112" i="3" s="1"/>
  <c r="L112" i="3" s="1"/>
  <c r="L108" i="3"/>
  <c r="U68" i="13" l="1"/>
  <c r="L68" i="13" s="1"/>
  <c r="L67" i="13"/>
  <c r="M6" i="15"/>
  <c r="BP88" i="9"/>
  <c r="AC88" i="9" s="1"/>
  <c r="E2" i="32"/>
  <c r="F2" i="32" s="1"/>
  <c r="C2" i="32"/>
  <c r="D2" i="32" s="1"/>
  <c r="H2" i="32"/>
  <c r="I2" i="32" s="1"/>
  <c r="L111" i="3"/>
  <c r="V113" i="3"/>
  <c r="AN113" i="3"/>
  <c r="AX114" i="3"/>
  <c r="AN114" i="3" s="1"/>
  <c r="U69" i="13" l="1"/>
  <c r="M9" i="31"/>
  <c r="M11" i="31" s="1"/>
  <c r="BP89" i="9"/>
  <c r="AC89" i="9" s="1"/>
  <c r="M7" i="15"/>
  <c r="M8" i="15"/>
  <c r="BP90" i="9"/>
  <c r="AC90" i="9" s="1"/>
  <c r="G2" i="32"/>
  <c r="J2" i="32" s="1"/>
  <c r="L2" i="32"/>
  <c r="P2" i="32" s="1"/>
  <c r="Q2" i="32"/>
  <c r="E3" i="32"/>
  <c r="F3" i="32" s="1"/>
  <c r="H3" i="32"/>
  <c r="I3" i="32" s="1"/>
  <c r="C3" i="32"/>
  <c r="D3" i="32" s="1"/>
  <c r="AX115" i="3"/>
  <c r="AN115" i="3" s="1"/>
  <c r="BO110" i="3" s="1"/>
  <c r="I14" i="5" s="1"/>
  <c r="V114" i="3"/>
  <c r="L114" i="3" s="1"/>
  <c r="L113" i="3"/>
  <c r="M9" i="15" l="1"/>
  <c r="M11" i="15" s="1"/>
  <c r="U71" i="13"/>
  <c r="L69" i="13"/>
  <c r="BP91" i="9" s="1"/>
  <c r="AC91" i="9" s="1"/>
  <c r="W2" i="32"/>
  <c r="X2" i="32" s="1"/>
  <c r="N2" i="32"/>
  <c r="T2" i="32" s="1"/>
  <c r="S2" i="32"/>
  <c r="M2" i="32"/>
  <c r="R2" i="32" s="1"/>
  <c r="K2" i="32"/>
  <c r="U2" i="32"/>
  <c r="Q3" i="32"/>
  <c r="L3" i="32"/>
  <c r="P3" i="32" s="1"/>
  <c r="G3" i="32"/>
  <c r="J3" i="32" s="1"/>
  <c r="V115" i="3"/>
  <c r="L115" i="3" s="1"/>
  <c r="BO108" i="3" s="1"/>
  <c r="L71" i="13" l="1"/>
  <c r="A3" i="10"/>
  <c r="U73" i="13"/>
  <c r="Y2" i="32"/>
  <c r="O2" i="32"/>
  <c r="V2" i="32" s="1"/>
  <c r="M3" i="32"/>
  <c r="R3" i="32" s="1"/>
  <c r="S3" i="32"/>
  <c r="N3" i="32"/>
  <c r="U3" i="32"/>
  <c r="T3" i="32"/>
  <c r="K3" i="32"/>
  <c r="W3" i="32"/>
  <c r="X3" i="32" s="1"/>
  <c r="BO112" i="3"/>
  <c r="I12" i="5"/>
  <c r="I79" i="13" l="1"/>
  <c r="L79" i="13"/>
  <c r="P73" i="13"/>
  <c r="E3" i="10"/>
  <c r="F3" i="10" s="1"/>
  <c r="C3" i="10"/>
  <c r="D3" i="10" s="1"/>
  <c r="H3" i="10"/>
  <c r="I3" i="10" s="1"/>
  <c r="N67" i="9"/>
  <c r="CB94" i="8"/>
  <c r="BP93" i="9"/>
  <c r="AC93" i="9" s="1"/>
  <c r="L38" i="15"/>
  <c r="B2" i="32"/>
  <c r="F39" i="31" s="1"/>
  <c r="O3" i="32"/>
  <c r="V3" i="32" s="1"/>
  <c r="Y3" i="32"/>
  <c r="I16" i="5"/>
  <c r="BO117" i="3"/>
  <c r="G3" i="10" l="1"/>
  <c r="M3" i="10" s="1"/>
  <c r="R3" i="10" s="1"/>
  <c r="BP95" i="9"/>
  <c r="AC95" i="9" s="1"/>
  <c r="M14" i="15"/>
  <c r="L3" i="10"/>
  <c r="P3" i="10" s="1"/>
  <c r="Q3" i="10"/>
  <c r="C14" i="15"/>
  <c r="BE95" i="9"/>
  <c r="R95" i="9" s="1"/>
  <c r="B3" i="32"/>
  <c r="BO123" i="3"/>
  <c r="I21" i="5"/>
  <c r="J3" i="10" l="1"/>
  <c r="K3" i="10" s="1"/>
  <c r="O3" i="10" s="1"/>
  <c r="V3" i="10" s="1"/>
  <c r="S3" i="10"/>
  <c r="T19" i="2"/>
  <c r="L61" i="2"/>
  <c r="W3" i="10" l="1"/>
  <c r="X3" i="10" s="1"/>
  <c r="Y3" i="10" s="1"/>
  <c r="U3" i="10"/>
  <c r="N3" i="10"/>
  <c r="T3" i="10" s="1"/>
  <c r="B3" i="10" l="1"/>
  <c r="F39"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Saidi Reddy</author>
  </authors>
  <commentList>
    <comment ref="Q11" authorId="0" shapeId="0" xr:uid="{00000000-0006-0000-0100-000001000000}">
      <text>
        <r>
          <rPr>
            <b/>
            <sz val="9"/>
            <color indexed="81"/>
            <rFont val="Tahoma"/>
            <family val="2"/>
          </rPr>
          <t>Don't Enter any value Here.This value is automatically taken from the below given data</t>
        </r>
        <r>
          <rPr>
            <sz val="9"/>
            <color indexed="81"/>
            <rFont val="Tahoma"/>
            <family val="2"/>
          </rPr>
          <t xml:space="preserve">
</t>
        </r>
      </text>
    </comment>
    <comment ref="F18" authorId="1" shapeId="0" xr:uid="{00000000-0006-0000-0100-000002000000}">
      <text>
        <r>
          <rPr>
            <sz val="9"/>
            <color indexed="81"/>
            <rFont val="Tahoma"/>
            <family val="2"/>
          </rPr>
          <t xml:space="preserve">Here Enter Your Net Taxable Income of the Relevent Financial Year without Arrears (Rs)
</t>
        </r>
      </text>
    </comment>
    <comment ref="H18" authorId="1" shapeId="0" xr:uid="{00000000-0006-0000-0100-000003000000}">
      <text>
        <r>
          <rPr>
            <sz val="9"/>
            <color indexed="81"/>
            <rFont val="Tahoma"/>
            <family val="2"/>
          </rPr>
          <t xml:space="preserve">Here Enter Your Amont of Arrears Received against each Financial Year (Rs)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Saidi Reddy</author>
  </authors>
  <commentList>
    <comment ref="P9" authorId="0" shapeId="0" xr:uid="{00000000-0006-0000-0300-000001000000}">
      <text>
        <r>
          <rPr>
            <sz val="9"/>
            <color indexed="81"/>
            <rFont val="Tahoma"/>
            <family val="2"/>
          </rPr>
          <t>Select Blanks</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Y9" authorId="0" shapeId="0" xr:uid="{00000000-0006-0000-0700-000001000000}">
      <text>
        <r>
          <rPr>
            <b/>
            <sz val="9"/>
            <color indexed="81"/>
            <rFont val="Tahoma"/>
            <family val="2"/>
          </rPr>
          <t>Don't Enter any Value here .System is automatically Calculated this Value</t>
        </r>
        <r>
          <rPr>
            <sz val="9"/>
            <color indexed="81"/>
            <rFont val="Tahoma"/>
            <family val="2"/>
          </rPr>
          <t xml:space="preserve">
</t>
        </r>
      </text>
    </comment>
    <comment ref="Q16" authorId="0" shapeId="0" xr:uid="{00000000-0006-0000-0700-000002000000}">
      <text>
        <r>
          <rPr>
            <b/>
            <sz val="10"/>
            <color indexed="81"/>
            <rFont val="Arial"/>
            <family val="2"/>
          </rPr>
          <t>I</t>
        </r>
        <r>
          <rPr>
            <b/>
            <i/>
            <sz val="10"/>
            <color indexed="81"/>
            <rFont val="Arial"/>
            <family val="2"/>
          </rPr>
          <t>f these Annual Grade Increment Arrears Values are not matched with your college Pay Bill Register,Then enter the Arrears as per pay Bill Register</t>
        </r>
        <r>
          <rPr>
            <b/>
            <sz val="9"/>
            <color indexed="81"/>
            <rFont val="Tahoma"/>
            <family val="2"/>
          </rPr>
          <t xml:space="preserve">
</t>
        </r>
      </text>
    </comment>
    <comment ref="Y23" authorId="0" shapeId="0" xr:uid="{00000000-0006-0000-0700-000003000000}">
      <text>
        <r>
          <rPr>
            <b/>
            <sz val="9"/>
            <color indexed="81"/>
            <rFont val="Tahoma"/>
            <family val="2"/>
          </rPr>
          <t>Don't Enter any Value here .System is automatically Calculated this Value</t>
        </r>
        <r>
          <rPr>
            <sz val="9"/>
            <color indexed="81"/>
            <rFont val="Tahoma"/>
            <family val="2"/>
          </rPr>
          <t xml:space="preserve">
</t>
        </r>
      </text>
    </comment>
    <comment ref="Y26" authorId="0" shapeId="0" xr:uid="{00000000-0006-0000-0700-000004000000}">
      <text>
        <r>
          <rPr>
            <b/>
            <sz val="9"/>
            <color indexed="81"/>
            <rFont val="Tahoma"/>
            <family val="2"/>
          </rPr>
          <t>Don't Enter any Value here .System is automatically Calculated this Value</t>
        </r>
        <r>
          <rPr>
            <sz val="9"/>
            <color indexed="81"/>
            <rFont val="Tahoma"/>
            <family val="2"/>
          </rPr>
          <t xml:space="preserve">
</t>
        </r>
      </text>
    </comment>
    <comment ref="Q28" authorId="0" shapeId="0" xr:uid="{00000000-0006-0000-0700-000005000000}">
      <text>
        <r>
          <rPr>
            <b/>
            <i/>
            <sz val="11"/>
            <color indexed="81"/>
            <rFont val="Arial"/>
            <family val="2"/>
          </rPr>
          <t>If these M.Phil/Ph.D Incentive  Increment Arrears Values are not matched with your college Pay Bill Register,Then enter the Arrears Values  as per pay Bill Register</t>
        </r>
        <r>
          <rPr>
            <i/>
            <sz val="11"/>
            <color indexed="81"/>
            <rFont val="Arial"/>
            <family val="2"/>
          </rPr>
          <t xml:space="preserve">
</t>
        </r>
      </text>
    </comment>
    <comment ref="Y34" authorId="0" shapeId="0" xr:uid="{00000000-0006-0000-0700-000006000000}">
      <text>
        <r>
          <rPr>
            <b/>
            <sz val="9"/>
            <color indexed="81"/>
            <rFont val="Tahoma"/>
            <family val="2"/>
          </rPr>
          <t>Don't Enter any Value here .System is automatically Calculated this Value</t>
        </r>
        <r>
          <rPr>
            <sz val="9"/>
            <color indexed="81"/>
            <rFont val="Tahoma"/>
            <family val="2"/>
          </rPr>
          <t xml:space="preserve">
</t>
        </r>
      </text>
    </comment>
    <comment ref="Y39" authorId="0" shapeId="0" xr:uid="{00000000-0006-0000-0700-000007000000}">
      <text>
        <r>
          <rPr>
            <b/>
            <sz val="9"/>
            <color indexed="81"/>
            <rFont val="Tahoma"/>
            <family val="2"/>
          </rPr>
          <t>Don't Enter any Value here .System is automatically Calculated this Value</t>
        </r>
        <r>
          <rPr>
            <sz val="9"/>
            <color indexed="81"/>
            <rFont val="Tahoma"/>
            <family val="2"/>
          </rPr>
          <t xml:space="preserve">
</t>
        </r>
      </text>
    </comment>
    <comment ref="Y40" authorId="0" shapeId="0" xr:uid="{00000000-0006-0000-0700-000008000000}">
      <text>
        <r>
          <rPr>
            <b/>
            <sz val="9"/>
            <color indexed="81"/>
            <rFont val="Tahoma"/>
            <family val="2"/>
          </rPr>
          <t>Don't Enter any Value here .System is automatically Calculated this Value</t>
        </r>
        <r>
          <rPr>
            <sz val="9"/>
            <color indexed="81"/>
            <rFont val="Tahoma"/>
            <family val="2"/>
          </rPr>
          <t xml:space="preserve">
</t>
        </r>
      </text>
    </comment>
    <comment ref="Y53" authorId="0" shapeId="0" xr:uid="{00000000-0006-0000-0700-000009000000}">
      <text>
        <r>
          <rPr>
            <b/>
            <sz val="9"/>
            <color indexed="81"/>
            <rFont val="Tahoma"/>
            <family val="2"/>
          </rPr>
          <t>Don't Enter any Value here .System is automatically Calculated this Value</t>
        </r>
        <r>
          <rPr>
            <sz val="9"/>
            <color indexed="81"/>
            <rFont val="Tahoma"/>
            <family val="2"/>
          </rPr>
          <t xml:space="preserve">
</t>
        </r>
      </text>
    </comment>
    <comment ref="Y54" authorId="0" shapeId="0" xr:uid="{00000000-0006-0000-0700-00000A000000}">
      <text>
        <r>
          <rPr>
            <b/>
            <sz val="9"/>
            <color indexed="81"/>
            <rFont val="Tahoma"/>
            <family val="2"/>
          </rPr>
          <t>Don't Enter any Value here .System is automatically Calculated this Value</t>
        </r>
        <r>
          <rPr>
            <sz val="9"/>
            <color indexed="81"/>
            <rFont val="Tahoma"/>
            <family val="2"/>
          </rPr>
          <t xml:space="preserve">
</t>
        </r>
      </text>
    </comment>
    <comment ref="Y57" authorId="0" shapeId="0" xr:uid="{00000000-0006-0000-0700-00000B000000}">
      <text>
        <r>
          <rPr>
            <b/>
            <sz val="9"/>
            <color indexed="81"/>
            <rFont val="Tahoma"/>
            <family val="2"/>
          </rPr>
          <t>Don't Enter any Value here .System is automatically Calculated this Value</t>
        </r>
        <r>
          <rPr>
            <sz val="9"/>
            <color indexed="81"/>
            <rFont val="Tahoma"/>
            <family val="2"/>
          </rPr>
          <t xml:space="preserve">
</t>
        </r>
      </text>
    </comment>
    <comment ref="Q59" authorId="0" shapeId="0" xr:uid="{00000000-0006-0000-0700-00000C000000}">
      <text>
        <r>
          <rPr>
            <b/>
            <i/>
            <sz val="10"/>
            <color indexed="81"/>
            <rFont val="Arial"/>
            <family val="2"/>
          </rPr>
          <t>If these M.Phil/Ph.D Incentive  Increment Arrears Values are not matched with your college Pay Bill Register,Then enter the Arrears Values  as per pay Bill Register</t>
        </r>
        <r>
          <rPr>
            <i/>
            <sz val="10"/>
            <color indexed="81"/>
            <rFont val="Arial"/>
            <family val="2"/>
          </rPr>
          <t xml:space="preserve">
</t>
        </r>
        <r>
          <rPr>
            <sz val="9"/>
            <color indexed="81"/>
            <rFont val="Tahoma"/>
            <family val="2"/>
          </rPr>
          <t xml:space="preserve">
</t>
        </r>
      </text>
    </comment>
    <comment ref="Y128" authorId="0" shapeId="0" xr:uid="{00000000-0006-0000-0700-00000D000000}">
      <text>
        <r>
          <rPr>
            <b/>
            <sz val="9"/>
            <color indexed="81"/>
            <rFont val="Tahoma"/>
            <family val="2"/>
          </rPr>
          <t>Don't Enter any Value here .System is automatically Calculated this Value</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Saidi Reddy</author>
    <author>B.Saidi Reddy</author>
  </authors>
  <commentList>
    <comment ref="X12" authorId="0" shapeId="0" xr:uid="{00000000-0006-0000-0800-000001000000}">
      <text>
        <r>
          <rPr>
            <b/>
            <sz val="9"/>
            <color indexed="81"/>
            <rFont val="Tahoma"/>
            <family val="2"/>
          </rPr>
          <t>Don't Enter any Value here .System is automatically Calculated this Value</t>
        </r>
        <r>
          <rPr>
            <sz val="9"/>
            <color indexed="81"/>
            <rFont val="Tahoma"/>
            <family val="2"/>
          </rPr>
          <t xml:space="preserve">
</t>
        </r>
      </text>
    </comment>
    <comment ref="X14" authorId="0" shapeId="0" xr:uid="{00000000-0006-0000-0800-000002000000}">
      <text>
        <r>
          <rPr>
            <b/>
            <sz val="9"/>
            <color indexed="81"/>
            <rFont val="Tahoma"/>
            <family val="2"/>
          </rPr>
          <t>Don't Enter any Value here .System is automatically Calculated this Value</t>
        </r>
        <r>
          <rPr>
            <sz val="9"/>
            <color indexed="81"/>
            <rFont val="Tahoma"/>
            <family val="2"/>
          </rPr>
          <t xml:space="preserve">
</t>
        </r>
      </text>
    </comment>
    <comment ref="X16" authorId="0" shapeId="0" xr:uid="{00000000-0006-0000-0800-000003000000}">
      <text>
        <r>
          <rPr>
            <b/>
            <sz val="9"/>
            <color indexed="81"/>
            <rFont val="Tahoma"/>
            <family val="2"/>
          </rPr>
          <t>Don't Enter any Value here .System is automatically Calculated this Value</t>
        </r>
        <r>
          <rPr>
            <sz val="9"/>
            <color indexed="81"/>
            <rFont val="Tahoma"/>
            <family val="2"/>
          </rPr>
          <t xml:space="preserve">
</t>
        </r>
      </text>
    </comment>
    <comment ref="O20" authorId="0" shapeId="0" xr:uid="{00000000-0006-0000-0800-000004000000}">
      <text>
        <r>
          <rPr>
            <b/>
            <sz val="9"/>
            <color indexed="81"/>
            <rFont val="Tahoma"/>
            <family val="2"/>
          </rPr>
          <t>Deduction of Rs.5,000 on preventive health check up included in the limits of Rs.25,000 or Rs.50,000 of health insurance premium deductions</t>
        </r>
        <r>
          <rPr>
            <sz val="9"/>
            <color indexed="81"/>
            <rFont val="Tahoma"/>
            <family val="2"/>
          </rPr>
          <t xml:space="preserve">
</t>
        </r>
      </text>
    </comment>
    <comment ref="S20" authorId="0" shapeId="0" xr:uid="{00000000-0006-0000-0800-000005000000}">
      <text>
        <r>
          <rPr>
            <b/>
            <sz val="10"/>
            <color indexed="81"/>
            <rFont val="Arial"/>
            <family val="2"/>
          </rPr>
          <t>If you are able to satisfy the conditions of both section-24 and section-80EE of the income Tax Act,Then you can claim the benefits under both the sections.</t>
        </r>
        <r>
          <rPr>
            <sz val="10"/>
            <color indexed="81"/>
            <rFont val="Arial"/>
            <family val="2"/>
          </rPr>
          <t xml:space="preserve">
</t>
        </r>
        <r>
          <rPr>
            <b/>
            <sz val="10"/>
            <color indexed="32"/>
            <rFont val="Arial"/>
            <family val="2"/>
          </rPr>
          <t>First,exhaust your deductible limit under section-24
,which is Rs.2 lakhs.</t>
        </r>
        <r>
          <rPr>
            <b/>
            <sz val="10"/>
            <color indexed="81"/>
            <rFont val="Arial"/>
            <family val="2"/>
          </rPr>
          <t>Then, go on to claim the additional benefits under section-80EE.Therefore ,this deduction is in addition to the Rs.2 laksh limit allowed under section-24</t>
        </r>
        <r>
          <rPr>
            <sz val="9"/>
            <color indexed="81"/>
            <rFont val="Tahoma"/>
            <family val="2"/>
          </rPr>
          <t xml:space="preserve">
</t>
        </r>
      </text>
    </comment>
    <comment ref="X20" authorId="1" shapeId="0" xr:uid="{00000000-0006-0000-0800-000006000000}">
      <text>
        <r>
          <rPr>
            <b/>
            <sz val="9"/>
            <color indexed="81"/>
            <rFont val="Tahoma"/>
            <family val="2"/>
          </rPr>
          <t xml:space="preserve">
1) Loan Should have been Sanction in FY 2016-17
     i.e.</t>
        </r>
        <r>
          <rPr>
            <b/>
            <sz val="9"/>
            <color indexed="10"/>
            <rFont val="Tahoma"/>
            <family val="2"/>
          </rPr>
          <t>01.04.2016 to 31.03.2017</t>
        </r>
        <r>
          <rPr>
            <b/>
            <sz val="9"/>
            <color indexed="81"/>
            <rFont val="Tahoma"/>
            <family val="2"/>
          </rPr>
          <t xml:space="preserve">
2)Loan Amount Should be less than 35Lakshs
3)Value of the House Sholud not be more than 50    
   lakshs
4) First time Home Buyers can claim an additional Tax   
    deduction of up to Rs 50,000 on home loan interest 
     payments u/s 80EE
5)  Rs.50,000 is over and above Rs.2Lakh u/s 24,hence  
    total Rs.2.50Lakh
</t>
        </r>
        <r>
          <rPr>
            <sz val="9"/>
            <color indexed="81"/>
            <rFont val="Tahoma"/>
            <family val="2"/>
          </rPr>
          <t xml:space="preserve">
</t>
        </r>
      </text>
    </comment>
    <comment ref="S21" authorId="0" shapeId="0" xr:uid="{00000000-0006-0000-0800-000007000000}">
      <text>
        <r>
          <rPr>
            <b/>
            <sz val="10"/>
            <color indexed="81"/>
            <rFont val="Arial"/>
            <family val="2"/>
          </rPr>
          <t xml:space="preserve">If you are able to satisfy the conditions of both section-24 and section-80EEA of the income Tax Act,Then you can claim the benefits under both the sections.
</t>
        </r>
        <r>
          <rPr>
            <b/>
            <sz val="10"/>
            <color indexed="39"/>
            <rFont val="Arial"/>
            <family val="2"/>
          </rPr>
          <t>First,exhaust your deductible limit under section-24
,which is Rs.2 lakhs</t>
        </r>
        <r>
          <rPr>
            <b/>
            <sz val="10"/>
            <color indexed="81"/>
            <rFont val="Arial"/>
            <family val="2"/>
          </rPr>
          <t>.Then, go on to claim the additional benefits under section-80EEA.Therefore ,this deduction is in addition to the Rs.2 laksh limit allowed under section-24</t>
        </r>
        <r>
          <rPr>
            <sz val="9"/>
            <color indexed="81"/>
            <rFont val="Tahoma"/>
            <family val="2"/>
          </rPr>
          <t xml:space="preserve">
</t>
        </r>
      </text>
    </comment>
    <comment ref="X21" authorId="1" shapeId="0" xr:uid="{00000000-0006-0000-0800-000008000000}">
      <text>
        <r>
          <rPr>
            <b/>
            <sz val="9"/>
            <color indexed="81"/>
            <rFont val="Tahoma"/>
            <family val="2"/>
          </rPr>
          <t xml:space="preserve">
1) </t>
        </r>
        <r>
          <rPr>
            <b/>
            <sz val="9"/>
            <color indexed="10"/>
            <rFont val="Tahoma"/>
            <family val="2"/>
          </rPr>
          <t xml:space="preserve">Loan Should have been taken in FY:2019-20 or  FY:2020-21  
     or FY:2021-22  from the  financial  Institution/HFC  </t>
        </r>
        <r>
          <rPr>
            <b/>
            <sz val="9"/>
            <color indexed="81"/>
            <rFont val="Tahoma"/>
            <family val="2"/>
          </rPr>
          <t xml:space="preserve">  
2) The loan has been sanctioned by the financial institution 
    during the period from </t>
        </r>
        <r>
          <rPr>
            <b/>
            <sz val="9"/>
            <color indexed="37"/>
            <rFont val="Tahoma"/>
            <family val="2"/>
          </rPr>
          <t>1st April-2019 to 31st March-2022</t>
        </r>
        <r>
          <rPr>
            <b/>
            <sz val="9"/>
            <color indexed="81"/>
            <rFont val="Tahoma"/>
            <family val="2"/>
          </rPr>
          <t xml:space="preserve">  
3)Stamp duty value of House Property(HP) not exceed 
    Rs.45 Lakh
4)Not own any residential HP on the date of sanction of  
    loan i.e.1st time House buyer
5)when deduction is allowed under section 80EEA,not 
    allowable in  section-80EE
6) Only to individual( not for HUF,AOP etc)
7) Rs.1.50Lakh is over and above Rs.2Lakh u/s 24,hence  
    total Rs.3.50Lakh
</t>
        </r>
        <r>
          <rPr>
            <sz val="9"/>
            <color indexed="81"/>
            <rFont val="Tahoma"/>
            <family val="2"/>
          </rPr>
          <t xml:space="preserve">
</t>
        </r>
      </text>
    </comment>
    <comment ref="O22" authorId="0" shapeId="0" xr:uid="{00000000-0006-0000-0800-000009000000}">
      <text>
        <r>
          <rPr>
            <sz val="9"/>
            <color indexed="81"/>
            <rFont val="Tahoma"/>
            <family val="2"/>
          </rPr>
          <t>Y</t>
        </r>
        <r>
          <rPr>
            <b/>
            <sz val="9"/>
            <color indexed="81"/>
            <rFont val="Tahoma"/>
            <family val="2"/>
          </rPr>
          <t xml:space="preserve">ou can claim a maximum amount of </t>
        </r>
        <r>
          <rPr>
            <b/>
            <sz val="9"/>
            <color indexed="14"/>
            <rFont val="Tahoma"/>
            <family val="2"/>
          </rPr>
          <t>Rs.5,000</t>
        </r>
        <r>
          <rPr>
            <b/>
            <sz val="9"/>
            <color indexed="81"/>
            <rFont val="Tahoma"/>
            <family val="2"/>
          </rPr>
          <t xml:space="preserve"> per financial year against preventive Health Check-up .This deduction can be claimed by you as well as your spouse and children</t>
        </r>
        <r>
          <rPr>
            <sz val="9"/>
            <color indexed="81"/>
            <rFont val="Tahoma"/>
            <family val="2"/>
          </rPr>
          <t xml:space="preserve">
</t>
        </r>
      </text>
    </comment>
    <comment ref="O23" authorId="0" shapeId="0" xr:uid="{00000000-0006-0000-0800-00000A000000}">
      <text>
        <r>
          <rPr>
            <b/>
            <sz val="9"/>
            <color indexed="81"/>
            <rFont val="Tahoma"/>
            <family val="2"/>
          </rPr>
          <t>Medical Expenditure is allowed if no amount is being paid towards health insurance of such person</t>
        </r>
        <r>
          <rPr>
            <sz val="9"/>
            <color indexed="81"/>
            <rFont val="Tahoma"/>
            <family val="2"/>
          </rPr>
          <t xml:space="preserve">
</t>
        </r>
      </text>
    </comment>
    <comment ref="X23" authorId="0" shapeId="0" xr:uid="{00000000-0006-0000-0800-00000B000000}">
      <text>
        <r>
          <rPr>
            <b/>
            <sz val="9"/>
            <color indexed="81"/>
            <rFont val="Tahoma"/>
            <family val="2"/>
          </rPr>
          <t>Don't Enter any Value here .System is automatically Calculated this Value</t>
        </r>
        <r>
          <rPr>
            <sz val="9"/>
            <color indexed="81"/>
            <rFont val="Tahoma"/>
            <family val="2"/>
          </rPr>
          <t xml:space="preserve">
</t>
        </r>
      </text>
    </comment>
    <comment ref="X24" authorId="0" shapeId="0" xr:uid="{00000000-0006-0000-0800-00000C000000}">
      <text>
        <r>
          <rPr>
            <b/>
            <sz val="9"/>
            <color indexed="81"/>
            <rFont val="Tahoma"/>
            <family val="2"/>
          </rPr>
          <t>Don't Enter any Value here .System is automatically Calculated this Value</t>
        </r>
        <r>
          <rPr>
            <sz val="9"/>
            <color indexed="81"/>
            <rFont val="Tahoma"/>
            <family val="2"/>
          </rPr>
          <t xml:space="preserve">
</t>
        </r>
      </text>
    </comment>
    <comment ref="O25" authorId="0" shapeId="0" xr:uid="{00000000-0006-0000-0800-00000D000000}">
      <text>
        <r>
          <rPr>
            <b/>
            <sz val="9"/>
            <color indexed="81"/>
            <rFont val="Tahoma"/>
            <family val="2"/>
          </rPr>
          <t xml:space="preserve">Deduction of Rs.5,000 on preventive health check up included in the limits of Rs.25,000 or Rs.50,000 of health insurance premium deductions
</t>
        </r>
        <r>
          <rPr>
            <sz val="9"/>
            <color indexed="81"/>
            <rFont val="Tahoma"/>
            <family val="2"/>
          </rPr>
          <t xml:space="preserve">
</t>
        </r>
      </text>
    </comment>
    <comment ref="O27" authorId="0" shapeId="0" xr:uid="{00000000-0006-0000-0800-00000E000000}">
      <text>
        <r>
          <rPr>
            <b/>
            <sz val="9"/>
            <color indexed="81"/>
            <rFont val="Tahoma"/>
            <family val="2"/>
          </rPr>
          <t xml:space="preserve">Your parents  can claim a maximum amount of </t>
        </r>
        <r>
          <rPr>
            <b/>
            <sz val="9"/>
            <color indexed="39"/>
            <rFont val="Tahoma"/>
            <family val="2"/>
          </rPr>
          <t>Rs.5,000</t>
        </r>
        <r>
          <rPr>
            <b/>
            <sz val="9"/>
            <color indexed="81"/>
            <rFont val="Tahoma"/>
            <family val="2"/>
          </rPr>
          <t xml:space="preserve"> per financial year against preventive Health Check-up .</t>
        </r>
        <r>
          <rPr>
            <sz val="9"/>
            <color indexed="81"/>
            <rFont val="Tahoma"/>
            <family val="2"/>
          </rPr>
          <t xml:space="preserve">
</t>
        </r>
      </text>
    </comment>
    <comment ref="O28" authorId="0" shapeId="0" xr:uid="{00000000-0006-0000-0800-00000F000000}">
      <text>
        <r>
          <rPr>
            <b/>
            <sz val="9"/>
            <color indexed="81"/>
            <rFont val="Tahoma"/>
            <family val="2"/>
          </rPr>
          <t>Medical Expenditure is allowed if no amount is being paid towards health insurance of such person</t>
        </r>
        <r>
          <rPr>
            <sz val="9"/>
            <color indexed="81"/>
            <rFont val="Tahoma"/>
            <family val="2"/>
          </rPr>
          <t xml:space="preserve">
</t>
        </r>
      </text>
    </comment>
    <comment ref="O32" authorId="0" shapeId="0" xr:uid="{00000000-0006-0000-0800-000010000000}">
      <text>
        <r>
          <rPr>
            <b/>
            <sz val="9"/>
            <color theme="1"/>
            <rFont val="Verdana"/>
            <family val="2"/>
          </rPr>
          <t xml:space="preserve">Disability      Level of               Deduction Limit  
                      Disability             U/s  80DD       
                                                  </t>
        </r>
        <r>
          <rPr>
            <b/>
            <sz val="10"/>
            <color theme="1"/>
            <rFont val="Verdana"/>
            <family val="2"/>
          </rPr>
          <t xml:space="preserve">                                                                                                    </t>
        </r>
        <r>
          <rPr>
            <sz val="9"/>
            <color indexed="81"/>
            <rFont val="Tahoma"/>
            <family val="2"/>
          </rPr>
          <t xml:space="preserve">
</t>
        </r>
        <r>
          <rPr>
            <b/>
            <sz val="9"/>
            <color indexed="33"/>
            <rFont val="Tahoma"/>
            <family val="2"/>
          </rPr>
          <t>Normal          Above 40% but          Rs.75,000
                     below 80%</t>
        </r>
        <r>
          <rPr>
            <sz val="9"/>
            <color indexed="81"/>
            <rFont val="Tahoma"/>
            <family val="2"/>
          </rPr>
          <t xml:space="preserve">
</t>
        </r>
        <r>
          <rPr>
            <b/>
            <sz val="9"/>
            <color indexed="63"/>
            <rFont val="Tahoma"/>
            <family val="2"/>
          </rPr>
          <t>Severe          80% and Above           Rs.1,25,000</t>
        </r>
      </text>
    </comment>
    <comment ref="O36" authorId="0" shapeId="0" xr:uid="{00000000-0006-0000-0800-000011000000}">
      <text>
        <r>
          <rPr>
            <b/>
            <sz val="9"/>
            <color theme="1"/>
            <rFont val="Verdana"/>
            <family val="2"/>
          </rPr>
          <t xml:space="preserve">Disability      Level of               Deduction Limit  
                      Disability             U/s  80U       
                                                  </t>
        </r>
        <r>
          <rPr>
            <b/>
            <sz val="10"/>
            <color theme="1"/>
            <rFont val="Verdana"/>
            <family val="2"/>
          </rPr>
          <t xml:space="preserve">                                                                                                    </t>
        </r>
        <r>
          <rPr>
            <sz val="9"/>
            <color indexed="81"/>
            <rFont val="Tahoma"/>
            <family val="2"/>
          </rPr>
          <t xml:space="preserve">
</t>
        </r>
        <r>
          <rPr>
            <b/>
            <sz val="9"/>
            <color indexed="33"/>
            <rFont val="Tahoma"/>
            <family val="2"/>
          </rPr>
          <t>Normal          Above 40% but          Rs.75,000
                     below 80%</t>
        </r>
        <r>
          <rPr>
            <sz val="9"/>
            <color indexed="81"/>
            <rFont val="Tahoma"/>
            <family val="2"/>
          </rPr>
          <t xml:space="preserve">
</t>
        </r>
        <r>
          <rPr>
            <b/>
            <sz val="9"/>
            <color indexed="63"/>
            <rFont val="Tahoma"/>
            <family val="2"/>
          </rPr>
          <t>Severe          80% and Above           Rs.1,25,000</t>
        </r>
      </text>
    </comment>
    <comment ref="O41" authorId="0" shapeId="0" xr:uid="{00000000-0006-0000-0800-000012000000}">
      <text>
        <r>
          <rPr>
            <b/>
            <sz val="9"/>
            <color theme="1"/>
            <rFont val="Verdana"/>
            <family val="2"/>
          </rPr>
          <t xml:space="preserve">
Age of the Person             Deduction Limit 
                                              U/s 80DDB
                                                                     </t>
        </r>
        <r>
          <rPr>
            <b/>
            <sz val="10"/>
            <color theme="1"/>
            <rFont val="Verdana"/>
            <family val="2"/>
          </rPr>
          <t xml:space="preserve">                                                                                                    </t>
        </r>
        <r>
          <rPr>
            <sz val="9"/>
            <color indexed="81"/>
            <rFont val="Tahoma"/>
            <family val="2"/>
          </rPr>
          <t xml:space="preserve">
</t>
        </r>
        <r>
          <rPr>
            <b/>
            <sz val="9"/>
            <color indexed="33"/>
            <rFont val="Tahoma"/>
            <family val="2"/>
          </rPr>
          <t>Less than 60 Years            Rs.40.000   or  Actual   
                                         Medical Expenses  incurred  
                                          whichever is Less</t>
        </r>
        <r>
          <rPr>
            <sz val="9"/>
            <color indexed="81"/>
            <rFont val="Tahoma"/>
            <family val="2"/>
          </rPr>
          <t xml:space="preserve">
</t>
        </r>
        <r>
          <rPr>
            <b/>
            <sz val="9"/>
            <color indexed="63"/>
            <rFont val="Tahoma"/>
            <family val="2"/>
          </rPr>
          <t>60Years and Above           Rs.1,00,000 or Actual 
                                         Medical expenses  incurred       
                                         whichever is Less</t>
        </r>
      </text>
    </comment>
    <comment ref="E44" authorId="2" shapeId="0" xr:uid="{E2FE1512-F441-4A6B-8D56-9EE62C15E57A}">
      <text>
        <r>
          <rPr>
            <b/>
            <sz val="9"/>
            <color indexed="8"/>
            <rFont val="Arial"/>
            <family val="2"/>
          </rPr>
          <t>Note</t>
        </r>
        <r>
          <rPr>
            <b/>
            <sz val="9"/>
            <color indexed="18"/>
            <rFont val="Arial"/>
            <family val="2"/>
          </rPr>
          <t>:</t>
        </r>
        <r>
          <rPr>
            <b/>
            <sz val="9"/>
            <color indexed="10"/>
            <rFont val="Arial"/>
            <family val="2"/>
          </rPr>
          <t xml:space="preserve">For claiming deduction under section 80E, below details need to be provided in ITR </t>
        </r>
        <r>
          <rPr>
            <b/>
            <sz val="9"/>
            <color indexed="8"/>
            <rFont val="Arial"/>
            <family val="2"/>
          </rPr>
          <t xml:space="preserve">
1.Loan taken from bank / institution 
2.Name of the institution / bank from which the loan is taken 
3.Loan Account Number of the bank / institution
4. Date of sanction of loan 
5.Total Amount of loan Loan 
6.outstanding as on last date of financial year
7. Interest u/s 80E</t>
        </r>
        <r>
          <rPr>
            <b/>
            <sz val="9"/>
            <color indexed="8"/>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Y7" authorId="0" shapeId="0" xr:uid="{00000000-0006-0000-0A00-000001000000}">
      <text>
        <r>
          <rPr>
            <b/>
            <sz val="9"/>
            <color indexed="81"/>
            <rFont val="Tahoma"/>
            <family val="2"/>
          </rPr>
          <t xml:space="preserve">In order to hide empty rows in this sheet .Please Click on filter cell and  remove "1",  in the  dropdown List box </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Saidi Reddy Bolla</author>
  </authors>
  <commentList>
    <comment ref="S9" authorId="0" shapeId="0" xr:uid="{00000000-0006-0000-1700-000001000000}">
      <text>
        <r>
          <rPr>
            <sz val="9"/>
            <color indexed="81"/>
            <rFont val="Tahoma"/>
            <family val="2"/>
          </rPr>
          <t>Y</t>
        </r>
        <r>
          <rPr>
            <b/>
            <sz val="9"/>
            <color indexed="81"/>
            <rFont val="Tahoma"/>
            <family val="2"/>
          </rPr>
          <t>ou may change this 
 DD/MM/YYYY</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Saidi Reddy</author>
  </authors>
  <commentList>
    <comment ref="Z18" authorId="0" shapeId="0" xr:uid="{00000000-0006-0000-1600-000001000000}">
      <text>
        <r>
          <rPr>
            <sz val="9"/>
            <color indexed="81"/>
            <rFont val="Tahoma"/>
            <family val="2"/>
          </rPr>
          <t xml:space="preserve">
</t>
        </r>
        <r>
          <rPr>
            <sz val="9"/>
            <color indexed="81"/>
            <rFont val="Tahoma"/>
            <family val="2"/>
          </rPr>
          <t>PAN No. of the Landlord  shall be furnished if the aggregate rent paid during the previous year exceeds one lakh rupees</t>
        </r>
      </text>
    </comment>
  </commentList>
</comments>
</file>

<file path=xl/sharedStrings.xml><?xml version="1.0" encoding="utf-8"?>
<sst xmlns="http://schemas.openxmlformats.org/spreadsheetml/2006/main" count="5980" uniqueCount="1764">
  <si>
    <t>Tax on Income</t>
  </si>
  <si>
    <t>a)</t>
  </si>
  <si>
    <t>b)</t>
  </si>
  <si>
    <t>c)</t>
  </si>
  <si>
    <t>d)</t>
  </si>
  <si>
    <t>Rs</t>
  </si>
  <si>
    <t>Total Tax</t>
  </si>
  <si>
    <t>Payable Tax</t>
  </si>
  <si>
    <t>Tax Rebate U/s 87A</t>
  </si>
  <si>
    <t>Up to Rs. 2,50,000</t>
  </si>
  <si>
    <t>Sri.</t>
  </si>
  <si>
    <t>Smt.</t>
  </si>
  <si>
    <t>Kum.</t>
  </si>
  <si>
    <t>Dr.</t>
  </si>
  <si>
    <t>Employee</t>
  </si>
  <si>
    <t>Designation</t>
  </si>
  <si>
    <t>Emp.Id.No.</t>
  </si>
  <si>
    <t xml:space="preserve">Name of the College </t>
  </si>
  <si>
    <t>Mandal</t>
  </si>
  <si>
    <t>District</t>
  </si>
  <si>
    <t>State</t>
  </si>
  <si>
    <t>PAN No.</t>
  </si>
  <si>
    <t>Total</t>
  </si>
  <si>
    <t xml:space="preserve">        INCOME TAX CALCULATION</t>
  </si>
  <si>
    <t>Office</t>
  </si>
  <si>
    <t>(M)</t>
  </si>
  <si>
    <t>(DIST)</t>
  </si>
  <si>
    <t>(STATE)</t>
  </si>
  <si>
    <t>Address</t>
  </si>
  <si>
    <t/>
  </si>
  <si>
    <t>Signature of the Employee</t>
  </si>
  <si>
    <t>TOTAL</t>
  </si>
  <si>
    <t>Signature of the Drawing Officer</t>
  </si>
  <si>
    <t>Number</t>
  </si>
  <si>
    <t>In Words</t>
  </si>
  <si>
    <t>Zero</t>
  </si>
  <si>
    <t>In Words( Lower Case )</t>
  </si>
  <si>
    <t>In Words (Upper Case)</t>
  </si>
  <si>
    <t>ZERO</t>
  </si>
  <si>
    <t>One</t>
  </si>
  <si>
    <t>Lakhs</t>
  </si>
  <si>
    <t>LAKHS</t>
  </si>
  <si>
    <t>Two</t>
  </si>
  <si>
    <t>Thousand</t>
  </si>
  <si>
    <t>THOUSAND</t>
  </si>
  <si>
    <t>Three</t>
  </si>
  <si>
    <t>Hundred</t>
  </si>
  <si>
    <t>HUNDRED</t>
  </si>
  <si>
    <t>Four</t>
  </si>
  <si>
    <t>and</t>
  </si>
  <si>
    <t>AND</t>
  </si>
  <si>
    <t>Five</t>
  </si>
  <si>
    <t xml:space="preserve">Five </t>
  </si>
  <si>
    <t>Six</t>
  </si>
  <si>
    <t>Seven</t>
  </si>
  <si>
    <t>Eight</t>
  </si>
  <si>
    <t>Nine</t>
  </si>
  <si>
    <t>Ten</t>
  </si>
  <si>
    <t>TEN</t>
  </si>
  <si>
    <t>Eleven</t>
  </si>
  <si>
    <t>ELEVEN</t>
  </si>
  <si>
    <t>Twelve</t>
  </si>
  <si>
    <t xml:space="preserve">Prepared by </t>
  </si>
  <si>
    <t>TWELVE</t>
  </si>
  <si>
    <t>Thirteen</t>
  </si>
  <si>
    <t>T.Panakala Reddy S.A (PS)</t>
  </si>
  <si>
    <t>THIRTEEN</t>
  </si>
  <si>
    <t>Fourteen</t>
  </si>
  <si>
    <t>FourTEEN</t>
  </si>
  <si>
    <t>Fifteen</t>
  </si>
  <si>
    <t>Z.P.H.S,Nambur</t>
  </si>
  <si>
    <t>FIFTEEN</t>
  </si>
  <si>
    <t>Sixteen</t>
  </si>
  <si>
    <t>SixTEEN</t>
  </si>
  <si>
    <t>Seventeen</t>
  </si>
  <si>
    <t>SevenTEEN</t>
  </si>
  <si>
    <t>Eighteen</t>
  </si>
  <si>
    <t>EightEEN</t>
  </si>
  <si>
    <t>Nineteen</t>
  </si>
  <si>
    <t>NineTEEN</t>
  </si>
  <si>
    <t>Twenty</t>
  </si>
  <si>
    <t>TWENTY</t>
  </si>
  <si>
    <t>Twenty One</t>
  </si>
  <si>
    <t xml:space="preserve">TWENTY One </t>
  </si>
  <si>
    <t>Twenty Two</t>
  </si>
  <si>
    <t>TWENTY Two</t>
  </si>
  <si>
    <t>Twenty Three</t>
  </si>
  <si>
    <t>TWENTY Three</t>
  </si>
  <si>
    <t>Twenty  Four</t>
  </si>
  <si>
    <t>TWENTY  Four</t>
  </si>
  <si>
    <t>Twenty Five</t>
  </si>
  <si>
    <t xml:space="preserve">TWENTY  Five </t>
  </si>
  <si>
    <t>Twenty Six</t>
  </si>
  <si>
    <t>TWENTY Six</t>
  </si>
  <si>
    <t>Twenty Seven</t>
  </si>
  <si>
    <t>TWENTY Seven</t>
  </si>
  <si>
    <t>Twenty Eight</t>
  </si>
  <si>
    <t>TWENTY Eight</t>
  </si>
  <si>
    <t>Twenty Nine</t>
  </si>
  <si>
    <t>TWENTY Nine</t>
  </si>
  <si>
    <t>Thirty</t>
  </si>
  <si>
    <t>Thirty  One</t>
  </si>
  <si>
    <t xml:space="preserve">Thirty One </t>
  </si>
  <si>
    <t>Thirty Two</t>
  </si>
  <si>
    <t>Thirty Three</t>
  </si>
  <si>
    <t>Thirty  Four</t>
  </si>
  <si>
    <t xml:space="preserve">Thirty  Five </t>
  </si>
  <si>
    <t>Thirty Six</t>
  </si>
  <si>
    <t>Thirty Seven</t>
  </si>
  <si>
    <t>Thirty Eight</t>
  </si>
  <si>
    <t>Thirty Nine</t>
  </si>
  <si>
    <t>Forty</t>
  </si>
  <si>
    <t xml:space="preserve">Forty One </t>
  </si>
  <si>
    <t>Forty Two</t>
  </si>
  <si>
    <t>Forty Three</t>
  </si>
  <si>
    <t>Forty  Four</t>
  </si>
  <si>
    <t xml:space="preserve">Forty  Five </t>
  </si>
  <si>
    <t>Forty Six</t>
  </si>
  <si>
    <t>Forty Seven</t>
  </si>
  <si>
    <t>Forty Eight</t>
  </si>
  <si>
    <t>Forty Nine</t>
  </si>
  <si>
    <t>Fifty</t>
  </si>
  <si>
    <t xml:space="preserve">Fifty One </t>
  </si>
  <si>
    <t>Fifty Two</t>
  </si>
  <si>
    <t>Fifty Three</t>
  </si>
  <si>
    <t>Fifty  Four</t>
  </si>
  <si>
    <t xml:space="preserve">Fifty  Five </t>
  </si>
  <si>
    <t>Fifty Six</t>
  </si>
  <si>
    <t>Fifty Seven</t>
  </si>
  <si>
    <t>Fifty Eight</t>
  </si>
  <si>
    <t>Fifty Nine</t>
  </si>
  <si>
    <t>Sixty</t>
  </si>
  <si>
    <t xml:space="preserve">Sixty One </t>
  </si>
  <si>
    <t>Sixty Two</t>
  </si>
  <si>
    <t>Sixty Three</t>
  </si>
  <si>
    <t>Sixty  Four</t>
  </si>
  <si>
    <t xml:space="preserve">Sixty  Five </t>
  </si>
  <si>
    <t>Sixty Six</t>
  </si>
  <si>
    <t>Sixty Seven</t>
  </si>
  <si>
    <t>Sixty Eight</t>
  </si>
  <si>
    <t>Sixty Nine</t>
  </si>
  <si>
    <t>Seventy</t>
  </si>
  <si>
    <t xml:space="preserve">Seventy One </t>
  </si>
  <si>
    <t>Seventy Two</t>
  </si>
  <si>
    <t>Seventy Three</t>
  </si>
  <si>
    <t>Seventy  Four</t>
  </si>
  <si>
    <t xml:space="preserve">Seventy  Five </t>
  </si>
  <si>
    <t>Seventy Six</t>
  </si>
  <si>
    <t>Seventy Seven</t>
  </si>
  <si>
    <t>Seventy Eight</t>
  </si>
  <si>
    <t>Seventy Nine</t>
  </si>
  <si>
    <t>Eighty</t>
  </si>
  <si>
    <t xml:space="preserve">Eighty One </t>
  </si>
  <si>
    <t>Eighty Two</t>
  </si>
  <si>
    <t>Eighty Three</t>
  </si>
  <si>
    <t>Eighty  Four</t>
  </si>
  <si>
    <t xml:space="preserve">Eighty  Five </t>
  </si>
  <si>
    <t>Eighty Six</t>
  </si>
  <si>
    <t>Eighty Seven</t>
  </si>
  <si>
    <t>Eighty Eight</t>
  </si>
  <si>
    <t>Eighty Nine</t>
  </si>
  <si>
    <t>Ninety</t>
  </si>
  <si>
    <t xml:space="preserve">Ninety One </t>
  </si>
  <si>
    <t>Ninety Two</t>
  </si>
  <si>
    <t>Ninety Three</t>
  </si>
  <si>
    <t>Ninety  Four</t>
  </si>
  <si>
    <t xml:space="preserve">Ninety  Five </t>
  </si>
  <si>
    <t>Ninety Six</t>
  </si>
  <si>
    <t>Ninety Seven</t>
  </si>
  <si>
    <t>Ninety Eight</t>
  </si>
  <si>
    <t>Ninety Nine</t>
  </si>
  <si>
    <t xml:space="preserve">With the Co-operation   of </t>
  </si>
  <si>
    <t>WELCOME</t>
  </si>
  <si>
    <t>Don't use once used File</t>
  </si>
  <si>
    <t>Cell  No.9849500923</t>
  </si>
  <si>
    <t>Feel free to contact if any errors in the software.your sugessions would help me to update in next version</t>
  </si>
  <si>
    <t>S.No.</t>
  </si>
  <si>
    <t>I</t>
  </si>
  <si>
    <t>Place:</t>
  </si>
  <si>
    <t>Name</t>
  </si>
  <si>
    <t>(State)</t>
  </si>
  <si>
    <t>May</t>
  </si>
  <si>
    <t>Month</t>
  </si>
  <si>
    <t>Basic Pays</t>
  </si>
  <si>
    <t>Rented/Own House</t>
  </si>
  <si>
    <t>G.P.F Monthly Subscription</t>
  </si>
  <si>
    <t>Note:</t>
  </si>
  <si>
    <t>Is there any chang in GPF</t>
  </si>
  <si>
    <t>DA</t>
  </si>
  <si>
    <t>HRA</t>
  </si>
  <si>
    <t>Group Insurance Scheme(G.I.S)</t>
  </si>
  <si>
    <t>Is there any change in G.I.S</t>
  </si>
  <si>
    <t>Professional Tax</t>
  </si>
  <si>
    <t>DRAWING HRA YEARLY</t>
  </si>
  <si>
    <t>Is there any change in Prof.Tax</t>
  </si>
  <si>
    <t>Working Place</t>
  </si>
  <si>
    <t>TAX ON INCOME</t>
  </si>
  <si>
    <t>Total Gross Salary</t>
  </si>
  <si>
    <t>Total  Advance Tax Paid</t>
  </si>
  <si>
    <t>Total Savings</t>
  </si>
  <si>
    <t>Total Deductions</t>
  </si>
  <si>
    <t>INCOME OR LOSS FROM HOUSE PROPERTY U/s 24</t>
  </si>
  <si>
    <t>Total Advance Tax Amount</t>
  </si>
  <si>
    <t>Interest on Housing Loans Section</t>
  </si>
  <si>
    <t>Income from House property: (Model Calculation)</t>
  </si>
  <si>
    <t>For self occupied properties, interest paid on a housing loan up to Rs 200,000 per year is exempt from tax. This deduction is in addition to the deductions under sections 80C, 80CCF and 80D. However, this is only applicable for a residence constructed within three financial years after the loan is taken and also the loan if taken after April 1, 1999.</t>
  </si>
  <si>
    <t>If the house is not occupied due to employment, the house will be considered self occupied.</t>
  </si>
  <si>
    <t>For let out properties, the entire interest paid is deductible under section 24 of the Income Tax act. However, the rent is to be shown as income from such properties. 30% of rent received and municipal taxes paid are available for deduction of tax.</t>
  </si>
  <si>
    <t>Supposing if your salary income is Rs.3,00,000 per year.</t>
  </si>
  <si>
    <t>After this house loss your net taxable income will be *Rs.2,20,000.</t>
  </si>
  <si>
    <t>Further the principal paid to the bank through EMI, Say Rs.1,20,000. This principal amount paid will be treated as deduction u/s 80C. 80C deduction Max. allowed is restricted to **Rs.1,00,000 (along with other investments link LIC,PPF &amp; NSC ect.). This deduction of Rs.1,00,000 can be claimed by you on your total income.</t>
  </si>
  <si>
    <t xml:space="preserve">The above said net taxable income *Rs.2,20,000 will be reduced by the above said 80c deductioin **Rs.1,00,000. After adjusting the income with 80C deduction, balance taxable is Rs.1,20,000 only. </t>
  </si>
  <si>
    <t xml:space="preserve">Self Occupied Property </t>
  </si>
  <si>
    <t>A self Occupied property is one which is used by the person for his own residential purpose.If a person has occupied more than one property for his residential purpose then only one house is treated as self occupied and others are treated as "Deemed to be let out".If a person uses his property for carrying on the business and profession then income from such property is not chargeable to tax under House Property</t>
  </si>
  <si>
    <t>How to determine annual value of self-occupied property?</t>
  </si>
  <si>
    <t>In case of one self-occupied house property which has not been actually let out at any time, the annual value is taken as ‘nil’. If, one is having more than one house property using all of them for self-occupation, he is entitled to exercise an option in terms of which, the value of one house property as specified by him will be taken at nil. The annual value of the other self occupied house properties will be determined on notional basis as if these had been let out.</t>
  </si>
  <si>
    <t xml:space="preserve">Annual Value of one house away from work place </t>
  </si>
  <si>
    <t xml:space="preserve">A person may own a house property, say in Bangalore, which he normally uses for his residence. He is transferred to Chennai where he does not own any house property and stays in a rental accommodation. In such case, the house property income therefore would normally have been chargeable although he derives no benefit from the property. To save the taxpayer from hardship in such situations, it has been specifically provided that the annual value of such a property would be taken to be nil subject to the following conditions: </t>
  </si>
  <si>
    <t xml:space="preserve">• The assessee must be owner of only one house property. </t>
  </si>
  <si>
    <t xml:space="preserve">• He is not able to occupy the house property because of his employment, business etc. being away from place where the property is situated. </t>
  </si>
  <si>
    <t xml:space="preserve">• The property should not have been actually let. </t>
  </si>
  <si>
    <t xml:space="preserve">• He has to reside at the place of employment in a building not belonging to him. </t>
  </si>
  <si>
    <t>• He does not derive any other benefit from the property not occupied.</t>
  </si>
  <si>
    <t>How to Compute Income from House Property? Let-Out (Rented) and Self-Occupied</t>
  </si>
  <si>
    <t>Any Income from house property should be a part of your total income from other various sources such as salary, capital gains, business/profession and other income like winning from lottery, horse race etc. Mostly such Income from house property are in the form of rental income, even some time these incomes can be negative; for example, you have taken a home loan and you are paying the interest on the outstanding loan principal amount. If the house property is self occupied where obviously no rental income can be generated then these interests paid will be treated as loss (negative income) from house property. And the best part is you can claim such losses to reduce your net tax liability, but upto certain limit.</t>
  </si>
  <si>
    <t>EMPLOYEE Id.No.</t>
  </si>
  <si>
    <t>Basic Pay</t>
  </si>
  <si>
    <t>SPL Pay/    PP</t>
  </si>
  <si>
    <t>D.A</t>
  </si>
  <si>
    <t>AHRA</t>
  </si>
  <si>
    <t>SCA</t>
  </si>
  <si>
    <t>Tel. Incr</t>
  </si>
  <si>
    <t>CCA</t>
  </si>
  <si>
    <t>PHA</t>
  </si>
  <si>
    <t>Gross Total</t>
  </si>
  <si>
    <t>APGLI</t>
  </si>
  <si>
    <t>G.I.S.</t>
  </si>
  <si>
    <t>P.Tax</t>
  </si>
  <si>
    <t>SWF /  EWF</t>
  </si>
  <si>
    <t>CMRF/WMF</t>
  </si>
  <si>
    <t>Adv. Tax</t>
  </si>
  <si>
    <t>Net Amount</t>
  </si>
  <si>
    <t>(Dt)</t>
  </si>
  <si>
    <t>Grand Totals</t>
  </si>
  <si>
    <t>(Salary)</t>
  </si>
  <si>
    <t>Financial year</t>
  </si>
  <si>
    <t>ANNEXURE - II</t>
  </si>
  <si>
    <t>Assessment year</t>
  </si>
  <si>
    <t>Monthly Calculation</t>
  </si>
  <si>
    <t>HRA Received</t>
  </si>
  <si>
    <t>Paid Rent Minus 10%Salary</t>
  </si>
  <si>
    <t>Monthly house Rent</t>
  </si>
  <si>
    <t>Residence…</t>
  </si>
  <si>
    <t>Pan No</t>
  </si>
  <si>
    <t>Emp.Tre ID</t>
  </si>
  <si>
    <t>10% Salary Monthly</t>
  </si>
  <si>
    <t>Yearly Calculation</t>
  </si>
  <si>
    <t>Actual HRA received</t>
  </si>
  <si>
    <t>Basic Pay    =</t>
  </si>
  <si>
    <t>D.A        =</t>
  </si>
  <si>
    <t>Total      =</t>
  </si>
  <si>
    <t>10% of Salary   =</t>
  </si>
  <si>
    <t>House Rent Paid by you  =</t>
  </si>
  <si>
    <t>12x</t>
  </si>
  <si>
    <t>Paid Rent - 10% Salary    =</t>
  </si>
  <si>
    <t>Deductions</t>
  </si>
  <si>
    <t>Annual Rent on House Property=</t>
  </si>
  <si>
    <t>Salary Income per Annum</t>
  </si>
  <si>
    <r>
      <t xml:space="preserve">E.W.F </t>
    </r>
    <r>
      <rPr>
        <b/>
        <sz val="9"/>
        <color indexed="10"/>
        <rFont val="Arial"/>
        <family val="2"/>
      </rPr>
      <t>&amp;</t>
    </r>
    <r>
      <rPr>
        <sz val="9"/>
        <rFont val="Arial"/>
        <family val="2"/>
      </rPr>
      <t xml:space="preserve"> S.W.F </t>
    </r>
    <r>
      <rPr>
        <b/>
        <sz val="9"/>
        <color indexed="10"/>
        <rFont val="Arial"/>
        <family val="2"/>
      </rPr>
      <t>&amp;</t>
    </r>
    <r>
      <rPr>
        <sz val="9"/>
        <rFont val="Arial"/>
        <family val="2"/>
      </rPr>
      <t xml:space="preserve"> CMRF&amp;WMF</t>
    </r>
  </si>
  <si>
    <t>Muncipal Tax On House Property=</t>
  </si>
  <si>
    <t>Balance Amount</t>
  </si>
  <si>
    <t>Loss on  House Property Income</t>
  </si>
  <si>
    <t>30% of Income as Maintenance=</t>
  </si>
  <si>
    <t>Balance After 30% Deduction</t>
  </si>
  <si>
    <t>After This House  Loss Net Taxble Income</t>
  </si>
  <si>
    <t>Interest on House Property loan=</t>
  </si>
  <si>
    <t>Max. Interest on House Loan is Allowed</t>
  </si>
  <si>
    <t>Principle Amount of Home Loan Instalments(Annually)</t>
  </si>
  <si>
    <t>e)</t>
  </si>
  <si>
    <t>(Note:Principle Amount paid will be Treated as deduction U/s 80cc)</t>
  </si>
  <si>
    <t>Balance Taxble Income</t>
  </si>
  <si>
    <t>GIS</t>
  </si>
  <si>
    <t>f)</t>
  </si>
  <si>
    <t>g)</t>
  </si>
  <si>
    <t>h)</t>
  </si>
  <si>
    <t>i)</t>
  </si>
  <si>
    <t>TOTAL TAXABLE INCOME</t>
  </si>
  <si>
    <t>NIL</t>
  </si>
  <si>
    <t>Rs.5,00,001 To 10,00,000(20%)</t>
  </si>
  <si>
    <t>above Rs.10,00,001(30%)</t>
  </si>
  <si>
    <t>Details of Adv.Tax Deductions</t>
  </si>
  <si>
    <r>
      <t>FORM No. 16</t>
    </r>
    <r>
      <rPr>
        <sz val="12"/>
        <rFont val="Arial Black"/>
        <family val="2"/>
      </rPr>
      <t xml:space="preserve"> </t>
    </r>
    <r>
      <rPr>
        <sz val="16"/>
        <rFont val="Calibri"/>
        <family val="2"/>
      </rPr>
      <t xml:space="preserve"> </t>
    </r>
    <r>
      <rPr>
        <sz val="10"/>
        <rFont val="Calibri"/>
        <family val="2"/>
      </rPr>
      <t xml:space="preserve"> ( Vide rule 31(1)(a) of Income Tax Rules, 1962 )</t>
    </r>
  </si>
  <si>
    <t xml:space="preserve">Certificate under section 203 of the Income-tax Act, 1961 </t>
  </si>
  <si>
    <t>for Tax deducted at source from income chargeable under the head "salaries"</t>
  </si>
  <si>
    <t>NAME AND ADDRESS OF THE EMPLOYER</t>
  </si>
  <si>
    <t>NAME AND DESIGNATION OF THE EMPLOYEE</t>
  </si>
  <si>
    <t>PAN No. of Deductor</t>
  </si>
  <si>
    <t>TAN No. of Deductor</t>
  </si>
  <si>
    <t>PAN OF Employee</t>
  </si>
  <si>
    <t>Emp. Treasusy Id</t>
  </si>
  <si>
    <t>Acknowledgement Nos.of allquarterly statements of TDS under sub-section 200 as provided by TIN facilitation center or NSDL web-site</t>
  </si>
  <si>
    <t>Quarter</t>
  </si>
  <si>
    <t>Acknowledgement No</t>
  </si>
  <si>
    <t>Amount</t>
  </si>
  <si>
    <t>Period</t>
  </si>
  <si>
    <t>Assessment</t>
  </si>
  <si>
    <t>Quarter - 1</t>
  </si>
  <si>
    <t>From</t>
  </si>
  <si>
    <t>To</t>
  </si>
  <si>
    <t>Year</t>
  </si>
  <si>
    <t>Quarter - 2</t>
  </si>
  <si>
    <t>Quarter - 3</t>
  </si>
  <si>
    <t>Quarter - 4</t>
  </si>
  <si>
    <t>DETAILS OF SALARY PAID AND ANY OTHER INCOME AND TAX DEDUCTED</t>
  </si>
  <si>
    <t>Deductions Under Chapter VI-A</t>
  </si>
  <si>
    <t>A)</t>
  </si>
  <si>
    <t>UnderSections 80C,80CCC,80CCD,80CCF</t>
  </si>
  <si>
    <t>Gross Amount</t>
  </si>
  <si>
    <t>Qualify Amount</t>
  </si>
  <si>
    <t>80C</t>
  </si>
  <si>
    <t>G.I.S</t>
  </si>
  <si>
    <t>B)</t>
  </si>
  <si>
    <t>Other Sections Under Chapter VI A</t>
  </si>
  <si>
    <t>80G</t>
  </si>
  <si>
    <t>(a) Tax deducted at source U/s 192(1)</t>
  </si>
  <si>
    <t>(b)Tax paid by the employer on behalf of the employee U/s 192 (1A) on perquisited U/s 17 (2)</t>
  </si>
  <si>
    <t>DETAILS OF TAX DEDUCTED AND DEPOSITED INTO CENTRAL GOVERNMENT ACCOUNT</t>
  </si>
  <si>
    <t>(The employer is to provide tranction - wise details of tax deducted and deposited)</t>
  </si>
  <si>
    <t>Sl.</t>
  </si>
  <si>
    <t>TDS</t>
  </si>
  <si>
    <t>Surcharge</t>
  </si>
  <si>
    <t>Education</t>
  </si>
  <si>
    <t>Cheque/DD</t>
  </si>
  <si>
    <t>BSR Code</t>
  </si>
  <si>
    <t xml:space="preserve">Date on </t>
  </si>
  <si>
    <t>Transfer</t>
  </si>
  <si>
    <t>No.</t>
  </si>
  <si>
    <t>Rs.</t>
  </si>
  <si>
    <t>Cess</t>
  </si>
  <si>
    <t>Deposited</t>
  </si>
  <si>
    <t>No. (if any)</t>
  </si>
  <si>
    <t>of Bank</t>
  </si>
  <si>
    <t>Which Tax</t>
  </si>
  <si>
    <t>vocher/chalana</t>
  </si>
  <si>
    <t>Branch</t>
  </si>
  <si>
    <t>Identification No</t>
  </si>
  <si>
    <t>working in</t>
  </si>
  <si>
    <t>the capacity of</t>
  </si>
  <si>
    <t>do hereby certify that the sum of</t>
  </si>
  <si>
    <t>Rupees in words……..</t>
  </si>
  <si>
    <t>has  been  deducted  at  source and  paid  to  the credit of the central Government.   I further certify that the Informtion  given above is true, complete and correct based on the books of account, documents and other available records.</t>
  </si>
  <si>
    <t>Sign--</t>
  </si>
  <si>
    <t>Signature of the person responsible for deduction of tax</t>
  </si>
  <si>
    <t>Date:</t>
  </si>
  <si>
    <t>RECEIPT OF HOUSE RENT</t>
  </si>
  <si>
    <t>(Under Section 1 (13-A) of Income Tax Act )</t>
  </si>
  <si>
    <t xml:space="preserve">Received a sum of   (House Rent Annual Amount) </t>
  </si>
  <si>
    <t>from</t>
  </si>
  <si>
    <t>(Tenant)</t>
  </si>
  <si>
    <t>Amount in words</t>
  </si>
  <si>
    <t>Per Month from</t>
  </si>
  <si>
    <t>to</t>
  </si>
  <si>
    <t>in respect of</t>
  </si>
  <si>
    <t>(Affix Revenue Stamp of Rs.1/-)</t>
  </si>
  <si>
    <t>Signature of the Tenant</t>
  </si>
  <si>
    <t>Signature of the House Owner</t>
  </si>
  <si>
    <t>FORM NO. 10-I</t>
  </si>
  <si>
    <t>[See rule 11DD]</t>
  </si>
  <si>
    <t>Certificate of prescribed authority for the purposes of section 80DDB</t>
  </si>
  <si>
    <t xml:space="preserve">      1. Name of the Patient</t>
  </si>
  <si>
    <t xml:space="preserve">      2. Address</t>
  </si>
  <si>
    <t xml:space="preserve">      3. Father’s name</t>
  </si>
  <si>
    <t xml:space="preserve">      4. Name and address of the person on whom the patient is dependent</t>
  </si>
  <si>
    <t xml:space="preserve">          and his relationship with the patient.</t>
  </si>
  <si>
    <t xml:space="preserve">      5. Name of the disease or ailment</t>
  </si>
  <si>
    <t xml:space="preserve">          (please see rule 11DD)</t>
  </si>
  <si>
    <t xml:space="preserve">      6. For diseases or ailments mentioned in item (i) of clause (a) of</t>
  </si>
  <si>
    <t xml:space="preserve">          sub-rule (1), whether the disability is 40% or more (Please specify the extent)</t>
  </si>
  <si>
    <t xml:space="preserve">      7. Name, address, registration number and qualification of the</t>
  </si>
  <si>
    <t xml:space="preserve">          specialist issuing the certificate, along with the name and address</t>
  </si>
  <si>
    <t xml:space="preserve">          of the Government hospital [see rule 11DD(2)] Verification</t>
  </si>
  <si>
    <t>VERIFICATION</t>
  </si>
  <si>
    <t>This is to verify that I, Dr.________________________________________________ s/o (w/o)</t>
  </si>
  <si>
    <t>Shri_____________________, in the case of the patient Shri/Smt./Ms.________________________,</t>
  </si>
  <si>
    <t>after  considering  the  entire  history of  illness,  careful  examination  and  appropriate  investigations,</t>
  </si>
  <si>
    <t>am of the opinion that the patient is suffering from______________________________disease/ailment</t>
  </si>
  <si>
    <t>during the previous year ending on 31st March,_______________________</t>
  </si>
  <si>
    <t>I also certify (only in case of neurological disease) that the extent of disability is more than 40%)</t>
  </si>
  <si>
    <t>(Strike off, if not applicable).</t>
  </si>
  <si>
    <t>I certify that the information furnished above is true to the best of my knowledge.</t>
  </si>
  <si>
    <t>Date _______________                                                                     Signature</t>
  </si>
  <si>
    <t>Place _______________</t>
  </si>
  <si>
    <t xml:space="preserve">                                                                                                (Name and Address)</t>
  </si>
  <si>
    <t xml:space="preserve">   To be countersigned by the Head of the Government hospital, where the prescribed authority is a</t>
  </si>
  <si>
    <t>specialist with post-graduate degree in General or Internal Medicine.</t>
  </si>
  <si>
    <t>Date ______________                                                                    Signature</t>
  </si>
  <si>
    <t>Place ______________</t>
  </si>
  <si>
    <t xml:space="preserve">                                                                                                 (Name and Address)</t>
  </si>
  <si>
    <t>GPF Details</t>
  </si>
  <si>
    <t>AHRA Details</t>
  </si>
  <si>
    <t>Pensionable/CPS</t>
  </si>
  <si>
    <t xml:space="preserve">EWF </t>
  </si>
  <si>
    <t>Telangana Incr</t>
  </si>
  <si>
    <t>SWF Details</t>
  </si>
  <si>
    <t xml:space="preserve">SWF </t>
  </si>
  <si>
    <t>No</t>
  </si>
  <si>
    <t>M.Phil</t>
  </si>
  <si>
    <t>Select</t>
  </si>
  <si>
    <t>Pensionable</t>
  </si>
  <si>
    <t>Rented House</t>
  </si>
  <si>
    <t>With Undertaking</t>
  </si>
  <si>
    <t>Yes</t>
  </si>
  <si>
    <t>Ph.D</t>
  </si>
  <si>
    <t>C.P.S</t>
  </si>
  <si>
    <t>Own House</t>
  </si>
  <si>
    <t>Without Undertaking</t>
  </si>
  <si>
    <t>For Undertaking Certificate go to Rent Reciept</t>
  </si>
  <si>
    <t>S A V I N G S</t>
  </si>
  <si>
    <t>D E D U C T I O N S</t>
  </si>
  <si>
    <t>Months</t>
  </si>
  <si>
    <t>GPF</t>
  </si>
  <si>
    <t>CPS</t>
  </si>
  <si>
    <t>80CC</t>
  </si>
  <si>
    <t>Tuition Fee for Children</t>
  </si>
  <si>
    <t>80E</t>
  </si>
  <si>
    <t>Bajaj Allianz life insurance</t>
  </si>
  <si>
    <t>80DD</t>
  </si>
  <si>
    <t>National Savings Certificates (NSC)</t>
  </si>
  <si>
    <t>Principle Amount of Home Loan installments</t>
  </si>
  <si>
    <t>80DDB</t>
  </si>
  <si>
    <t>LIC Policies premium - Yearly</t>
  </si>
  <si>
    <t>Birla Sun Life Insurance</t>
  </si>
  <si>
    <t>80D</t>
  </si>
  <si>
    <t>Reliance Life Insurance</t>
  </si>
  <si>
    <t>Aviva Life Insurance</t>
  </si>
  <si>
    <t>80U</t>
  </si>
  <si>
    <t>SBI  Life Insurance</t>
  </si>
  <si>
    <t>ICICI Life Insurance</t>
  </si>
  <si>
    <t>ICICI Prudencial</t>
  </si>
  <si>
    <t>HDFC Life Insurance</t>
  </si>
  <si>
    <t>80GGC</t>
  </si>
  <si>
    <t>ING Life Insurance</t>
  </si>
  <si>
    <t>Max NewYark Life Insurance</t>
  </si>
  <si>
    <t>Public Provident Fund</t>
  </si>
  <si>
    <t>ULIP (Unit Linked Plan)</t>
  </si>
  <si>
    <t>Jan</t>
  </si>
  <si>
    <t>PLI (Postal Life Insurance)</t>
  </si>
  <si>
    <t>Feb</t>
  </si>
  <si>
    <t>Subscription to NSC VIII Issue</t>
  </si>
  <si>
    <t>Mar</t>
  </si>
  <si>
    <t>UTI  Retirment benefit Pension fund</t>
  </si>
  <si>
    <t>Apr</t>
  </si>
  <si>
    <t>LIC Annuity Plan (Jeevan Dhara, Jeevan Akhsay etc.)</t>
  </si>
  <si>
    <t>Subscription to deposit scheme of National Housing Bank</t>
  </si>
  <si>
    <t>Jun</t>
  </si>
  <si>
    <t>Subscription made to equity shares/debentures</t>
  </si>
  <si>
    <t>Jul</t>
  </si>
  <si>
    <t>Equity linked Savings Schemes (ELSS)</t>
  </si>
  <si>
    <t>Aug</t>
  </si>
  <si>
    <t>Fixed deposit in banks more than 5-Years</t>
  </si>
  <si>
    <t>Sep</t>
  </si>
  <si>
    <t>80CCC</t>
  </si>
  <si>
    <t>LIC / UTI  etc. Pension funds</t>
  </si>
  <si>
    <t>Oct</t>
  </si>
  <si>
    <t>Nov</t>
  </si>
  <si>
    <t>80CCG</t>
  </si>
  <si>
    <t>Rajiv Gandhi Equity Savings Scheme</t>
  </si>
  <si>
    <t>Dec</t>
  </si>
  <si>
    <t>DA Amount</t>
  </si>
  <si>
    <t xml:space="preserve">Savings U/S 80C </t>
  </si>
  <si>
    <t>Savings  Details</t>
  </si>
  <si>
    <t>RS</t>
  </si>
  <si>
    <t>Total Savings U/S 80C</t>
  </si>
  <si>
    <t>Tootal CPS U/C 80CCD(1B)</t>
  </si>
  <si>
    <t>=</t>
  </si>
  <si>
    <t>10% of Salary</t>
  </si>
  <si>
    <t>House Rent Paid by You Per Month</t>
  </si>
  <si>
    <t>Paid Rent-10% of Salary</t>
  </si>
  <si>
    <t>Yearly House Rent Paid by you</t>
  </si>
  <si>
    <t xml:space="preserve">Less: Relief under section 89(1) </t>
  </si>
  <si>
    <t>EXAMPLE:1</t>
  </si>
  <si>
    <t>LIC</t>
  </si>
  <si>
    <t>Home Loan Principle</t>
  </si>
  <si>
    <t>Children Tution Fee</t>
  </si>
  <si>
    <t>CPS Deduction</t>
  </si>
  <si>
    <t>U/S 80 C(APGLI+GIS+LIC+Home Loan Principle+Children Tution Fee)</t>
  </si>
  <si>
    <t>CPS U/s 80CCD(1B)</t>
  </si>
  <si>
    <t>Total Savings U/s 80C+80CCD(1B):</t>
  </si>
  <si>
    <t>EXAMPLE:2</t>
  </si>
  <si>
    <t>U/S 80C(APGLI+GIS+LIC+Home Loan Principle+Children Tution Fee+CPS(25,000))</t>
  </si>
  <si>
    <t>Note</t>
  </si>
  <si>
    <t>1)</t>
  </si>
  <si>
    <t>If Employees having Savings Rs.1.50lacks excluding CPS deduction,they can avail 50,000/- deducted towards CPS as additional savings towards NPS U/s 80 CCD(1B0</t>
  </si>
  <si>
    <t>2)</t>
  </si>
  <si>
    <t>If Employees less than Rs.1.50lacks savings U/s 80C and Rs.50,000/- towards CPS(NPS),They can split the CPS amount in 80CCD(1) and in 80CCD(1B).</t>
  </si>
  <si>
    <t>So total CPS Employees can save upto Rs.2 lacks including 80C</t>
  </si>
  <si>
    <t>Clarification on Income Tax Section 80 CCD(1B) for CPS Emploees</t>
  </si>
  <si>
    <t>If employeees have savings Rs.1,50,000/- under 80C excluding CPS deduction,can the incumbent avail Rs.50,000/-under 80CCD(1B),the amount which was deducted towarsrds CPS(NPS)</t>
  </si>
  <si>
    <t>If the employee have less than 1.5 lacks savings in 80Cand exceeds Rs.50,000/- towards CPS(NPS),can incumbent split the CPS(NPS) amount in 80CCD(1)and 80CCD(1B)</t>
  </si>
  <si>
    <t>After Adv.Tax Paid, Refundable Tax</t>
  </si>
  <si>
    <t>Sukanya Samruddhi Yojana</t>
  </si>
  <si>
    <t>B.Saidi Reddy</t>
  </si>
  <si>
    <t>Kodad</t>
  </si>
  <si>
    <t>1. Rent received Rs.10,000 pm x 12months= Rs.1,20,000</t>
  </si>
  <si>
    <t>2. Less Municipal Tax paid = Rs. 20,000</t>
  </si>
  <si>
    <t>3. Balance amount (Rs.1,20,000-Rs.20,000) Rs.1,00,000</t>
  </si>
  <si>
    <t>4. Less:30% deduction U/s 24 for repairs on bal Rs.1 lakh= Rs.30,000                                                            (This deduction is allowed even if you do not spend the amount for repairs)</t>
  </si>
  <si>
    <t>5. Balance after 30% deduction = 1,00,000-30,000=70,000</t>
  </si>
  <si>
    <t>6. Less interest paid on Housing loan-----------Rs. 1,60,000</t>
  </si>
  <si>
    <t>7. Balance Amt.= 70,000-160000=Rs. -90,000 (loss from house property). But the interest on housing loan is allowed Max. Rs.1,50,000 only. So the loss from house property will become Rs.80,000 insted of Rs.90,000. This loss Rs.80,000 can be adjusted in other income say salary or business.</t>
  </si>
  <si>
    <t>Days</t>
  </si>
  <si>
    <t>Employee Information</t>
  </si>
  <si>
    <t>Address  of the employee</t>
  </si>
  <si>
    <t>DDO Information</t>
  </si>
  <si>
    <t>Name of the DDO</t>
  </si>
  <si>
    <t>Designation of the DDO</t>
  </si>
  <si>
    <t>Address  of the  DDO</t>
  </si>
  <si>
    <t>DDO PAN No.</t>
  </si>
  <si>
    <t>DDO TAN No.</t>
  </si>
  <si>
    <t>Allowances of the Employee</t>
  </si>
  <si>
    <t>Principal (FAC) Allowance</t>
  </si>
  <si>
    <t>Pay</t>
  </si>
  <si>
    <t>Deductions of the Employee</t>
  </si>
  <si>
    <t>Contribution of the Employee to the Governament</t>
  </si>
  <si>
    <t>No.Days in Month</t>
  </si>
  <si>
    <t>S.No</t>
  </si>
  <si>
    <t>Kotak Mahindra life Insurance</t>
  </si>
  <si>
    <t>Exide life insurance</t>
  </si>
  <si>
    <t>Stamp Duty and Registration Charges</t>
  </si>
  <si>
    <t>80TTA</t>
  </si>
  <si>
    <t>SPL/PP Pay</t>
  </si>
  <si>
    <t>Tel.Incr</t>
  </si>
  <si>
    <t>Grand Total</t>
  </si>
  <si>
    <t>SWF/EWF</t>
  </si>
  <si>
    <t>Adv.Tax</t>
  </si>
  <si>
    <t>Employee Pension Status and House Owenership Details</t>
  </si>
  <si>
    <t>Deduction for EWF</t>
  </si>
  <si>
    <t>Deduction for SWF</t>
  </si>
  <si>
    <t>Deduction for CMRF</t>
  </si>
  <si>
    <t xml:space="preserve">            Agency HRA Allowance</t>
  </si>
  <si>
    <t>1/2 day  Basic Pay</t>
  </si>
  <si>
    <t>1day Basic Pay</t>
  </si>
  <si>
    <t>j)</t>
  </si>
  <si>
    <t>k)</t>
  </si>
  <si>
    <t>l)</t>
  </si>
  <si>
    <t>Advance Tax Paid</t>
  </si>
  <si>
    <t>Tax to be Paid Now</t>
  </si>
  <si>
    <t>Full Name:</t>
  </si>
  <si>
    <t>Designation:</t>
  </si>
  <si>
    <t>FORM NO. 10-IA</t>
  </si>
  <si>
    <t>[See sub-rule (2) of rule 11A]</t>
  </si>
  <si>
    <t>Certificate of the medical authority for certifying ‘person with disability’, ‘severe disability',</t>
  </si>
  <si>
    <t>autsm', ‘cerebral palsy’ and ‘multiple disability’ for purposes of section 80 DD and section 80U</t>
  </si>
  <si>
    <t>Certificate No.</t>
  </si>
  <si>
    <t>Date :</t>
  </si>
  <si>
    <t xml:space="preserve">         This is to certify that Shri/Smt./Ms.________________________________ son/daughter of</t>
  </si>
  <si>
    <t>Shri____________________________________, age________ years___________male/female*</t>
  </si>
  <si>
    <t>residing at______________________________________, Registration No._______________is a</t>
  </si>
  <si>
    <t xml:space="preserve">person with disability/severe disability* suffering from autism/cerebral palsy/multiple disability.       </t>
  </si>
  <si>
    <t>2. This condition is progressive/non-progressive/likely to improve/not likely to improve*.</t>
  </si>
  <si>
    <t>3. Reassessment is recommended/not recommended after a period of _____months/years</t>
  </si>
  <si>
    <t>Sd/-</t>
  </si>
  <si>
    <t>(Neurologist/Pediatric Neurologist/Civil Surgeon/</t>
  </si>
  <si>
    <t>Chief Medical Officer*)</t>
  </si>
  <si>
    <t>Name :___________________</t>
  </si>
  <si>
    <t>Address of Institution/Government hospital :</t>
  </si>
  <si>
    <t>____________________________________</t>
  </si>
  <si>
    <t>Qualification/designation of specialist :____________________</t>
  </si>
  <si>
    <t>SEAL</t>
  </si>
  <si>
    <t>Signature/Thumb impression* of the patient</t>
  </si>
  <si>
    <t>Note : *Strike out whichever is not applicable.</t>
  </si>
  <si>
    <t xml:space="preserve"> INCOME TAX CALCULATION</t>
  </si>
  <si>
    <t>Every time work with Copied (from Original) file Only</t>
  </si>
  <si>
    <t>TOTAL SAVINGS</t>
  </si>
  <si>
    <t>TOTAL DEDUCTION</t>
  </si>
  <si>
    <t>After Adv.Tax Paid, Balance Tax</t>
  </si>
  <si>
    <t>NET TAXABLE INCOME</t>
  </si>
  <si>
    <t>Drawing HRA Yearly</t>
  </si>
  <si>
    <t>Monthly Rent Paid  by You</t>
  </si>
  <si>
    <t>Yearly Rent Paid  by You</t>
  </si>
  <si>
    <t>You need not submit Rent Receipt  for this Rent</t>
  </si>
  <si>
    <t>You should submit Rent Receipt without PAN No. only</t>
  </si>
  <si>
    <t>You should submit Rent Receipt with PAN No. of House Owner</t>
  </si>
  <si>
    <t>No Tax</t>
  </si>
  <si>
    <t>Tax  On  Income</t>
  </si>
  <si>
    <t>80CCD(2)</t>
  </si>
  <si>
    <t>(See rule 26c)</t>
  </si>
  <si>
    <t>Name and address of the employee</t>
  </si>
  <si>
    <t>Permanent Account Number of the employee</t>
  </si>
  <si>
    <t>Details of claims and evidence thereof</t>
  </si>
  <si>
    <t>.</t>
  </si>
  <si>
    <t>Nature of claim</t>
  </si>
  <si>
    <t>Amount(Rs)</t>
  </si>
  <si>
    <t>Evidence/particulars</t>
  </si>
  <si>
    <t>House Rent Allowence:</t>
  </si>
  <si>
    <t>Rent paid to the landlord</t>
  </si>
  <si>
    <t>Name of the landlord</t>
  </si>
  <si>
    <t>3)</t>
  </si>
  <si>
    <t>Address of the landlord</t>
  </si>
  <si>
    <t>4)</t>
  </si>
  <si>
    <t>PAN number of the landlord</t>
  </si>
  <si>
    <t>Leave travel concession or assistance</t>
  </si>
  <si>
    <t>Deduction of interest on borrowing</t>
  </si>
  <si>
    <t>Interest payable/paid to the lender</t>
  </si>
  <si>
    <t>Name of the lender</t>
  </si>
  <si>
    <t>Address of the lender</t>
  </si>
  <si>
    <t>PAN number of the lender</t>
  </si>
  <si>
    <t>a) Financial institutions (if available)</t>
  </si>
  <si>
    <t>b) Employer (if available)</t>
  </si>
  <si>
    <t>c) Others</t>
  </si>
  <si>
    <t>Deduction under Chapter VI-A</t>
  </si>
  <si>
    <t>Section 80C,80CCand 80CCD</t>
  </si>
  <si>
    <t>Other Sections (80E,80G,80TTA) ChapterVI-A</t>
  </si>
  <si>
    <t>ii)</t>
  </si>
  <si>
    <t>iii)</t>
  </si>
  <si>
    <t>iv)</t>
  </si>
  <si>
    <t>v)</t>
  </si>
  <si>
    <t>vi)</t>
  </si>
  <si>
    <t>Verification</t>
  </si>
  <si>
    <t>I,</t>
  </si>
  <si>
    <t>son/daughter of</t>
  </si>
  <si>
    <t>do hereby certify that the information given is above is complete and correct</t>
  </si>
  <si>
    <t>Place</t>
  </si>
  <si>
    <t>Date</t>
  </si>
  <si>
    <t>(Signature of the employee)</t>
  </si>
  <si>
    <t>No Housing Loan</t>
  </si>
  <si>
    <t>House Loan Status</t>
  </si>
  <si>
    <t>Interest of  Housing Loan U/S 24 b</t>
  </si>
  <si>
    <t>Total  Savings</t>
  </si>
  <si>
    <t>(Mandal)</t>
  </si>
  <si>
    <t>(Dist)</t>
  </si>
  <si>
    <t>Finacial Year</t>
  </si>
  <si>
    <t>Name of the Landlord</t>
  </si>
  <si>
    <t>Address of the Landlord</t>
  </si>
  <si>
    <t>H.No.</t>
  </si>
  <si>
    <t>Village</t>
  </si>
  <si>
    <t>Name of the Lender</t>
  </si>
  <si>
    <t>Address of the Lender</t>
  </si>
  <si>
    <t>PAN Number of the Landlord</t>
  </si>
  <si>
    <t>PAN Number of the Lender</t>
  </si>
  <si>
    <t>Name of the Bank</t>
  </si>
  <si>
    <t>Name of the Branch</t>
  </si>
  <si>
    <t>Father /Husband Name</t>
  </si>
  <si>
    <t>House Owners Details</t>
  </si>
  <si>
    <t>N.Linga Reddy</t>
  </si>
  <si>
    <t>Venkat Reddy</t>
  </si>
  <si>
    <t>ADEX4562KL</t>
  </si>
  <si>
    <t>1-115/2</t>
  </si>
  <si>
    <t>State Bank of Hyderabad</t>
  </si>
  <si>
    <t>ALXXX2564L</t>
  </si>
  <si>
    <t>Colony</t>
  </si>
  <si>
    <t xml:space="preserve">Srimannarayana </t>
  </si>
  <si>
    <t>Munagala</t>
  </si>
  <si>
    <t>S/o</t>
  </si>
  <si>
    <t>Amount Lender's Details</t>
  </si>
  <si>
    <t>INCOME-TAX RULES, 1962</t>
  </si>
  <si>
    <t>FORM No.12BB</t>
  </si>
  <si>
    <t>Nalgonda</t>
  </si>
  <si>
    <t>Apllicable</t>
  </si>
  <si>
    <t>BSEPP1245A</t>
  </si>
  <si>
    <t>Deduct OR Raise Mothly House Rent Amount as you like</t>
  </si>
  <si>
    <t>Net Taxable Income</t>
  </si>
  <si>
    <t>Up to Rs.2,50,000</t>
  </si>
  <si>
    <t>Rs.2,50,001   To   5,00,000</t>
  </si>
  <si>
    <t>Rs.5,00,001   To   10,00,000</t>
  </si>
  <si>
    <t>Above Rs.10,00,001</t>
  </si>
  <si>
    <t>Tax Rebate U/s 87(a)</t>
  </si>
  <si>
    <t>Rs.2,50,001 To 5,00,000(5%).</t>
  </si>
  <si>
    <t>Adv. Tax Deduction</t>
  </si>
  <si>
    <t>T.S.G.L.I.Monthly Subscription</t>
  </si>
  <si>
    <t>Is there any change in T.S.G.L.I.</t>
  </si>
  <si>
    <t>TSGLI</t>
  </si>
  <si>
    <t>TGCGTA State Secretary ,Telangana</t>
  </si>
  <si>
    <t>Drawn HRA Yearly</t>
  </si>
  <si>
    <t>80EE</t>
  </si>
  <si>
    <t>Choose Whether House is Self-Occupied or Rented out</t>
  </si>
  <si>
    <t xml:space="preserve">Income/Loss  from House Property </t>
  </si>
  <si>
    <t xml:space="preserve">     Interest Paid/Payable on Housing Loan for Current Financial Year </t>
  </si>
  <si>
    <t>Interest on Housing Loan</t>
  </si>
  <si>
    <t>Income from Self-occupied House Property</t>
  </si>
  <si>
    <t xml:space="preserve">Income from Let-out Property </t>
  </si>
  <si>
    <t>1) Annual Letable Value/Rent Received or Receivable</t>
  </si>
  <si>
    <t xml:space="preserve">2) Less: Municipal Taxes Paid During the Year </t>
  </si>
  <si>
    <t xml:space="preserve">3) Less:Unrealized Rent </t>
  </si>
  <si>
    <t>Net Annual Value (1-(2+3))</t>
  </si>
  <si>
    <t>Less: Deductions from Net Annual Value</t>
  </si>
  <si>
    <t xml:space="preserve">I) Standard Deduction @ 30% of Net Annual Value </t>
  </si>
  <si>
    <t>II)  Interest on Housing Loan</t>
  </si>
  <si>
    <t xml:space="preserve">Income from Let-out House Property </t>
  </si>
  <si>
    <t>Let Out</t>
  </si>
  <si>
    <t>Self Occupied</t>
  </si>
  <si>
    <t>Choose whether House is Self Occupied or Let out</t>
  </si>
  <si>
    <t xml:space="preserve">From House Property </t>
  </si>
  <si>
    <t>B.Venkat Reddy</t>
  </si>
  <si>
    <t>Section 80C</t>
  </si>
  <si>
    <t>Investment in PPF</t>
  </si>
  <si>
    <t>Employee’s share of PF contribution</t>
  </si>
  <si>
    <t>NSCs</t>
  </si>
  <si>
    <t>Life Insurance Premium payment</t>
  </si>
  <si>
    <t>Children’s Tuition Fee</t>
  </si>
  <si>
    <t>Principal Repayment of home loan</t>
  </si>
  <si>
    <t>Investment in Sukanya Samridhi Account</t>
  </si>
  <si>
    <t>ULIPS</t>
  </si>
  <si>
    <t>ELSS</t>
  </si>
  <si>
    <t>Sum paid to purchase deferred annuity</t>
  </si>
  <si>
    <t>Five year deposit scheme</t>
  </si>
  <si>
    <t>Senior Citizens savings scheme</t>
  </si>
  <si>
    <t>Subscription to notified securities/notified deposits scheme</t>
  </si>
  <si>
    <t>Contribution to notified Pension Fund set up by Mutual Fund or UTI.</t>
  </si>
  <si>
    <t>Subscription to Home Loan Account Scheme of the National Housing Bank</t>
  </si>
  <si>
    <t>Subscription to deposit scheme of a public sector or company engaged in providing housing finance</t>
  </si>
  <si>
    <t>Contribution to notified annuity Plan of LIC</t>
  </si>
  <si>
    <t>Subscription to equity shares/ debentures of an approved eligible issue</t>
  </si>
  <si>
    <t>Subscription to notified bonds of NABARD</t>
  </si>
  <si>
    <t>For amount deposited in annuity plan of LIC or any other insurer for pension from a fund referred to in Section 10(23AAB).</t>
  </si>
  <si>
    <t>–</t>
  </si>
  <si>
    <t>80CCD(1)</t>
  </si>
  <si>
    <t>Employee’s contribution to NPS account (maximum up to Rs 1,50,000)</t>
  </si>
  <si>
    <t>Employer’s contribution to NPS account</t>
  </si>
  <si>
    <t>Maximum up to 10% of salary</t>
  </si>
  <si>
    <t>80CCD(1B)</t>
  </si>
  <si>
    <t>Additional contribution to NPS</t>
  </si>
  <si>
    <t>Rs. 50,000</t>
  </si>
  <si>
    <t>80TTA(1)</t>
  </si>
  <si>
    <t>Interest Income from Savings account</t>
  </si>
  <si>
    <t>Maximum up to 10,000</t>
  </si>
  <si>
    <t>80GG</t>
  </si>
  <si>
    <t>For rent paid when HRA is not received from employer</t>
  </si>
  <si>
    <t>Least of :</t>
  </si>
  <si>
    <t>Rent paid minus 10% of total income</t>
  </si>
  <si>
    <t>Rs. 5000/- per month</t>
  </si>
  <si>
    <t>25% of total income</t>
  </si>
  <si>
    <t>Interest on education loan</t>
  </si>
  <si>
    <t>Interest paid for a period of 8 years</t>
  </si>
  <si>
    <t>Interest on home loan for first time home owners</t>
  </si>
  <si>
    <t>Rs 50,000</t>
  </si>
  <si>
    <t>Rajiv Gandhi Equity Scheme for investments in Equities</t>
  </si>
  <si>
    <t>Lower of</t>
  </si>
  <si>
    <t>50% of amount invested in equity shares or</t>
  </si>
  <si>
    <t>Rs 25,000</t>
  </si>
  <si>
    <t>Medical Insurance – Self, spouse, children</t>
  </si>
  <si>
    <t>Medical Insurance – Parents more than 60 years old or (from FY 2015-16) uninsured parents more than 80 years old</t>
  </si>
  <si>
    <t>Rs. 25,000</t>
  </si>
  <si>
    <t>Rs. 30,000</t>
  </si>
  <si>
    <t>Medical treatment for handicapped dependant or payment to specified scheme for maintenance of handicapped dependant</t>
  </si>
  <si>
    <t>Disability is 40% or more but less than 80%</t>
  </si>
  <si>
    <t>Disability is 80% or more</t>
  </si>
  <si>
    <t>Rs. 75,000</t>
  </si>
  <si>
    <t>Rs. 1,25,000</t>
  </si>
  <si>
    <t>Medical Expenditure on Self or Dependent Relative for diseases specified in Rule 11DD</t>
  </si>
  <si>
    <t>For less than 60 years old</t>
  </si>
  <si>
    <t>For more than 60 years old</t>
  </si>
  <si>
    <t>For more than 80 years old</t>
  </si>
  <si>
    <t>Lower of Rs 40,000 or the amount actually paid</t>
  </si>
  <si>
    <t>Lower of Rs 60,000 or the amount actually paid</t>
  </si>
  <si>
    <t>Lower of Rs 80,000 or the amount actually paid</t>
  </si>
  <si>
    <t>Self suffering from disability:</t>
  </si>
  <si>
    <t>Individual suffering from a physical disability (including blindness) or mental retardation.</t>
  </si>
  <si>
    <t>Individual suffering from severe disability</t>
  </si>
  <si>
    <t>80GGB</t>
  </si>
  <si>
    <t>Contribution by companies to political parties</t>
  </si>
  <si>
    <t>Amount contributed (not allowed if paid in cash)</t>
  </si>
  <si>
    <t>Contribution by individuals to political parties</t>
  </si>
  <si>
    <t>Rs.150000</t>
  </si>
  <si>
    <t>ADVANCE AMOUNT OF  TAX  PAID</t>
  </si>
  <si>
    <t xml:space="preserve"> Tax on  Total Income After Rebate</t>
  </si>
  <si>
    <t>Health &amp;Education Cess @ 4%</t>
  </si>
  <si>
    <t>Health &amp; Education Cess @ 4%</t>
  </si>
  <si>
    <t>Tax on Total Income After Rebate</t>
  </si>
  <si>
    <t>Income from Short Term Capital gains</t>
  </si>
  <si>
    <t>Income from Long Term Capital gains</t>
  </si>
  <si>
    <t>Income from Agriculture</t>
  </si>
  <si>
    <t>Shriram life Insurance</t>
  </si>
  <si>
    <t>PNB MET Life Insurance</t>
  </si>
  <si>
    <t>RPLI (Rural Postal Life Insurance)</t>
  </si>
  <si>
    <t>Less:Relief under section 89(1)</t>
  </si>
  <si>
    <t>Tax Payble</t>
  </si>
  <si>
    <t>Relief Under Section 89(1)</t>
  </si>
  <si>
    <t>Tax Payable</t>
  </si>
  <si>
    <t>The below revised limits are applicable for Financial Year 2018-2019 (or) Assessment Year (2019-2020) u/s 80D.</t>
  </si>
  <si>
    <r>
      <t>Preventive health checkup</t>
    </r>
    <r>
      <rPr>
        <i/>
        <sz val="14"/>
        <color indexed="9"/>
        <rFont val="Arial"/>
        <family val="2"/>
      </rPr>
      <t xml:space="preserve"> (Medical checkups)</t>
    </r>
    <r>
      <rPr>
        <sz val="14"/>
        <color indexed="9"/>
        <rFont val="Arial"/>
        <family val="2"/>
      </rPr>
      <t xml:space="preserve"> expenses to the extent of Rs 5,000/- per family can be claimed as tax deductions. Remember, this is not over and above the individual limits as explained above. </t>
    </r>
    <r>
      <rPr>
        <i/>
        <sz val="14"/>
        <color indexed="9"/>
        <rFont val="Arial"/>
        <family val="2"/>
      </rPr>
      <t>(Family includes: Self, spouse, parents and dependent children).</t>
    </r>
  </si>
  <si>
    <r>
      <t xml:space="preserve">Section 24 (B) </t>
    </r>
    <r>
      <rPr>
        <b/>
        <i/>
        <sz val="16"/>
        <color indexed="13"/>
        <rFont val="Calibri"/>
        <family val="2"/>
      </rPr>
      <t>(Loss under the head Income from House Property)</t>
    </r>
  </si>
  <si>
    <r>
      <t xml:space="preserve">From FY 2017-18, the Tax benefit on loan repayment of second house is </t>
    </r>
    <r>
      <rPr>
        <b/>
        <sz val="12"/>
        <color indexed="9"/>
        <rFont val="Arial"/>
        <family val="2"/>
      </rPr>
      <t>restricted to Rs 2 lakh per annum</t>
    </r>
    <r>
      <rPr>
        <sz val="12"/>
        <color indexed="9"/>
        <rFont val="Arial"/>
        <family val="2"/>
      </rPr>
      <t xml:space="preserve"> only </t>
    </r>
    <r>
      <rPr>
        <i/>
        <sz val="12"/>
        <color indexed="9"/>
        <rFont val="Arial"/>
        <family val="2"/>
      </rPr>
      <t>(even if you have multiple houses the limit is still going to be Rs 2 Lakh only and the ceiling limit is not per house property)</t>
    </r>
    <r>
      <rPr>
        <sz val="12"/>
        <color indexed="9"/>
        <rFont val="Arial"/>
        <family val="2"/>
      </rPr>
      <t>.</t>
    </r>
  </si>
  <si>
    <r>
      <t>The unclaimed loss if any will be carried forward to be set off against house property income of subsequent 8 years. In most of the cases, this can be treated as ‘</t>
    </r>
    <r>
      <rPr>
        <b/>
        <sz val="12"/>
        <color indexed="9"/>
        <rFont val="Arial"/>
        <family val="2"/>
      </rPr>
      <t>dead loss</t>
    </r>
    <r>
      <rPr>
        <sz val="12"/>
        <color indexed="9"/>
        <rFont val="Arial"/>
        <family val="2"/>
      </rPr>
      <t>‘.</t>
    </r>
  </si>
  <si>
    <t>I believe that this is a major blow to the investors who have bought multiple houses on home loan(s) with an intention to save taxes alone.</t>
  </si>
  <si>
    <t>Until FY 2016-17, interest paid on your housing loan is eligible for the following tax benefits ;</t>
  </si>
  <si>
    <r>
      <t xml:space="preserve">Municipal taxes paid, 30% of the net annual income </t>
    </r>
    <r>
      <rPr>
        <i/>
        <sz val="12"/>
        <color indexed="9"/>
        <rFont val="Arial"/>
        <family val="2"/>
      </rPr>
      <t>(standard deduction)</t>
    </r>
    <r>
      <rPr>
        <sz val="12"/>
        <color indexed="9"/>
        <rFont val="Arial"/>
        <family val="2"/>
      </rPr>
      <t xml:space="preserve"> and interest paid on the loan taken for that house are allowed as deductions.</t>
    </r>
  </si>
  <si>
    <r>
      <t xml:space="preserve">After these deductions, your rental income can be </t>
    </r>
    <r>
      <rPr>
        <b/>
        <sz val="12"/>
        <color indexed="9"/>
        <rFont val="Arial"/>
        <family val="2"/>
      </rPr>
      <t>NIL </t>
    </r>
    <r>
      <rPr>
        <sz val="12"/>
        <color indexed="9"/>
        <rFont val="Arial"/>
        <family val="2"/>
      </rPr>
      <t xml:space="preserve">or </t>
    </r>
    <r>
      <rPr>
        <b/>
        <sz val="12"/>
        <color indexed="9"/>
        <rFont val="Arial"/>
        <family val="2"/>
      </rPr>
      <t xml:space="preserve">NEGATIVE </t>
    </r>
    <r>
      <rPr>
        <sz val="12"/>
        <color indexed="9"/>
        <rFont val="Arial"/>
        <family val="2"/>
      </rPr>
      <t>and is called ‘loss from house property’ in the latter case.</t>
    </r>
  </si>
  <si>
    <t>Such loss is currently allowed to be set off against other heads of income like Income from Salary or Business etc. which helps you to lower you tax liability substantially.</t>
  </si>
  <si>
    <t>Standard Deduction for Salaried and Pensioners U/s 16 (i)</t>
  </si>
  <si>
    <t>Status of the House Owenership</t>
  </si>
  <si>
    <t>HRA Exemption as per eligibility U/s 10 (13-A)</t>
  </si>
  <si>
    <t>Other Eligible Deductions</t>
  </si>
  <si>
    <t xml:space="preserve">Tax Payable </t>
  </si>
  <si>
    <t xml:space="preserve">Advance Tax Paid </t>
  </si>
  <si>
    <t>Monthly Rent Paid by You</t>
  </si>
  <si>
    <t>Yearly Rent Paid by You</t>
  </si>
  <si>
    <t>Advance Tax Paid ,If any</t>
  </si>
  <si>
    <t>Employee's Provident Fund</t>
  </si>
  <si>
    <t>Interest of  Housing Loan U/S 80EEA</t>
  </si>
  <si>
    <t>80EEA</t>
  </si>
  <si>
    <t>Before FY: 2016-17</t>
  </si>
  <si>
    <t>FY:2016-17 &amp; First time House Buyers(one House)</t>
  </si>
  <si>
    <t>FY:2019-20 &amp; First time House Buyers(one House)</t>
  </si>
  <si>
    <t>Net Taxable Income for the FY:2019-20(AY:2020-21)</t>
  </si>
  <si>
    <t>HRA Amount</t>
  </si>
  <si>
    <t>Prof.Tax</t>
  </si>
  <si>
    <t>EWF/SWF</t>
  </si>
  <si>
    <t>Advance Tax</t>
  </si>
  <si>
    <t>Final Prof.Tax</t>
  </si>
  <si>
    <t>2000083</t>
  </si>
  <si>
    <t>vii)</t>
  </si>
  <si>
    <t>viii)</t>
  </si>
  <si>
    <t>ix)</t>
  </si>
  <si>
    <t>Suryapet</t>
  </si>
  <si>
    <t>Telangana</t>
  </si>
  <si>
    <t>Pay Matrix(UGC  Employees)</t>
  </si>
  <si>
    <t>Pay Band</t>
  </si>
  <si>
    <t>15600-39100</t>
  </si>
  <si>
    <t>37400-67000</t>
  </si>
  <si>
    <t>67000-79000</t>
  </si>
  <si>
    <t>Grade Pay</t>
  </si>
  <si>
    <t>Index of Rationalization</t>
  </si>
  <si>
    <t>Entry Pay</t>
  </si>
  <si>
    <t>Academic Level</t>
  </si>
  <si>
    <t>13A</t>
  </si>
  <si>
    <t>Annual Grade Increment</t>
  </si>
  <si>
    <t>Final Basic Pay</t>
  </si>
  <si>
    <t>Preventive Health Checkup</t>
  </si>
  <si>
    <t xml:space="preserve">UGC-2016 Pay Scales </t>
  </si>
  <si>
    <t>Rs.57700-182400</t>
  </si>
  <si>
    <t>Rs.68900-205500</t>
  </si>
  <si>
    <t>Rs.79800-211500</t>
  </si>
  <si>
    <t>Rs.131400-217100</t>
  </si>
  <si>
    <t>Rs.144200-218200</t>
  </si>
  <si>
    <t>Rs.182200-224100</t>
  </si>
  <si>
    <t xml:space="preserve">Academic Level </t>
  </si>
  <si>
    <t>Have you Claimed Annual Grade Increment for this FY</t>
  </si>
  <si>
    <t>If Yes ,then Select your Annual Grade Increment Month</t>
  </si>
  <si>
    <t xml:space="preserve">Have you Claimed Annual Grade Increment in the form of Arrears </t>
  </si>
  <si>
    <t>Annual Grade Increment Arrears Claimed Upto the Month</t>
  </si>
  <si>
    <t>New Basic Pay will be taken from the Month</t>
  </si>
  <si>
    <t>Have you claimed M.Phil/Ph.d Incentive Increments for this FY(Before CAS Promotion)</t>
  </si>
  <si>
    <t>Select your M.Phil/Ph.D Qualification</t>
  </si>
  <si>
    <t>No.of Incentive Increments</t>
  </si>
  <si>
    <t xml:space="preserve">Date </t>
  </si>
  <si>
    <t xml:space="preserve">                                                  Academic Level</t>
  </si>
  <si>
    <t xml:space="preserve">Basic Pay as on </t>
  </si>
  <si>
    <t>DAY</t>
  </si>
  <si>
    <t>MONTH</t>
  </si>
  <si>
    <t>YEAR</t>
  </si>
  <si>
    <t xml:space="preserve">                                                                                                                                   Basic Pay as on </t>
  </si>
  <si>
    <t xml:space="preserve">                                                                                                              UGC-2016 Pay Scales as on</t>
  </si>
  <si>
    <t xml:space="preserve">                                                                                               Academic Level</t>
  </si>
  <si>
    <t>Minimum Basic Pay in Level-10 of the Pay Matrix</t>
  </si>
  <si>
    <t xml:space="preserve">Rate of Increment@3%of Minimum Basic Pay </t>
  </si>
  <si>
    <t xml:space="preserve">                                                                                                        No.of Incentive Increments for </t>
  </si>
  <si>
    <t>Qualification</t>
  </si>
  <si>
    <t xml:space="preserve">                                                           Date of Eligibility of M.Phil/Ph.D Qualificatin</t>
  </si>
  <si>
    <t xml:space="preserve">                                                     M.Phil/Ph.D  Qualification</t>
  </si>
  <si>
    <t>CAS Promotion Level</t>
  </si>
  <si>
    <t>Level-10 to Level-11</t>
  </si>
  <si>
    <t>Level-11 to Level-12</t>
  </si>
  <si>
    <t>Level-12 to Level-13A</t>
  </si>
  <si>
    <t>Level-13A to Level-14</t>
  </si>
  <si>
    <t>Level-14 to Level-15</t>
  </si>
  <si>
    <t>Select Your CAS Promotion Level From-To</t>
  </si>
  <si>
    <t xml:space="preserve"> UGC-2016 Pay Scales in CAS Promotion Level</t>
  </si>
  <si>
    <t xml:space="preserve">                                                                                                    Basic Pay as on </t>
  </si>
  <si>
    <t xml:space="preserve">Date of Eligibility of  CAS Promotion </t>
  </si>
  <si>
    <t>CAS Pay Fixation Details</t>
  </si>
  <si>
    <t>Description</t>
  </si>
  <si>
    <t>Existing Academic Level</t>
  </si>
  <si>
    <t>Promoted to in which Academic Level</t>
  </si>
  <si>
    <t>Promotion Pay in Academic Level</t>
  </si>
  <si>
    <t>CAS Promotion Pay will be fixed on</t>
  </si>
  <si>
    <t>Date Of Next Increment</t>
  </si>
  <si>
    <t>Have you claimed M.Phil/Ph.d Incentive Increments for this FY(After  CAS Promotion)</t>
  </si>
  <si>
    <t xml:space="preserve">                                                                                                    UGC-2016 Pay Scales as on</t>
  </si>
  <si>
    <t xml:space="preserve">                                                                                                                        Basic Pay as on            </t>
  </si>
  <si>
    <t xml:space="preserve">                                                                                                                                                           Academic Level </t>
  </si>
  <si>
    <t xml:space="preserve">                                                                                                         Minimum Basic Pay in Level-10 of the Pay Matrix</t>
  </si>
  <si>
    <t xml:space="preserve">                                                                                                               Rate of Increment@3%of Minimum Basic Pay </t>
  </si>
  <si>
    <t xml:space="preserve">                                                                                                                                M.Phil/Ph.D  Qualification</t>
  </si>
  <si>
    <t xml:space="preserve">                                                                                                                    Date of Eligibility of M.Phil/Ph.D Qualificatin</t>
  </si>
  <si>
    <t xml:space="preserve">Basic Pays </t>
  </si>
  <si>
    <t>After M.Phil/Ph.D</t>
  </si>
  <si>
    <t>After CAS Promotion</t>
  </si>
  <si>
    <t>Before CAS</t>
  </si>
  <si>
    <t>After CAS</t>
  </si>
  <si>
    <t>Actual Basic  Pays</t>
  </si>
  <si>
    <t>HRA Rates</t>
  </si>
  <si>
    <t>Is there any change in HRA</t>
  </si>
  <si>
    <t>Day</t>
  </si>
  <si>
    <t xml:space="preserve">HRA Rates </t>
  </si>
  <si>
    <t>Final HRA</t>
  </si>
  <si>
    <t>Dearness Allowence</t>
  </si>
  <si>
    <t xml:space="preserve">Remaining No.of days </t>
  </si>
  <si>
    <t xml:space="preserve">Telangana Increment </t>
  </si>
  <si>
    <t>PHC Allowences</t>
  </si>
  <si>
    <t>City Compensatory Allowances(CCA)</t>
  </si>
  <si>
    <t>Special Compensatory Allowances(SCA)</t>
  </si>
  <si>
    <t>Spcial Pay Allowances(Spl.Pay)</t>
  </si>
  <si>
    <t>Additional House Rent Allowances (AHRA)</t>
  </si>
  <si>
    <t>Have You Enhanced the GPF Amount</t>
  </si>
  <si>
    <t>Change in GPF Amount</t>
  </si>
  <si>
    <t>TSGLI Details</t>
  </si>
  <si>
    <t>TSGLI Subscription</t>
  </si>
  <si>
    <t>Have You Enhanced the TSGLI  Amount</t>
  </si>
  <si>
    <t>Change in  TSGLI  Amount</t>
  </si>
  <si>
    <t>GIS  Details</t>
  </si>
  <si>
    <t xml:space="preserve">GIS Subscription </t>
  </si>
  <si>
    <t xml:space="preserve">GPF Subscription </t>
  </si>
  <si>
    <t>Have You Enhanced the GIS Amount</t>
  </si>
  <si>
    <t>Change in GIS Amount</t>
  </si>
  <si>
    <t>Professional Tax  Details</t>
  </si>
  <si>
    <t>Professional Tax  Deduction</t>
  </si>
  <si>
    <t>Have You Enhanced the Prof.Tax Amount</t>
  </si>
  <si>
    <t>Change in Prof.Tax  Amount</t>
  </si>
  <si>
    <t>EWF Details</t>
  </si>
  <si>
    <t>CMRF Details</t>
  </si>
  <si>
    <t xml:space="preserve">CMRF </t>
  </si>
  <si>
    <t>Employee Pension Details</t>
  </si>
  <si>
    <t>House Owenership Details</t>
  </si>
  <si>
    <t>Special Pay</t>
  </si>
  <si>
    <t>PHC Allowances</t>
  </si>
  <si>
    <t>Additional HHR</t>
  </si>
  <si>
    <t xml:space="preserve">Annual Grade Increment Arrears </t>
  </si>
  <si>
    <t>To be drawn Pay</t>
  </si>
  <si>
    <t>To be drawn HRA</t>
  </si>
  <si>
    <t>DA Rates</t>
  </si>
  <si>
    <t>To be drawn DA</t>
  </si>
  <si>
    <t>To be drawn Total</t>
  </si>
  <si>
    <t>To be drawn CPS</t>
  </si>
  <si>
    <t xml:space="preserve">Change Month lies between the required period </t>
  </si>
  <si>
    <t>Already  drawn Pay</t>
  </si>
  <si>
    <t>Already  drawn DA</t>
  </si>
  <si>
    <t>Already drawn HRA</t>
  </si>
  <si>
    <t>Already drawn Total</t>
  </si>
  <si>
    <t>Already drawn CPS</t>
  </si>
  <si>
    <t>Difference of Amount</t>
  </si>
  <si>
    <t>M.Phil/Ph.D Incentive Increments Arrears (Before CAS Promotion)</t>
  </si>
  <si>
    <t xml:space="preserve">CAS Promotion Arrears </t>
  </si>
  <si>
    <t xml:space="preserve">                                      CAS Promotion Arrears </t>
  </si>
  <si>
    <t>M.Phil/Ph.D Incentive Increments Arrears (After CAS Promotion)</t>
  </si>
  <si>
    <r>
      <t xml:space="preserve">   </t>
    </r>
    <r>
      <rPr>
        <b/>
        <sz val="12"/>
        <color theme="0"/>
        <rFont val="Arial"/>
        <family val="2"/>
      </rPr>
      <t xml:space="preserve"> M.Phil/Ph.D Incentive Increments Arrears</t>
    </r>
    <r>
      <rPr>
        <b/>
        <sz val="12"/>
        <color theme="1"/>
        <rFont val="Arial"/>
        <family val="2"/>
      </rPr>
      <t xml:space="preserve"> (</t>
    </r>
    <r>
      <rPr>
        <b/>
        <sz val="12"/>
        <color rgb="FFFFC000"/>
        <rFont val="Arial"/>
        <family val="2"/>
      </rPr>
      <t>After CAS Promotion</t>
    </r>
    <r>
      <rPr>
        <b/>
        <sz val="12"/>
        <color indexed="51"/>
        <rFont val="Arial"/>
        <family val="2"/>
      </rPr>
      <t>)</t>
    </r>
  </si>
  <si>
    <t>DA Arrears Instalment Amount</t>
  </si>
  <si>
    <t>Select Your UGC-2016 Pay Scale as on  01-07-2019</t>
  </si>
  <si>
    <t>Select your Basic Pay  as on  01-07-2019</t>
  </si>
  <si>
    <t xml:space="preserve">                                                                                             Date of Eligibility of M.Phil/Ph.D Qualificatin</t>
  </si>
  <si>
    <t xml:space="preserve">                                                                                            Minimum Basic Pay in Level-10 of the Pay Matrix</t>
  </si>
  <si>
    <t xml:space="preserve">                                                                                            Rate of Increment@3%of Minimum Basic Pay </t>
  </si>
  <si>
    <t>Select Your Existing UGC-2016 Pay Sclales as on award of CAS</t>
  </si>
  <si>
    <t xml:space="preserve">Type of Arrears </t>
  </si>
  <si>
    <t xml:space="preserve">Total </t>
  </si>
  <si>
    <t xml:space="preserve"> Pay</t>
  </si>
  <si>
    <t>Instalments</t>
  </si>
  <si>
    <t>(a)</t>
  </si>
  <si>
    <t>(b)</t>
  </si>
  <si>
    <t>(c )</t>
  </si>
  <si>
    <t>Salary as per Section 17(1)</t>
  </si>
  <si>
    <t>Value of perquisites as per section 17(2)</t>
  </si>
  <si>
    <t>Profit in lieu of salary as per section 17(3)</t>
  </si>
  <si>
    <t>( a)</t>
  </si>
  <si>
    <t>If Yes ,then Select your Annual Grade Increment Arrears Claimed Upto the Month</t>
  </si>
  <si>
    <t>Award of Career Advancement Scheme  (CAS ) in UGC-2016 Pay Scales Details</t>
  </si>
  <si>
    <t>Select your  UGC-2016 Pay Sclales as on award of CAS</t>
  </si>
  <si>
    <t>Select Your Award of  CAS in the Academic Level  From-To</t>
  </si>
  <si>
    <t>Date of Next  Annual Grade Increment</t>
  </si>
  <si>
    <r>
      <t>M.Phil/Ph.D Incentive Increments Details(</t>
    </r>
    <r>
      <rPr>
        <sz val="11"/>
        <color rgb="FFFF0000"/>
        <rFont val="Arial Black"/>
        <family val="2"/>
      </rPr>
      <t>After CAS Promotion</t>
    </r>
    <r>
      <rPr>
        <sz val="11"/>
        <color theme="0"/>
        <rFont val="Arial Black"/>
        <family val="2"/>
      </rPr>
      <t>)</t>
    </r>
  </si>
  <si>
    <r>
      <t>M.Phil/Ph.D Incentive Increments Details(</t>
    </r>
    <r>
      <rPr>
        <sz val="11"/>
        <color rgb="FFFFFF00"/>
        <rFont val="Arial Black"/>
        <family val="2"/>
      </rPr>
      <t>Before CAS Promotion</t>
    </r>
    <r>
      <rPr>
        <sz val="11"/>
        <color theme="0"/>
        <rFont val="Arial Black"/>
        <family val="2"/>
      </rPr>
      <t>)</t>
    </r>
  </si>
  <si>
    <t>Did   you claim M.Phil/Ph.d Incentive Increments between  01-07-2019  to  31-12-2019</t>
  </si>
  <si>
    <r>
      <t>Have you claimed M.Phil/Ph.d Incentive Increments for this FY(</t>
    </r>
    <r>
      <rPr>
        <b/>
        <sz val="12"/>
        <color rgb="FFFF0000"/>
        <rFont val="Arial"/>
        <family val="2"/>
      </rPr>
      <t>After CAS Promotion</t>
    </r>
    <r>
      <rPr>
        <b/>
        <sz val="12"/>
        <color indexed="8"/>
        <rFont val="Arial"/>
        <family val="2"/>
      </rPr>
      <t>)</t>
    </r>
  </si>
  <si>
    <t>were  you awarded  CAS  between  01-07-2019  to  31-12-2019</t>
  </si>
  <si>
    <t xml:space="preserve">After award  of CAS Promotion ,Pay will be fixed as on </t>
  </si>
  <si>
    <t>Select your  Rate of % of HRA as on  01-01-2020</t>
  </si>
  <si>
    <t>Is there any change in  Rate of % of  HRA</t>
  </si>
  <si>
    <t>If Yes,Then Select the change in  Rate of % of  HRA withh Date</t>
  </si>
  <si>
    <t xml:space="preserve">If Yes,Then Select the change in  Rate of % of  HRA </t>
  </si>
  <si>
    <t xml:space="preserve"> Select the  Date of change in Rate of % of  HRA</t>
  </si>
  <si>
    <t>FY:2020-21 &amp; First time House Buyers(one House)</t>
  </si>
  <si>
    <t>FY:2019-20</t>
  </si>
  <si>
    <t>FY:2020-21</t>
  </si>
  <si>
    <t>FY:2018-19</t>
  </si>
  <si>
    <t>2Lakh</t>
  </si>
  <si>
    <t>Self Occupied  or  Let Out</t>
  </si>
  <si>
    <t>1.5Lakh</t>
  </si>
  <si>
    <t>FY:2017-18</t>
  </si>
  <si>
    <t>FY:2016-17</t>
  </si>
  <si>
    <t>Before</t>
  </si>
  <si>
    <t>FY:2017-18 &amp; First time House Buyers(one House)</t>
  </si>
  <si>
    <t xml:space="preserve"> FY:2018-19&amp; First time House Buyers(one House)</t>
  </si>
  <si>
    <t xml:space="preserve"> HRA Calculation</t>
  </si>
  <si>
    <t>Any Other  Pay Fixation Arrears Details</t>
  </si>
  <si>
    <t>Net Taxable Income for the FY:2020-21(AY:2021-22)</t>
  </si>
  <si>
    <t>This Income Tax Software can  be used only those who draw  UGC-2016  Pay scales only</t>
  </si>
  <si>
    <t xml:space="preserve">                  Dr.K.Surender Reddy</t>
  </si>
  <si>
    <t>House Rent Paid  by you Per Month</t>
  </si>
  <si>
    <t>Total House Rent  Paid by You per Annum</t>
  </si>
  <si>
    <t xml:space="preserve">Transport Allowances </t>
  </si>
  <si>
    <t>Relief Calculation Under Section 89(1)</t>
  </si>
  <si>
    <t>Relief Claimed in the Financial  Year</t>
  </si>
  <si>
    <t>2018-19</t>
  </si>
  <si>
    <t>Total  Tax as per Table-A</t>
  </si>
  <si>
    <t>Lecturer in Mathematics</t>
  </si>
  <si>
    <t>Relief Claimed in the Assessment Year</t>
  </si>
  <si>
    <t>2019-20</t>
  </si>
  <si>
    <t>Previous Financial Years Fitment Arrears</t>
  </si>
  <si>
    <t>KRR Govt.Arts&amp;Science College</t>
  </si>
  <si>
    <t>AUHPB1656N</t>
  </si>
  <si>
    <t>Year-Wise Breakup of Arrears Received and Taxable Income</t>
  </si>
  <si>
    <t>Financial Year</t>
  </si>
  <si>
    <t>Net Taxable Income of the Relevent Financial Year without Arrears(Rs.)</t>
  </si>
  <si>
    <t>Amount of Arrears Received  against each Financial Year (Rs.)</t>
  </si>
  <si>
    <t>Total Income of the Relevent Financial Year(Rs)</t>
  </si>
  <si>
    <t>2010-11</t>
  </si>
  <si>
    <t>2011-12</t>
  </si>
  <si>
    <t>2012-13</t>
  </si>
  <si>
    <t>2013-14</t>
  </si>
  <si>
    <t>2014-15</t>
  </si>
  <si>
    <t>2015-16</t>
  </si>
  <si>
    <t>2016-17</t>
  </si>
  <si>
    <t>2017-18</t>
  </si>
  <si>
    <t>TABLE-A</t>
  </si>
  <si>
    <t>Total Income of the  Relevent Financial Year                                                                  [ Column(3)+Column(4)]</t>
  </si>
  <si>
    <t>Tax on Total Income as per column(3)</t>
  </si>
  <si>
    <t>Tax on Total Income as per column(5)</t>
  </si>
  <si>
    <t>Difference in Tax               [ Column(7)-Column(6)]</t>
  </si>
  <si>
    <t>Abstact</t>
  </si>
  <si>
    <t>Amount of Tax to be Paid</t>
  </si>
  <si>
    <t>Taxable Income of the Relevent Financial Year without Arrears(Rs.)</t>
  </si>
  <si>
    <t>Total Income of the  Relevent Financial Year                                                        [ Column(3)+Column(4)]</t>
  </si>
  <si>
    <t>Reief Under Section 89(1)</t>
  </si>
  <si>
    <t>INCOME TAX FOR THE FINANCIAL YEAR:2013-14</t>
  </si>
  <si>
    <t>INCOME TAX FOR THE FINANCIAL YEAR:2014-15</t>
  </si>
  <si>
    <t>INCOME TAX FOR THE FINANCIAL YEAR:2015-16</t>
  </si>
  <si>
    <t>INCOME TAX FOR THE FINANCIAL YEAR:2016-17</t>
  </si>
  <si>
    <t xml:space="preserve">                                    ASSESSMENT YEAR :2014-15</t>
  </si>
  <si>
    <t xml:space="preserve">                                                ASSESSMENT YEAR :2015-16</t>
  </si>
  <si>
    <t xml:space="preserve">                                                ASSESSMENT YEAR :2016-17</t>
  </si>
  <si>
    <t xml:space="preserve">                             ASSESSMENT YEAR :2017-18</t>
  </si>
  <si>
    <t>Taxable Income</t>
  </si>
  <si>
    <t xml:space="preserve">                     ASSESSMENT YEAR:2014-15</t>
  </si>
  <si>
    <t xml:space="preserve">INCOME TAX FOR THE FINANCIAL YEAR:2014-15 </t>
  </si>
  <si>
    <t xml:space="preserve">                     ASSESSMENT YEAR:2015-16</t>
  </si>
  <si>
    <t xml:space="preserve">                     ASSESSMENT YEAR:2016-17</t>
  </si>
  <si>
    <t xml:space="preserve">                     ASSESSMENT YEAR:2017-18</t>
  </si>
  <si>
    <t>Income Tax Rates for the Financial Year :2013-14</t>
  </si>
  <si>
    <t>Income Tax Rates for the Financial Year :2014-15</t>
  </si>
  <si>
    <t>Income Tax Rates for the Financial Year :2015-16</t>
  </si>
  <si>
    <t>Income Tax Rates for the Financial Year :2016-17</t>
  </si>
  <si>
    <t>Up to Rs. 2,00,000</t>
  </si>
  <si>
    <t>Rs.2,00,000  To 5,00,000 ( @10%).</t>
  </si>
  <si>
    <t>Rs.2,00,001 To 5,00,000 ( @10%).</t>
  </si>
  <si>
    <t>Rs.2,50,001  To 5,00,000 ( @10%).</t>
  </si>
  <si>
    <t>Rs.5,00,001 To 10,00,000(@20%)</t>
  </si>
  <si>
    <t>above Rs.10,00,001(@30%)</t>
  </si>
  <si>
    <t>Education Cess(@ 2%)</t>
  </si>
  <si>
    <t>(Rs.2000/-Rebate Upto Rs.5,00,000/- Taxble Income)</t>
  </si>
  <si>
    <t>(Rs.5000/-Rebate Upto Rs.5,00,000/- Taxble Income)</t>
  </si>
  <si>
    <t>Secondary &amp; Higher Education Cess( @ 1%)</t>
  </si>
  <si>
    <t xml:space="preserve">Total Tax Payable </t>
  </si>
  <si>
    <t>Education Cess @ 2%</t>
  </si>
  <si>
    <t>Sec &amp; Higher Edu Cess 1%</t>
  </si>
  <si>
    <t>INCOME TAX FOR THE FINANCIAL YEAR:2017-18</t>
  </si>
  <si>
    <t xml:space="preserve">                             ASSESSMENT YEAR :2018-19</t>
  </si>
  <si>
    <t xml:space="preserve">                     ASSESSMENT YEAR:2018-19</t>
  </si>
  <si>
    <t>Income Tax Rates for the Financial Year :2017-18</t>
  </si>
  <si>
    <t>Rs.2,50,001  To 5,00,000 ( @5%).</t>
  </si>
  <si>
    <t>(Rs.2500/-Rebate Upto Rs.3,50,000/- Taxble Income)</t>
  </si>
  <si>
    <t>Total Tax to be  Paid</t>
  </si>
  <si>
    <t>INCOME TAX FOR THE FINANCIAL YEAR:2018-19</t>
  </si>
  <si>
    <t>Today</t>
  </si>
  <si>
    <t>ANNEXURE-I</t>
  </si>
  <si>
    <t>See Item 2 of Form No. 10 E</t>
  </si>
  <si>
    <t>st</t>
  </si>
  <si>
    <t>January</t>
  </si>
  <si>
    <t xml:space="preserve">                     ASSESSMENT YEAR:2019-20</t>
  </si>
  <si>
    <t>nd</t>
  </si>
  <si>
    <t>February</t>
  </si>
  <si>
    <t>Total Income</t>
  </si>
  <si>
    <t>rd</t>
  </si>
  <si>
    <t>March</t>
  </si>
  <si>
    <t>(Excluding Salary Received in Arrears)</t>
  </si>
  <si>
    <t>th</t>
  </si>
  <si>
    <t>April</t>
  </si>
  <si>
    <t>Salary Received in Arrears</t>
  </si>
  <si>
    <t>Income Tax Rates for the Financial Year :2018-19</t>
  </si>
  <si>
    <t>June</t>
  </si>
  <si>
    <t>July</t>
  </si>
  <si>
    <t>(As Increased by Salary Received in Arrears)</t>
  </si>
  <si>
    <t>August</t>
  </si>
  <si>
    <t>September</t>
  </si>
  <si>
    <t>Tax on Total Income(As per Item 3)</t>
  </si>
  <si>
    <t>October</t>
  </si>
  <si>
    <t>November</t>
  </si>
  <si>
    <t>Tax on Total Income(As per Item 1)</t>
  </si>
  <si>
    <t>December</t>
  </si>
  <si>
    <t>Tax on Salary Received in Arrears</t>
  </si>
  <si>
    <t>Health &amp; Education Cess(@ 4%)</t>
  </si>
  <si>
    <t>(Difference between Item 4 and Item 5)</t>
  </si>
  <si>
    <t>Tax Computed in accordance with Table "A"</t>
  </si>
  <si>
    <t>(Indicate the difference the Amount mentioned against item 6 and 7)</t>
  </si>
  <si>
    <t>(See Item 7 of Annexure-I)</t>
  </si>
  <si>
    <t>Total Income of the  Relevent Financial Year  [Column(3)+Column(4)]</t>
  </si>
  <si>
    <t>Difference in Tax    [Column(7)-Column(6)]</t>
  </si>
  <si>
    <t>FORM 10E</t>
  </si>
  <si>
    <t>(See Rule 21AA)</t>
  </si>
  <si>
    <t>Relief under section 89(1) by a Government servant or an employee in a ( company ,co-operative society,local</t>
  </si>
  <si>
    <t>authority,university ,institution,association or body)</t>
  </si>
  <si>
    <t>Name of the Employee</t>
  </si>
  <si>
    <t>Employee Id No.</t>
  </si>
  <si>
    <t>(DiST)</t>
  </si>
  <si>
    <t>Office of the Employee</t>
  </si>
  <si>
    <t>Address of the Employee</t>
  </si>
  <si>
    <t>Permanent Account Number</t>
  </si>
  <si>
    <t>Particulars of Income referred to rule 21A  of the Income Tax Rule,1962 during the previous year relevent to the</t>
  </si>
  <si>
    <t>Assessment Year:2016-17</t>
  </si>
  <si>
    <t>Amount(Rs.)</t>
  </si>
  <si>
    <t>Salary Received in Arrears  or in advance in accordance with the provisions</t>
  </si>
  <si>
    <t>of sub rule (2) of rule 21A</t>
  </si>
  <si>
    <t>Payment in the nature of gratuity in respect of past service ,extending over</t>
  </si>
  <si>
    <t>a period of not less than 5 years in advance in accordance with the provisions</t>
  </si>
  <si>
    <t>Not Applicable</t>
  </si>
  <si>
    <t>of sub rule (3) of rule 21A</t>
  </si>
  <si>
    <t>(c)</t>
  </si>
  <si>
    <t>Payment in the nature of compensation from employer or former</t>
  </si>
  <si>
    <t>employer at  or in connection with termination of employment after</t>
  </si>
  <si>
    <t>continuous service of not less than 3 years  or where the unexpired portion of</t>
  </si>
  <si>
    <t>term of employement is also less than 3 years in accordance with the</t>
  </si>
  <si>
    <t>provision of sub rule (4) of rule 21A</t>
  </si>
  <si>
    <t>(d)</t>
  </si>
  <si>
    <t xml:space="preserve">Payment in commutation of pension in accordance with the provisions of </t>
  </si>
  <si>
    <t>sub rule (5) of rule 21A</t>
  </si>
  <si>
    <t xml:space="preserve">Detailed particulars of payment referred to above may be given in </t>
  </si>
  <si>
    <t>Annexure I,II,III,IV as case may be.</t>
  </si>
  <si>
    <t xml:space="preserve">do here by declare that what is stated </t>
  </si>
  <si>
    <t xml:space="preserve">                                                      above is true to the best of my knowledge and belief</t>
  </si>
  <si>
    <t>Verified today ,</t>
  </si>
  <si>
    <t>KODAD</t>
  </si>
  <si>
    <t>Dated:</t>
  </si>
  <si>
    <t>(See Item 2 of Form No.10 E)</t>
  </si>
  <si>
    <t>ARREARS SALARY</t>
  </si>
  <si>
    <t xml:space="preserve">Total  Taxable Income </t>
  </si>
  <si>
    <t>( Excluding Salary Received in Arrears or Advance )</t>
  </si>
  <si>
    <t>(As increased by Salary Received in Arrears)</t>
  </si>
  <si>
    <t>Tax on Tota Income( as per Item 3)</t>
  </si>
  <si>
    <t>Tax on Total Income(as per Item 1)</t>
  </si>
  <si>
    <t>(Indicate the difference between the amount mention against  Item 6 and Item 7)</t>
  </si>
  <si>
    <t>2020-21</t>
  </si>
  <si>
    <t>2021-22</t>
  </si>
  <si>
    <t xml:space="preserve">                             ASSESSMENT YEAR :2019-20</t>
  </si>
  <si>
    <t>INCOME TAX FOR THE FINANCIAL YEAR:2019-20</t>
  </si>
  <si>
    <t xml:space="preserve">                             ASSESSMENT YEAR :2020-21</t>
  </si>
  <si>
    <t>INCOME TAX FOR THE FINANCIAL YEAR:2020-21</t>
  </si>
  <si>
    <t xml:space="preserve">After 7th CPC Pay Fixation  Arrears </t>
  </si>
  <si>
    <t>Health&amp;Education Cess @ 4%</t>
  </si>
  <si>
    <t xml:space="preserve">                                                                                                     Total Tax</t>
  </si>
  <si>
    <t>Income Tax Rates for the Financial Year :2019-20</t>
  </si>
  <si>
    <t xml:space="preserve">                     ASSESSMENT YEAR:2020-21</t>
  </si>
  <si>
    <t>(Rs.12500/-Rebate Upto Rs.5,00,000/- Taxble Income)</t>
  </si>
  <si>
    <t xml:space="preserve">                     ASSESSMENT YEAR:2021-22</t>
  </si>
  <si>
    <t>Income Tax Rates for the Financial Year :2020-21</t>
  </si>
  <si>
    <t>(Rs.12500/-Rebate Upto Rs.500000/- Taxble Income)</t>
  </si>
  <si>
    <t xml:space="preserve">Total Tax </t>
  </si>
  <si>
    <t xml:space="preserve">Salary Received in Arrears </t>
  </si>
  <si>
    <t>Total Income(Excluding Arrears)</t>
  </si>
  <si>
    <t>Previous Financial Years Pay Fixation  Arrears</t>
  </si>
  <si>
    <t>Have you claimed  Any Other type of Pay Fixtion Arrears in this Financial Year</t>
  </si>
  <si>
    <t>If Yes,Then select the Pay Fixation Arrears Period  From -To</t>
  </si>
  <si>
    <t xml:space="preserve">Total Pay Fixation Arrears </t>
  </si>
  <si>
    <t>towards the rent  @</t>
  </si>
  <si>
    <t>(Financial Years  From 2013-14 to 2020-21)</t>
  </si>
  <si>
    <t>2022-23</t>
  </si>
  <si>
    <t>Form for furnishing particulars  of Income under section 192(2A) for the year ending 31st March,2022   claiming</t>
  </si>
  <si>
    <t xml:space="preserve">                             ASSESSMENT YEAR :2021-22</t>
  </si>
  <si>
    <t>INCOME TAX FOR THE FINANCIAL YEAR:2021-22</t>
  </si>
  <si>
    <t xml:space="preserve">                       ASSESSMENT YEAR :2022-23</t>
  </si>
  <si>
    <t>Income Tax Rates for the Financial Year :2021-22</t>
  </si>
  <si>
    <t xml:space="preserve">                     ASSESSMENT YEAR:2022-23</t>
  </si>
  <si>
    <t>Net Taxable Income in the FY:2021-22</t>
  </si>
  <si>
    <t xml:space="preserve">From </t>
  </si>
  <si>
    <t xml:space="preserve"> To</t>
  </si>
  <si>
    <t>Details of Arrears  on fixation of Pay in UGC-2006 Scales from  State RPS-2015  &amp;  Subsequent implimentaion of Revised UGC-2016 Pay Scales</t>
  </si>
  <si>
    <t xml:space="preserve"> Have you claimed  Arrears  on fixation of Pay in UGC-2006 Scales from  State RPS-2015          &amp;  Subsequent implimentaion of Revised UGC-2016 Pay Scales in this Financial Year</t>
  </si>
  <si>
    <t xml:space="preserve">                   Select the period from which the above said  arrears has been claimed</t>
  </si>
  <si>
    <t xml:space="preserve">Total Pay Fixation  Arrears </t>
  </si>
  <si>
    <t xml:space="preserve"> </t>
  </si>
  <si>
    <t>Have you Claimed DA Arrears  in the form of Instalment for this FY</t>
  </si>
  <si>
    <t>If Yes,then select the No.of instalments have been Claimed</t>
  </si>
  <si>
    <t>Cash</t>
  </si>
  <si>
    <t>Index</t>
  </si>
  <si>
    <t>Instalment No.</t>
  </si>
  <si>
    <t>FY:2021-22 &amp; First time House Buyers(one House)</t>
  </si>
  <si>
    <t>Thalssaemia</t>
  </si>
  <si>
    <t>Hemophilia</t>
  </si>
  <si>
    <t>Chronic renal failure</t>
  </si>
  <si>
    <t>AIDS</t>
  </si>
  <si>
    <t>Cancer</t>
  </si>
  <si>
    <t>h).Parkinson's Disease</t>
  </si>
  <si>
    <t>g) Aphasia</t>
  </si>
  <si>
    <t>f) Hemiballismus</t>
  </si>
  <si>
    <t>e) Chorea</t>
  </si>
  <si>
    <t>d) Ataxia</t>
  </si>
  <si>
    <t>c) Motor nuetron disease</t>
  </si>
  <si>
    <t>b) Dystonia Musculorium Deformans</t>
  </si>
  <si>
    <t>a) Dementia</t>
  </si>
  <si>
    <t>Neurological diseases</t>
  </si>
  <si>
    <t>Member of HUF</t>
  </si>
  <si>
    <t>Parents</t>
  </si>
  <si>
    <t>Siblings</t>
  </si>
  <si>
    <t>Children</t>
  </si>
  <si>
    <t>Spouse</t>
  </si>
  <si>
    <t>Dependents</t>
  </si>
  <si>
    <t>The amount of deduction that can be claimed            u/s 80 DDB shall be adjusted by the amount of insurance premium received against the health insurance policy (if any)</t>
  </si>
  <si>
    <t>Rs.1,00,000 or Actual expenses incurred whichever is lower</t>
  </si>
  <si>
    <t>60 Years and Above</t>
  </si>
  <si>
    <t>Rs.40,000  or Actual expenses incurred whichever is lower</t>
  </si>
  <si>
    <t>Less Than 60 Years</t>
  </si>
  <si>
    <t>Deduction Limit Under Section 80DDB</t>
  </si>
  <si>
    <t>Age of the Person</t>
  </si>
  <si>
    <t>Medical Expenses incurred for medical treatment of specified diseases or ailments</t>
  </si>
  <si>
    <t>Section 80DDB :</t>
  </si>
  <si>
    <t>Cerbal Palsy</t>
  </si>
  <si>
    <t>Mental illness</t>
  </si>
  <si>
    <t>Mental Retardation</t>
  </si>
  <si>
    <t>Locomotor Disability</t>
  </si>
  <si>
    <t>Autism</t>
  </si>
  <si>
    <t>Hearing Impairment</t>
  </si>
  <si>
    <t>Leprosy</t>
  </si>
  <si>
    <t>Low Vision</t>
  </si>
  <si>
    <t>Blindness</t>
  </si>
  <si>
    <t>Disability Includes</t>
  </si>
  <si>
    <t>Rs.1,25,000</t>
  </si>
  <si>
    <t>Above 80%</t>
  </si>
  <si>
    <t>Severe Disability</t>
  </si>
  <si>
    <t>Rs.75,000</t>
  </si>
  <si>
    <t>Above 40% but below80%</t>
  </si>
  <si>
    <t>Normal Disability</t>
  </si>
  <si>
    <t>Deduction Limit Under Section 80DD</t>
  </si>
  <si>
    <t>Level of Disability</t>
  </si>
  <si>
    <t>Disability</t>
  </si>
  <si>
    <t>Deductions for expenses on Disabled Dependent</t>
  </si>
  <si>
    <t>Section 80DD :</t>
  </si>
  <si>
    <t>Deduction Limit Under Section 80U</t>
  </si>
  <si>
    <t xml:space="preserve"> If Tax Payer is a disabled individual he/she can claim a deduction under this section</t>
  </si>
  <si>
    <t>Section 80U :</t>
  </si>
  <si>
    <t>Medical Expenditure is allowed if no amount is being paid towards health insurance of such person</t>
  </si>
  <si>
    <t>Total Eligible Deductions Under Section 80D</t>
  </si>
  <si>
    <t xml:space="preserve">Medical Expenditure Parents                        (Above 6o Years)                </t>
  </si>
  <si>
    <t xml:space="preserve">Medical Expenditure Parents                                     (Below 6o Years)                </t>
  </si>
  <si>
    <t xml:space="preserve">Medical Expenditure Self &amp; Family             (Above 6o Years)                </t>
  </si>
  <si>
    <t xml:space="preserve">Medical Expenditure Self &amp; Family             (Below 6o Years)                </t>
  </si>
  <si>
    <t>Maximum Limit</t>
  </si>
  <si>
    <t>Particulars</t>
  </si>
  <si>
    <t>Deduction of Rs.5,000 on preventive health check up included in the limits of Rs.25,000 or Rs.50,000 of health insurance premium deductions</t>
  </si>
  <si>
    <t>Self &amp; Family+Parents               (Both Above 60 Years)</t>
  </si>
  <si>
    <t>Self &amp; Family(Below 60 Years)+Parents               (Above 60 Years)</t>
  </si>
  <si>
    <t>Self &amp; Family+Parents               (All Below 60 Years)</t>
  </si>
  <si>
    <t>Self &amp; Family                 (Below 60 Years)</t>
  </si>
  <si>
    <t>Self &amp; Family</t>
  </si>
  <si>
    <t>Health Insurance Premium Paid for</t>
  </si>
  <si>
    <t xml:space="preserve"> 80EE-Interest on loan taken for residential house property</t>
  </si>
  <si>
    <t>Whether you or any of your family member (Excluding Parents) is a senior citizen</t>
  </si>
  <si>
    <t>Health Insurance</t>
  </si>
  <si>
    <t>Preventive Health Check Up</t>
  </si>
  <si>
    <t>Self &amp; Family including Senior Citizen</t>
  </si>
  <si>
    <t>Medical Expenditure</t>
  </si>
  <si>
    <t>Parents including Senior Citizen</t>
  </si>
  <si>
    <t>80D-Deduction in respect of Health insurance Premium</t>
  </si>
  <si>
    <t>Whether you  any of your Parents is a senior citizen</t>
  </si>
  <si>
    <t>Dependent Person with Disability</t>
  </si>
  <si>
    <t>Dependent Person with  Severe Disability</t>
  </si>
  <si>
    <t>If you want to claim the deduction u/s 80DD of Income tax act,Then select the type of disability</t>
  </si>
  <si>
    <t>80DD-Maintance including medical treatment of a dependent who is a person with disability</t>
  </si>
  <si>
    <t>If you want to claim the deduction u/s 80U of Income tax act,Then select the type of disability</t>
  </si>
  <si>
    <t>80U-In Case of a Tax Payer  with disability</t>
  </si>
  <si>
    <t>80DDB- Medical Expenses incurred for Medical treatment of Specified diseases or ailments</t>
  </si>
  <si>
    <t>If you want to claim the deduction u/s 80DD B of Income tax act,Then select the Age of the Person</t>
  </si>
  <si>
    <t>Less than 60 Years</t>
  </si>
  <si>
    <t>60Years and Above</t>
  </si>
  <si>
    <t>Enter your Medical expenditure incurred for Medical Treatment of Specified Diseases</t>
  </si>
  <si>
    <t>Eligible Amount of Deduction U/s 80D</t>
  </si>
  <si>
    <t>Savings Under Section-80 C</t>
  </si>
  <si>
    <t>Section-24(b)  Income from House Property</t>
  </si>
  <si>
    <t>Deduction in respect of Health insurance Premium</t>
  </si>
  <si>
    <t>Maintance including medical treatment of a dependent who is a person with disability</t>
  </si>
  <si>
    <t>In Case of a Tax Payer  with disability</t>
  </si>
  <si>
    <t>Medical Expenses incurred for Medical treatment of Specified diseases or ailments</t>
  </si>
  <si>
    <t xml:space="preserve"> Interest on loan taken for residential house property</t>
  </si>
  <si>
    <t xml:space="preserve"> Deduction in respect of interest on loan taken for certain house property</t>
  </si>
  <si>
    <t>24(b)</t>
  </si>
  <si>
    <t xml:space="preserve">Interest of Housing Loan </t>
  </si>
  <si>
    <t xml:space="preserve">Interest  on loan taken for higher Educational </t>
  </si>
  <si>
    <t>80EEB</t>
  </si>
  <si>
    <t>Deduction in respect of purchase of electric vehicle</t>
  </si>
  <si>
    <t>Interest on deposit in saving Accounts</t>
  </si>
  <si>
    <t>100% Deduction of  Donation Amount to Political Party or Electrol Trusts</t>
  </si>
  <si>
    <t>Gross Total Income</t>
  </si>
  <si>
    <t>Less :Deduction U/S 80C to 80 U</t>
  </si>
  <si>
    <t>Less :Short Term Capital Gains on the sale of Share U/S 111A</t>
  </si>
  <si>
    <t xml:space="preserve">Less :Long Term Capital Gains </t>
  </si>
  <si>
    <t>Adjusted Gross Total Income</t>
  </si>
  <si>
    <t>Less :80G</t>
  </si>
  <si>
    <t>10% of Adjusted GTI</t>
  </si>
  <si>
    <t>Amount Invested</t>
  </si>
  <si>
    <t>Eligibility</t>
  </si>
  <si>
    <t>Deduction Amount</t>
  </si>
  <si>
    <t>Minimum Value</t>
  </si>
  <si>
    <t>Self with Disability</t>
  </si>
  <si>
    <t xml:space="preserve"> Self with  Severe Disability</t>
  </si>
  <si>
    <t>Self &amp;Family</t>
  </si>
  <si>
    <t>Self &amp;Family(Senior Citizen)</t>
  </si>
  <si>
    <t>Whether any of your Parents is a senior citizen</t>
  </si>
  <si>
    <t>Parents(Senior Citizen)</t>
  </si>
  <si>
    <t>Eligible Amount of Deduction</t>
  </si>
  <si>
    <t>Assessment Year</t>
  </si>
  <si>
    <t>Employee ID</t>
  </si>
  <si>
    <t>24(b)-Income under the  House Properties</t>
  </si>
  <si>
    <t>Type of House Property</t>
  </si>
  <si>
    <t>Deemed Let Out</t>
  </si>
  <si>
    <t>House Property</t>
  </si>
  <si>
    <t>Maximum Loss from House Property that can be set-off is Rs.2,00,000.To avail the benefit of carry forward and set off of loss,Please use ITR-2</t>
  </si>
  <si>
    <t xml:space="preserve">Note: </t>
  </si>
  <si>
    <t xml:space="preserve">(i)      </t>
  </si>
  <si>
    <t xml:space="preserve">(ii)   </t>
  </si>
  <si>
    <t xml:space="preserve">(iii)   </t>
  </si>
  <si>
    <t xml:space="preserve">(iv)   </t>
  </si>
  <si>
    <t xml:space="preserve"> Gross rent received /recievable/letable value during the year</t>
  </si>
  <si>
    <t xml:space="preserve"> Tax paid to the local authority</t>
  </si>
  <si>
    <t xml:space="preserve">(v)   </t>
  </si>
  <si>
    <t xml:space="preserve">(vi)   </t>
  </si>
  <si>
    <t xml:space="preserve">(vii)   </t>
  </si>
  <si>
    <t>Deduction of Interest on Housing Loan Under Section-24(b)</t>
  </si>
  <si>
    <t xml:space="preserve"> Arrers /Unrealized Rent received during the year   </t>
  </si>
  <si>
    <t>Annual Net Value [i-(ii+iii)]</t>
  </si>
  <si>
    <t xml:space="preserve">a) Standard Deduction @ 30% of Net Annual Value </t>
  </si>
  <si>
    <t xml:space="preserve">(viii)   </t>
  </si>
  <si>
    <t>(b)Interest payable on borrowed capital</t>
  </si>
  <si>
    <t xml:space="preserve"> Income Chargeble under the head " House Property" [iv-(vi+vii)]</t>
  </si>
  <si>
    <t>x)</t>
  </si>
  <si>
    <t>xi)</t>
  </si>
  <si>
    <t>xii)</t>
  </si>
  <si>
    <t>xiii)</t>
  </si>
  <si>
    <t>Old DA</t>
  </si>
  <si>
    <t>New DA</t>
  </si>
  <si>
    <t>Actual DA</t>
  </si>
  <si>
    <t xml:space="preserve">DA Arrears </t>
  </si>
  <si>
    <t>Old  DA Amount</t>
  </si>
  <si>
    <t>New DA Amount</t>
  </si>
  <si>
    <t>Section-24</t>
  </si>
  <si>
    <t>Section</t>
  </si>
  <si>
    <t>a</t>
  </si>
  <si>
    <t>b</t>
  </si>
  <si>
    <t>(i)</t>
  </si>
  <si>
    <t>(ii)</t>
  </si>
  <si>
    <t>(iii)</t>
  </si>
  <si>
    <t>Whether  any one of your Parents is a senior citizen</t>
  </si>
  <si>
    <t>Amount eligible for deduction U/S 80DD</t>
  </si>
  <si>
    <t>C</t>
  </si>
  <si>
    <t>Amount eligible for deduction U/S 80U</t>
  </si>
  <si>
    <t>d</t>
  </si>
  <si>
    <t>e</t>
  </si>
  <si>
    <t>Amount eligible for deduction U/S 80DDB</t>
  </si>
  <si>
    <t>The amount of deduction that can be claimed   u/s 80 DDB shall be adjusted by the amount of insurance premium received against the health insurance policy (if any)</t>
  </si>
  <si>
    <t>Interest on loan taken for higher education</t>
  </si>
  <si>
    <t xml:space="preserve">                       Amount eligible for deduction U/S 80E</t>
  </si>
  <si>
    <t>f</t>
  </si>
  <si>
    <t xml:space="preserve">                       Amount eligible for deduction U/S 80EEB</t>
  </si>
  <si>
    <t>g</t>
  </si>
  <si>
    <t>Donation to Certain funds,charitable institutions etc.</t>
  </si>
  <si>
    <t>Donation entitled for 100% Deduction without Qualifying limit</t>
  </si>
  <si>
    <t>Donation entitled for 50% Deduction without Qualifying limit</t>
  </si>
  <si>
    <t>Donation entitled for 100% Deduction Subjected to Qualifying Limit</t>
  </si>
  <si>
    <t>Donation entitled for 50% Deduction Subjected to Qualifying Limit</t>
  </si>
  <si>
    <t xml:space="preserve"> Eligible Amount of Donation</t>
  </si>
  <si>
    <t>h</t>
  </si>
  <si>
    <t>Total Amount of Donation [(i)+(ii)]</t>
  </si>
  <si>
    <t>80GGA</t>
  </si>
  <si>
    <t>Certain Donation for scientific research or rural development</t>
  </si>
  <si>
    <t>i</t>
  </si>
  <si>
    <t>j</t>
  </si>
  <si>
    <t>Interest on deposits in Saving Accounts</t>
  </si>
  <si>
    <t>Amount Eligible for deduction U/S 80TTA</t>
  </si>
  <si>
    <t>Income From House Property</t>
  </si>
  <si>
    <t>Gross rent received/receivable/lettable value during the year</t>
  </si>
  <si>
    <t>Tax paid to local authorities</t>
  </si>
  <si>
    <t>Unrealized Rent received during the year</t>
  </si>
  <si>
    <t xml:space="preserve">                   Less: Deductions from Net Annual Value</t>
  </si>
  <si>
    <t xml:space="preserve"> Standard Deduction @ 30% of Net Annual Value</t>
  </si>
  <si>
    <r>
      <rPr>
        <sz val="12"/>
        <color rgb="FFFFFF00"/>
        <rFont val="Arial"/>
        <family val="2"/>
      </rPr>
      <t>Note:</t>
    </r>
    <r>
      <rPr>
        <sz val="12"/>
        <color theme="0"/>
        <rFont val="Arial"/>
        <family val="2"/>
      </rPr>
      <t>Maximum Loss from House property that can be set-off in computing income of this year is Rs.2,00,000.To avail the benefit of carry forwardand set-off of loss,Please use ITR-2</t>
    </r>
  </si>
  <si>
    <t>Interest on loan taken for residential house property</t>
  </si>
  <si>
    <t>Deduction in respect of interest on loan taken for certain house property</t>
  </si>
  <si>
    <t>HOUSE PROPERTY</t>
  </si>
  <si>
    <t>Part c</t>
  </si>
  <si>
    <t>Deductions and Taxable Total Income</t>
  </si>
  <si>
    <t>Total deduction under chapter VIA cannot exceed Gross Total income(GTI)</t>
  </si>
  <si>
    <t>(iv)</t>
  </si>
  <si>
    <t>(v)</t>
  </si>
  <si>
    <t>Contribution to Pension Scheme(CPS) or NPS</t>
  </si>
  <si>
    <t>Income chargeable under the head 'House Property'                                                                   (4-5-6)</t>
  </si>
  <si>
    <t>Earnings  of the Employee</t>
  </si>
  <si>
    <t xml:space="preserve">Existing Academic Level </t>
  </si>
  <si>
    <t xml:space="preserve">      Select the Date of Eligibility of CAS(As per Procgs of CCE)</t>
  </si>
  <si>
    <t xml:space="preserve">       Select your Basic Pay as on Date of Eligibility of CAS</t>
  </si>
  <si>
    <t>Select the Date of Next AGI in the Existing Academic Level</t>
  </si>
  <si>
    <t>Your New Scale of Pay in RPS UGC-2016 Scales</t>
  </si>
  <si>
    <t>New Academic Level</t>
  </si>
  <si>
    <t>Select your Option for fixation of Pay under CAS</t>
  </si>
  <si>
    <t>Enter your CAS Arrears in UGC-2016 Pay Scales</t>
  </si>
  <si>
    <t>Have you Awarded  CAS Promotion in this FY</t>
  </si>
  <si>
    <t xml:space="preserve"> Select your Basic Pay as on Date of Eligibility of CAS</t>
  </si>
  <si>
    <t>1st January</t>
  </si>
  <si>
    <t>1st July</t>
  </si>
  <si>
    <t>Date of Promotion</t>
  </si>
  <si>
    <t>Date of Next AGI</t>
  </si>
  <si>
    <t>You have claimed  CAS  Arrears upto the Month</t>
  </si>
  <si>
    <t>Date of Eligibility of CAS</t>
  </si>
  <si>
    <t xml:space="preserve"> Option for fixation of Pay  under CAS</t>
  </si>
  <si>
    <t>Date of Next Annual Grade Increment</t>
  </si>
  <si>
    <t>Case No.</t>
  </si>
  <si>
    <t xml:space="preserve">Details of Fixation of Pay for Promotion under CAS in the UGC RPS 2016 Scales </t>
  </si>
  <si>
    <t xml:space="preserve">(Date of Promotion) </t>
  </si>
  <si>
    <t>Option is Exercised for fixation of pay under CAS</t>
  </si>
  <si>
    <t xml:space="preserve"> Pay after giving one notional increment in the Academic Level</t>
  </si>
  <si>
    <t>Your  Pay will be fixed w.e.f.</t>
  </si>
  <si>
    <t>in the Academic Level</t>
  </si>
  <si>
    <t>Date of Next Annual Grade  Increment</t>
  </si>
  <si>
    <t>As per FR-22(I)a(1)</t>
  </si>
  <si>
    <t xml:space="preserve"> HRA</t>
  </si>
  <si>
    <t>Haritha Fund</t>
  </si>
  <si>
    <t>HF</t>
  </si>
  <si>
    <t>Green Fund</t>
  </si>
  <si>
    <t>Deduction for Telangana Haritha Nidhi (Telangana Green Fund)</t>
  </si>
  <si>
    <t>GF</t>
  </si>
  <si>
    <t>Select Your UGC-2016 Pay Scale as on  01-07-2021</t>
  </si>
  <si>
    <t>Select your Basic Pay  as on  01-07-2021</t>
  </si>
  <si>
    <t>Basic Pay as on</t>
  </si>
  <si>
    <t xml:space="preserve">  M.Phil/Ph.D  Qualification</t>
  </si>
  <si>
    <t xml:space="preserve"> Date of Eligibility of M.Phil/Ph.D Qualificatin</t>
  </si>
  <si>
    <t xml:space="preserve"> Basic Pay as on </t>
  </si>
  <si>
    <t xml:space="preserve"> UGC-2016 Pay Scales as on</t>
  </si>
  <si>
    <t xml:space="preserve"> Minimum Basic Pay in Level-10 of the Pay Matrix</t>
  </si>
  <si>
    <t xml:space="preserve">  No.of Incentive Increments for </t>
  </si>
  <si>
    <t xml:space="preserve">The Pay will be fixed as on </t>
  </si>
  <si>
    <t xml:space="preserve">  Basic Pay as on </t>
  </si>
  <si>
    <t xml:space="preserve">         Academic Level </t>
  </si>
  <si>
    <t xml:space="preserve">             Minimum Basic Pay in Level-10 of the Pay Matrix</t>
  </si>
  <si>
    <t xml:space="preserve">   Rate of Increment@3%of Minimum Basic Pay </t>
  </si>
  <si>
    <t>Rs.57700</t>
  </si>
  <si>
    <t xml:space="preserve">Pay will be fixed as on </t>
  </si>
  <si>
    <t>Health Insurance  Policy Premium &amp;Section 80D Tax Benefits for FY:2022-23</t>
  </si>
  <si>
    <t>Promotion Date</t>
  </si>
  <si>
    <t>Before CAS Promotion</t>
  </si>
  <si>
    <t>Index No.</t>
  </si>
  <si>
    <t>Total DA Arrears</t>
  </si>
  <si>
    <t>CPS Amount</t>
  </si>
  <si>
    <t>Instalment No. &amp; Month</t>
  </si>
  <si>
    <t xml:space="preserve">Instalment No. </t>
  </si>
  <si>
    <t>II</t>
  </si>
  <si>
    <t>III</t>
  </si>
  <si>
    <t>Have you Claimed HRA Arrears  for the period from 01-July-2021 to 31-Dec-2021  in this FY</t>
  </si>
  <si>
    <t>HRA Arrears Amount</t>
  </si>
  <si>
    <t>HRA Arrears  for the period from 01-July-2021 to 31-Dec-2021</t>
  </si>
  <si>
    <t>SWF,EWF,CMRF,WMF &amp;GF</t>
  </si>
  <si>
    <t>Salary as per  section 17 (1)</t>
  </si>
  <si>
    <t>B1</t>
  </si>
  <si>
    <t>Profits in lieu of salary as per section 17(3)</t>
  </si>
  <si>
    <t>Income from retirement benefit account maintained in a notified country u/s 89A</t>
  </si>
  <si>
    <t>Income from retirement benefit account maintained in a country other than notified country u/s 89A</t>
  </si>
  <si>
    <t>ia</t>
  </si>
  <si>
    <t>ib</t>
  </si>
  <si>
    <t>ic</t>
  </si>
  <si>
    <t>id</t>
  </si>
  <si>
    <t>ie</t>
  </si>
  <si>
    <t>ii</t>
  </si>
  <si>
    <t>Section 10 (13-A)-Allowance to meet expenditure incurred on house rent</t>
  </si>
  <si>
    <t>iii</t>
  </si>
  <si>
    <t>iv</t>
  </si>
  <si>
    <t>c</t>
  </si>
  <si>
    <t>iva</t>
  </si>
  <si>
    <t>ivb</t>
  </si>
  <si>
    <t>ivc</t>
  </si>
  <si>
    <t>Gross Salary (ia+ib+ic+id+ie)</t>
  </si>
  <si>
    <t>Standard deduction u/s 16(ia)</t>
  </si>
  <si>
    <t>Entertainment allowance u/s16(ii)</t>
  </si>
  <si>
    <t>Professional Tax u/s 16(iii)</t>
  </si>
  <si>
    <t>v</t>
  </si>
  <si>
    <t>Income Chargeble under the head Salaries (iii-iv)</t>
  </si>
  <si>
    <t>B2</t>
  </si>
  <si>
    <t>B3</t>
  </si>
  <si>
    <t>Nature of Income</t>
  </si>
  <si>
    <t>Total Amount</t>
  </si>
  <si>
    <t>Income from other Sources(1+2+3)</t>
  </si>
  <si>
    <t>Interest from Income Tax Refund</t>
  </si>
  <si>
    <t>B4</t>
  </si>
  <si>
    <t>Gross Total Income(B1+B2+B3)</t>
  </si>
  <si>
    <t>Part-C</t>
  </si>
  <si>
    <t>Gross Salary (Salary as per section 17(1))</t>
  </si>
  <si>
    <t>(1) Sec(10-13A)-Allowance to meet expenditure incurred on House rent</t>
  </si>
  <si>
    <r>
      <t xml:space="preserve">Rent paid by you </t>
    </r>
    <r>
      <rPr>
        <b/>
        <sz val="9"/>
        <rFont val="Arial"/>
        <family val="2"/>
      </rPr>
      <t>minus</t>
    </r>
    <r>
      <rPr>
        <sz val="9"/>
        <rFont val="Arial"/>
        <family val="2"/>
      </rPr>
      <t xml:space="preserve"> 10% of your Salary</t>
    </r>
  </si>
  <si>
    <t>Net Salary(i-ii)</t>
  </si>
  <si>
    <t>Entertainment allowance u/s 16(ii)</t>
  </si>
  <si>
    <t xml:space="preserve">Profession Tax U/s 16 (iii) </t>
  </si>
  <si>
    <t>Deductions u/s 16   (iva+ivb+ivc)</t>
  </si>
  <si>
    <t>Income Chargable under the head 'House Property'</t>
  </si>
  <si>
    <t>Income from other Source(1+2+3)</t>
  </si>
  <si>
    <t>Gross Total Income  (B1+B2+B3))</t>
  </si>
  <si>
    <t>B5</t>
  </si>
  <si>
    <t>B6</t>
  </si>
  <si>
    <t>Gross Total Income  (B4-B5)</t>
  </si>
  <si>
    <t>B7</t>
  </si>
  <si>
    <t>B8</t>
  </si>
  <si>
    <t>B9</t>
  </si>
  <si>
    <t>B10</t>
  </si>
  <si>
    <t>Computation of Tax Payable</t>
  </si>
  <si>
    <t>D1</t>
  </si>
  <si>
    <t>D2</t>
  </si>
  <si>
    <t>D3</t>
  </si>
  <si>
    <t>D4</t>
  </si>
  <si>
    <t>D5</t>
  </si>
  <si>
    <t>Total Tax  and Cess (D3+D4)</t>
  </si>
  <si>
    <t>D6</t>
  </si>
  <si>
    <t>D7</t>
  </si>
  <si>
    <t>Total Tax (D5-D6)</t>
  </si>
  <si>
    <t>Total Taxes Paid</t>
  </si>
  <si>
    <t>Tax Payable on Total income</t>
  </si>
  <si>
    <t>D8</t>
  </si>
  <si>
    <t xml:space="preserve"> Tax  After Rebate (D1-D2)</t>
  </si>
  <si>
    <t>Interest from Savings Bank Account</t>
  </si>
  <si>
    <t>Interest from Deposit (Bank/Post Office/Cooperative Society)</t>
  </si>
  <si>
    <t xml:space="preserve"> Family Pension</t>
  </si>
  <si>
    <t>Income of the Employee other than Salary                                      (Income from other Sources)</t>
  </si>
  <si>
    <t>(2) Section 10(14)(ii) -  Transport allowance granted to certain physically handicapped assessee</t>
  </si>
  <si>
    <t>Any  Other Allowance</t>
  </si>
  <si>
    <t>Statement showing the Month wise Income of</t>
  </si>
  <si>
    <t>Select the applicable option</t>
  </si>
  <si>
    <t>Interest Payable on Housing Loan U/S 24(b)</t>
  </si>
  <si>
    <t xml:space="preserve">              Eligible Amount of Donation</t>
  </si>
  <si>
    <t>(1+2)</t>
  </si>
  <si>
    <t xml:space="preserve">Less allowances to the extent exempt u/s 10   </t>
  </si>
  <si>
    <t>Total Deductions (Add items a to j)</t>
  </si>
  <si>
    <t>NABARD Rural Bonds</t>
  </si>
  <si>
    <t xml:space="preserve"> Senior Citizen Savings Scheme</t>
  </si>
  <si>
    <t>Five-Year Post office Time Deposit Scheme</t>
  </si>
  <si>
    <t>Infrastrucure Bonds</t>
  </si>
  <si>
    <t>Contribution to Pension Scheme of Central/State Government by employee's</t>
  </si>
  <si>
    <t>Contribution to Pension Scheme of Central/State Government by employer</t>
  </si>
  <si>
    <t>Maximum deduction can claim upto 1.5lakh</t>
  </si>
  <si>
    <t xml:space="preserve"> Section-80C,Section-80CCC,Section-80CCD(1)</t>
  </si>
  <si>
    <t>Contribution to National Pension Scheme (NPS) of Central Government</t>
  </si>
  <si>
    <t xml:space="preserve">Contribution to National Pension Scheme (NPS) of Central Government </t>
  </si>
  <si>
    <t>Net Taxable Income:B7-[B8+B9]</t>
  </si>
  <si>
    <t>B11</t>
  </si>
  <si>
    <t>Income chargable under the 'Head Salaries' (iii-iv)</t>
  </si>
  <si>
    <t xml:space="preserve">Total of (Section-80C,Section-80CCC,Section-80CCD(1))                                                                                          Maximum deduction can claim upto 1.5lakh    </t>
  </si>
  <si>
    <t>Advance Tax Paid, if Any</t>
  </si>
  <si>
    <t>Section 10(14)(ii) -  Transport allowance granted to certain physically handicapped assessee</t>
  </si>
  <si>
    <t>vi</t>
  </si>
  <si>
    <t>Aggregate of Deductible Amounts U/Chapter VIA (B5+B6+B7))</t>
  </si>
  <si>
    <t>(a+b)</t>
  </si>
  <si>
    <t xml:space="preserve">Less allowances to the extent exempt u/s 10  </t>
  </si>
  <si>
    <t>Deductions u/s 16     (iva+ivb+ivc)</t>
  </si>
  <si>
    <t>vii</t>
  </si>
  <si>
    <t xml:space="preserve">TAX ON TOTAL INCOME  </t>
  </si>
  <si>
    <t>TOTAL INCOME  (B4-B8)</t>
  </si>
  <si>
    <t xml:space="preserve"> Tax on  Total Income After Rebate (D1-D2)</t>
  </si>
  <si>
    <t xml:space="preserve">Health &amp;Education Cess @ 4% </t>
  </si>
  <si>
    <t>TAX PAYABLE (D3+D4)</t>
  </si>
  <si>
    <t>TAX PAYABLE (D5-D6)</t>
  </si>
  <si>
    <t>D9</t>
  </si>
  <si>
    <t>24(B)</t>
  </si>
  <si>
    <t>Interest Payable on Housing Loan</t>
  </si>
  <si>
    <t>xiv)</t>
  </si>
  <si>
    <r>
      <t>Have you claimed M.Phil/Ph.d Incentive Increments for this FY                 (</t>
    </r>
    <r>
      <rPr>
        <b/>
        <sz val="11"/>
        <color rgb="FFFF0000"/>
        <rFont val="Arial"/>
        <family val="2"/>
      </rPr>
      <t>Before CAS Promotion</t>
    </r>
    <r>
      <rPr>
        <b/>
        <sz val="11"/>
        <color indexed="8"/>
        <rFont val="Arial"/>
        <family val="2"/>
      </rPr>
      <t>)</t>
    </r>
  </si>
  <si>
    <t>Total Allowances to the extent exempt u/s 10   (a+b)</t>
  </si>
  <si>
    <t>Transport allowance granted to certain physically handicapped assessee U/S 10(14)(ii)</t>
  </si>
  <si>
    <t>Allowance to meet expenditure incurred on House rent U/S 10 (13-A)</t>
  </si>
  <si>
    <t>( c)</t>
  </si>
  <si>
    <t>Income from other Source</t>
  </si>
  <si>
    <t xml:space="preserve"> Income chargable under the 'Head Salaries' (iii-iv)</t>
  </si>
  <si>
    <t>Net Taxable Income(B6-B7)</t>
  </si>
  <si>
    <t>Relief under section 89(1)</t>
  </si>
  <si>
    <t>As Per Old Tax Regim</t>
  </si>
  <si>
    <t>As Per New  Tax Regim</t>
  </si>
  <si>
    <t>Total Tax Payable</t>
  </si>
  <si>
    <t>Name of the Owner</t>
  </si>
  <si>
    <t>Street No.</t>
  </si>
  <si>
    <t>Town</t>
  </si>
  <si>
    <t>PIN</t>
  </si>
  <si>
    <t xml:space="preserve">            House Address</t>
  </si>
  <si>
    <t>Annual Grade Increment Arrears Details</t>
  </si>
  <si>
    <t>Enter Advance Tax Paid</t>
  </si>
  <si>
    <t>Have you already claimed Ph.D Incentive Increments Arrears in the part of the CAS Arrears</t>
  </si>
  <si>
    <t>Winning from Lottery, crossword puzzles etc</t>
  </si>
  <si>
    <t>For CAS</t>
  </si>
  <si>
    <t>For Actual Basic Pays</t>
  </si>
  <si>
    <t>M.Phil/Ph.D Incentive Increments</t>
  </si>
  <si>
    <r>
      <t xml:space="preserve">    M.Phil/Ph.D Incentive Increments Arrears    </t>
    </r>
    <r>
      <rPr>
        <b/>
        <sz val="12"/>
        <color rgb="FFFFFF00"/>
        <rFont val="Arial"/>
        <family val="2"/>
      </rPr>
      <t>Before CAS Promotion</t>
    </r>
  </si>
  <si>
    <t>FILTER</t>
  </si>
  <si>
    <t>Select your  Rate of % of HRA as on  01-03-2023</t>
  </si>
  <si>
    <t>Have You Claimed M.Phil/Ph.D Incentive Increments between Dates:01.07.2021 to 31.12.2022 (Before CAS)</t>
  </si>
  <si>
    <t xml:space="preserve"> Transport allowance granted to certain physically handicapped assessee U/S 10(14)(ii)</t>
  </si>
  <si>
    <t xml:space="preserve"> Pay Protection Under FR 22(a)(iv)-Pay Fixation Arrears Details</t>
  </si>
  <si>
    <r>
      <t xml:space="preserve">As per G.O.Ms.No.9 , Dated: 25-Jan-2023  the TS Government has revised the rate of Dearness Allowances (DA)  for all the employees who are drawing UGC-2016 Pay Scales from the </t>
    </r>
    <r>
      <rPr>
        <b/>
        <sz val="12"/>
        <color rgb="FFFFC000"/>
        <rFont val="Arial Black"/>
        <family val="2"/>
      </rPr>
      <t>existing 28% to 31%</t>
    </r>
    <r>
      <rPr>
        <b/>
        <sz val="12"/>
        <color theme="0"/>
        <rFont val="Arial Black"/>
        <family val="2"/>
      </rPr>
      <t xml:space="preserve"> on the basic pay </t>
    </r>
    <r>
      <rPr>
        <b/>
        <sz val="12"/>
        <color rgb="FFFFC000"/>
        <rFont val="Arial Black"/>
        <family val="2"/>
      </rPr>
      <t>w.e.f. 01-July-2021</t>
    </r>
  </si>
  <si>
    <r>
      <t xml:space="preserve">As per G.O.Ms.No.50 , Dated: 19-June-2023  the TS Government has revised the rate of Dearness Allowances (DA)  for all the employees who are drawing UGC-2016 Pay Scales from the </t>
    </r>
    <r>
      <rPr>
        <b/>
        <sz val="12"/>
        <color rgb="FF00CC99"/>
        <rFont val="Arial Black"/>
        <family val="2"/>
      </rPr>
      <t>existing 31% to 34%</t>
    </r>
    <r>
      <rPr>
        <b/>
        <sz val="12"/>
        <color rgb="FFFFC000"/>
        <rFont val="Arial Black"/>
        <family val="2"/>
      </rPr>
      <t xml:space="preserve"> on the basic pay w.e.f. </t>
    </r>
    <r>
      <rPr>
        <b/>
        <sz val="12"/>
        <color rgb="FF00CC99"/>
        <rFont val="Arial Black"/>
        <family val="2"/>
      </rPr>
      <t>01-Jan-2022</t>
    </r>
  </si>
  <si>
    <r>
      <t>As per G.O.Ms.No.9 , Dated: 25-Jan-2023  the TS Government has revised the rate of Dearness Allowances (DA)  for all the employees who are drawing UGC-2016 Pay Scales from the existing</t>
    </r>
    <r>
      <rPr>
        <b/>
        <sz val="11"/>
        <color rgb="FFFFC000"/>
        <rFont val="Arial"/>
        <family val="2"/>
      </rPr>
      <t xml:space="preserve"> 28% to 31% on the basic pay w.e.f. 01-July-2021</t>
    </r>
  </si>
  <si>
    <t>As per G.O.Ms.No.50 , Dated: 19-June-2023  the TS Government has revised the rate of Dearness Allowances (DA)  for all the employees who are drawing UGC-2016 Pay Scales from the existing 31% to 34% on the basic pay w.e.f. 01-Jan-2022</t>
  </si>
  <si>
    <t>Have you claimed Pay Protection under FR-22 (a)(iv) cum fixation Arrears  in this Financial Year</t>
  </si>
  <si>
    <t>If Yes,Then Select the period from-to in  which Pay Protection under FR-22 (a)(iv) cum fixation Arrears has been claimed by you</t>
  </si>
  <si>
    <t xml:space="preserve">Total Fixation Arrears </t>
  </si>
  <si>
    <t xml:space="preserve">     To</t>
  </si>
  <si>
    <t>Default Value</t>
  </si>
  <si>
    <r>
      <t xml:space="preserve">Enter your  Fitment  Arrears Details on account of conversion of Pay from                                                                                </t>
    </r>
    <r>
      <rPr>
        <b/>
        <sz val="12"/>
        <color rgb="FFFFC000"/>
        <rFont val="Arial"/>
        <family val="2"/>
      </rPr>
      <t xml:space="preserve"> State RPS-2020  to UGC-2016 Pay Scales</t>
    </r>
  </si>
  <si>
    <t>Have you claimed  Fitment Arrears  in this Financial Year</t>
  </si>
  <si>
    <t>If Yes,Then Select the period from-to in  which fitment Arrears has been claimed by you</t>
  </si>
  <si>
    <t>Have you claimed fitment Arrears on account of conversion of Pay from State RPS-2020  to UGC-2016 Pay Scales in this Financial Year</t>
  </si>
  <si>
    <r>
      <t>Income of the Employee other than Salary                                                                                                   (</t>
    </r>
    <r>
      <rPr>
        <b/>
        <sz val="12"/>
        <color rgb="FFFFC000"/>
        <rFont val="Arial"/>
        <family val="2"/>
      </rPr>
      <t>Income from other sources</t>
    </r>
    <r>
      <rPr>
        <b/>
        <sz val="12"/>
        <color theme="0"/>
        <rFont val="Arial"/>
        <family val="2"/>
      </rPr>
      <t>)</t>
    </r>
  </si>
  <si>
    <t>CAS Arrears bill was prepared and  submitted in the last Financial Year but CAS Arrears has been credited in this finacial year,then enter its details</t>
  </si>
  <si>
    <t>Have you claimed CAS Arrears in this Financial Year</t>
  </si>
  <si>
    <t>If Yes,Then Select the period from-to in  which CAS  Arrears has been claimed by you</t>
  </si>
  <si>
    <t xml:space="preserve">Enter your CAS  Arrears Details </t>
  </si>
  <si>
    <t>Have you claimed  CAS Arrears  in this Financial Year</t>
  </si>
  <si>
    <t>If Yes,Then Select the period from-to in  which CAS Arrears has been claimed by you</t>
  </si>
  <si>
    <t xml:space="preserve"> 2024-25</t>
  </si>
  <si>
    <t>Pay Protection under FR-22(a)(iv) cum Fixation Arrears drawn upto</t>
  </si>
  <si>
    <t>After Pay Protection under FR-22(a)(iv)</t>
  </si>
  <si>
    <t>Details  revision of Dearness Allowance(DA) to the Telangana State Government Employees</t>
  </si>
  <si>
    <t>TS Govt. Order   G.O.Ms.No.9   Dated:23-01-2023</t>
  </si>
  <si>
    <r>
      <t xml:space="preserve"> Rate of Dearness Allowance(DA) to the Employees drawing UGC-2016 Pay Scales is revised from the existing </t>
    </r>
    <r>
      <rPr>
        <b/>
        <sz val="12"/>
        <color indexed="13"/>
        <rFont val="Arial"/>
        <family val="2"/>
      </rPr>
      <t>28% to 31%</t>
    </r>
    <r>
      <rPr>
        <b/>
        <sz val="12"/>
        <color indexed="9"/>
        <rFont val="Arial"/>
        <family val="2"/>
      </rPr>
      <t xml:space="preserve"> on the Basic Pay w.e.f  </t>
    </r>
    <r>
      <rPr>
        <b/>
        <sz val="12"/>
        <color indexed="13"/>
        <rFont val="Arial"/>
        <family val="2"/>
      </rPr>
      <t>01-July-2021</t>
    </r>
  </si>
  <si>
    <r>
      <t xml:space="preserve">  The Arrears on account of Payment of  Dearness Allowance (DA) for the Period  from </t>
    </r>
    <r>
      <rPr>
        <b/>
        <sz val="12"/>
        <color indexed="13"/>
        <rFont val="Arial"/>
        <family val="2"/>
      </rPr>
      <t>1-July-2021  to 31-Dec-2022</t>
    </r>
    <r>
      <rPr>
        <b/>
        <sz val="12"/>
        <color indexed="9"/>
        <rFont val="Arial"/>
        <family val="2"/>
      </rPr>
      <t xml:space="preserve"> shall be credited into </t>
    </r>
    <r>
      <rPr>
        <b/>
        <sz val="12"/>
        <color indexed="13"/>
        <rFont val="Arial"/>
        <family val="2"/>
      </rPr>
      <t xml:space="preserve">General Provident Fund (GPF) </t>
    </r>
    <r>
      <rPr>
        <b/>
        <sz val="12"/>
        <color indexed="9"/>
        <rFont val="Arial"/>
        <family val="2"/>
      </rPr>
      <t>Account</t>
    </r>
  </si>
  <si>
    <r>
      <t xml:space="preserve">For </t>
    </r>
    <r>
      <rPr>
        <b/>
        <sz val="12"/>
        <color indexed="13"/>
        <rFont val="Arial"/>
        <family val="2"/>
      </rPr>
      <t>Contributory Pension Scheme (CPS)</t>
    </r>
    <r>
      <rPr>
        <b/>
        <sz val="12"/>
        <color indexed="9"/>
        <rFont val="Arial"/>
        <family val="2"/>
      </rPr>
      <t xml:space="preserve"> Employees, 10% of the DA Arrears for the Period  from </t>
    </r>
    <r>
      <rPr>
        <b/>
        <sz val="12"/>
        <color indexed="40"/>
        <rFont val="Arial"/>
        <family val="2"/>
      </rPr>
      <t xml:space="preserve">1-July-2021  to 31-Dec-2022 </t>
    </r>
    <r>
      <rPr>
        <b/>
        <sz val="12"/>
        <color indexed="9"/>
        <rFont val="Arial"/>
        <family val="2"/>
      </rPr>
      <t xml:space="preserve">shall be claimed and credited to PRAN Accounts of individuals along with Government Share as per the existing orders. The remaining 90% of DA Arrears shall be paid in </t>
    </r>
    <r>
      <rPr>
        <b/>
        <sz val="12"/>
        <color indexed="13"/>
        <rFont val="Arial"/>
        <family val="2"/>
      </rPr>
      <t>eight(08) equated monthly instalments starting from February-2023</t>
    </r>
  </si>
  <si>
    <t>Details of revision of Dearness Allowance(DA) to the Telangana State Government Employees</t>
  </si>
  <si>
    <t>TS Govt. Order   G.O.Ms.No.50   Dated:19-06-2023</t>
  </si>
  <si>
    <r>
      <t xml:space="preserve"> Rate of Dearness Allowance(DA) to the Employees drawing UGC-2016 Pay Scales is revised from the existing </t>
    </r>
    <r>
      <rPr>
        <b/>
        <sz val="12"/>
        <color indexed="13"/>
        <rFont val="Arial"/>
        <family val="2"/>
      </rPr>
      <t>31% to 34%</t>
    </r>
    <r>
      <rPr>
        <b/>
        <sz val="12"/>
        <color indexed="9"/>
        <rFont val="Arial"/>
        <family val="2"/>
      </rPr>
      <t xml:space="preserve"> on the Basic Pay w.e.f  </t>
    </r>
    <r>
      <rPr>
        <b/>
        <sz val="12"/>
        <color indexed="13"/>
        <rFont val="Arial"/>
        <family val="2"/>
      </rPr>
      <t>01-Jan-2022</t>
    </r>
  </si>
  <si>
    <r>
      <t xml:space="preserve">  The Arrears on account of Payment of  Dearness Allowance (DA) for the Period  from </t>
    </r>
    <r>
      <rPr>
        <b/>
        <sz val="12"/>
        <color indexed="13"/>
        <rFont val="Arial"/>
        <family val="2"/>
      </rPr>
      <t>1-Jan-2022  to 31-May-2023</t>
    </r>
    <r>
      <rPr>
        <b/>
        <sz val="12"/>
        <color indexed="9"/>
        <rFont val="Arial"/>
        <family val="2"/>
      </rPr>
      <t xml:space="preserve"> shall be credited into </t>
    </r>
    <r>
      <rPr>
        <b/>
        <sz val="12"/>
        <color indexed="13"/>
        <rFont val="Arial"/>
        <family val="2"/>
      </rPr>
      <t xml:space="preserve">General Provident Fund (GPF) </t>
    </r>
    <r>
      <rPr>
        <b/>
        <sz val="12"/>
        <color indexed="9"/>
        <rFont val="Arial"/>
        <family val="2"/>
      </rPr>
      <t>Account</t>
    </r>
  </si>
  <si>
    <r>
      <t xml:space="preserve">For </t>
    </r>
    <r>
      <rPr>
        <b/>
        <sz val="12"/>
        <color indexed="13"/>
        <rFont val="Arial"/>
        <family val="2"/>
      </rPr>
      <t>Contributory Pension Scheme (CPS)</t>
    </r>
    <r>
      <rPr>
        <b/>
        <sz val="12"/>
        <color indexed="9"/>
        <rFont val="Arial"/>
        <family val="2"/>
      </rPr>
      <t xml:space="preserve"> Employees, 10% of the DA Arrears for the Period  from </t>
    </r>
    <r>
      <rPr>
        <b/>
        <sz val="12"/>
        <color indexed="40"/>
        <rFont val="Arial"/>
        <family val="2"/>
      </rPr>
      <t xml:space="preserve">1-Jan-2022  to 31-May-2023 </t>
    </r>
    <r>
      <rPr>
        <b/>
        <sz val="12"/>
        <color indexed="9"/>
        <rFont val="Arial"/>
        <family val="2"/>
      </rPr>
      <t xml:space="preserve">shall be claimed and credited to PRAN Accounts of individuals along with Government Share as per the existing orders. The remaining 90% of DA Arrears shall be paid in </t>
    </r>
    <r>
      <rPr>
        <b/>
        <sz val="12"/>
        <color indexed="13"/>
        <rFont val="Arial"/>
        <family val="2"/>
      </rPr>
      <t>Seventeen(17) equal monthly instalments</t>
    </r>
    <r>
      <rPr>
        <b/>
        <sz val="12"/>
        <color indexed="9"/>
        <rFont val="Arial"/>
        <family val="2"/>
      </rPr>
      <t xml:space="preserve"> commencing </t>
    </r>
    <r>
      <rPr>
        <b/>
        <sz val="12"/>
        <color indexed="13"/>
        <rFont val="Arial"/>
        <family val="2"/>
      </rPr>
      <t>from the month of July-2023</t>
    </r>
  </si>
  <si>
    <t>HYDG15207D</t>
  </si>
  <si>
    <t>Asst.Professor of Maths</t>
  </si>
  <si>
    <t>If Yes,then enter  DA Arrears for the period from 01-July-21 to 31-Dec-22</t>
  </si>
  <si>
    <t>Have you Claimed DA Arrears for the period from July-21 to Dec-22 in this FY</t>
  </si>
  <si>
    <t>Have you Claimed DA Arrears for the period from Jan-22  to May-23 in this FY</t>
  </si>
  <si>
    <t>If Yes,then enter  DA Arrears for the period from 01-Jan-22  to 31-May-23</t>
  </si>
  <si>
    <t>Have you Claimed DA Arrears for the period from Jan-22 to May-23 in this FY</t>
  </si>
  <si>
    <t>If Yes,then enter  DA Arrears for the period from 01-Jan-22 to 31-May-23</t>
  </si>
  <si>
    <t>Income from Profession</t>
  </si>
  <si>
    <t>Income from Business</t>
  </si>
  <si>
    <t>Employer's Contribution to Employee NPS Account U/s 80CCD(2)</t>
  </si>
  <si>
    <t>Exemption on Voluntary Retirement  U/s 10(10C)</t>
  </si>
  <si>
    <t>Exemption on Leave Encashment  U/s 10(10AA)</t>
  </si>
  <si>
    <r>
      <t xml:space="preserve">Interest on Home loan on </t>
    </r>
    <r>
      <rPr>
        <b/>
        <sz val="11"/>
        <color theme="9"/>
        <rFont val="Arial"/>
        <family val="2"/>
      </rPr>
      <t>lent out property</t>
    </r>
    <r>
      <rPr>
        <b/>
        <sz val="11"/>
        <color theme="0"/>
        <rFont val="Arial"/>
        <family val="2"/>
      </rPr>
      <t xml:space="preserve"> U/s 24(b)</t>
    </r>
  </si>
  <si>
    <t>Deduction on Family Pension Income</t>
  </si>
  <si>
    <t>Transport Allowance for a Specially Abeld Person</t>
  </si>
  <si>
    <t>Conveyance Allowance</t>
  </si>
  <si>
    <t>Gift upto Rs.50,000</t>
  </si>
  <si>
    <t>Perquisites for official purpose</t>
  </si>
  <si>
    <t>New Tax Regime Information</t>
  </si>
  <si>
    <t xml:space="preserve"> Gross Salary (ia+ib+ic)</t>
  </si>
  <si>
    <t>Total Allowances  [ii(a)+ii(b)]</t>
  </si>
  <si>
    <t>Net Salary [(i)-(iii)]</t>
  </si>
  <si>
    <t>Deductions u/s 16   [v(a)+v(b)+v(c)]</t>
  </si>
  <si>
    <t>Income chargable under the 'Head Salaries' [(iv)-(v)]</t>
  </si>
  <si>
    <t>Net Taxable  Income (B1+B2+B3))</t>
  </si>
  <si>
    <t>B12</t>
  </si>
  <si>
    <t>Total Tax Payable (D3+D4)</t>
  </si>
  <si>
    <t>Tax Payble(D5-D6)</t>
  </si>
  <si>
    <t>Travel/Tour/Transfer Compensation</t>
  </si>
  <si>
    <t>Exemption on Gratuity Amount U/s 10(10)</t>
  </si>
  <si>
    <t>Deduction on Deposit in  Agniveer Carpus Fund U/s 80CCH(2)</t>
  </si>
  <si>
    <t>Additional Employee Costs U/s 80JJA</t>
  </si>
  <si>
    <t>Mail Id: surenderkadaru@gmail.com</t>
  </si>
  <si>
    <r>
      <t xml:space="preserve">If You have </t>
    </r>
    <r>
      <rPr>
        <b/>
        <sz val="14"/>
        <color rgb="FFFF0000"/>
        <rFont val="Gadugi"/>
        <family val="2"/>
      </rPr>
      <t>let out house property</t>
    </r>
    <r>
      <rPr>
        <sz val="14"/>
        <color theme="1"/>
        <rFont val="Gadugi"/>
        <family val="2"/>
      </rPr>
      <t xml:space="preserve">,you can claim a deduction for interest paid on the </t>
    </r>
    <r>
      <rPr>
        <b/>
        <sz val="14"/>
        <color rgb="FFFF0000"/>
        <rFont val="Gadugi"/>
        <family val="2"/>
      </rPr>
      <t>housing loan</t>
    </r>
    <r>
      <rPr>
        <sz val="14"/>
        <color theme="1"/>
        <rFont val="Gadugi"/>
        <family val="2"/>
      </rPr>
      <t>.In case of assesse is opted for section 115BAC (New Tax Regime),</t>
    </r>
    <r>
      <rPr>
        <b/>
        <sz val="14"/>
        <color rgb="FFFF0000"/>
        <rFont val="Gadugi"/>
        <family val="2"/>
      </rPr>
      <t>Loss under head property for rented house</t>
    </r>
    <r>
      <rPr>
        <sz val="14"/>
        <color theme="1"/>
        <rFont val="Gadugi"/>
        <family val="2"/>
      </rPr>
      <t xml:space="preserve"> shall not be allowed to set off from any other head income and cannot be carried forward</t>
    </r>
  </si>
  <si>
    <t>2025-2026</t>
  </si>
  <si>
    <t xml:space="preserve"> 2025-26</t>
  </si>
  <si>
    <t>Slab Rate</t>
  </si>
  <si>
    <t>Range of Taxable Income</t>
  </si>
  <si>
    <t>Slab Income</t>
  </si>
  <si>
    <t>Tax</t>
  </si>
  <si>
    <t>Select Your UGC-2016 Pay Scale as on  01-03-2024</t>
  </si>
  <si>
    <t>Standard Deductions under Section 16(i)                        Rs.75,000</t>
  </si>
  <si>
    <r>
      <t xml:space="preserve">As per G.O.Ms.No.120 , Dated: 30-Oct-2024  the TS Government has revised the rate of Dearness Allowances (DA)  for all the employees who are drawing UGC-2016 Pay Scales from the </t>
    </r>
    <r>
      <rPr>
        <b/>
        <sz val="12"/>
        <color rgb="FF00CC99"/>
        <rFont val="Arial Black"/>
        <family val="2"/>
      </rPr>
      <t>existing 34% to 38%</t>
    </r>
    <r>
      <rPr>
        <b/>
        <sz val="12"/>
        <color rgb="FFFFC000"/>
        <rFont val="Arial Black"/>
        <family val="2"/>
      </rPr>
      <t xml:space="preserve"> on the basic pay w.e.f. </t>
    </r>
    <r>
      <rPr>
        <b/>
        <sz val="12"/>
        <color rgb="FF00CC99"/>
        <rFont val="Arial Black"/>
        <family val="2"/>
      </rPr>
      <t>01-July-2022</t>
    </r>
  </si>
  <si>
    <t>Have you Claimed DA Arrears for the period from July-22 to Oct-24 in this FY</t>
  </si>
  <si>
    <t>If Yes,then enter  DA Arrears for the period from 01-July-22 to 31-October-24</t>
  </si>
  <si>
    <t>Have you Claimed DA Arrears for the period from July-22  to Oct-24 in this FY</t>
  </si>
  <si>
    <t>If Yes,then enter  DA Arrears for the period from 01-July-22  to 31-October-24</t>
  </si>
  <si>
    <t>As per G.O.Ms.No.120 , Dated: 30-Oct-2024  the TS Government has revised the rate of Dearness Allowances (DA)  for all the employees who are drawing UGC-2016 Pay Scales from the existing 34% to 38% on the basic pay w.e.f. 01-July-2022</t>
  </si>
  <si>
    <t>KRR Govt.Arts &amp; Science College(A)</t>
  </si>
  <si>
    <t>G.Hadasa Rani</t>
  </si>
  <si>
    <t>Principal</t>
  </si>
  <si>
    <t>AAZZCC1235</t>
  </si>
  <si>
    <t>Enter your Payment of Honorarium for Election Duty</t>
  </si>
  <si>
    <t>Have you claimed Honorarium for election duty as a sectorial officer</t>
  </si>
  <si>
    <t>If Yes, then enter your Payment of Honorarium for Election duty</t>
  </si>
  <si>
    <t xml:space="preserve">Enter your Payment of Honorarium for Election Duty as a Sectorial officer  Details </t>
  </si>
  <si>
    <t xml:space="preserve"> Assistant Professor of Zoology</t>
  </si>
  <si>
    <t>2026-2027</t>
  </si>
  <si>
    <t>ANNEXURE - 1 (Financial Year 2025-26)</t>
  </si>
  <si>
    <t>Income Tax FY:2025-26(AY:2026-27)</t>
  </si>
  <si>
    <t xml:space="preserve"> 2026-27</t>
  </si>
  <si>
    <t>Upto Rs.4,00,000</t>
  </si>
  <si>
    <t>Rs.4,00,001   To   8,00,000</t>
  </si>
  <si>
    <t>Rs.8,00,001  To  12,00,000</t>
  </si>
  <si>
    <t>Rs.12,00,001  To  16,00,000</t>
  </si>
  <si>
    <t>Rs.16,00,001   To   20,00,000</t>
  </si>
  <si>
    <t>Rs.20,00,001   To   24,00,000</t>
  </si>
  <si>
    <t>Above Rs.24,00,000</t>
  </si>
  <si>
    <t xml:space="preserve">                          Up to Rs. 4,00,000</t>
  </si>
  <si>
    <t xml:space="preserve">                         Rs.4,00,001 To 8,00,000</t>
  </si>
  <si>
    <t xml:space="preserve">                         Rs.8,00,001 To 12,00,000</t>
  </si>
  <si>
    <t xml:space="preserve">                         Rs.12,00,001 To 16,00,000</t>
  </si>
  <si>
    <t xml:space="preserve">                        Rs.16,00,001 To 20,00,000</t>
  </si>
  <si>
    <t xml:space="preserve">                        Rs.20,00,001 To 24,00,000</t>
  </si>
  <si>
    <t xml:space="preserve">                       Above Rs.24,00,000</t>
  </si>
  <si>
    <t>Select Your UGC-2016 Pay Scale as on  01-March-2025</t>
  </si>
  <si>
    <t>Select your Basic Pay  as on  01-March-2025</t>
  </si>
  <si>
    <t>Financial Year:2025-26</t>
  </si>
  <si>
    <t>Assesment Year:2026-27</t>
  </si>
  <si>
    <t>Deductions allowed under New Tax Regime for the FY 2025-26 (AY:2026-27)</t>
  </si>
  <si>
    <t>Place of Work</t>
  </si>
  <si>
    <t>Place of  Work</t>
  </si>
  <si>
    <t>Metro</t>
  </si>
  <si>
    <t>Non-Metro</t>
  </si>
  <si>
    <t>Schedule-10(13A)  House rent allowance(HRA)</t>
  </si>
  <si>
    <t>Actual HRA Received</t>
  </si>
  <si>
    <t>Actual Rent Paid</t>
  </si>
  <si>
    <t>Details of Salary as per section 17(1)</t>
  </si>
  <si>
    <t>Basic Salary</t>
  </si>
  <si>
    <t>Dearness Allowance</t>
  </si>
  <si>
    <t>Actual Rent Paid-10% of Salary(B) (3-10% 4)</t>
  </si>
  <si>
    <t>4a</t>
  </si>
  <si>
    <t>4b</t>
  </si>
  <si>
    <t>Eligible Exempt Allowance</t>
  </si>
  <si>
    <t xml:space="preserve"> Monthly House Rent Calculation</t>
  </si>
  <si>
    <t>Salary</t>
  </si>
  <si>
    <t>Actual   HRA Received</t>
  </si>
  <si>
    <t>Basic  Pay</t>
  </si>
  <si>
    <t>Rent paid -10% of Salary</t>
  </si>
  <si>
    <t>Max</t>
  </si>
  <si>
    <t>Min</t>
  </si>
  <si>
    <t>Select your Basic Pay  as on  01-03-2025</t>
  </si>
  <si>
    <t>Have you Claimed DA Arrears for the period from Jan-23  to May-25 in this FY</t>
  </si>
  <si>
    <t>If Yes,then enter  DA Arrears for the period from 01-Jan-23  to 31-May-25</t>
  </si>
  <si>
    <r>
      <rPr>
        <b/>
        <sz val="12"/>
        <color rgb="FFFFFF00"/>
        <rFont val="Arial Black"/>
        <family val="2"/>
      </rPr>
      <t>As per G.O.Ms.No.78 , Dated: 13-Jun-2025</t>
    </r>
    <r>
      <rPr>
        <b/>
        <sz val="12"/>
        <color theme="0"/>
        <rFont val="Arial Black"/>
        <family val="2"/>
      </rPr>
      <t xml:space="preserve">  the TS Government has revised the rate of Dearness Allowances (DA)  for all the employees who are drawing UGC-2016 Pay Scales from the existing </t>
    </r>
    <r>
      <rPr>
        <b/>
        <sz val="12"/>
        <color rgb="FFFFFF00"/>
        <rFont val="Arial Black"/>
        <family val="2"/>
      </rPr>
      <t>38% to 42%</t>
    </r>
    <r>
      <rPr>
        <b/>
        <sz val="12"/>
        <color theme="0"/>
        <rFont val="Arial Black"/>
        <family val="2"/>
      </rPr>
      <t xml:space="preserve"> on the basic pay w.e.f. </t>
    </r>
    <r>
      <rPr>
        <b/>
        <sz val="12"/>
        <color rgb="FFFFFF00"/>
        <rFont val="Arial Black"/>
        <family val="2"/>
      </rPr>
      <t>01-January-2023</t>
    </r>
  </si>
  <si>
    <t>Have you Claimed Principal Allowances</t>
  </si>
  <si>
    <t>Principal Allowances</t>
  </si>
  <si>
    <t>Principal Allowance</t>
  </si>
  <si>
    <t>Details of Salary as per section 17(1)[4a+4b]</t>
  </si>
  <si>
    <t>As per G.O.Ms.No.78 , Dated: 13-Jun-2025  the TS Government has revised the rate of Dearness Allowances (DA)  for all the employees who are drawing UGC-2016 Pay Scales from the existing 38% to 42% on the basic pay w.e.f. 01-January-2023</t>
  </si>
  <si>
    <t>If Yes,then enter  DA Arrears for the period from 01-January-23  to 31-May-25</t>
  </si>
  <si>
    <t>April-2025</t>
  </si>
  <si>
    <t>March-2026</t>
  </si>
  <si>
    <r>
      <t xml:space="preserve">As per G.O.Ms.No.3 , Dated: 19-Jan-2022  the TS Government has revised the rate of Dearness Allowances (DA)  for all the employees who are drawing UGC-2016 Pay Scales from the </t>
    </r>
    <r>
      <rPr>
        <b/>
        <sz val="12"/>
        <color rgb="FFFFC000"/>
        <rFont val="Arial Black"/>
        <family val="2"/>
      </rPr>
      <t>existing 17% to 28%</t>
    </r>
    <r>
      <rPr>
        <b/>
        <sz val="12"/>
        <color theme="0"/>
        <rFont val="Arial Black"/>
        <family val="2"/>
      </rPr>
      <t xml:space="preserve"> on the basic pay </t>
    </r>
    <r>
      <rPr>
        <b/>
        <sz val="12"/>
        <color rgb="FFFFC000"/>
        <rFont val="Arial Black"/>
        <family val="2"/>
      </rPr>
      <t>w.e.f. 01-July-2021</t>
    </r>
  </si>
  <si>
    <t>Have you Claimed DA Arrears for the period from July-21 to Dec-21 in this FY</t>
  </si>
  <si>
    <t>If Yes,then enter  DA Arrears for the period from 01-July-21 to 31-Dec-21</t>
  </si>
  <si>
    <t>As per G.O.Ms.No.3 , Dated: 19-Jan-2022  the TS Government has revised the rate of Dearness Allowances (DA)  for all the employees who are drawing UGC-2016 Pay Scales from the existing 17% to 28% on the basic pay w.e.f. 01-July-2021</t>
  </si>
  <si>
    <t>If Yes,then enter  DA Arrears for the period from 01-July-22  to 31-December-21</t>
  </si>
  <si>
    <t>As per G.O.Ms.No.02 , Dated: 12-January-2026  the TS Government has revised the rate of Dearness Allowances (DA)  for all the employees who are drawing UGC-2016 Pay Scales from the existing 42% to 46% on the basic pay w.e.f. 01-July-2023</t>
  </si>
  <si>
    <t>Have you Claimed DA Arrears for the period from July-23  to Dec-25 in this FY</t>
  </si>
  <si>
    <t>If Yes,then enter  DA Arrears for the period from 01-July-23  to 31-December-25</t>
  </si>
  <si>
    <t>If Yes,then enter  DA Arrears for the period from 01-July-23  to           31-December-25</t>
  </si>
  <si>
    <r>
      <rPr>
        <b/>
        <sz val="12"/>
        <color rgb="FFFFFF00"/>
        <rFont val="Arial Black"/>
        <family val="2"/>
      </rPr>
      <t>As per G.O.Ms.No.02 , Dated: 12-Jan-2025</t>
    </r>
    <r>
      <rPr>
        <b/>
        <sz val="12"/>
        <color theme="0"/>
        <rFont val="Arial Black"/>
        <family val="2"/>
      </rPr>
      <t xml:space="preserve">  the TS Government has revised the rate of Dearness Allowances (DA)  for all the employees who are drawing UGC-2016 Pay Scales from the existing </t>
    </r>
    <r>
      <rPr>
        <b/>
        <sz val="12"/>
        <color rgb="FFFFC000"/>
        <rFont val="Arial Black"/>
        <family val="2"/>
      </rPr>
      <t xml:space="preserve">42% to 46% </t>
    </r>
    <r>
      <rPr>
        <b/>
        <sz val="12"/>
        <color theme="0"/>
        <rFont val="Arial Black"/>
        <family val="2"/>
      </rPr>
      <t xml:space="preserve">on the basic pay w.e.f. </t>
    </r>
    <r>
      <rPr>
        <b/>
        <sz val="12"/>
        <color rgb="FFFFFF00"/>
        <rFont val="Arial Black"/>
        <family val="2"/>
      </rPr>
      <t>01-July-2023</t>
    </r>
  </si>
  <si>
    <t>Actual Tax on Total Income</t>
  </si>
  <si>
    <t>Income More than Rs.12,00,000</t>
  </si>
  <si>
    <t>Marginal Relief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</si>
</sst>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5" formatCode="&quot;₹&quot;\ #,##0;&quot;₹&quot;\ \-#,##0"/>
    <numFmt numFmtId="164" formatCode="_(* #,##0_);_(* \(#,##0\);_(* &quot;-&quot;_);_(@_)"/>
    <numFmt numFmtId="165" formatCode="_(&quot;$&quot;* #,##0.00_);_(&quot;$&quot;* \(#,##0.00\);_(&quot;$&quot;* &quot;-&quot;??_);_(@_)"/>
    <numFmt numFmtId="166" formatCode="[$-409]mmm\-yy;@"/>
    <numFmt numFmtId="167" formatCode="[$-409]d\-mmm\-yy;@"/>
    <numFmt numFmtId="168" formatCode="0_)"/>
    <numFmt numFmtId="169" formatCode="mmm\-yyyy"/>
    <numFmt numFmtId="170" formatCode="0.000%"/>
    <numFmt numFmtId="171" formatCode="[$-409]mmmm\ d\,\ yyyy;@"/>
    <numFmt numFmtId="172" formatCode="[$-409]d\-mmm\-yyyy;@"/>
    <numFmt numFmtId="173" formatCode="#,##0;[Red]#,##0"/>
    <numFmt numFmtId="174" formatCode="[$-409]mmmm\-yy;@"/>
    <numFmt numFmtId="175" formatCode="mmm/yyyy"/>
    <numFmt numFmtId="176" formatCode="[$-409]mmm/yy;@"/>
    <numFmt numFmtId="177" formatCode="[$-409]d/mmm/yy;@"/>
    <numFmt numFmtId="178" formatCode="[$-14009]dd/mm/yyyy;@"/>
    <numFmt numFmtId="179" formatCode="0_ ;[Red]\-0\ "/>
    <numFmt numFmtId="180" formatCode="[$-409]dd/mmm/yy;@"/>
    <numFmt numFmtId="181" formatCode="00000"/>
    <numFmt numFmtId="182" formatCode="0;[Red]0"/>
    <numFmt numFmtId="183" formatCode="&quot;₹&quot;\ "/>
    <numFmt numFmtId="184" formatCode="&quot;₹&quot;\ #,##0"/>
  </numFmts>
  <fonts count="532">
    <font>
      <sz val="11"/>
      <color theme="1"/>
      <name val="Calibri"/>
      <family val="2"/>
      <scheme val="minor"/>
    </font>
    <font>
      <b/>
      <sz val="10"/>
      <name val="Arial"/>
      <family val="2"/>
    </font>
    <font>
      <sz val="10"/>
      <name val="Arial"/>
      <family val="2"/>
    </font>
    <font>
      <b/>
      <sz val="11"/>
      <name val="Arial"/>
      <family val="2"/>
    </font>
    <font>
      <b/>
      <sz val="12"/>
      <name val="Arial"/>
      <family val="2"/>
    </font>
    <font>
      <sz val="12"/>
      <name val="Arial Black"/>
      <family val="2"/>
    </font>
    <font>
      <sz val="10"/>
      <color indexed="10"/>
      <name val="Arial"/>
      <family val="2"/>
    </font>
    <font>
      <sz val="11"/>
      <color indexed="10"/>
      <name val="Arial"/>
      <family val="2"/>
    </font>
    <font>
      <sz val="11"/>
      <name val="Arial"/>
      <family val="2"/>
    </font>
    <font>
      <b/>
      <sz val="10"/>
      <color indexed="10"/>
      <name val="Arial"/>
      <family val="2"/>
    </font>
    <font>
      <sz val="12"/>
      <name val="Arial"/>
      <family val="2"/>
    </font>
    <font>
      <sz val="12"/>
      <name val="Calibri"/>
      <family val="2"/>
    </font>
    <font>
      <b/>
      <sz val="9"/>
      <color indexed="10"/>
      <name val="Arial"/>
      <family val="2"/>
    </font>
    <font>
      <b/>
      <sz val="14"/>
      <color indexed="10"/>
      <name val="Arial"/>
      <family val="2"/>
    </font>
    <font>
      <sz val="8"/>
      <name val="Arial"/>
      <family val="2"/>
    </font>
    <font>
      <sz val="11"/>
      <name val="Comic Sans MS"/>
      <family val="4"/>
    </font>
    <font>
      <b/>
      <sz val="16"/>
      <name val="Calibri"/>
      <family val="2"/>
    </font>
    <font>
      <sz val="10"/>
      <name val="Verdana"/>
      <family val="2"/>
    </font>
    <font>
      <sz val="8"/>
      <name val="Verdana"/>
      <family val="2"/>
    </font>
    <font>
      <sz val="9"/>
      <name val="Verdana"/>
      <family val="2"/>
    </font>
    <font>
      <sz val="9"/>
      <name val="Calibri"/>
      <family val="2"/>
    </font>
    <font>
      <sz val="9"/>
      <name val="Arial"/>
      <family val="2"/>
    </font>
    <font>
      <sz val="10"/>
      <name val="Calibri"/>
      <family val="2"/>
    </font>
    <font>
      <sz val="10"/>
      <color indexed="9"/>
      <name val="Arial"/>
      <family val="2"/>
    </font>
    <font>
      <b/>
      <sz val="10"/>
      <name val="Calibri"/>
      <family val="2"/>
    </font>
    <font>
      <b/>
      <u/>
      <sz val="9"/>
      <name val="Comic Sans MS"/>
      <family val="4"/>
    </font>
    <font>
      <sz val="8"/>
      <name val="Comic Sans MS"/>
      <family val="4"/>
    </font>
    <font>
      <sz val="8"/>
      <name val="Calibri"/>
      <family val="2"/>
    </font>
    <font>
      <sz val="14"/>
      <name val="Calibri"/>
      <family val="2"/>
    </font>
    <font>
      <sz val="7"/>
      <name val="Arial"/>
      <family val="2"/>
    </font>
    <font>
      <u/>
      <sz val="8"/>
      <color indexed="12"/>
      <name val="Arial"/>
      <family val="2"/>
    </font>
    <font>
      <sz val="8"/>
      <color indexed="12"/>
      <name val="Arial"/>
      <family val="2"/>
    </font>
    <font>
      <sz val="10"/>
      <color indexed="22"/>
      <name val="Arial"/>
      <family val="2"/>
    </font>
    <font>
      <sz val="11"/>
      <color indexed="22"/>
      <name val="Arial"/>
      <family val="2"/>
    </font>
    <font>
      <sz val="10"/>
      <color indexed="57"/>
      <name val="Arial"/>
      <family val="2"/>
    </font>
    <font>
      <b/>
      <i/>
      <sz val="12"/>
      <name val="Times New Roman"/>
      <family val="1"/>
    </font>
    <font>
      <b/>
      <sz val="14"/>
      <name val="Arial"/>
      <family val="2"/>
    </font>
    <font>
      <b/>
      <sz val="12"/>
      <name val="Calibri"/>
      <family val="2"/>
    </font>
    <font>
      <sz val="11"/>
      <name val="Calibri"/>
      <family val="2"/>
    </font>
    <font>
      <sz val="11"/>
      <color indexed="9"/>
      <name val="Calibri"/>
      <family val="2"/>
    </font>
    <font>
      <sz val="11"/>
      <color indexed="10"/>
      <name val="Calibri"/>
      <family val="2"/>
    </font>
    <font>
      <b/>
      <sz val="10"/>
      <color indexed="9"/>
      <name val="Arial"/>
      <family val="2"/>
    </font>
    <font>
      <sz val="9"/>
      <color indexed="9"/>
      <name val="Arial"/>
      <family val="2"/>
    </font>
    <font>
      <b/>
      <sz val="11"/>
      <name val="Calibri"/>
      <family val="2"/>
    </font>
    <font>
      <sz val="10"/>
      <color indexed="8"/>
      <name val="Arial"/>
      <family val="2"/>
    </font>
    <font>
      <sz val="11"/>
      <color indexed="8"/>
      <name val="Arial"/>
      <family val="2"/>
    </font>
    <font>
      <sz val="10"/>
      <color indexed="8"/>
      <name val="Calibri"/>
      <family val="2"/>
    </font>
    <font>
      <b/>
      <sz val="11"/>
      <color indexed="8"/>
      <name val="Arial"/>
      <family val="2"/>
    </font>
    <font>
      <sz val="8"/>
      <color indexed="8"/>
      <name val="Calibri"/>
      <family val="2"/>
    </font>
    <font>
      <b/>
      <sz val="12"/>
      <color indexed="10"/>
      <name val="Arial"/>
      <family val="2"/>
    </font>
    <font>
      <b/>
      <sz val="12"/>
      <color indexed="9"/>
      <name val="Arial"/>
      <family val="2"/>
    </font>
    <font>
      <b/>
      <sz val="9"/>
      <name val="Calibri"/>
      <family val="2"/>
    </font>
    <font>
      <b/>
      <sz val="9"/>
      <color indexed="9"/>
      <name val="Arial"/>
      <family val="2"/>
    </font>
    <font>
      <b/>
      <sz val="14"/>
      <color indexed="9"/>
      <name val="Calibri"/>
      <family val="2"/>
    </font>
    <font>
      <sz val="10"/>
      <color indexed="13"/>
      <name val="Arial"/>
      <family val="2"/>
    </font>
    <font>
      <sz val="14"/>
      <name val="Arial"/>
      <family val="2"/>
    </font>
    <font>
      <b/>
      <sz val="14"/>
      <color indexed="9"/>
      <name val="Arial"/>
      <family val="2"/>
    </font>
    <font>
      <sz val="8"/>
      <color indexed="9"/>
      <name val="Arial"/>
      <family val="2"/>
    </font>
    <font>
      <u/>
      <sz val="10"/>
      <color indexed="12"/>
      <name val="Arial"/>
      <family val="2"/>
    </font>
    <font>
      <b/>
      <sz val="8"/>
      <color indexed="9"/>
      <name val="Arial"/>
      <family val="2"/>
    </font>
    <font>
      <sz val="10"/>
      <color indexed="16"/>
      <name val="Arial"/>
      <family val="2"/>
    </font>
    <font>
      <b/>
      <sz val="14"/>
      <name val="Calibri"/>
      <family val="2"/>
    </font>
    <font>
      <sz val="8"/>
      <color indexed="16"/>
      <name val="Arial"/>
      <family val="2"/>
    </font>
    <font>
      <b/>
      <sz val="8"/>
      <color indexed="16"/>
      <name val="Arial"/>
      <family val="2"/>
    </font>
    <font>
      <b/>
      <sz val="9"/>
      <color indexed="16"/>
      <name val="Arial"/>
      <family val="2"/>
    </font>
    <font>
      <b/>
      <sz val="10"/>
      <color indexed="16"/>
      <name val="Arial"/>
      <family val="2"/>
    </font>
    <font>
      <sz val="10"/>
      <color indexed="9"/>
      <name val="Calibri"/>
      <family val="2"/>
    </font>
    <font>
      <b/>
      <sz val="11"/>
      <color indexed="16"/>
      <name val="Arial"/>
      <family val="2"/>
    </font>
    <font>
      <sz val="11"/>
      <color indexed="16"/>
      <name val="Arial"/>
      <family val="2"/>
    </font>
    <font>
      <b/>
      <sz val="8"/>
      <name val="Arial"/>
      <family val="2"/>
    </font>
    <font>
      <b/>
      <sz val="9"/>
      <name val="Arial"/>
      <family val="2"/>
    </font>
    <font>
      <b/>
      <sz val="10"/>
      <color indexed="16"/>
      <name val="Calibri"/>
      <family val="2"/>
    </font>
    <font>
      <sz val="10"/>
      <color indexed="16"/>
      <name val="Calibri"/>
      <family val="2"/>
    </font>
    <font>
      <sz val="9"/>
      <color indexed="16"/>
      <name val="Arial"/>
      <family val="2"/>
    </font>
    <font>
      <b/>
      <sz val="10"/>
      <color indexed="16"/>
      <name val="Verdana"/>
      <family val="2"/>
    </font>
    <font>
      <b/>
      <sz val="10"/>
      <color indexed="9"/>
      <name val="Calibri"/>
      <family val="2"/>
    </font>
    <font>
      <b/>
      <sz val="10"/>
      <name val="Verdana"/>
      <family val="2"/>
    </font>
    <font>
      <sz val="7"/>
      <name val="Calibri"/>
      <family val="2"/>
    </font>
    <font>
      <sz val="8"/>
      <color indexed="48"/>
      <name val="Arial"/>
      <family val="2"/>
    </font>
    <font>
      <sz val="36"/>
      <color indexed="9"/>
      <name val="Arial"/>
      <family val="2"/>
    </font>
    <font>
      <sz val="7"/>
      <color indexed="9"/>
      <name val="Calibri"/>
      <family val="2"/>
    </font>
    <font>
      <b/>
      <sz val="10"/>
      <name val="Comic Sans MS"/>
      <family val="4"/>
    </font>
    <font>
      <sz val="7"/>
      <color indexed="12"/>
      <name val="Comic Sans MS"/>
      <family val="4"/>
    </font>
    <font>
      <b/>
      <sz val="18"/>
      <name val="Calibri"/>
      <family val="2"/>
    </font>
    <font>
      <sz val="16"/>
      <name val="Calibri"/>
      <family val="2"/>
    </font>
    <font>
      <sz val="10"/>
      <name val="Comic Sans MS"/>
      <family val="4"/>
    </font>
    <font>
      <b/>
      <sz val="9"/>
      <name val="Verdana"/>
      <family val="2"/>
    </font>
    <font>
      <b/>
      <sz val="10"/>
      <color indexed="8"/>
      <name val="Arial"/>
      <family val="2"/>
    </font>
    <font>
      <sz val="12"/>
      <color indexed="8"/>
      <name val="Arial"/>
      <family val="2"/>
    </font>
    <font>
      <sz val="9"/>
      <color indexed="57"/>
      <name val="Arial"/>
      <family val="2"/>
    </font>
    <font>
      <sz val="10"/>
      <color indexed="57"/>
      <name val="Calibri"/>
      <family val="2"/>
    </font>
    <font>
      <b/>
      <sz val="9"/>
      <color indexed="57"/>
      <name val="Arial"/>
      <family val="2"/>
    </font>
    <font>
      <b/>
      <sz val="10"/>
      <color indexed="57"/>
      <name val="Calibri"/>
      <family val="2"/>
    </font>
    <font>
      <b/>
      <sz val="11"/>
      <color indexed="57"/>
      <name val="Calibri"/>
      <family val="2"/>
    </font>
    <font>
      <sz val="9"/>
      <color indexed="57"/>
      <name val="Calibri"/>
      <family val="2"/>
    </font>
    <font>
      <b/>
      <sz val="11"/>
      <color indexed="57"/>
      <name val="Arial"/>
      <family val="2"/>
    </font>
    <font>
      <b/>
      <sz val="13"/>
      <color indexed="57"/>
      <name val="Calibri"/>
      <family val="2"/>
    </font>
    <font>
      <sz val="11"/>
      <color indexed="57"/>
      <name val="Arial"/>
      <family val="2"/>
    </font>
    <font>
      <sz val="8"/>
      <color indexed="57"/>
      <name val="Calibri"/>
      <family val="2"/>
    </font>
    <font>
      <sz val="9"/>
      <color indexed="10"/>
      <name val="Calibri"/>
      <family val="2"/>
    </font>
    <font>
      <b/>
      <sz val="7"/>
      <color indexed="9"/>
      <name val="Comic Sans MS"/>
      <family val="4"/>
    </font>
    <font>
      <b/>
      <sz val="11"/>
      <name val="Comic Sans MS"/>
      <family val="4"/>
    </font>
    <font>
      <b/>
      <sz val="7"/>
      <color indexed="57"/>
      <name val="Comic Sans MS"/>
      <family val="4"/>
    </font>
    <font>
      <b/>
      <sz val="8"/>
      <color indexed="57"/>
      <name val="Comic Sans MS"/>
      <family val="4"/>
    </font>
    <font>
      <sz val="8"/>
      <color indexed="57"/>
      <name val="Comic Sans MS"/>
      <family val="4"/>
    </font>
    <font>
      <sz val="11"/>
      <color indexed="57"/>
      <name val="Calibri"/>
      <family val="2"/>
    </font>
    <font>
      <b/>
      <sz val="10"/>
      <color indexed="57"/>
      <name val="Comic Sans MS"/>
      <family val="4"/>
    </font>
    <font>
      <sz val="10"/>
      <color indexed="57"/>
      <name val="Comic Sans MS"/>
      <family val="4"/>
    </font>
    <font>
      <b/>
      <sz val="10"/>
      <color indexed="57"/>
      <name val="Arial"/>
      <family val="2"/>
    </font>
    <font>
      <b/>
      <sz val="9"/>
      <color indexed="57"/>
      <name val="Comic Sans MS"/>
      <family val="4"/>
    </font>
    <font>
      <sz val="10"/>
      <color indexed="10"/>
      <name val="Calibri"/>
      <family val="2"/>
    </font>
    <font>
      <b/>
      <sz val="14"/>
      <name val="Times New Roman"/>
      <family val="1"/>
    </font>
    <font>
      <sz val="12"/>
      <name val="Times New Roman"/>
      <family val="1"/>
    </font>
    <font>
      <b/>
      <sz val="11"/>
      <color indexed="13"/>
      <name val="Arial"/>
      <family val="2"/>
    </font>
    <font>
      <sz val="11"/>
      <name val="Verdana"/>
      <family val="2"/>
    </font>
    <font>
      <b/>
      <i/>
      <u/>
      <sz val="11"/>
      <name val="Arial"/>
      <family val="2"/>
    </font>
    <font>
      <b/>
      <sz val="9"/>
      <color indexed="14"/>
      <name val="Arial"/>
      <family val="2"/>
    </font>
    <font>
      <b/>
      <sz val="9"/>
      <color indexed="17"/>
      <name val="Arial"/>
      <family val="2"/>
    </font>
    <font>
      <b/>
      <sz val="9"/>
      <color indexed="12"/>
      <name val="Arial"/>
      <family val="2"/>
    </font>
    <font>
      <sz val="9"/>
      <name val="Arial Black"/>
      <family val="2"/>
    </font>
    <font>
      <b/>
      <sz val="16"/>
      <name val="Times New Roman"/>
      <family val="1"/>
    </font>
    <font>
      <sz val="10"/>
      <name val="Times New Roman"/>
      <family val="1"/>
    </font>
    <font>
      <sz val="11"/>
      <name val="Times New Roman"/>
      <family val="1"/>
    </font>
    <font>
      <sz val="10.5"/>
      <name val="Arial"/>
      <family val="2"/>
    </font>
    <font>
      <b/>
      <sz val="12"/>
      <name val="Times New Roman"/>
      <family val="1"/>
    </font>
    <font>
      <b/>
      <i/>
      <sz val="9"/>
      <name val="Arial"/>
      <family val="2"/>
    </font>
    <font>
      <sz val="12"/>
      <color indexed="9"/>
      <name val="Arial"/>
      <family val="2"/>
    </font>
    <font>
      <sz val="14"/>
      <color indexed="9"/>
      <name val="Arial"/>
      <family val="2"/>
    </font>
    <font>
      <i/>
      <sz val="14"/>
      <color indexed="9"/>
      <name val="Arial"/>
      <family val="2"/>
    </font>
    <font>
      <b/>
      <i/>
      <sz val="16"/>
      <color indexed="13"/>
      <name val="Calibri"/>
      <family val="2"/>
    </font>
    <font>
      <i/>
      <sz val="12"/>
      <color indexed="9"/>
      <name val="Arial"/>
      <family val="2"/>
    </font>
    <font>
      <sz val="9"/>
      <color indexed="8"/>
      <name val="Arial"/>
      <family val="2"/>
    </font>
    <font>
      <b/>
      <sz val="8"/>
      <color indexed="8"/>
      <name val="Arial"/>
      <family val="2"/>
    </font>
    <font>
      <b/>
      <sz val="10"/>
      <color indexed="12"/>
      <name val="Arial"/>
      <family val="2"/>
    </font>
    <font>
      <i/>
      <sz val="10"/>
      <name val="Arial"/>
      <family val="2"/>
    </font>
    <font>
      <sz val="12"/>
      <color indexed="16"/>
      <name val="Arial"/>
      <family val="2"/>
    </font>
    <font>
      <b/>
      <sz val="12"/>
      <name val="Book Antiqua"/>
      <family val="1"/>
    </font>
    <font>
      <sz val="11"/>
      <color indexed="9"/>
      <name val="Calibri"/>
      <family val="2"/>
    </font>
    <font>
      <b/>
      <sz val="11"/>
      <color indexed="9"/>
      <name val="Calibri"/>
      <family val="2"/>
    </font>
    <font>
      <b/>
      <sz val="11"/>
      <color indexed="8"/>
      <name val="Calibri"/>
      <family val="2"/>
    </font>
    <font>
      <sz val="11"/>
      <color indexed="10"/>
      <name val="Calibri"/>
      <family val="2"/>
    </font>
    <font>
      <sz val="11"/>
      <name val="Calibri"/>
      <family val="2"/>
    </font>
    <font>
      <sz val="12"/>
      <color indexed="8"/>
      <name val="Calibri"/>
      <family val="2"/>
    </font>
    <font>
      <sz val="10"/>
      <color indexed="8"/>
      <name val="Arial"/>
      <family val="2"/>
    </font>
    <font>
      <sz val="11"/>
      <color indexed="8"/>
      <name val="Arial"/>
      <family val="2"/>
    </font>
    <font>
      <sz val="14"/>
      <color indexed="8"/>
      <name val="Calibri"/>
      <family val="2"/>
    </font>
    <font>
      <sz val="22"/>
      <color indexed="8"/>
      <name val="Calibri"/>
      <family val="2"/>
    </font>
    <font>
      <b/>
      <i/>
      <sz val="14"/>
      <color indexed="9"/>
      <name val="Book Antiqua"/>
      <family val="1"/>
    </font>
    <font>
      <i/>
      <sz val="14"/>
      <color indexed="9"/>
      <name val="Calibri"/>
      <family val="2"/>
    </font>
    <font>
      <i/>
      <sz val="14"/>
      <color indexed="8"/>
      <name val="Calibri"/>
      <family val="2"/>
    </font>
    <font>
      <b/>
      <sz val="14"/>
      <color indexed="45"/>
      <name val="Book Antiqua"/>
      <family val="1"/>
    </font>
    <font>
      <b/>
      <sz val="20"/>
      <color indexed="26"/>
      <name val="Book Antiqua"/>
      <family val="1"/>
    </font>
    <font>
      <b/>
      <sz val="12"/>
      <color indexed="8"/>
      <name val="Calibri"/>
      <family val="2"/>
    </font>
    <font>
      <b/>
      <sz val="14"/>
      <color indexed="9"/>
      <name val="Verdana"/>
      <family val="2"/>
    </font>
    <font>
      <b/>
      <i/>
      <sz val="18"/>
      <color indexed="9"/>
      <name val="Book Antiqua"/>
      <family val="1"/>
    </font>
    <font>
      <i/>
      <sz val="11"/>
      <color indexed="8"/>
      <name val="Calibri"/>
      <family val="2"/>
    </font>
    <font>
      <b/>
      <i/>
      <sz val="16"/>
      <color indexed="9"/>
      <name val="Book Antiqua"/>
      <family val="1"/>
    </font>
    <font>
      <b/>
      <sz val="18"/>
      <color indexed="9"/>
      <name val="Book Antiqua"/>
      <family val="1"/>
    </font>
    <font>
      <b/>
      <sz val="11"/>
      <color indexed="9"/>
      <name val="Book Antiqua"/>
      <family val="1"/>
    </font>
    <font>
      <b/>
      <sz val="20"/>
      <color indexed="9"/>
      <name val="Book Antiqua"/>
      <family val="1"/>
    </font>
    <font>
      <sz val="20"/>
      <color indexed="9"/>
      <name val="Calibri"/>
      <family val="2"/>
    </font>
    <font>
      <b/>
      <sz val="16"/>
      <color indexed="9"/>
      <name val="Book Antiqua"/>
      <family val="1"/>
    </font>
    <font>
      <sz val="22"/>
      <color indexed="9"/>
      <name val="Calibri"/>
      <family val="2"/>
    </font>
    <font>
      <b/>
      <sz val="22"/>
      <color indexed="9"/>
      <name val="Book Antiqua"/>
      <family val="1"/>
    </font>
    <font>
      <b/>
      <sz val="14"/>
      <color indexed="9"/>
      <name val="Book Antiqua"/>
      <family val="1"/>
    </font>
    <font>
      <u/>
      <sz val="18"/>
      <color indexed="9"/>
      <name val="Calibri"/>
      <family val="2"/>
    </font>
    <font>
      <u/>
      <sz val="18"/>
      <color indexed="9"/>
      <name val="Book Antiqua"/>
      <family val="1"/>
    </font>
    <font>
      <i/>
      <sz val="22"/>
      <color indexed="9"/>
      <name val="Calibri"/>
      <family val="2"/>
    </font>
    <font>
      <sz val="14"/>
      <color indexed="9"/>
      <name val="Arial Black"/>
      <family val="2"/>
    </font>
    <font>
      <sz val="11"/>
      <color indexed="8"/>
      <name val="Arial Black"/>
      <family val="2"/>
    </font>
    <font>
      <b/>
      <i/>
      <u/>
      <sz val="14"/>
      <color indexed="9"/>
      <name val="Arial"/>
      <family val="2"/>
    </font>
    <font>
      <sz val="10"/>
      <color indexed="8"/>
      <name val="Calibri"/>
      <family val="2"/>
    </font>
    <font>
      <sz val="10"/>
      <color indexed="26"/>
      <name val="Arial"/>
      <family val="2"/>
    </font>
    <font>
      <sz val="11"/>
      <color indexed="26"/>
      <name val="Calibri"/>
      <family val="2"/>
    </font>
    <font>
      <sz val="10"/>
      <color indexed="26"/>
      <name val="Calibri"/>
      <family val="2"/>
    </font>
    <font>
      <sz val="11"/>
      <color indexed="26"/>
      <name val="Arial"/>
      <family val="2"/>
    </font>
    <font>
      <sz val="11"/>
      <color indexed="13"/>
      <name val="Calibri"/>
      <family val="2"/>
    </font>
    <font>
      <b/>
      <sz val="14"/>
      <color indexed="9"/>
      <name val="Calibri"/>
      <family val="2"/>
    </font>
    <font>
      <b/>
      <sz val="10"/>
      <color indexed="26"/>
      <name val="Arial"/>
      <family val="2"/>
    </font>
    <font>
      <sz val="10"/>
      <color indexed="10"/>
      <name val="Arial"/>
      <family val="2"/>
    </font>
    <font>
      <b/>
      <sz val="10"/>
      <color indexed="26"/>
      <name val="Comic Sans MS"/>
      <family val="4"/>
    </font>
    <font>
      <b/>
      <sz val="9"/>
      <color indexed="26"/>
      <name val="Arial"/>
      <family val="2"/>
    </font>
    <font>
      <sz val="10"/>
      <color indexed="26"/>
      <name val="Comic Sans MS"/>
      <family val="4"/>
    </font>
    <font>
      <sz val="9"/>
      <color indexed="26"/>
      <name val="Comic Sans MS"/>
      <family val="4"/>
    </font>
    <font>
      <b/>
      <sz val="9"/>
      <color indexed="26"/>
      <name val="Comic Sans MS"/>
      <family val="4"/>
    </font>
    <font>
      <sz val="8"/>
      <color indexed="26"/>
      <name val="Arial"/>
      <family val="2"/>
    </font>
    <font>
      <b/>
      <sz val="11"/>
      <color indexed="26"/>
      <name val="Arial"/>
      <family val="2"/>
    </font>
    <font>
      <b/>
      <sz val="8"/>
      <color indexed="26"/>
      <name val="Arial"/>
      <family val="2"/>
    </font>
    <font>
      <sz val="9"/>
      <color indexed="26"/>
      <name val="Arial"/>
      <family val="2"/>
    </font>
    <font>
      <b/>
      <sz val="12"/>
      <color indexed="26"/>
      <name val="Arial"/>
      <family val="2"/>
    </font>
    <font>
      <sz val="5"/>
      <color indexed="26"/>
      <name val="Arial"/>
      <family val="2"/>
    </font>
    <font>
      <sz val="9"/>
      <color indexed="26"/>
      <name val="Calibri"/>
      <family val="2"/>
    </font>
    <font>
      <sz val="11"/>
      <color indexed="26"/>
      <name val="Calibri"/>
      <family val="2"/>
    </font>
    <font>
      <b/>
      <sz val="9"/>
      <color indexed="26"/>
      <name val="Calibri"/>
      <family val="2"/>
    </font>
    <font>
      <b/>
      <sz val="12"/>
      <color indexed="26"/>
      <name val="Calibri"/>
      <family val="2"/>
    </font>
    <font>
      <b/>
      <u/>
      <sz val="9"/>
      <color indexed="26"/>
      <name val="Comic Sans MS"/>
      <family val="4"/>
    </font>
    <font>
      <sz val="10"/>
      <color indexed="9"/>
      <name val="Arial"/>
      <family val="2"/>
    </font>
    <font>
      <b/>
      <sz val="10"/>
      <color indexed="9"/>
      <name val="Arial"/>
      <family val="2"/>
    </font>
    <font>
      <sz val="10"/>
      <color indexed="9"/>
      <name val="Arial Black"/>
      <family val="2"/>
    </font>
    <font>
      <b/>
      <sz val="10"/>
      <color indexed="9"/>
      <name val="Calibri"/>
      <family val="2"/>
    </font>
    <font>
      <b/>
      <sz val="14"/>
      <color indexed="8"/>
      <name val="Calibri"/>
      <family val="2"/>
    </font>
    <font>
      <b/>
      <sz val="8"/>
      <color indexed="10"/>
      <name val="Arial"/>
      <family val="2"/>
    </font>
    <font>
      <b/>
      <sz val="9"/>
      <color indexed="13"/>
      <name val="Arial Black"/>
      <family val="2"/>
    </font>
    <font>
      <sz val="10"/>
      <color indexed="8"/>
      <name val="Arial Black"/>
      <family val="2"/>
    </font>
    <font>
      <sz val="9"/>
      <color indexed="8"/>
      <name val="Arial Black"/>
      <family val="2"/>
    </font>
    <font>
      <sz val="9"/>
      <color indexed="40"/>
      <name val="Arial Black"/>
      <family val="2"/>
    </font>
    <font>
      <b/>
      <sz val="11"/>
      <color indexed="8"/>
      <name val="Arial"/>
      <family val="2"/>
    </font>
    <font>
      <b/>
      <sz val="12"/>
      <color indexed="8"/>
      <name val="Calibri"/>
      <family val="2"/>
    </font>
    <font>
      <b/>
      <i/>
      <sz val="12"/>
      <color indexed="9"/>
      <name val="Calibri"/>
      <family val="2"/>
    </font>
    <font>
      <sz val="11"/>
      <color indexed="56"/>
      <name val="Calibri"/>
      <family val="2"/>
    </font>
    <font>
      <b/>
      <sz val="12"/>
      <color indexed="9"/>
      <name val="Calibri"/>
      <family val="2"/>
    </font>
    <font>
      <b/>
      <sz val="12"/>
      <color indexed="13"/>
      <name val="Arial Black"/>
      <family val="2"/>
    </font>
    <font>
      <b/>
      <sz val="9"/>
      <color indexed="9"/>
      <name val="Arial"/>
      <family val="2"/>
    </font>
    <font>
      <sz val="11"/>
      <color indexed="9"/>
      <name val="Arial Black"/>
      <family val="2"/>
    </font>
    <font>
      <sz val="11"/>
      <color indexed="22"/>
      <name val="Calibri"/>
      <family val="2"/>
    </font>
    <font>
      <sz val="11"/>
      <color indexed="13"/>
      <name val="Arial Black"/>
      <family val="2"/>
    </font>
    <font>
      <sz val="12"/>
      <color indexed="9"/>
      <name val="Arial Black"/>
      <family val="2"/>
    </font>
    <font>
      <sz val="16"/>
      <color indexed="9"/>
      <name val="Aharoni"/>
    </font>
    <font>
      <sz val="12"/>
      <color indexed="9"/>
      <name val="Arial"/>
      <family val="2"/>
    </font>
    <font>
      <b/>
      <sz val="11"/>
      <color indexed="10"/>
      <name val="Arial"/>
      <family val="2"/>
    </font>
    <font>
      <b/>
      <sz val="10"/>
      <color indexed="10"/>
      <name val="Arial"/>
      <family val="2"/>
    </font>
    <font>
      <sz val="12"/>
      <color indexed="10"/>
      <name val="Calibri"/>
      <family val="2"/>
    </font>
    <font>
      <b/>
      <sz val="11"/>
      <color indexed="10"/>
      <name val="Calibri"/>
      <family val="2"/>
    </font>
    <font>
      <sz val="12"/>
      <color indexed="10"/>
      <name val="Arial"/>
      <family val="2"/>
    </font>
    <font>
      <b/>
      <sz val="9"/>
      <color indexed="10"/>
      <name val="Arial"/>
      <family val="2"/>
    </font>
    <font>
      <sz val="11"/>
      <color indexed="10"/>
      <name val="Arial"/>
      <family val="2"/>
    </font>
    <font>
      <b/>
      <sz val="14"/>
      <color indexed="10"/>
      <name val="Arial"/>
      <family val="2"/>
    </font>
    <font>
      <b/>
      <u/>
      <sz val="12"/>
      <color indexed="10"/>
      <name val="Arial"/>
      <family val="2"/>
    </font>
    <font>
      <b/>
      <sz val="14"/>
      <color indexed="9"/>
      <name val="Arial"/>
      <family val="2"/>
    </font>
    <font>
      <sz val="14"/>
      <color indexed="9"/>
      <name val="Arial"/>
      <family val="2"/>
    </font>
    <font>
      <sz val="8"/>
      <color indexed="26"/>
      <name val="Calibri"/>
      <family val="2"/>
    </font>
    <font>
      <b/>
      <sz val="10"/>
      <color indexed="26"/>
      <name val="Calibri"/>
      <family val="2"/>
    </font>
    <font>
      <sz val="14"/>
      <color indexed="13"/>
      <name val="Calibri"/>
      <family val="2"/>
    </font>
    <font>
      <sz val="12"/>
      <color indexed="8"/>
      <name val="Arial"/>
      <family val="2"/>
    </font>
    <font>
      <sz val="11"/>
      <color indexed="8"/>
      <name val="Arial Narrow"/>
      <family val="2"/>
    </font>
    <font>
      <sz val="11"/>
      <color indexed="56"/>
      <name val="Comic Sans MS"/>
      <family val="4"/>
    </font>
    <font>
      <b/>
      <sz val="14"/>
      <color indexed="13"/>
      <name val="Arial"/>
      <family val="2"/>
    </font>
    <font>
      <b/>
      <sz val="14"/>
      <color indexed="40"/>
      <name val="Arial"/>
      <family val="2"/>
    </font>
    <font>
      <b/>
      <u/>
      <sz val="9"/>
      <color indexed="9"/>
      <name val="Comic Sans MS"/>
      <family val="4"/>
    </font>
    <font>
      <b/>
      <sz val="12"/>
      <color indexed="9"/>
      <name val="Times New Roman"/>
      <family val="1"/>
    </font>
    <font>
      <i/>
      <sz val="14"/>
      <color indexed="8"/>
      <name val="Segoe Script"/>
      <family val="2"/>
    </font>
    <font>
      <i/>
      <sz val="13"/>
      <color indexed="8"/>
      <name val="Segoe Script"/>
      <family val="2"/>
    </font>
    <font>
      <i/>
      <sz val="18"/>
      <color indexed="9"/>
      <name val="Calibri"/>
      <family val="2"/>
    </font>
    <font>
      <i/>
      <sz val="18"/>
      <color indexed="8"/>
      <name val="Calibri"/>
      <family val="2"/>
    </font>
    <font>
      <sz val="18"/>
      <color indexed="8"/>
      <name val="Calibri"/>
      <family val="2"/>
    </font>
    <font>
      <sz val="12"/>
      <color indexed="22"/>
      <name val="Arial"/>
      <family val="2"/>
    </font>
    <font>
      <i/>
      <sz val="12"/>
      <color indexed="51"/>
      <name val="Arial"/>
      <family val="2"/>
    </font>
    <font>
      <sz val="11"/>
      <color indexed="9"/>
      <name val="Arial"/>
      <family val="2"/>
    </font>
    <font>
      <i/>
      <sz val="13"/>
      <color indexed="8"/>
      <name val="Plantagenet Cherokee"/>
      <family val="1"/>
    </font>
    <font>
      <b/>
      <i/>
      <sz val="14"/>
      <color indexed="13"/>
      <name val="Baskerville Old Face"/>
      <family val="1"/>
    </font>
    <font>
      <b/>
      <sz val="12"/>
      <color indexed="12"/>
      <name val="Calibri"/>
      <family val="2"/>
    </font>
    <font>
      <b/>
      <i/>
      <sz val="12"/>
      <color indexed="9"/>
      <name val="Book Antiqua"/>
      <family val="1"/>
    </font>
    <font>
      <sz val="12"/>
      <color indexed="9"/>
      <name val="Book Antiqua"/>
      <family val="1"/>
    </font>
    <font>
      <b/>
      <sz val="16"/>
      <color indexed="9"/>
      <name val="Arial"/>
      <family val="2"/>
    </font>
    <font>
      <sz val="11"/>
      <color indexed="53"/>
      <name val="Calibri"/>
      <family val="2"/>
    </font>
    <font>
      <sz val="11"/>
      <color indexed="9"/>
      <name val="Arial Black"/>
      <family val="2"/>
    </font>
    <font>
      <sz val="10"/>
      <color indexed="9"/>
      <name val="Calibri"/>
      <family val="2"/>
    </font>
    <font>
      <u/>
      <sz val="11"/>
      <color indexed="8"/>
      <name val="Calibri"/>
      <family val="2"/>
    </font>
    <font>
      <b/>
      <sz val="12"/>
      <color indexed="17"/>
      <name val="Arial"/>
      <family val="2"/>
    </font>
    <font>
      <b/>
      <sz val="9"/>
      <color indexed="8"/>
      <name val="Arial"/>
      <family val="2"/>
    </font>
    <font>
      <b/>
      <sz val="9"/>
      <color indexed="56"/>
      <name val="Arial"/>
      <family val="2"/>
    </font>
    <font>
      <b/>
      <sz val="12"/>
      <color indexed="8"/>
      <name val="Arial"/>
      <family val="2"/>
    </font>
    <font>
      <b/>
      <sz val="11"/>
      <color indexed="9"/>
      <name val="Arial"/>
      <family val="2"/>
    </font>
    <font>
      <b/>
      <i/>
      <sz val="11"/>
      <color indexed="8"/>
      <name val="Calibri"/>
      <family val="2"/>
    </font>
    <font>
      <sz val="10"/>
      <color indexed="13"/>
      <name val="Arial Black"/>
      <family val="2"/>
    </font>
    <font>
      <b/>
      <sz val="12"/>
      <color indexed="13"/>
      <name val="Arial"/>
      <family val="2"/>
    </font>
    <font>
      <b/>
      <sz val="12"/>
      <color indexed="9"/>
      <name val="Arial"/>
      <family val="2"/>
    </font>
    <font>
      <b/>
      <sz val="11"/>
      <color indexed="40"/>
      <name val="Arial"/>
      <family val="2"/>
    </font>
    <font>
      <b/>
      <sz val="14"/>
      <color indexed="13"/>
      <name val="Calibri"/>
      <family val="2"/>
    </font>
    <font>
      <b/>
      <sz val="14"/>
      <color indexed="8"/>
      <name val="Book Antiqua"/>
      <family val="1"/>
    </font>
    <font>
      <b/>
      <sz val="10"/>
      <color indexed="40"/>
      <name val="Arial"/>
      <family val="2"/>
    </font>
    <font>
      <sz val="12"/>
      <color indexed="13"/>
      <name val="Arial"/>
      <family val="2"/>
    </font>
    <font>
      <b/>
      <sz val="12"/>
      <color indexed="40"/>
      <name val="Arial"/>
      <family val="2"/>
    </font>
    <font>
      <sz val="12"/>
      <color indexed="8"/>
      <name val="Arial Black"/>
      <family val="2"/>
    </font>
    <font>
      <b/>
      <sz val="22"/>
      <color indexed="9"/>
      <name val="Calibri"/>
      <family val="2"/>
    </font>
    <font>
      <b/>
      <sz val="12"/>
      <color indexed="10"/>
      <name val="Arial"/>
      <family val="2"/>
    </font>
    <font>
      <b/>
      <sz val="14"/>
      <color indexed="9"/>
      <name val="Times New Roman"/>
      <family val="1"/>
    </font>
    <font>
      <b/>
      <sz val="12"/>
      <color indexed="9"/>
      <name val="Arial Black"/>
      <family val="2"/>
    </font>
    <font>
      <b/>
      <sz val="12"/>
      <color indexed="9"/>
      <name val="Book Antiqua"/>
      <family val="1"/>
    </font>
    <font>
      <b/>
      <sz val="12"/>
      <color indexed="8"/>
      <name val="Book Antiqua"/>
      <family val="1"/>
    </font>
    <font>
      <sz val="14"/>
      <color indexed="8"/>
      <name val="Arial"/>
      <family val="2"/>
    </font>
    <font>
      <b/>
      <sz val="13"/>
      <color indexed="9"/>
      <name val="Arial"/>
      <family val="2"/>
    </font>
    <font>
      <b/>
      <sz val="10"/>
      <color indexed="8"/>
      <name val="Arial"/>
      <family val="2"/>
    </font>
    <font>
      <i/>
      <sz val="16"/>
      <color indexed="9"/>
      <name val="Calibri"/>
      <family val="2"/>
    </font>
    <font>
      <b/>
      <i/>
      <sz val="26"/>
      <color indexed="10"/>
      <name val="Century Gothic"/>
      <family val="2"/>
    </font>
    <font>
      <b/>
      <sz val="20"/>
      <color indexed="14"/>
      <name val="Calibri"/>
      <family val="2"/>
    </font>
    <font>
      <b/>
      <sz val="20"/>
      <color indexed="56"/>
      <name val="Calibri"/>
      <family val="2"/>
    </font>
    <font>
      <b/>
      <i/>
      <sz val="12"/>
      <color indexed="29"/>
      <name val="Book Antiqua"/>
      <family val="1"/>
    </font>
    <font>
      <b/>
      <sz val="10"/>
      <color indexed="9"/>
      <name val="Arial Black"/>
      <family val="2"/>
    </font>
    <font>
      <sz val="13"/>
      <color indexed="9"/>
      <name val="Arial"/>
      <family val="2"/>
    </font>
    <font>
      <sz val="11"/>
      <color indexed="13"/>
      <name val="Arial"/>
      <family val="2"/>
    </font>
    <font>
      <b/>
      <u/>
      <sz val="14"/>
      <color indexed="26"/>
      <name val="Arial"/>
      <family val="2"/>
    </font>
    <font>
      <b/>
      <sz val="14"/>
      <color indexed="9"/>
      <name val="Calibri"/>
      <family val="2"/>
    </font>
    <font>
      <sz val="14"/>
      <color indexed="13"/>
      <name val="Verdana"/>
      <family val="2"/>
    </font>
    <font>
      <sz val="12"/>
      <color indexed="9"/>
      <name val="Verdana"/>
      <family val="2"/>
    </font>
    <font>
      <i/>
      <sz val="12"/>
      <color indexed="9"/>
      <name val="Calibri"/>
      <family val="2"/>
    </font>
    <font>
      <sz val="14"/>
      <color indexed="22"/>
      <name val="Calibri"/>
      <family val="2"/>
    </font>
    <font>
      <sz val="9"/>
      <color indexed="56"/>
      <name val="Arial"/>
      <family val="2"/>
    </font>
    <font>
      <b/>
      <sz val="9"/>
      <color indexed="56"/>
      <name val="Calibri"/>
      <family val="2"/>
    </font>
    <font>
      <sz val="12"/>
      <color indexed="49"/>
      <name val="Arial"/>
      <family val="2"/>
    </font>
    <font>
      <b/>
      <sz val="11"/>
      <color indexed="26"/>
      <name val="Calibri"/>
      <family val="2"/>
    </font>
    <font>
      <sz val="10"/>
      <color indexed="56"/>
      <name val="Arial"/>
      <family val="2"/>
    </font>
    <font>
      <sz val="11.5"/>
      <color indexed="22"/>
      <name val="Arial"/>
      <family val="2"/>
    </font>
    <font>
      <b/>
      <sz val="11"/>
      <color indexed="56"/>
      <name val="Calibri"/>
      <family val="2"/>
    </font>
    <font>
      <sz val="16"/>
      <color indexed="9"/>
      <name val="Arial Black"/>
      <family val="2"/>
    </font>
    <font>
      <b/>
      <sz val="14"/>
      <color indexed="8"/>
      <name val="Arial Black"/>
      <family val="2"/>
    </font>
    <font>
      <sz val="14"/>
      <color indexed="22"/>
      <name val="Arial"/>
      <family val="2"/>
    </font>
    <font>
      <b/>
      <sz val="10"/>
      <color indexed="12"/>
      <name val="Arial"/>
      <family val="2"/>
    </font>
    <font>
      <i/>
      <sz val="14"/>
      <color indexed="8"/>
      <name val="Arial"/>
      <family val="2"/>
    </font>
    <font>
      <sz val="16"/>
      <color indexed="8"/>
      <name val="Baskerville Old Face"/>
      <family val="1"/>
    </font>
    <font>
      <sz val="14"/>
      <color indexed="8"/>
      <name val="Baskerville Old Face"/>
      <family val="1"/>
    </font>
    <font>
      <b/>
      <sz val="16"/>
      <color indexed="8"/>
      <name val="Book Antiqua"/>
      <family val="1"/>
    </font>
    <font>
      <b/>
      <i/>
      <sz val="16"/>
      <color indexed="8"/>
      <name val="Arial"/>
      <family val="2"/>
    </font>
    <font>
      <b/>
      <sz val="16"/>
      <color indexed="13"/>
      <name val="Calibri"/>
      <family val="2"/>
    </font>
    <font>
      <sz val="11"/>
      <color indexed="9"/>
      <name val="Calibri"/>
      <family val="2"/>
    </font>
    <font>
      <sz val="12"/>
      <color indexed="9"/>
      <name val="Arial"/>
      <family val="2"/>
    </font>
    <font>
      <sz val="12"/>
      <color indexed="8"/>
      <name val="Arial"/>
      <family val="2"/>
    </font>
    <font>
      <b/>
      <sz val="12"/>
      <color indexed="9"/>
      <name val="Arial"/>
      <family val="2"/>
    </font>
    <font>
      <sz val="11"/>
      <color theme="0"/>
      <name val="Calibri"/>
      <family val="2"/>
      <scheme val="minor"/>
    </font>
    <font>
      <sz val="11"/>
      <color rgb="FF006100"/>
      <name val="Calibri"/>
      <family val="2"/>
      <scheme val="minor"/>
    </font>
    <font>
      <u/>
      <sz val="11"/>
      <color theme="10"/>
      <name val="Calibri"/>
      <family val="2"/>
      <scheme val="minor"/>
    </font>
    <font>
      <sz val="12"/>
      <color theme="1"/>
      <name val="Arial"/>
      <family val="2"/>
    </font>
    <font>
      <sz val="12"/>
      <color theme="0"/>
      <name val="Arial"/>
      <family val="2"/>
    </font>
    <font>
      <b/>
      <sz val="12"/>
      <color theme="0"/>
      <name val="Arial"/>
      <family val="2"/>
    </font>
    <font>
      <b/>
      <sz val="12"/>
      <color rgb="FFFFFF00"/>
      <name val="Arial"/>
      <family val="2"/>
    </font>
    <font>
      <b/>
      <sz val="12"/>
      <color theme="1"/>
      <name val="Arial"/>
      <family val="2"/>
    </font>
    <font>
      <b/>
      <sz val="12"/>
      <color indexed="51"/>
      <name val="Arial"/>
      <family val="2"/>
    </font>
    <font>
      <b/>
      <sz val="12"/>
      <color rgb="FFFFC000"/>
      <name val="Arial"/>
      <family val="2"/>
    </font>
    <font>
      <sz val="11"/>
      <color theme="1"/>
      <name val="Arial"/>
      <family val="2"/>
    </font>
    <font>
      <sz val="10"/>
      <color theme="0"/>
      <name val="Arial"/>
      <family val="2"/>
    </font>
    <font>
      <sz val="9"/>
      <color indexed="81"/>
      <name val="Tahoma"/>
      <family val="2"/>
    </font>
    <font>
      <b/>
      <sz val="9"/>
      <color indexed="81"/>
      <name val="Tahoma"/>
      <family val="2"/>
    </font>
    <font>
      <sz val="11"/>
      <color theme="0"/>
      <name val="Arial"/>
      <family val="2"/>
    </font>
    <font>
      <sz val="12"/>
      <color rgb="FF008000"/>
      <name val="Calibri"/>
      <family val="2"/>
    </font>
    <font>
      <sz val="10"/>
      <color theme="1"/>
      <name val="Calibri"/>
      <family val="2"/>
      <scheme val="minor"/>
    </font>
    <font>
      <b/>
      <sz val="11"/>
      <color theme="1"/>
      <name val="Arial"/>
      <family val="2"/>
    </font>
    <font>
      <b/>
      <sz val="11"/>
      <color theme="0"/>
      <name val="Arial"/>
      <family val="2"/>
    </font>
    <font>
      <sz val="10"/>
      <color theme="1"/>
      <name val="Arial"/>
      <family val="2"/>
    </font>
    <font>
      <sz val="11"/>
      <color theme="0"/>
      <name val="Arial Black"/>
      <family val="2"/>
    </font>
    <font>
      <b/>
      <sz val="11"/>
      <color rgb="FFFFFF00"/>
      <name val="Arial"/>
      <family val="2"/>
    </font>
    <font>
      <sz val="11"/>
      <color rgb="FFFF0000"/>
      <name val="Arial Black"/>
      <family val="2"/>
    </font>
    <font>
      <sz val="11"/>
      <color rgb="FFFFC000"/>
      <name val="Arial Black"/>
      <family val="2"/>
    </font>
    <font>
      <sz val="11"/>
      <color rgb="FFFFFF00"/>
      <name val="Arial Black"/>
      <family val="2"/>
    </font>
    <font>
      <sz val="11"/>
      <name val="Arial Black"/>
      <family val="2"/>
    </font>
    <font>
      <b/>
      <sz val="12"/>
      <color rgb="FFFF0000"/>
      <name val="Arial"/>
      <family val="2"/>
    </font>
    <font>
      <sz val="11"/>
      <color theme="1"/>
      <name val="Arial Black"/>
      <family val="2"/>
    </font>
    <font>
      <sz val="12"/>
      <color theme="0"/>
      <name val="Arial Black"/>
      <family val="2"/>
    </font>
    <font>
      <sz val="11"/>
      <color rgb="FF002060"/>
      <name val="Arial"/>
      <family val="2"/>
    </font>
    <font>
      <b/>
      <sz val="14"/>
      <color indexed="9"/>
      <name val="Arial Black"/>
      <family val="2"/>
    </font>
    <font>
      <sz val="9"/>
      <color theme="1"/>
      <name val="Arial"/>
      <family val="2"/>
    </font>
    <font>
      <sz val="14"/>
      <color theme="0"/>
      <name val="Arial"/>
      <family val="2"/>
    </font>
    <font>
      <b/>
      <sz val="10"/>
      <name val="Effra"/>
    </font>
    <font>
      <b/>
      <sz val="10"/>
      <color rgb="FFFFFF00"/>
      <name val="Lucida Handwriting"/>
      <family val="4"/>
    </font>
    <font>
      <sz val="11"/>
      <color theme="0"/>
      <name val="Calibri"/>
      <family val="2"/>
    </font>
    <font>
      <b/>
      <sz val="12"/>
      <color theme="1"/>
      <name val="Calibri"/>
      <family val="2"/>
      <scheme val="minor"/>
    </font>
    <font>
      <b/>
      <sz val="10"/>
      <color theme="0"/>
      <name val="Arial"/>
      <family val="2"/>
    </font>
    <font>
      <i/>
      <sz val="16"/>
      <color indexed="8"/>
      <name val="Segoe Script"/>
      <family val="2"/>
    </font>
    <font>
      <sz val="11"/>
      <color rgb="FF000000"/>
      <name val="Arial"/>
      <family val="2"/>
    </font>
    <font>
      <b/>
      <i/>
      <sz val="14"/>
      <color rgb="FFFFFF00"/>
      <name val="Times New Roman"/>
      <family val="1"/>
    </font>
    <font>
      <sz val="11"/>
      <color rgb="FF003366"/>
      <name val="Calibri"/>
      <family val="2"/>
      <scheme val="minor"/>
    </font>
    <font>
      <sz val="11"/>
      <color rgb="FF003366"/>
      <name val="Arial Narrow"/>
      <family val="2"/>
    </font>
    <font>
      <sz val="11"/>
      <color rgb="FF003366"/>
      <name val="Calibri"/>
      <family val="2"/>
    </font>
    <font>
      <sz val="11"/>
      <color theme="1"/>
      <name val="Calibri"/>
      <family val="2"/>
    </font>
    <font>
      <sz val="11"/>
      <color theme="0"/>
      <name val="Arial Narrow"/>
      <family val="2"/>
    </font>
    <font>
      <b/>
      <sz val="11"/>
      <color theme="1"/>
      <name val="Calibri"/>
      <family val="2"/>
      <scheme val="minor"/>
    </font>
    <font>
      <b/>
      <sz val="24"/>
      <color theme="1"/>
      <name val="Arial Black"/>
      <family val="2"/>
    </font>
    <font>
      <sz val="10"/>
      <color theme="1"/>
      <name val="Arial Black"/>
      <family val="2"/>
    </font>
    <font>
      <b/>
      <sz val="14"/>
      <color rgb="FFFF0000"/>
      <name val="Arial Black"/>
      <family val="2"/>
    </font>
    <font>
      <b/>
      <sz val="11"/>
      <color theme="1"/>
      <name val="Arial Black"/>
      <family val="2"/>
    </font>
    <font>
      <sz val="11"/>
      <name val="Calibri"/>
      <family val="2"/>
      <scheme val="minor"/>
    </font>
    <font>
      <sz val="12"/>
      <color theme="1"/>
      <name val="Arial Black"/>
      <family val="2"/>
    </font>
    <font>
      <sz val="14"/>
      <color rgb="FFFF0000"/>
      <name val="Arial Black"/>
      <family val="2"/>
    </font>
    <font>
      <sz val="10"/>
      <color theme="0"/>
      <name val="Arial Black"/>
      <family val="2"/>
    </font>
    <font>
      <sz val="12"/>
      <color theme="1"/>
      <name val="Calibri"/>
      <family val="2"/>
      <scheme val="minor"/>
    </font>
    <font>
      <sz val="14"/>
      <color theme="0"/>
      <name val="Calibri"/>
      <family val="2"/>
      <scheme val="minor"/>
    </font>
    <font>
      <b/>
      <sz val="12"/>
      <color rgb="FFFFFF00"/>
      <name val="Arial Black"/>
      <family val="2"/>
    </font>
    <font>
      <b/>
      <sz val="11"/>
      <color rgb="FFFFFF00"/>
      <name val="Arial Black"/>
      <family val="2"/>
    </font>
    <font>
      <b/>
      <sz val="14"/>
      <color rgb="FF00B0F0"/>
      <name val="Arial"/>
      <family val="2"/>
    </font>
    <font>
      <sz val="12"/>
      <color rgb="FFFF0000"/>
      <name val="Arial Black"/>
      <family val="2"/>
    </font>
    <font>
      <sz val="16"/>
      <color rgb="FFFF0000"/>
      <name val="Arial Black"/>
      <family val="2"/>
    </font>
    <font>
      <b/>
      <i/>
      <sz val="12"/>
      <name val="Arial"/>
      <family val="2"/>
    </font>
    <font>
      <b/>
      <i/>
      <sz val="11"/>
      <name val="Arial"/>
      <family val="2"/>
    </font>
    <font>
      <b/>
      <sz val="14"/>
      <color rgb="FFFFFF00"/>
      <name val="Arial"/>
      <family val="2"/>
    </font>
    <font>
      <sz val="12"/>
      <color rgb="FFFFFF00"/>
      <name val="Arial Black"/>
      <family val="2"/>
    </font>
    <font>
      <b/>
      <u/>
      <sz val="12"/>
      <color rgb="FF002060"/>
      <name val="Arial"/>
      <family val="2"/>
    </font>
    <font>
      <sz val="12"/>
      <color theme="0"/>
      <name val="Calibri"/>
      <family val="2"/>
      <scheme val="minor"/>
    </font>
    <font>
      <sz val="11"/>
      <color rgb="FF002060"/>
      <name val="Calibri"/>
      <family val="2"/>
      <scheme val="minor"/>
    </font>
    <font>
      <sz val="9"/>
      <color theme="0"/>
      <name val="Arial"/>
      <family val="2"/>
    </font>
    <font>
      <b/>
      <sz val="9"/>
      <color theme="2"/>
      <name val="Arial"/>
      <family val="2"/>
    </font>
    <font>
      <sz val="10"/>
      <color theme="2"/>
      <name val="Arial"/>
      <family val="2"/>
    </font>
    <font>
      <b/>
      <sz val="8"/>
      <color theme="2"/>
      <name val="Arial"/>
      <family val="2"/>
    </font>
    <font>
      <b/>
      <sz val="9"/>
      <color theme="0"/>
      <name val="Arial"/>
      <family val="2"/>
    </font>
    <font>
      <b/>
      <sz val="10"/>
      <color theme="2"/>
      <name val="Arial"/>
      <family val="2"/>
    </font>
    <font>
      <sz val="9"/>
      <color theme="2"/>
      <name val="Arial"/>
      <family val="2"/>
    </font>
    <font>
      <b/>
      <sz val="14"/>
      <color theme="1"/>
      <name val="Calibri"/>
      <family val="2"/>
      <scheme val="minor"/>
    </font>
    <font>
      <b/>
      <i/>
      <sz val="10"/>
      <name val="Arial"/>
      <family val="2"/>
    </font>
    <font>
      <i/>
      <sz val="12"/>
      <color theme="1"/>
      <name val="Calibri"/>
      <family val="2"/>
      <scheme val="minor"/>
    </font>
    <font>
      <b/>
      <i/>
      <sz val="14"/>
      <name val="Calibri"/>
      <family val="2"/>
    </font>
    <font>
      <i/>
      <sz val="11"/>
      <color theme="1"/>
      <name val="Calibri"/>
      <family val="2"/>
      <scheme val="minor"/>
    </font>
    <font>
      <b/>
      <i/>
      <sz val="11"/>
      <color theme="1"/>
      <name val="Calibri"/>
      <family val="2"/>
      <scheme val="minor"/>
    </font>
    <font>
      <b/>
      <i/>
      <sz val="12"/>
      <color theme="1"/>
      <name val="Calibri"/>
      <family val="2"/>
      <scheme val="minor"/>
    </font>
    <font>
      <b/>
      <u/>
      <sz val="14"/>
      <color theme="1"/>
      <name val="Calibri"/>
      <family val="2"/>
      <scheme val="minor"/>
    </font>
    <font>
      <i/>
      <sz val="12"/>
      <color theme="1"/>
      <name val="Arial"/>
      <family val="2"/>
    </font>
    <font>
      <b/>
      <i/>
      <sz val="12"/>
      <color theme="1"/>
      <name val="Arial"/>
      <family val="2"/>
    </font>
    <font>
      <b/>
      <i/>
      <sz val="12"/>
      <color rgb="FFFFFF00"/>
      <name val="Arial"/>
      <family val="2"/>
    </font>
    <font>
      <b/>
      <i/>
      <sz val="11"/>
      <color rgb="FFFFFF00"/>
      <name val="Arial"/>
      <family val="2"/>
    </font>
    <font>
      <sz val="14"/>
      <color rgb="FFFFFF00"/>
      <name val="Arial Black"/>
      <family val="2"/>
    </font>
    <font>
      <b/>
      <sz val="12"/>
      <color theme="9" tint="0.59999389629810485"/>
      <name val="Arial Black"/>
      <family val="2"/>
    </font>
    <font>
      <b/>
      <sz val="11"/>
      <color rgb="FFFF6600"/>
      <name val="Lucida Calligraphy"/>
      <family val="4"/>
    </font>
    <font>
      <sz val="12"/>
      <color rgb="FFFF0000"/>
      <name val="Arial"/>
      <family val="2"/>
    </font>
    <font>
      <sz val="12"/>
      <color rgb="FF002060"/>
      <name val="Arial"/>
      <family val="2"/>
    </font>
    <font>
      <sz val="12"/>
      <color rgb="FFFFFF00"/>
      <name val="Arial"/>
      <family val="2"/>
    </font>
    <font>
      <b/>
      <sz val="10"/>
      <color theme="1"/>
      <name val="Arial"/>
      <family val="2"/>
    </font>
    <font>
      <b/>
      <sz val="9"/>
      <color theme="1"/>
      <name val="Arial"/>
      <family val="2"/>
    </font>
    <font>
      <b/>
      <sz val="8"/>
      <color theme="1"/>
      <name val="Arial"/>
      <family val="2"/>
    </font>
    <font>
      <b/>
      <sz val="36"/>
      <color rgb="FF00CC00"/>
      <name val="Perpetua Titling MT"/>
      <family val="1"/>
    </font>
    <font>
      <b/>
      <sz val="14"/>
      <color theme="0"/>
      <name val="Arial"/>
      <family val="2"/>
    </font>
    <font>
      <b/>
      <sz val="14"/>
      <color indexed="8"/>
      <name val="Arial"/>
      <family val="2"/>
    </font>
    <font>
      <sz val="12"/>
      <color rgb="FF333399"/>
      <name val="Arial"/>
      <family val="2"/>
    </font>
    <font>
      <b/>
      <sz val="11"/>
      <color rgb="FFFFC000"/>
      <name val="Arial"/>
      <family val="2"/>
    </font>
    <font>
      <sz val="11"/>
      <color theme="1"/>
      <name val="Times New Roman"/>
      <family val="1"/>
    </font>
    <font>
      <sz val="12"/>
      <color theme="1"/>
      <name val="Times New Roman"/>
      <family val="1"/>
    </font>
    <font>
      <b/>
      <sz val="12"/>
      <color theme="1"/>
      <name val="Times New Roman"/>
      <family val="1"/>
    </font>
    <font>
      <sz val="12"/>
      <color theme="0"/>
      <name val="Times New Roman"/>
      <family val="1"/>
    </font>
    <font>
      <sz val="12"/>
      <color rgb="FFFFFF00"/>
      <name val="Times New Roman"/>
      <family val="1"/>
    </font>
    <font>
      <sz val="13"/>
      <color theme="0"/>
      <name val="Times New Roman"/>
      <family val="1"/>
    </font>
    <font>
      <sz val="14"/>
      <color rgb="FFFFFF00"/>
      <name val="Times New Roman"/>
      <family val="1"/>
    </font>
    <font>
      <sz val="14"/>
      <color rgb="FF002060"/>
      <name val="Times New Roman"/>
      <family val="1"/>
    </font>
    <font>
      <sz val="14"/>
      <color theme="0"/>
      <name val="Times New Roman"/>
      <family val="1"/>
    </font>
    <font>
      <sz val="14"/>
      <color theme="1"/>
      <name val="Times New Roman"/>
      <family val="1"/>
    </font>
    <font>
      <b/>
      <sz val="12"/>
      <color theme="8" tint="0.59999389629810485"/>
      <name val="Times New Roman"/>
      <family val="1"/>
    </font>
    <font>
      <b/>
      <sz val="11"/>
      <color theme="0"/>
      <name val="Times New Roman"/>
      <family val="1"/>
    </font>
    <font>
      <b/>
      <sz val="12"/>
      <color theme="0"/>
      <name val="Times New Roman"/>
      <family val="1"/>
    </font>
    <font>
      <i/>
      <sz val="14"/>
      <color rgb="FFFFFF00"/>
      <name val="Times New Roman"/>
      <family val="1"/>
    </font>
    <font>
      <sz val="12"/>
      <color theme="1"/>
      <name val="Arial Unicode MS"/>
      <family val="2"/>
    </font>
    <font>
      <i/>
      <sz val="12"/>
      <color theme="1"/>
      <name val="Arial Unicode MS"/>
      <family val="2"/>
    </font>
    <font>
      <sz val="12"/>
      <color theme="1"/>
      <name val="Bahnschrift SemiBold"/>
      <family val="2"/>
    </font>
    <font>
      <sz val="13"/>
      <color theme="1"/>
      <name val="Times New Roman"/>
      <family val="1"/>
    </font>
    <font>
      <sz val="14"/>
      <color theme="1"/>
      <name val="Arial"/>
      <family val="2"/>
    </font>
    <font>
      <b/>
      <sz val="14"/>
      <color rgb="FF333399"/>
      <name val="Times New Roman"/>
      <family val="1"/>
    </font>
    <font>
      <b/>
      <sz val="12"/>
      <color rgb="FF002060"/>
      <name val="Arial"/>
      <family val="2"/>
    </font>
    <font>
      <b/>
      <sz val="9"/>
      <color indexed="14"/>
      <name val="Tahoma"/>
      <family val="2"/>
    </font>
    <font>
      <b/>
      <sz val="9"/>
      <color indexed="39"/>
      <name val="Tahoma"/>
      <family val="2"/>
    </font>
    <font>
      <b/>
      <sz val="10"/>
      <color theme="1"/>
      <name val="Verdana"/>
      <family val="2"/>
    </font>
    <font>
      <b/>
      <sz val="9"/>
      <color theme="1"/>
      <name val="Verdana"/>
      <family val="2"/>
    </font>
    <font>
      <b/>
      <sz val="9"/>
      <color indexed="33"/>
      <name val="Tahoma"/>
      <family val="2"/>
    </font>
    <font>
      <b/>
      <sz val="9"/>
      <color indexed="63"/>
      <name val="Tahoma"/>
      <family val="2"/>
    </font>
    <font>
      <b/>
      <i/>
      <sz val="11"/>
      <color theme="0"/>
      <name val="Arial"/>
      <family val="2"/>
    </font>
    <font>
      <b/>
      <sz val="10"/>
      <color rgb="FFFF0000"/>
      <name val="Arial"/>
      <family val="2"/>
    </font>
    <font>
      <b/>
      <sz val="9"/>
      <color indexed="10"/>
      <name val="Tahoma"/>
      <family val="2"/>
    </font>
    <font>
      <b/>
      <sz val="14"/>
      <color theme="1"/>
      <name val="Times New Roman"/>
      <family val="1"/>
    </font>
    <font>
      <b/>
      <i/>
      <sz val="12"/>
      <color theme="1"/>
      <name val="Times New Roman"/>
      <family val="1"/>
    </font>
    <font>
      <b/>
      <i/>
      <sz val="12"/>
      <color rgb="FFFF0000"/>
      <name val="Times New Roman"/>
      <family val="1"/>
    </font>
    <font>
      <sz val="11"/>
      <color rgb="FFFF0000"/>
      <name val="Calibri"/>
      <family val="2"/>
      <scheme val="minor"/>
    </font>
    <font>
      <sz val="11"/>
      <color indexed="22"/>
      <name val="Arial Black"/>
      <family val="2"/>
    </font>
    <font>
      <b/>
      <sz val="11"/>
      <color rgb="FF002060"/>
      <name val="Arial"/>
      <family val="2"/>
    </font>
    <font>
      <b/>
      <sz val="13"/>
      <name val="Arial"/>
      <family val="2"/>
    </font>
    <font>
      <sz val="16"/>
      <color rgb="FFFFFF00"/>
      <name val="Arial"/>
      <family val="2"/>
    </font>
    <font>
      <b/>
      <sz val="20"/>
      <color theme="0"/>
      <name val="Calibri"/>
      <family val="2"/>
    </font>
    <font>
      <b/>
      <sz val="12"/>
      <color theme="0"/>
      <name val="Arial Black"/>
      <family val="2"/>
    </font>
    <font>
      <sz val="11"/>
      <color rgb="FFFFFF00"/>
      <name val="Arial"/>
      <family val="2"/>
    </font>
    <font>
      <sz val="12"/>
      <color theme="0" tint="-4.9989318521683403E-2"/>
      <name val="Arial"/>
      <family val="2"/>
    </font>
    <font>
      <sz val="12"/>
      <color rgb="FFC00000"/>
      <name val="Arial"/>
      <family val="2"/>
    </font>
    <font>
      <sz val="12"/>
      <color rgb="FFFFC000"/>
      <name val="Arial"/>
      <family val="2"/>
    </font>
    <font>
      <b/>
      <sz val="11"/>
      <color rgb="FF3F3F3F"/>
      <name val="Calibri"/>
      <family val="2"/>
      <scheme val="minor"/>
    </font>
    <font>
      <b/>
      <sz val="11"/>
      <color rgb="FFFF0000"/>
      <name val="Arial"/>
      <family val="2"/>
    </font>
    <font>
      <sz val="10"/>
      <color rgb="FFFF0000"/>
      <name val="Arial"/>
      <family val="2"/>
    </font>
    <font>
      <b/>
      <sz val="12"/>
      <color rgb="FFFFC000"/>
      <name val="Arial Black"/>
      <family val="2"/>
    </font>
    <font>
      <sz val="12"/>
      <color rgb="FF003366"/>
      <name val="Arial"/>
      <family val="2"/>
    </font>
    <font>
      <i/>
      <sz val="9"/>
      <name val="Arial"/>
      <family val="2"/>
    </font>
    <font>
      <sz val="8"/>
      <color theme="1"/>
      <name val="Arial"/>
      <family val="2"/>
    </font>
    <font>
      <sz val="11"/>
      <color rgb="FFFFFF00"/>
      <name val="Calibri"/>
      <family val="2"/>
      <scheme val="minor"/>
    </font>
    <font>
      <b/>
      <i/>
      <sz val="18"/>
      <color rgb="FFFFFF00"/>
      <name val="Calibri"/>
      <family val="2"/>
    </font>
    <font>
      <b/>
      <sz val="14"/>
      <color rgb="FFFFFF00"/>
      <name val="Book Antiqua"/>
      <family val="1"/>
    </font>
    <font>
      <b/>
      <i/>
      <sz val="16"/>
      <color rgb="FFFFFF00"/>
      <name val="Calibri"/>
      <family val="2"/>
    </font>
    <font>
      <b/>
      <sz val="18"/>
      <color rgb="FFFFFF00"/>
      <name val="Arial"/>
      <family val="2"/>
    </font>
    <font>
      <b/>
      <sz val="16"/>
      <color rgb="FFFFFF00"/>
      <name val="Arial"/>
      <family val="2"/>
    </font>
    <font>
      <b/>
      <sz val="20"/>
      <color rgb="FFFFFF00"/>
      <name val="Arial"/>
      <family val="2"/>
    </font>
    <font>
      <sz val="20"/>
      <color rgb="FFFFFF00"/>
      <name val="Calibri"/>
      <family val="2"/>
    </font>
    <font>
      <b/>
      <sz val="14"/>
      <color rgb="FFFFFF00"/>
      <name val="Verdana"/>
      <family val="2"/>
    </font>
    <font>
      <b/>
      <i/>
      <sz val="14"/>
      <color rgb="FFFFFF00"/>
      <name val="Calibri"/>
      <family val="2"/>
    </font>
    <font>
      <sz val="14"/>
      <color rgb="FFFFFF00"/>
      <name val="Calibri"/>
      <family val="2"/>
    </font>
    <font>
      <sz val="11"/>
      <color rgb="FFFFFF00"/>
      <name val="Calibri"/>
      <family val="2"/>
    </font>
    <font>
      <sz val="12"/>
      <color rgb="FFFFFF00"/>
      <name val="Calibri"/>
      <family val="2"/>
    </font>
    <font>
      <sz val="14"/>
      <color rgb="FFFFFF00"/>
      <name val="Book Antiqua"/>
      <family val="1"/>
    </font>
    <font>
      <sz val="18"/>
      <color rgb="FFFFFF00"/>
      <name val="Book Antiqua"/>
      <family val="1"/>
    </font>
    <font>
      <sz val="14"/>
      <color rgb="FFFFFF00"/>
      <name val="Verdana"/>
      <family val="2"/>
    </font>
    <font>
      <sz val="18"/>
      <color rgb="FFFFFF00"/>
      <name val="Verdana"/>
      <family val="2"/>
    </font>
    <font>
      <sz val="18"/>
      <color rgb="FFFFFF00"/>
      <name val="Calibri"/>
      <family val="2"/>
    </font>
    <font>
      <b/>
      <sz val="14"/>
      <color rgb="FFFFFF00"/>
      <name val="Comic Sans MS"/>
      <family val="4"/>
    </font>
    <font>
      <i/>
      <sz val="11"/>
      <name val="Arial"/>
      <family val="2"/>
    </font>
    <font>
      <i/>
      <sz val="11.5"/>
      <color indexed="8"/>
      <name val="Arial"/>
      <family val="2"/>
    </font>
    <font>
      <i/>
      <sz val="11"/>
      <color indexed="81"/>
      <name val="Arial"/>
      <family val="2"/>
    </font>
    <font>
      <b/>
      <i/>
      <sz val="10"/>
      <color indexed="81"/>
      <name val="Arial"/>
      <family val="2"/>
    </font>
    <font>
      <b/>
      <sz val="10"/>
      <color indexed="81"/>
      <name val="Arial"/>
      <family val="2"/>
    </font>
    <font>
      <i/>
      <sz val="10"/>
      <color indexed="81"/>
      <name val="Arial"/>
      <family val="2"/>
    </font>
    <font>
      <b/>
      <i/>
      <sz val="11"/>
      <color indexed="81"/>
      <name val="Arial"/>
      <family val="2"/>
    </font>
    <font>
      <sz val="10"/>
      <color indexed="81"/>
      <name val="Arial"/>
      <family val="2"/>
    </font>
    <font>
      <b/>
      <sz val="10"/>
      <color indexed="39"/>
      <name val="Arial"/>
      <family val="2"/>
    </font>
    <font>
      <b/>
      <sz val="10"/>
      <color indexed="32"/>
      <name val="Arial"/>
      <family val="2"/>
    </font>
    <font>
      <b/>
      <sz val="10.5"/>
      <color indexed="8"/>
      <name val="Arial"/>
      <family val="2"/>
    </font>
    <font>
      <b/>
      <sz val="11"/>
      <color indexed="13"/>
      <name val="Lucida Calligraphy"/>
      <family val="4"/>
    </font>
    <font>
      <b/>
      <sz val="14"/>
      <color rgb="FFFF0000"/>
      <name val="Times New Roman"/>
      <family val="1"/>
    </font>
    <font>
      <b/>
      <sz val="12"/>
      <color rgb="FF00CC99"/>
      <name val="Arial Black"/>
      <family val="2"/>
    </font>
    <font>
      <b/>
      <sz val="11.5"/>
      <color theme="0"/>
      <name val="Arial"/>
      <family val="2"/>
    </font>
    <font>
      <b/>
      <sz val="10.5"/>
      <color theme="0"/>
      <name val="Arial"/>
      <family val="2"/>
    </font>
    <font>
      <b/>
      <i/>
      <sz val="12"/>
      <color theme="0"/>
      <name val="Arial"/>
      <family val="2"/>
    </font>
    <font>
      <b/>
      <sz val="14"/>
      <color theme="1"/>
      <name val="Arial"/>
      <family val="2"/>
    </font>
    <font>
      <b/>
      <i/>
      <sz val="14"/>
      <color rgb="FFFF0000"/>
      <name val="Arial"/>
      <family val="2"/>
    </font>
    <font>
      <b/>
      <i/>
      <sz val="20"/>
      <color rgb="FFFF0000"/>
      <name val="Calibri"/>
      <family val="2"/>
      <scheme val="minor"/>
    </font>
    <font>
      <b/>
      <i/>
      <sz val="18"/>
      <color rgb="FF4A1637"/>
      <name val="Calibri"/>
      <family val="2"/>
      <scheme val="minor"/>
    </font>
    <font>
      <b/>
      <sz val="11"/>
      <color theme="8" tint="0.59999389629810485"/>
      <name val="Arial"/>
      <family val="2"/>
    </font>
    <font>
      <b/>
      <sz val="12"/>
      <name val="Arial Black"/>
      <family val="2"/>
    </font>
    <font>
      <b/>
      <sz val="11"/>
      <color theme="9"/>
      <name val="Arial"/>
      <family val="2"/>
    </font>
    <font>
      <sz val="10"/>
      <color rgb="FFFF0000"/>
      <name val="Arial Black"/>
      <family val="2"/>
    </font>
    <font>
      <b/>
      <sz val="12"/>
      <color rgb="FFFF0000"/>
      <name val="Book Antiqua"/>
      <family val="1"/>
    </font>
    <font>
      <b/>
      <sz val="12"/>
      <color rgb="FFFFFF00"/>
      <name val="Book Antiqua"/>
      <family val="1"/>
    </font>
    <font>
      <sz val="14"/>
      <color theme="1"/>
      <name val="Gadugi"/>
      <family val="2"/>
    </font>
    <font>
      <b/>
      <sz val="14"/>
      <color rgb="FFFF0000"/>
      <name val="Gadugi"/>
      <family val="2"/>
    </font>
    <font>
      <b/>
      <sz val="10"/>
      <color rgb="FFFFC000"/>
      <name val="Arial"/>
      <family val="2"/>
    </font>
    <font>
      <b/>
      <sz val="12"/>
      <color rgb="FF33CCCC"/>
      <name val="Times New Roman"/>
      <family val="1"/>
    </font>
    <font>
      <b/>
      <sz val="10"/>
      <color rgb="FF33CCCC"/>
      <name val="Times New Roman"/>
      <family val="1"/>
    </font>
    <font>
      <sz val="12"/>
      <color indexed="8"/>
      <name val="Times New Roman"/>
      <family val="1"/>
    </font>
    <font>
      <b/>
      <sz val="12"/>
      <color theme="0" tint="-0.249977111117893"/>
      <name val="Arial Black"/>
      <family val="2"/>
    </font>
    <font>
      <sz val="11"/>
      <color theme="0" tint="-0.249977111117893"/>
      <name val="Arial Black"/>
      <family val="2"/>
    </font>
    <font>
      <b/>
      <sz val="11"/>
      <color theme="0"/>
      <name val="Calibri"/>
      <family val="2"/>
    </font>
    <font>
      <b/>
      <sz val="9"/>
      <color indexed="37"/>
      <name val="Tahoma"/>
      <family val="2"/>
    </font>
    <font>
      <b/>
      <sz val="12"/>
      <color indexed="8"/>
      <name val="Times New Roman"/>
      <family val="1"/>
    </font>
    <font>
      <sz val="10"/>
      <color rgb="FF002060"/>
      <name val="Arial"/>
      <family val="2"/>
    </font>
    <font>
      <b/>
      <sz val="10"/>
      <color rgb="FFFFFF00"/>
      <name val="Arial"/>
      <family val="2"/>
    </font>
    <font>
      <b/>
      <sz val="9"/>
      <color indexed="8"/>
      <name val="Tahoma"/>
      <family val="2"/>
    </font>
    <font>
      <b/>
      <sz val="9"/>
      <color indexed="18"/>
      <name val="Arial"/>
      <family val="2"/>
    </font>
  </fonts>
  <fills count="108">
    <fill>
      <patternFill patternType="none"/>
    </fill>
    <fill>
      <patternFill patternType="gray125"/>
    </fill>
    <fill>
      <patternFill patternType="solid">
        <fgColor indexed="56"/>
        <bgColor indexed="64"/>
      </patternFill>
    </fill>
    <fill>
      <patternFill patternType="solid">
        <fgColor indexed="40"/>
        <bgColor indexed="64"/>
      </patternFill>
    </fill>
    <fill>
      <patternFill patternType="solid">
        <fgColor indexed="8"/>
        <bgColor indexed="64"/>
      </patternFill>
    </fill>
    <fill>
      <patternFill patternType="solid">
        <fgColor indexed="13"/>
        <bgColor indexed="64"/>
      </patternFill>
    </fill>
    <fill>
      <patternFill patternType="solid">
        <fgColor indexed="10"/>
        <bgColor indexed="64"/>
      </patternFill>
    </fill>
    <fill>
      <patternFill patternType="solid">
        <fgColor indexed="49"/>
        <bgColor indexed="64"/>
      </patternFill>
    </fill>
    <fill>
      <patternFill patternType="solid">
        <fgColor indexed="51"/>
        <bgColor indexed="64"/>
      </patternFill>
    </fill>
    <fill>
      <patternFill patternType="solid">
        <fgColor indexed="63"/>
        <bgColor indexed="64"/>
      </patternFill>
    </fill>
    <fill>
      <patternFill patternType="solid">
        <fgColor indexed="59"/>
        <bgColor indexed="64"/>
      </patternFill>
    </fill>
    <fill>
      <patternFill patternType="solid">
        <fgColor indexed="17"/>
        <bgColor indexed="64"/>
      </patternFill>
    </fill>
    <fill>
      <patternFill patternType="solid">
        <fgColor indexed="9"/>
        <bgColor indexed="64"/>
      </patternFill>
    </fill>
    <fill>
      <patternFill patternType="solid">
        <fgColor indexed="10"/>
        <bgColor indexed="26"/>
      </patternFill>
    </fill>
    <fill>
      <patternFill patternType="solid">
        <fgColor indexed="65"/>
        <bgColor indexed="64"/>
      </patternFill>
    </fill>
    <fill>
      <patternFill patternType="solid">
        <fgColor indexed="30"/>
        <bgColor indexed="64"/>
      </patternFill>
    </fill>
    <fill>
      <patternFill patternType="solid">
        <fgColor indexed="36"/>
        <bgColor indexed="64"/>
      </patternFill>
    </fill>
    <fill>
      <patternFill patternType="solid">
        <fgColor indexed="44"/>
        <bgColor indexed="64"/>
      </patternFill>
    </fill>
    <fill>
      <patternFill patternType="solid">
        <fgColor indexed="53"/>
        <bgColor indexed="64"/>
      </patternFill>
    </fill>
    <fill>
      <patternFill patternType="solid">
        <fgColor indexed="62"/>
        <bgColor indexed="64"/>
      </patternFill>
    </fill>
    <fill>
      <patternFill patternType="solid">
        <fgColor indexed="41"/>
        <bgColor indexed="64"/>
      </patternFill>
    </fill>
    <fill>
      <patternFill patternType="solid">
        <fgColor indexed="57"/>
        <bgColor indexed="64"/>
      </patternFill>
    </fill>
    <fill>
      <patternFill patternType="solid">
        <fgColor indexed="22"/>
        <bgColor indexed="64"/>
      </patternFill>
    </fill>
    <fill>
      <patternFill patternType="solid">
        <fgColor indexed="43"/>
        <bgColor indexed="64"/>
      </patternFill>
    </fill>
    <fill>
      <patternFill patternType="solid">
        <fgColor indexed="45"/>
        <bgColor indexed="64"/>
      </patternFill>
    </fill>
    <fill>
      <patternFill patternType="solid">
        <fgColor indexed="29"/>
        <bgColor indexed="64"/>
      </patternFill>
    </fill>
    <fill>
      <patternFill patternType="solid">
        <fgColor indexed="56"/>
        <bgColor indexed="26"/>
      </patternFill>
    </fill>
    <fill>
      <patternFill patternType="solid">
        <fgColor indexed="26"/>
        <bgColor indexed="64"/>
      </patternFill>
    </fill>
    <fill>
      <patternFill patternType="solid">
        <fgColor indexed="50"/>
        <bgColor indexed="64"/>
      </patternFill>
    </fill>
    <fill>
      <patternFill patternType="solid">
        <fgColor indexed="46"/>
        <bgColor indexed="64"/>
      </patternFill>
    </fill>
    <fill>
      <patternFill patternType="solid">
        <fgColor rgb="FFC6EFCE"/>
      </patternFill>
    </fill>
    <fill>
      <patternFill patternType="solid">
        <fgColor rgb="FF002060"/>
        <bgColor indexed="64"/>
      </patternFill>
    </fill>
    <fill>
      <patternFill patternType="solid">
        <fgColor theme="3"/>
        <bgColor indexed="64"/>
      </patternFill>
    </fill>
    <fill>
      <patternFill patternType="solid">
        <fgColor theme="1"/>
        <bgColor indexed="64"/>
      </patternFill>
    </fill>
    <fill>
      <patternFill patternType="solid">
        <fgColor rgb="FFFFFF00"/>
        <bgColor indexed="64"/>
      </patternFill>
    </fill>
    <fill>
      <patternFill patternType="solid">
        <fgColor rgb="FFFFC000"/>
        <bgColor indexed="64"/>
      </patternFill>
    </fill>
    <fill>
      <patternFill patternType="solid">
        <fgColor theme="9"/>
        <bgColor indexed="64"/>
      </patternFill>
    </fill>
    <fill>
      <patternFill patternType="solid">
        <fgColor theme="8"/>
        <bgColor indexed="64"/>
      </patternFill>
    </fill>
    <fill>
      <patternFill patternType="solid">
        <fgColor theme="3" tint="0.59999389629810485"/>
        <bgColor indexed="64"/>
      </patternFill>
    </fill>
    <fill>
      <patternFill patternType="solid">
        <fgColor rgb="FF33CCCC"/>
        <bgColor indexed="64"/>
      </patternFill>
    </fill>
    <fill>
      <patternFill patternType="solid">
        <fgColor rgb="FFFF6600"/>
        <bgColor indexed="64"/>
      </patternFill>
    </fill>
    <fill>
      <patternFill patternType="solid">
        <fgColor rgb="FF003366"/>
        <bgColor indexed="64"/>
      </patternFill>
    </fill>
    <fill>
      <patternFill patternType="solid">
        <fgColor rgb="FF00CCFF"/>
        <bgColor indexed="64"/>
      </patternFill>
    </fill>
    <fill>
      <patternFill patternType="solid">
        <fgColor rgb="FF333399"/>
        <bgColor indexed="64"/>
      </patternFill>
    </fill>
    <fill>
      <patternFill patternType="solid">
        <fgColor rgb="FF008000"/>
        <bgColor indexed="64"/>
      </patternFill>
    </fill>
    <fill>
      <patternFill patternType="solid">
        <fgColor rgb="FF800080"/>
        <bgColor indexed="64"/>
      </patternFill>
    </fill>
    <fill>
      <patternFill patternType="solid">
        <fgColor rgb="FFFF0000"/>
        <bgColor indexed="64"/>
      </patternFill>
    </fill>
    <fill>
      <patternFill patternType="solid">
        <fgColor rgb="FFFFCC00"/>
        <bgColor indexed="64"/>
      </patternFill>
    </fill>
    <fill>
      <patternFill patternType="solid">
        <fgColor rgb="FF000000"/>
        <bgColor indexed="64"/>
      </patternFill>
    </fill>
    <fill>
      <patternFill patternType="solid">
        <fgColor theme="8" tint="0.39997558519241921"/>
        <bgColor indexed="64"/>
      </patternFill>
    </fill>
    <fill>
      <patternFill patternType="solid">
        <fgColor theme="0"/>
        <bgColor indexed="64"/>
      </patternFill>
    </fill>
    <fill>
      <patternFill patternType="solid">
        <fgColor theme="9" tint="0.39997558519241921"/>
        <bgColor indexed="64"/>
      </patternFill>
    </fill>
    <fill>
      <patternFill patternType="solid">
        <fgColor rgb="FF0066CC"/>
        <bgColor indexed="64"/>
      </patternFill>
    </fill>
    <fill>
      <patternFill patternType="solid">
        <fgColor rgb="FF99CC00"/>
        <bgColor indexed="64"/>
      </patternFill>
    </fill>
    <fill>
      <patternFill patternType="solid">
        <fgColor rgb="FFF79247"/>
        <bgColor indexed="64"/>
      </patternFill>
    </fill>
    <fill>
      <patternFill patternType="solid">
        <fgColor rgb="FF0070C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7"/>
        <bgColor indexed="64"/>
      </patternFill>
    </fill>
    <fill>
      <patternFill patternType="solid">
        <fgColor theme="5"/>
        <bgColor indexed="64"/>
      </patternFill>
    </fill>
    <fill>
      <patternFill patternType="solid">
        <fgColor theme="3" tint="-0.249977111117893"/>
        <bgColor indexed="64"/>
      </patternFill>
    </fill>
    <fill>
      <patternFill patternType="solid">
        <fgColor theme="8" tint="-0.249977111117893"/>
        <bgColor indexed="64"/>
      </patternFill>
    </fill>
    <fill>
      <patternFill patternType="solid">
        <fgColor theme="1" tint="0.249977111117893"/>
        <bgColor indexed="64"/>
      </patternFill>
    </fill>
    <fill>
      <patternFill patternType="solid">
        <fgColor theme="1" tint="0.34998626667073579"/>
        <bgColor indexed="64"/>
      </patternFill>
    </fill>
    <fill>
      <patternFill patternType="solid">
        <fgColor theme="1" tint="0.499984740745262"/>
        <bgColor indexed="64"/>
      </patternFill>
    </fill>
    <fill>
      <patternFill patternType="solid">
        <fgColor rgb="FF00FFFF"/>
        <bgColor indexed="64"/>
      </patternFill>
    </fill>
    <fill>
      <patternFill patternType="solid">
        <fgColor rgb="FF00B0F0"/>
        <bgColor indexed="64"/>
      </patternFill>
    </fill>
    <fill>
      <patternFill patternType="solid">
        <fgColor theme="3" tint="0.59996337778862885"/>
        <bgColor indexed="64"/>
      </patternFill>
    </fill>
    <fill>
      <patternFill patternType="solid">
        <fgColor theme="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tint="-0.499984740745262"/>
        <bgColor indexed="64"/>
      </patternFill>
    </fill>
    <fill>
      <patternFill patternType="solid">
        <fgColor rgb="FFC00000"/>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6" tint="-0.249977111117893"/>
        <bgColor indexed="64"/>
      </patternFill>
    </fill>
    <fill>
      <patternFill patternType="solid">
        <fgColor theme="7" tint="-0.249977111117893"/>
        <bgColor indexed="64"/>
      </patternFill>
    </fill>
    <fill>
      <patternFill patternType="solid">
        <fgColor theme="5" tint="-0.249977111117893"/>
        <bgColor indexed="64"/>
      </patternFill>
    </fill>
    <fill>
      <patternFill patternType="solid">
        <fgColor rgb="FF333300"/>
        <bgColor indexed="64"/>
      </patternFill>
    </fill>
    <fill>
      <patternFill patternType="solid">
        <fgColor theme="9" tint="-0.249977111117893"/>
        <bgColor indexed="64"/>
      </patternFill>
    </fill>
    <fill>
      <patternFill patternType="solid">
        <fgColor theme="5" tint="0.79998168889431442"/>
        <bgColor indexed="64"/>
      </patternFill>
    </fill>
    <fill>
      <patternFill patternType="solid">
        <fgColor theme="3" tint="0.39997558519241921"/>
        <bgColor indexed="64"/>
      </patternFill>
    </fill>
    <fill>
      <patternFill patternType="solid">
        <fgColor rgb="FFCC0099"/>
        <bgColor indexed="64"/>
      </patternFill>
    </fill>
    <fill>
      <patternFill patternType="solid">
        <fgColor rgb="FF00CC99"/>
        <bgColor indexed="64"/>
      </patternFill>
    </fill>
    <fill>
      <patternFill patternType="solid">
        <fgColor rgb="FF00B050"/>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theme="4"/>
        <bgColor indexed="64"/>
      </patternFill>
    </fill>
    <fill>
      <patternFill patternType="solid">
        <fgColor rgb="FF002060"/>
        <bgColor indexed="26"/>
      </patternFill>
    </fill>
    <fill>
      <patternFill patternType="solid">
        <fgColor theme="6" tint="0.39997558519241921"/>
        <bgColor indexed="64"/>
      </patternFill>
    </fill>
    <fill>
      <patternFill patternType="solid">
        <fgColor theme="0" tint="-4.9989318521683403E-2"/>
        <bgColor indexed="64"/>
      </patternFill>
    </fill>
    <fill>
      <patternFill patternType="solid">
        <fgColor theme="1" tint="4.9989318521683403E-2"/>
        <bgColor indexed="64"/>
      </patternFill>
    </fill>
    <fill>
      <patternFill patternType="solid">
        <fgColor theme="3" tint="0.79998168889431442"/>
        <bgColor indexed="64"/>
      </patternFill>
    </fill>
    <fill>
      <patternFill patternType="solid">
        <fgColor theme="6"/>
        <bgColor indexed="64"/>
      </patternFill>
    </fill>
    <fill>
      <patternFill patternType="solid">
        <fgColor theme="2" tint="-0.249977111117893"/>
        <bgColor indexed="64"/>
      </patternFill>
    </fill>
    <fill>
      <patternFill patternType="solid">
        <fgColor rgb="FFF2F2F2"/>
      </patternFill>
    </fill>
    <fill>
      <patternFill patternType="solid">
        <fgColor theme="2" tint="-0.499984740745262"/>
        <bgColor indexed="64"/>
      </patternFill>
    </fill>
    <fill>
      <patternFill patternType="solid">
        <fgColor theme="7" tint="0.39997558519241921"/>
        <bgColor indexed="64"/>
      </patternFill>
    </fill>
    <fill>
      <patternFill patternType="solid">
        <fgColor rgb="FF660066"/>
        <bgColor indexed="64"/>
      </patternFill>
    </fill>
    <fill>
      <patternFill patternType="solid">
        <fgColor rgb="FFC0C0C0"/>
        <bgColor indexed="64"/>
      </patternFill>
    </fill>
    <fill>
      <patternFill patternType="solid">
        <fgColor rgb="FF6600FF"/>
        <bgColor indexed="64"/>
      </patternFill>
    </fill>
    <fill>
      <patternFill patternType="solid">
        <fgColor rgb="FF333333"/>
        <bgColor indexed="64"/>
      </patternFill>
    </fill>
    <fill>
      <patternFill patternType="solid">
        <fgColor theme="3" tint="-0.499984740745262"/>
        <bgColor indexed="64"/>
      </patternFill>
    </fill>
    <fill>
      <patternFill patternType="solid">
        <fgColor rgb="FF00FFCC"/>
        <bgColor indexed="64"/>
      </patternFill>
    </fill>
    <fill>
      <patternFill patternType="solid">
        <fgColor rgb="FF000066"/>
        <bgColor indexed="64"/>
      </patternFill>
    </fill>
    <fill>
      <patternFill patternType="solid">
        <fgColor rgb="FF003300"/>
        <bgColor indexed="64"/>
      </patternFill>
    </fill>
    <fill>
      <patternFill patternType="solid">
        <fgColor rgb="FF800000"/>
        <bgColor indexed="64"/>
      </patternFill>
    </fill>
    <fill>
      <patternFill patternType="solid">
        <fgColor rgb="FFCC0000"/>
        <bgColor indexed="64"/>
      </patternFill>
    </fill>
  </fills>
  <borders count="729">
    <border>
      <left/>
      <right/>
      <top/>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right style="double">
        <color indexed="10"/>
      </right>
      <top/>
      <bottom/>
      <diagonal/>
    </border>
    <border>
      <left/>
      <right style="double">
        <color indexed="10"/>
      </right>
      <top/>
      <bottom style="double">
        <color indexed="10"/>
      </bottom>
      <diagonal/>
    </border>
    <border>
      <left style="double">
        <color indexed="10"/>
      </left>
      <right/>
      <top/>
      <bottom/>
      <diagonal/>
    </border>
    <border>
      <left style="double">
        <color indexed="10"/>
      </left>
      <right/>
      <top/>
      <bottom style="double">
        <color indexed="10"/>
      </bottom>
      <diagonal/>
    </border>
    <border>
      <left style="double">
        <color indexed="10"/>
      </left>
      <right/>
      <top style="double">
        <color indexed="10"/>
      </top>
      <bottom/>
      <diagonal/>
    </border>
    <border>
      <left/>
      <right/>
      <top style="double">
        <color indexed="10"/>
      </top>
      <bottom/>
      <diagonal/>
    </border>
    <border>
      <left/>
      <right style="double">
        <color indexed="10"/>
      </right>
      <top style="double">
        <color indexed="10"/>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double">
        <color indexed="10"/>
      </right>
      <top/>
      <bottom style="thin">
        <color indexed="64"/>
      </bottom>
      <diagonal/>
    </border>
    <border>
      <left style="thin">
        <color indexed="64"/>
      </left>
      <right/>
      <top style="thin">
        <color indexed="64"/>
      </top>
      <bottom/>
      <diagonal/>
    </border>
    <border>
      <left/>
      <right style="double">
        <color indexed="10"/>
      </right>
      <top style="thin">
        <color indexed="64"/>
      </top>
      <bottom/>
      <diagonal/>
    </border>
    <border>
      <left style="thin">
        <color indexed="64"/>
      </left>
      <right/>
      <top/>
      <bottom style="thin">
        <color indexed="64"/>
      </bottom>
      <diagonal/>
    </border>
    <border>
      <left style="thin">
        <color indexed="64"/>
      </left>
      <right/>
      <top/>
      <bottom style="hair">
        <color indexed="64"/>
      </bottom>
      <diagonal/>
    </border>
    <border>
      <left style="thin">
        <color indexed="64"/>
      </left>
      <right/>
      <top style="thin">
        <color indexed="64"/>
      </top>
      <bottom style="thin">
        <color indexed="64"/>
      </bottom>
      <diagonal/>
    </border>
    <border>
      <left/>
      <right style="double">
        <color indexed="10"/>
      </right>
      <top style="thin">
        <color indexed="64"/>
      </top>
      <bottom style="thin">
        <color indexed="64"/>
      </bottom>
      <diagonal/>
    </border>
    <border>
      <left/>
      <right/>
      <top/>
      <bottom style="hair">
        <color indexed="64"/>
      </bottom>
      <diagonal/>
    </border>
    <border>
      <left/>
      <right/>
      <top style="thin">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hair">
        <color indexed="64"/>
      </left>
      <right/>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double">
        <color indexed="10"/>
      </left>
      <right style="thin">
        <color indexed="64"/>
      </right>
      <top style="thin">
        <color indexed="64"/>
      </top>
      <bottom style="thin">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style="double">
        <color indexed="10"/>
      </right>
      <top style="hair">
        <color indexed="64"/>
      </top>
      <bottom style="hair">
        <color indexed="64"/>
      </bottom>
      <diagonal/>
    </border>
    <border>
      <left/>
      <right style="thin">
        <color indexed="64"/>
      </right>
      <top/>
      <bottom style="thin">
        <color indexed="64"/>
      </bottom>
      <diagonal/>
    </border>
    <border>
      <left/>
      <right/>
      <top style="thin">
        <color indexed="64"/>
      </top>
      <bottom/>
      <diagonal/>
    </border>
    <border>
      <left/>
      <right/>
      <top/>
      <bottom style="double">
        <color indexed="10"/>
      </bottom>
      <diagonal/>
    </border>
    <border>
      <left style="thin">
        <color indexed="64"/>
      </left>
      <right/>
      <top style="double">
        <color indexed="10"/>
      </top>
      <bottom/>
      <diagonal/>
    </border>
    <border>
      <left/>
      <right style="hair">
        <color indexed="64"/>
      </right>
      <top style="double">
        <color indexed="10"/>
      </top>
      <bottom/>
      <diagonal/>
    </border>
    <border>
      <left/>
      <right style="hair">
        <color indexed="64"/>
      </right>
      <top/>
      <bottom/>
      <diagonal/>
    </border>
    <border>
      <left/>
      <right style="double">
        <color indexed="10"/>
      </right>
      <top style="hair">
        <color indexed="64"/>
      </top>
      <bottom style="thin">
        <color indexed="64"/>
      </bottom>
      <diagonal/>
    </border>
    <border>
      <left style="hair">
        <color indexed="64"/>
      </left>
      <right/>
      <top/>
      <bottom/>
      <diagonal/>
    </border>
    <border>
      <left style="double">
        <color indexed="10"/>
      </left>
      <right style="hair">
        <color indexed="64"/>
      </right>
      <top/>
      <bottom/>
      <diagonal/>
    </border>
    <border>
      <left style="hair">
        <color indexed="64"/>
      </left>
      <right style="hair">
        <color indexed="64"/>
      </right>
      <top/>
      <bottom/>
      <diagonal/>
    </border>
    <border>
      <left style="double">
        <color indexed="10"/>
      </left>
      <right style="hair">
        <color indexed="64"/>
      </right>
      <top/>
      <bottom style="thin">
        <color indexed="64"/>
      </bottom>
      <diagonal/>
    </border>
    <border>
      <left style="hair">
        <color indexed="64"/>
      </left>
      <right style="hair">
        <color indexed="64"/>
      </right>
      <top/>
      <bottom style="thin">
        <color indexed="64"/>
      </bottom>
      <diagonal/>
    </border>
    <border>
      <left style="double">
        <color indexed="10"/>
      </left>
      <right style="hair">
        <color indexed="64"/>
      </right>
      <top style="thin">
        <color indexed="64"/>
      </top>
      <bottom style="hair">
        <color indexed="10"/>
      </bottom>
      <diagonal/>
    </border>
    <border>
      <left style="double">
        <color indexed="10"/>
      </left>
      <right style="hair">
        <color indexed="64"/>
      </right>
      <top style="hair">
        <color indexed="10"/>
      </top>
      <bottom style="hair">
        <color indexed="10"/>
      </bottom>
      <diagonal/>
    </border>
    <border>
      <left style="double">
        <color indexed="10"/>
      </left>
      <right/>
      <top style="double">
        <color indexed="10"/>
      </top>
      <bottom style="double">
        <color indexed="10"/>
      </bottom>
      <diagonal/>
    </border>
    <border>
      <left/>
      <right/>
      <top style="double">
        <color indexed="10"/>
      </top>
      <bottom style="double">
        <color indexed="10"/>
      </bottom>
      <diagonal/>
    </border>
    <border>
      <left/>
      <right style="double">
        <color indexed="10"/>
      </right>
      <top style="double">
        <color indexed="10"/>
      </top>
      <bottom style="double">
        <color indexed="10"/>
      </bottom>
      <diagonal/>
    </border>
    <border>
      <left style="thin">
        <color indexed="9"/>
      </left>
      <right/>
      <top/>
      <bottom/>
      <diagonal/>
    </border>
    <border>
      <left/>
      <right/>
      <top style="thin">
        <color indexed="9"/>
      </top>
      <bottom style="thin">
        <color indexed="9"/>
      </bottom>
      <diagonal/>
    </border>
    <border>
      <left/>
      <right style="thin">
        <color indexed="9"/>
      </right>
      <top/>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double">
        <color indexed="10"/>
      </left>
      <right style="thin">
        <color indexed="64"/>
      </right>
      <top/>
      <bottom style="thin">
        <color indexed="64"/>
      </bottom>
      <diagonal/>
    </border>
    <border>
      <left style="double">
        <color indexed="10"/>
      </left>
      <right style="thin">
        <color indexed="64"/>
      </right>
      <top style="thin">
        <color indexed="64"/>
      </top>
      <bottom/>
      <diagonal/>
    </border>
    <border>
      <left style="thin">
        <color indexed="64"/>
      </left>
      <right style="thin">
        <color indexed="64"/>
      </right>
      <top style="thin">
        <color indexed="64"/>
      </top>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hair">
        <color indexed="64"/>
      </top>
      <bottom style="thin">
        <color indexed="64"/>
      </bottom>
      <diagonal/>
    </border>
    <border>
      <left/>
      <right style="medium">
        <color indexed="53"/>
      </right>
      <top/>
      <bottom/>
      <diagonal/>
    </border>
    <border>
      <left/>
      <right/>
      <top style="medium">
        <color indexed="53"/>
      </top>
      <bottom/>
      <diagonal/>
    </border>
    <border>
      <left style="medium">
        <color indexed="53"/>
      </left>
      <right/>
      <top/>
      <bottom/>
      <diagonal/>
    </border>
    <border>
      <left style="medium">
        <color indexed="53"/>
      </left>
      <right/>
      <top/>
      <bottom style="medium">
        <color indexed="53"/>
      </bottom>
      <diagonal/>
    </border>
    <border>
      <left/>
      <right/>
      <top/>
      <bottom style="medium">
        <color indexed="53"/>
      </bottom>
      <diagonal/>
    </border>
    <border>
      <left/>
      <right style="medium">
        <color indexed="53"/>
      </right>
      <top/>
      <bottom style="medium">
        <color indexed="53"/>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right style="medium">
        <color indexed="53"/>
      </right>
      <top style="medium">
        <color indexed="53"/>
      </top>
      <bottom/>
      <diagonal/>
    </border>
    <border>
      <left/>
      <right/>
      <top style="hair">
        <color indexed="64"/>
      </top>
      <bottom/>
      <diagonal/>
    </border>
    <border>
      <left style="double">
        <color indexed="10"/>
      </left>
      <right style="thin">
        <color indexed="64"/>
      </right>
      <top style="double">
        <color indexed="10"/>
      </top>
      <bottom/>
      <diagonal/>
    </border>
    <border>
      <left style="double">
        <color indexed="10"/>
      </left>
      <right style="thin">
        <color indexed="64"/>
      </right>
      <top/>
      <bottom/>
      <diagonal/>
    </border>
    <border>
      <left style="medium">
        <color indexed="53"/>
      </left>
      <right/>
      <top style="medium">
        <color indexed="53"/>
      </top>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double">
        <color indexed="10"/>
      </left>
      <right/>
      <top/>
      <bottom style="thin">
        <color indexed="64"/>
      </bottom>
      <diagonal/>
    </border>
    <border>
      <left style="hair">
        <color indexed="64"/>
      </left>
      <right/>
      <top/>
      <bottom style="hair">
        <color indexed="64"/>
      </bottom>
      <diagonal/>
    </border>
    <border>
      <left style="double">
        <color indexed="10"/>
      </left>
      <right style="thin">
        <color indexed="64"/>
      </right>
      <top/>
      <bottom style="double">
        <color indexed="10"/>
      </bottom>
      <diagonal/>
    </border>
    <border>
      <left style="thin">
        <color indexed="56"/>
      </left>
      <right style="thin">
        <color indexed="56"/>
      </right>
      <top style="thin">
        <color indexed="56"/>
      </top>
      <bottom style="thin">
        <color indexed="56"/>
      </bottom>
      <diagonal/>
    </border>
    <border>
      <left style="thin">
        <color indexed="56"/>
      </left>
      <right style="thin">
        <color indexed="56"/>
      </right>
      <top style="double">
        <color indexed="56"/>
      </top>
      <bottom style="thin">
        <color indexed="56"/>
      </bottom>
      <diagonal/>
    </border>
    <border>
      <left style="thin">
        <color indexed="56"/>
      </left>
      <right style="thin">
        <color indexed="56"/>
      </right>
      <top style="thin">
        <color indexed="56"/>
      </top>
      <bottom/>
      <diagonal/>
    </border>
    <border>
      <left style="thin">
        <color indexed="64"/>
      </left>
      <right/>
      <top/>
      <bottom style="double">
        <color indexed="10"/>
      </bottom>
      <diagonal/>
    </border>
    <border>
      <left style="thin">
        <color indexed="56"/>
      </left>
      <right style="thin">
        <color indexed="56"/>
      </right>
      <top style="thin">
        <color indexed="56"/>
      </top>
      <bottom style="double">
        <color indexed="10"/>
      </bottom>
      <diagonal/>
    </border>
    <border>
      <left style="thin">
        <color indexed="9"/>
      </left>
      <right style="thin">
        <color indexed="9"/>
      </right>
      <top/>
      <bottom/>
      <diagonal/>
    </border>
    <border>
      <left style="thin">
        <color indexed="9"/>
      </left>
      <right/>
      <top style="thin">
        <color indexed="9"/>
      </top>
      <bottom/>
      <diagonal/>
    </border>
    <border>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medium">
        <color indexed="53"/>
      </left>
      <right/>
      <top style="medium">
        <color indexed="53"/>
      </top>
      <bottom style="medium">
        <color indexed="53"/>
      </bottom>
      <diagonal/>
    </border>
    <border>
      <left/>
      <right/>
      <top style="medium">
        <color indexed="53"/>
      </top>
      <bottom style="medium">
        <color indexed="53"/>
      </bottom>
      <diagonal/>
    </border>
    <border>
      <left/>
      <right style="medium">
        <color indexed="53"/>
      </right>
      <top style="medium">
        <color indexed="53"/>
      </top>
      <bottom style="medium">
        <color indexed="53"/>
      </bottom>
      <diagonal/>
    </border>
    <border>
      <left style="thin">
        <color indexed="26"/>
      </left>
      <right/>
      <top style="thin">
        <color indexed="26"/>
      </top>
      <bottom/>
      <diagonal/>
    </border>
    <border>
      <left/>
      <right/>
      <top style="thin">
        <color indexed="26"/>
      </top>
      <bottom/>
      <diagonal/>
    </border>
    <border>
      <left style="thin">
        <color indexed="26"/>
      </left>
      <right/>
      <top/>
      <bottom style="thin">
        <color indexed="26"/>
      </bottom>
      <diagonal/>
    </border>
    <border>
      <left/>
      <right/>
      <top/>
      <bottom style="thin">
        <color indexed="26"/>
      </bottom>
      <diagonal/>
    </border>
    <border>
      <left/>
      <right style="thin">
        <color indexed="26"/>
      </right>
      <top/>
      <bottom style="thin">
        <color indexed="26"/>
      </bottom>
      <diagonal/>
    </border>
    <border>
      <left style="thin">
        <color indexed="26"/>
      </left>
      <right/>
      <top style="thin">
        <color indexed="26"/>
      </top>
      <bottom style="thin">
        <color indexed="26"/>
      </bottom>
      <diagonal/>
    </border>
    <border>
      <left/>
      <right/>
      <top style="thin">
        <color indexed="26"/>
      </top>
      <bottom style="thin">
        <color indexed="26"/>
      </bottom>
      <diagonal/>
    </border>
    <border>
      <left/>
      <right style="thin">
        <color indexed="64"/>
      </right>
      <top style="hair">
        <color indexed="64"/>
      </top>
      <bottom style="thin">
        <color indexed="64"/>
      </bottom>
      <diagonal/>
    </border>
    <border>
      <left/>
      <right style="double">
        <color indexed="10"/>
      </right>
      <top style="hair">
        <color indexed="64"/>
      </top>
      <bottom/>
      <diagonal/>
    </border>
    <border>
      <left/>
      <right/>
      <top style="thin">
        <color indexed="9"/>
      </top>
      <bottom/>
      <diagonal/>
    </border>
    <border>
      <left/>
      <right/>
      <top style="double">
        <color indexed="53"/>
      </top>
      <bottom/>
      <diagonal/>
    </border>
    <border>
      <left/>
      <right/>
      <top style="medium">
        <color indexed="64"/>
      </top>
      <bottom style="medium">
        <color indexed="64"/>
      </bottom>
      <diagonal/>
    </border>
    <border>
      <left/>
      <right style="double">
        <color indexed="10"/>
      </right>
      <top/>
      <bottom style="hair">
        <color indexed="64"/>
      </bottom>
      <diagonal/>
    </border>
    <border>
      <left style="double">
        <color indexed="53"/>
      </left>
      <right/>
      <top/>
      <bottom/>
      <diagonal/>
    </border>
    <border>
      <left/>
      <right style="double">
        <color indexed="53"/>
      </right>
      <top/>
      <bottom/>
      <diagonal/>
    </border>
    <border>
      <left style="thin">
        <color indexed="9"/>
      </left>
      <right/>
      <top style="thin">
        <color indexed="9"/>
      </top>
      <bottom style="thin">
        <color indexed="9"/>
      </bottom>
      <diagonal/>
    </border>
    <border>
      <left style="medium">
        <color indexed="53"/>
      </left>
      <right style="medium">
        <color indexed="53"/>
      </right>
      <top style="medium">
        <color indexed="53"/>
      </top>
      <bottom style="medium">
        <color indexed="53"/>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right/>
      <top style="double">
        <color indexed="56"/>
      </top>
      <bottom/>
      <diagonal/>
    </border>
    <border>
      <left/>
      <right style="thin">
        <color indexed="9"/>
      </right>
      <top style="thin">
        <color indexed="9"/>
      </top>
      <bottom style="thin">
        <color indexed="9"/>
      </bottom>
      <diagonal/>
    </border>
    <border>
      <left style="thin">
        <color indexed="26"/>
      </left>
      <right style="thin">
        <color indexed="26"/>
      </right>
      <top style="thin">
        <color indexed="26"/>
      </top>
      <bottom style="thin">
        <color indexed="26"/>
      </bottom>
      <diagonal/>
    </border>
    <border>
      <left style="thin">
        <color indexed="64"/>
      </left>
      <right style="thin">
        <color indexed="26"/>
      </right>
      <top style="thin">
        <color indexed="64"/>
      </top>
      <bottom style="thin">
        <color indexed="64"/>
      </bottom>
      <diagonal/>
    </border>
    <border>
      <left style="thin">
        <color indexed="26"/>
      </left>
      <right style="thin">
        <color indexed="64"/>
      </right>
      <top style="thin">
        <color indexed="64"/>
      </top>
      <bottom style="thin">
        <color indexed="64"/>
      </bottom>
      <diagonal/>
    </border>
    <border>
      <left/>
      <right style="thin">
        <color indexed="26"/>
      </right>
      <top style="thin">
        <color indexed="26"/>
      </top>
      <bottom style="thin">
        <color indexed="26"/>
      </bottom>
      <diagonal/>
    </border>
    <border>
      <left/>
      <right style="thin">
        <color indexed="26"/>
      </right>
      <top style="thin">
        <color indexed="26"/>
      </top>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64"/>
      </left>
      <right style="double">
        <color indexed="10"/>
      </right>
      <top/>
      <bottom/>
      <diagonal/>
    </border>
    <border>
      <left style="hair">
        <color indexed="64"/>
      </left>
      <right style="double">
        <color indexed="10"/>
      </right>
      <top/>
      <bottom style="thin">
        <color indexed="64"/>
      </bottom>
      <diagonal/>
    </border>
    <border>
      <left style="hair">
        <color indexed="64"/>
      </left>
      <right style="double">
        <color indexed="10"/>
      </right>
      <top style="thin">
        <color indexed="64"/>
      </top>
      <bottom style="hair">
        <color indexed="64"/>
      </bottom>
      <diagonal/>
    </border>
    <border>
      <left style="hair">
        <color indexed="64"/>
      </left>
      <right style="double">
        <color indexed="10"/>
      </right>
      <top style="hair">
        <color indexed="64"/>
      </top>
      <bottom style="hair">
        <color indexed="64"/>
      </bottom>
      <diagonal/>
    </border>
    <border>
      <left style="hair">
        <color indexed="64"/>
      </left>
      <right style="double">
        <color indexed="10"/>
      </right>
      <top style="hair">
        <color indexed="64"/>
      </top>
      <bottom style="thin">
        <color indexed="64"/>
      </bottom>
      <diagonal/>
    </border>
    <border>
      <left style="double">
        <color indexed="10"/>
      </left>
      <right style="thin">
        <color indexed="56"/>
      </right>
      <top style="double">
        <color indexed="10"/>
      </top>
      <bottom style="thin">
        <color indexed="56"/>
      </bottom>
      <diagonal/>
    </border>
    <border>
      <left style="thin">
        <color indexed="56"/>
      </left>
      <right style="thin">
        <color indexed="56"/>
      </right>
      <top style="double">
        <color indexed="10"/>
      </top>
      <bottom style="thin">
        <color indexed="56"/>
      </bottom>
      <diagonal/>
    </border>
    <border>
      <left style="thin">
        <color indexed="56"/>
      </left>
      <right style="double">
        <color indexed="10"/>
      </right>
      <top style="double">
        <color indexed="10"/>
      </top>
      <bottom style="thin">
        <color indexed="56"/>
      </bottom>
      <diagonal/>
    </border>
    <border>
      <left style="double">
        <color indexed="10"/>
      </left>
      <right style="thin">
        <color indexed="56"/>
      </right>
      <top style="thin">
        <color indexed="56"/>
      </top>
      <bottom style="double">
        <color indexed="56"/>
      </bottom>
      <diagonal/>
    </border>
    <border>
      <left style="thin">
        <color indexed="56"/>
      </left>
      <right style="thin">
        <color indexed="56"/>
      </right>
      <top style="thin">
        <color indexed="56"/>
      </top>
      <bottom style="double">
        <color indexed="56"/>
      </bottom>
      <diagonal/>
    </border>
    <border>
      <left style="thin">
        <color indexed="56"/>
      </left>
      <right style="double">
        <color indexed="10"/>
      </right>
      <top style="thin">
        <color indexed="56"/>
      </top>
      <bottom style="double">
        <color indexed="56"/>
      </bottom>
      <diagonal/>
    </border>
    <border>
      <left style="double">
        <color indexed="10"/>
      </left>
      <right style="thin">
        <color indexed="56"/>
      </right>
      <top/>
      <bottom style="thin">
        <color indexed="56"/>
      </bottom>
      <diagonal/>
    </border>
    <border>
      <left style="thin">
        <color indexed="56"/>
      </left>
      <right style="thin">
        <color indexed="56"/>
      </right>
      <top/>
      <bottom style="thin">
        <color indexed="56"/>
      </bottom>
      <diagonal/>
    </border>
    <border>
      <left style="thin">
        <color indexed="56"/>
      </left>
      <right style="double">
        <color indexed="10"/>
      </right>
      <top/>
      <bottom style="thin">
        <color indexed="56"/>
      </bottom>
      <diagonal/>
    </border>
    <border>
      <left style="thin">
        <color indexed="56"/>
      </left>
      <right style="double">
        <color indexed="10"/>
      </right>
      <top style="thin">
        <color indexed="56"/>
      </top>
      <bottom style="thin">
        <color indexed="56"/>
      </bottom>
      <diagonal/>
    </border>
    <border>
      <left style="thin">
        <color indexed="56"/>
      </left>
      <right/>
      <top style="double">
        <color indexed="56"/>
      </top>
      <bottom style="thin">
        <color indexed="56"/>
      </bottom>
      <diagonal/>
    </border>
    <border>
      <left/>
      <right/>
      <top style="double">
        <color indexed="56"/>
      </top>
      <bottom style="thin">
        <color indexed="56"/>
      </bottom>
      <diagonal/>
    </border>
    <border>
      <left/>
      <right style="double">
        <color indexed="10"/>
      </right>
      <top style="double">
        <color indexed="56"/>
      </top>
      <bottom style="thin">
        <color indexed="56"/>
      </bottom>
      <diagonal/>
    </border>
    <border>
      <left style="thin">
        <color indexed="56"/>
      </left>
      <right style="double">
        <color indexed="10"/>
      </right>
      <top style="thin">
        <color indexed="56"/>
      </top>
      <bottom style="double">
        <color indexed="10"/>
      </bottom>
      <diagonal/>
    </border>
    <border>
      <left style="double">
        <color indexed="10"/>
      </left>
      <right style="thin">
        <color indexed="56"/>
      </right>
      <top style="thin">
        <color indexed="56"/>
      </top>
      <bottom style="thin">
        <color indexed="56"/>
      </bottom>
      <diagonal/>
    </border>
    <border>
      <left style="thin">
        <color indexed="56"/>
      </left>
      <right/>
      <top style="thin">
        <color indexed="56"/>
      </top>
      <bottom/>
      <diagonal/>
    </border>
    <border>
      <left/>
      <right/>
      <top style="thin">
        <color indexed="56"/>
      </top>
      <bottom/>
      <diagonal/>
    </border>
    <border>
      <left/>
      <right style="double">
        <color indexed="10"/>
      </right>
      <top style="thin">
        <color indexed="56"/>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double">
        <color indexed="10"/>
      </right>
      <top style="thin">
        <color indexed="56"/>
      </top>
      <bottom style="thin">
        <color indexed="56"/>
      </bottom>
      <diagonal/>
    </border>
    <border>
      <left style="thin">
        <color indexed="56"/>
      </left>
      <right/>
      <top style="thin">
        <color indexed="56"/>
      </top>
      <bottom style="double">
        <color indexed="10"/>
      </bottom>
      <diagonal/>
    </border>
    <border>
      <left/>
      <right/>
      <top style="thin">
        <color indexed="56"/>
      </top>
      <bottom style="double">
        <color indexed="10"/>
      </bottom>
      <diagonal/>
    </border>
    <border>
      <left/>
      <right style="double">
        <color indexed="10"/>
      </right>
      <top style="thin">
        <color indexed="56"/>
      </top>
      <bottom style="double">
        <color indexed="10"/>
      </bottom>
      <diagonal/>
    </border>
    <border>
      <left style="double">
        <color indexed="10"/>
      </left>
      <right/>
      <top style="thin">
        <color indexed="56"/>
      </top>
      <bottom/>
      <diagonal/>
    </border>
    <border>
      <left style="double">
        <color indexed="10"/>
      </left>
      <right style="thin">
        <color indexed="56"/>
      </right>
      <top style="thin">
        <color indexed="56"/>
      </top>
      <bottom/>
      <diagonal/>
    </border>
    <border>
      <left style="thin">
        <color indexed="56"/>
      </left>
      <right style="double">
        <color indexed="10"/>
      </right>
      <top style="thin">
        <color indexed="56"/>
      </top>
      <bottom/>
      <diagonal/>
    </border>
    <border>
      <left style="double">
        <color indexed="10"/>
      </left>
      <right/>
      <top style="double">
        <color indexed="56"/>
      </top>
      <bottom/>
      <diagonal/>
    </border>
    <border>
      <left/>
      <right style="thin">
        <color indexed="56"/>
      </right>
      <top style="double">
        <color indexed="56"/>
      </top>
      <bottom/>
      <diagonal/>
    </border>
    <border>
      <left style="double">
        <color indexed="10"/>
      </left>
      <right/>
      <top/>
      <bottom style="thin">
        <color indexed="56"/>
      </bottom>
      <diagonal/>
    </border>
    <border>
      <left/>
      <right/>
      <top/>
      <bottom style="thin">
        <color indexed="56"/>
      </bottom>
      <diagonal/>
    </border>
    <border>
      <left/>
      <right style="thin">
        <color indexed="56"/>
      </right>
      <top/>
      <bottom style="thin">
        <color indexed="56"/>
      </bottom>
      <diagonal/>
    </border>
    <border>
      <left style="double">
        <color indexed="10"/>
      </left>
      <right/>
      <top style="thin">
        <color indexed="56"/>
      </top>
      <bottom style="double">
        <color indexed="10"/>
      </bottom>
      <diagonal/>
    </border>
    <border>
      <left/>
      <right style="thin">
        <color indexed="56"/>
      </right>
      <top style="thin">
        <color indexed="56"/>
      </top>
      <bottom style="double">
        <color indexed="10"/>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double">
        <color indexed="10"/>
      </right>
      <top/>
      <bottom style="thin">
        <color auto="1"/>
      </bottom>
      <diagonal/>
    </border>
    <border>
      <left style="thin">
        <color theme="1"/>
      </left>
      <right style="thin">
        <color theme="1"/>
      </right>
      <top style="thin">
        <color theme="1"/>
      </top>
      <bottom style="thin">
        <color theme="1"/>
      </bottom>
      <diagonal/>
    </border>
    <border>
      <left style="thin">
        <color theme="1"/>
      </left>
      <right style="double">
        <color indexed="10"/>
      </right>
      <top style="thin">
        <color theme="1"/>
      </top>
      <bottom style="thin">
        <color theme="1"/>
      </bottom>
      <diagonal/>
    </border>
    <border>
      <left/>
      <right style="thin">
        <color theme="1"/>
      </right>
      <top style="thin">
        <color theme="1"/>
      </top>
      <bottom style="thin">
        <color theme="1"/>
      </bottom>
      <diagonal/>
    </border>
    <border>
      <left style="double">
        <color indexed="10"/>
      </left>
      <right/>
      <top style="thin">
        <color theme="1"/>
      </top>
      <bottom style="thin">
        <color theme="1"/>
      </bottom>
      <diagonal/>
    </border>
    <border>
      <left style="thin">
        <color theme="1"/>
      </left>
      <right/>
      <top/>
      <bottom style="thin">
        <color theme="1"/>
      </bottom>
      <diagonal/>
    </border>
    <border>
      <left/>
      <right/>
      <top/>
      <bottom style="thin">
        <color theme="1"/>
      </bottom>
      <diagonal/>
    </border>
    <border>
      <left/>
      <right style="thin">
        <color theme="1"/>
      </right>
      <top style="thin">
        <color theme="1"/>
      </top>
      <bottom/>
      <diagonal/>
    </border>
    <border>
      <left style="thin">
        <color theme="1"/>
      </left>
      <right style="thin">
        <color theme="1"/>
      </right>
      <top style="thin">
        <color theme="1"/>
      </top>
      <bottom/>
      <diagonal/>
    </border>
    <border>
      <left style="thin">
        <color theme="1"/>
      </left>
      <right style="double">
        <color indexed="10"/>
      </right>
      <top style="thin">
        <color theme="1"/>
      </top>
      <bottom/>
      <diagonal/>
    </border>
    <border>
      <left style="thin">
        <color indexed="64"/>
      </left>
      <right style="double">
        <color indexed="10"/>
      </right>
      <top style="medium">
        <color indexed="64"/>
      </top>
      <bottom style="medium">
        <color indexed="64"/>
      </bottom>
      <diagonal/>
    </border>
    <border>
      <left/>
      <right style="thin">
        <color theme="1"/>
      </right>
      <top/>
      <bottom/>
      <diagonal/>
    </border>
    <border>
      <left style="thin">
        <color indexed="64"/>
      </left>
      <right style="thin">
        <color indexed="64"/>
      </right>
      <top style="medium">
        <color indexed="64"/>
      </top>
      <bottom style="medium">
        <color indexed="64"/>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right/>
      <top style="thin">
        <color indexed="9"/>
      </top>
      <bottom/>
      <diagonal/>
    </border>
    <border>
      <left style="thin">
        <color indexed="9"/>
      </left>
      <right style="thin">
        <color indexed="9"/>
      </right>
      <top style="thin">
        <color indexed="9"/>
      </top>
      <bottom style="thin">
        <color indexed="9"/>
      </bottom>
      <diagonal/>
    </border>
    <border>
      <left style="medium">
        <color indexed="64"/>
      </left>
      <right/>
      <top style="medium">
        <color indexed="64"/>
      </top>
      <bottom/>
      <diagonal/>
    </border>
    <border>
      <left/>
      <right style="double">
        <color indexed="10"/>
      </right>
      <top style="medium">
        <color indexed="64"/>
      </top>
      <bottom/>
      <diagonal/>
    </border>
    <border>
      <left style="thin">
        <color auto="1"/>
      </left>
      <right/>
      <top style="thin">
        <color auto="1"/>
      </top>
      <bottom/>
      <diagonal/>
    </border>
    <border>
      <left/>
      <right/>
      <top style="thin">
        <color auto="1"/>
      </top>
      <bottom/>
      <diagonal/>
    </border>
    <border>
      <left/>
      <right style="thin">
        <color indexed="64"/>
      </right>
      <top style="thin">
        <color auto="1"/>
      </top>
      <bottom/>
      <diagonal/>
    </border>
    <border>
      <left style="thin">
        <color indexed="64"/>
      </left>
      <right style="thin">
        <color indexed="64"/>
      </right>
      <top style="thin">
        <color auto="1"/>
      </top>
      <bottom style="thin">
        <color indexed="64"/>
      </bottom>
      <diagonal/>
    </border>
    <border>
      <left/>
      <right style="double">
        <color indexed="10"/>
      </right>
      <top style="thin">
        <color auto="1"/>
      </top>
      <bottom/>
      <diagonal/>
    </border>
    <border>
      <left/>
      <right/>
      <top style="thin">
        <color indexed="64"/>
      </top>
      <bottom style="thin">
        <color indexed="64"/>
      </bottom>
      <diagonal/>
    </border>
    <border>
      <left style="medium">
        <color theme="9"/>
      </left>
      <right/>
      <top style="medium">
        <color theme="9"/>
      </top>
      <bottom style="medium">
        <color theme="9"/>
      </bottom>
      <diagonal/>
    </border>
    <border>
      <left/>
      <right style="medium">
        <color theme="9"/>
      </right>
      <top style="medium">
        <color theme="9"/>
      </top>
      <bottom style="medium">
        <color theme="9"/>
      </bottom>
      <diagonal/>
    </border>
    <border>
      <left style="medium">
        <color indexed="53"/>
      </left>
      <right/>
      <top style="medium">
        <color theme="9"/>
      </top>
      <bottom style="medium">
        <color theme="9"/>
      </bottom>
      <diagonal/>
    </border>
    <border>
      <left/>
      <right style="medium">
        <color indexed="53"/>
      </right>
      <top style="medium">
        <color theme="9"/>
      </top>
      <bottom style="medium">
        <color theme="9"/>
      </bottom>
      <diagonal/>
    </border>
    <border>
      <left/>
      <right/>
      <top style="medium">
        <color theme="9"/>
      </top>
      <bottom style="medium">
        <color theme="9"/>
      </bottom>
      <diagonal/>
    </border>
    <border>
      <left/>
      <right/>
      <top style="medium">
        <color theme="9"/>
      </top>
      <bottom/>
      <diagonal/>
    </border>
    <border>
      <left style="medium">
        <color theme="9"/>
      </left>
      <right/>
      <top style="medium">
        <color theme="9"/>
      </top>
      <bottom/>
      <diagonal/>
    </border>
    <border>
      <left/>
      <right style="medium">
        <color theme="9"/>
      </right>
      <top style="medium">
        <color theme="9"/>
      </top>
      <bottom/>
      <diagonal/>
    </border>
    <border>
      <left style="medium">
        <color theme="9"/>
      </left>
      <right/>
      <top/>
      <bottom/>
      <diagonal/>
    </border>
    <border>
      <left/>
      <right style="medium">
        <color theme="9"/>
      </right>
      <top/>
      <bottom/>
      <diagonal/>
    </border>
    <border>
      <left style="medium">
        <color theme="9"/>
      </left>
      <right/>
      <top/>
      <bottom style="medium">
        <color theme="9"/>
      </bottom>
      <diagonal/>
    </border>
    <border>
      <left/>
      <right style="medium">
        <color theme="9"/>
      </right>
      <top/>
      <bottom style="medium">
        <color theme="9"/>
      </bottom>
      <diagonal/>
    </border>
    <border>
      <left/>
      <right/>
      <top/>
      <bottom style="medium">
        <color theme="9"/>
      </bottom>
      <diagonal/>
    </border>
    <border>
      <left style="medium">
        <color theme="9"/>
      </left>
      <right style="medium">
        <color theme="9"/>
      </right>
      <top style="medium">
        <color theme="9"/>
      </top>
      <bottom style="medium">
        <color theme="9"/>
      </bottom>
      <diagonal/>
    </border>
    <border>
      <left style="medium">
        <color theme="9"/>
      </left>
      <right style="hair">
        <color rgb="FF002060"/>
      </right>
      <top style="medium">
        <color theme="9"/>
      </top>
      <bottom style="hair">
        <color rgb="FF002060"/>
      </bottom>
      <diagonal/>
    </border>
    <border>
      <left style="hair">
        <color rgb="FF002060"/>
      </left>
      <right style="hair">
        <color rgb="FF002060"/>
      </right>
      <top style="medium">
        <color theme="9"/>
      </top>
      <bottom style="hair">
        <color rgb="FF002060"/>
      </bottom>
      <diagonal/>
    </border>
    <border>
      <left style="hair">
        <color rgb="FF002060"/>
      </left>
      <right style="medium">
        <color theme="9"/>
      </right>
      <top style="medium">
        <color theme="9"/>
      </top>
      <bottom style="hair">
        <color rgb="FF002060"/>
      </bottom>
      <diagonal/>
    </border>
    <border>
      <left style="medium">
        <color theme="9"/>
      </left>
      <right style="hair">
        <color rgb="FF002060"/>
      </right>
      <top style="hair">
        <color rgb="FF002060"/>
      </top>
      <bottom style="medium">
        <color theme="9"/>
      </bottom>
      <diagonal/>
    </border>
    <border>
      <left style="hair">
        <color rgb="FF002060"/>
      </left>
      <right style="hair">
        <color rgb="FF002060"/>
      </right>
      <top style="hair">
        <color rgb="FF002060"/>
      </top>
      <bottom style="medium">
        <color theme="9"/>
      </bottom>
      <diagonal/>
    </border>
    <border>
      <left style="hair">
        <color rgb="FF002060"/>
      </left>
      <right style="medium">
        <color theme="9"/>
      </right>
      <top style="hair">
        <color rgb="FF002060"/>
      </top>
      <bottom style="medium">
        <color theme="9"/>
      </bottom>
      <diagonal/>
    </border>
    <border>
      <left/>
      <right style="thin">
        <color auto="1"/>
      </right>
      <top/>
      <bottom style="thin">
        <color auto="1"/>
      </bottom>
      <diagonal/>
    </border>
    <border>
      <left style="thin">
        <color theme="1"/>
      </left>
      <right style="thin">
        <color theme="1"/>
      </right>
      <top/>
      <bottom style="thin">
        <color theme="1"/>
      </bottom>
      <diagonal/>
    </border>
    <border>
      <left style="double">
        <color indexed="53"/>
      </left>
      <right style="medium">
        <color indexed="53"/>
      </right>
      <top style="medium">
        <color indexed="53"/>
      </top>
      <bottom style="medium">
        <color indexed="53"/>
      </bottom>
      <diagonal/>
    </border>
    <border>
      <left/>
      <right style="medium">
        <color theme="9"/>
      </right>
      <top style="medium">
        <color indexed="53"/>
      </top>
      <bottom/>
      <diagonal/>
    </border>
    <border>
      <left style="medium">
        <color theme="9"/>
      </left>
      <right/>
      <top style="medium">
        <color theme="9"/>
      </top>
      <bottom style="medium">
        <color indexed="53"/>
      </bottom>
      <diagonal/>
    </border>
    <border>
      <left/>
      <right/>
      <top style="medium">
        <color theme="9"/>
      </top>
      <bottom style="medium">
        <color indexed="53"/>
      </bottom>
      <diagonal/>
    </border>
    <border>
      <left/>
      <right style="medium">
        <color theme="9"/>
      </right>
      <top style="medium">
        <color theme="9"/>
      </top>
      <bottom style="medium">
        <color indexed="53"/>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diagonal/>
    </border>
    <border>
      <left/>
      <right style="double">
        <color rgb="FFFF0000"/>
      </right>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top style="thin">
        <color indexed="9"/>
      </top>
      <bottom style="thin">
        <color indexed="9"/>
      </bottom>
      <diagonal/>
    </border>
    <border>
      <left style="medium">
        <color indexed="53"/>
      </left>
      <right style="medium">
        <color indexed="53"/>
      </right>
      <top style="medium">
        <color indexed="53"/>
      </top>
      <bottom/>
      <diagonal/>
    </border>
    <border>
      <left style="medium">
        <color indexed="53"/>
      </left>
      <right style="medium">
        <color indexed="53"/>
      </right>
      <top/>
      <bottom style="medium">
        <color indexed="53"/>
      </bottom>
      <diagonal/>
    </border>
    <border>
      <left style="double">
        <color rgb="FFFF0000"/>
      </left>
      <right/>
      <top/>
      <bottom style="thin">
        <color indexed="64"/>
      </bottom>
      <diagonal/>
    </border>
    <border>
      <left/>
      <right style="double">
        <color rgb="FFFF0000"/>
      </right>
      <top/>
      <bottom style="thin">
        <color indexed="64"/>
      </bottom>
      <diagonal/>
    </border>
    <border>
      <left style="medium">
        <color theme="9"/>
      </left>
      <right style="medium">
        <color theme="9"/>
      </right>
      <top/>
      <bottom style="medium">
        <color theme="9"/>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right style="medium">
        <color indexed="64"/>
      </right>
      <top/>
      <bottom/>
      <diagonal/>
    </border>
    <border>
      <left/>
      <right style="thin">
        <color theme="2"/>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dashed">
        <color indexed="64"/>
      </left>
      <right/>
      <top style="thin">
        <color indexed="64"/>
      </top>
      <bottom style="dashed">
        <color indexed="64"/>
      </bottom>
      <diagonal/>
    </border>
    <border>
      <left/>
      <right style="dashed">
        <color indexed="64"/>
      </right>
      <top style="thin">
        <color indexed="64"/>
      </top>
      <bottom style="dashed">
        <color indexed="64"/>
      </bottom>
      <diagonal/>
    </border>
    <border>
      <left style="dashed">
        <color indexed="64"/>
      </left>
      <right style="thin">
        <color indexed="64"/>
      </right>
      <top style="dashed">
        <color indexed="64"/>
      </top>
      <bottom style="dashed">
        <color indexed="64"/>
      </bottom>
      <diagonal/>
    </border>
    <border>
      <left style="thin">
        <color indexed="64"/>
      </left>
      <right style="dashed">
        <color indexed="64"/>
      </right>
      <top style="dashed">
        <color indexed="64"/>
      </top>
      <bottom style="dashed">
        <color indexed="64"/>
      </bottom>
      <diagonal/>
    </border>
    <border>
      <left style="hair">
        <color indexed="64"/>
      </left>
      <right style="thin">
        <color indexed="64"/>
      </right>
      <top style="hair">
        <color indexed="64"/>
      </top>
      <bottom style="thin">
        <color indexed="64"/>
      </bottom>
      <diagonal/>
    </border>
    <border>
      <left style="dashed">
        <color indexed="64"/>
      </left>
      <right/>
      <top style="dashed">
        <color indexed="64"/>
      </top>
      <bottom style="dashed">
        <color indexed="64"/>
      </bottom>
      <diagonal/>
    </border>
    <border>
      <left/>
      <right style="dashed">
        <color indexed="64"/>
      </right>
      <top style="dashed">
        <color indexed="64"/>
      </top>
      <bottom style="dashed">
        <color indexed="64"/>
      </bottom>
      <diagonal/>
    </border>
    <border>
      <left style="double">
        <color rgb="FFC00000"/>
      </left>
      <right/>
      <top style="double">
        <color rgb="FFC00000"/>
      </top>
      <bottom/>
      <diagonal/>
    </border>
    <border>
      <left/>
      <right/>
      <top style="double">
        <color rgb="FFC00000"/>
      </top>
      <bottom/>
      <diagonal/>
    </border>
    <border>
      <left/>
      <right style="double">
        <color rgb="FFC00000"/>
      </right>
      <top style="double">
        <color rgb="FFC00000"/>
      </top>
      <bottom/>
      <diagonal/>
    </border>
    <border>
      <left style="double">
        <color rgb="FFC00000"/>
      </left>
      <right/>
      <top/>
      <bottom/>
      <diagonal/>
    </border>
    <border>
      <left/>
      <right style="double">
        <color rgb="FFC00000"/>
      </right>
      <top/>
      <bottom/>
      <diagonal/>
    </border>
    <border>
      <left style="double">
        <color rgb="FFC00000"/>
      </left>
      <right style="thin">
        <color indexed="64"/>
      </right>
      <top style="thin">
        <color indexed="64"/>
      </top>
      <bottom/>
      <diagonal/>
    </border>
    <border>
      <left style="thin">
        <color indexed="64"/>
      </left>
      <right style="double">
        <color rgb="FFC00000"/>
      </right>
      <top style="thin">
        <color indexed="64"/>
      </top>
      <bottom/>
      <diagonal/>
    </border>
    <border>
      <left style="double">
        <color rgb="FFC00000"/>
      </left>
      <right style="thin">
        <color indexed="64"/>
      </right>
      <top/>
      <bottom/>
      <diagonal/>
    </border>
    <border>
      <left style="thin">
        <color indexed="64"/>
      </left>
      <right style="double">
        <color rgb="FFC00000"/>
      </right>
      <top/>
      <bottom/>
      <diagonal/>
    </border>
    <border>
      <left style="double">
        <color rgb="FFC00000"/>
      </left>
      <right style="thin">
        <color indexed="64"/>
      </right>
      <top style="thin">
        <color indexed="64"/>
      </top>
      <bottom style="thin">
        <color indexed="64"/>
      </bottom>
      <diagonal/>
    </border>
    <border>
      <left style="thin">
        <color indexed="64"/>
      </left>
      <right style="double">
        <color rgb="FFC00000"/>
      </right>
      <top style="thin">
        <color indexed="64"/>
      </top>
      <bottom style="thin">
        <color indexed="64"/>
      </bottom>
      <diagonal/>
    </border>
    <border>
      <left style="double">
        <color rgb="FFC00000"/>
      </left>
      <right/>
      <top/>
      <bottom style="double">
        <color rgb="FFC00000"/>
      </bottom>
      <diagonal/>
    </border>
    <border>
      <left/>
      <right/>
      <top/>
      <bottom style="double">
        <color rgb="FFC00000"/>
      </bottom>
      <diagonal/>
    </border>
    <border>
      <left/>
      <right style="double">
        <color rgb="FFC00000"/>
      </right>
      <top style="thin">
        <color indexed="64"/>
      </top>
      <bottom/>
      <diagonal/>
    </border>
    <border>
      <left style="double">
        <color rgb="FFC00000"/>
      </left>
      <right style="thin">
        <color indexed="64"/>
      </right>
      <top/>
      <bottom style="thin">
        <color indexed="64"/>
      </bottom>
      <diagonal/>
    </border>
    <border>
      <left/>
      <right style="double">
        <color rgb="FFC00000"/>
      </right>
      <top/>
      <bottom style="thin">
        <color indexed="64"/>
      </bottom>
      <diagonal/>
    </border>
    <border>
      <left/>
      <right style="double">
        <color rgb="FFC00000"/>
      </right>
      <top/>
      <bottom style="double">
        <color rgb="FFC00000"/>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auto="1"/>
      </top>
      <bottom style="thin">
        <color indexed="64"/>
      </bottom>
      <diagonal/>
    </border>
    <border>
      <left/>
      <right style="thin">
        <color indexed="64"/>
      </right>
      <top style="thin">
        <color auto="1"/>
      </top>
      <bottom style="thin">
        <color indexed="64"/>
      </bottom>
      <diagonal/>
    </border>
    <border>
      <left/>
      <right style="thin">
        <color auto="1"/>
      </right>
      <top/>
      <bottom/>
      <diagonal/>
    </border>
    <border>
      <left style="thin">
        <color indexed="64"/>
      </left>
      <right style="thin">
        <color indexed="64"/>
      </right>
      <top/>
      <bottom style="thin">
        <color indexed="64"/>
      </bottom>
      <diagonal/>
    </border>
    <border>
      <left style="medium">
        <color rgb="FFFF6600"/>
      </left>
      <right/>
      <top style="medium">
        <color rgb="FFFF6600"/>
      </top>
      <bottom style="medium">
        <color rgb="FFFF6600"/>
      </bottom>
      <diagonal/>
    </border>
    <border>
      <left/>
      <right/>
      <top style="medium">
        <color rgb="FFFF6600"/>
      </top>
      <bottom style="medium">
        <color rgb="FFFF6600"/>
      </bottom>
      <diagonal/>
    </border>
    <border>
      <left/>
      <right style="medium">
        <color rgb="FFFF6600"/>
      </right>
      <top style="medium">
        <color rgb="FFFF6600"/>
      </top>
      <bottom style="medium">
        <color rgb="FFFF6600"/>
      </bottom>
      <diagonal/>
    </border>
    <border>
      <left style="thin">
        <color indexed="64"/>
      </left>
      <right style="double">
        <color rgb="FFFF0000"/>
      </right>
      <top style="thin">
        <color indexed="64"/>
      </top>
      <bottom style="thin">
        <color indexed="64"/>
      </bottom>
      <diagonal/>
    </border>
    <border>
      <left/>
      <right style="double">
        <color rgb="FFFF0000"/>
      </right>
      <top/>
      <bottom style="double">
        <color rgb="FFC00000"/>
      </bottom>
      <diagonal/>
    </border>
    <border>
      <left style="medium">
        <color rgb="FFFF6600"/>
      </left>
      <right/>
      <top style="medium">
        <color rgb="FFFF6600"/>
      </top>
      <bottom/>
      <diagonal/>
    </border>
    <border>
      <left/>
      <right/>
      <top style="medium">
        <color rgb="FFFF6600"/>
      </top>
      <bottom/>
      <diagonal/>
    </border>
    <border>
      <left/>
      <right style="medium">
        <color rgb="FFFF6600"/>
      </right>
      <top style="medium">
        <color rgb="FFFF6600"/>
      </top>
      <bottom/>
      <diagonal/>
    </border>
    <border>
      <left style="medium">
        <color rgb="FFFF6600"/>
      </left>
      <right/>
      <top/>
      <bottom/>
      <diagonal/>
    </border>
    <border>
      <left/>
      <right style="medium">
        <color rgb="FFFF6600"/>
      </right>
      <top/>
      <bottom/>
      <diagonal/>
    </border>
    <border>
      <left style="medium">
        <color rgb="FFFF6600"/>
      </left>
      <right/>
      <top/>
      <bottom style="medium">
        <color rgb="FFFF6600"/>
      </bottom>
      <diagonal/>
    </border>
    <border>
      <left/>
      <right/>
      <top/>
      <bottom style="medium">
        <color rgb="FFFF6600"/>
      </bottom>
      <diagonal/>
    </border>
    <border>
      <left/>
      <right style="medium">
        <color rgb="FFFF6600"/>
      </right>
      <top/>
      <bottom style="medium">
        <color rgb="FFFF6600"/>
      </bottom>
      <diagonal/>
    </border>
    <border>
      <left/>
      <right/>
      <top style="dashed">
        <color theme="1"/>
      </top>
      <bottom/>
      <diagonal/>
    </border>
    <border>
      <left/>
      <right style="dashed">
        <color theme="1"/>
      </right>
      <top style="dashed">
        <color theme="1"/>
      </top>
      <bottom/>
      <diagonal/>
    </border>
    <border>
      <left/>
      <right/>
      <top/>
      <bottom style="dashed">
        <color theme="1"/>
      </bottom>
      <diagonal/>
    </border>
    <border>
      <left/>
      <right style="dashed">
        <color theme="1"/>
      </right>
      <top/>
      <bottom style="dashed">
        <color theme="1"/>
      </bottom>
      <diagonal/>
    </border>
    <border>
      <left style="dashed">
        <color theme="1"/>
      </left>
      <right/>
      <top style="dashed">
        <color theme="1"/>
      </top>
      <bottom/>
      <diagonal/>
    </border>
    <border>
      <left style="dashed">
        <color theme="1"/>
      </left>
      <right/>
      <top/>
      <bottom style="dashed">
        <color theme="1"/>
      </bottom>
      <diagonal/>
    </border>
    <border>
      <left style="medium">
        <color theme="9" tint="-0.24994659260841701"/>
      </left>
      <right/>
      <top style="medium">
        <color theme="9" tint="-0.24994659260841701"/>
      </top>
      <bottom style="medium">
        <color theme="9" tint="-0.24994659260841701"/>
      </bottom>
      <diagonal/>
    </border>
    <border>
      <left/>
      <right/>
      <top style="medium">
        <color theme="9" tint="-0.24994659260841701"/>
      </top>
      <bottom style="medium">
        <color theme="9" tint="-0.24994659260841701"/>
      </bottom>
      <diagonal/>
    </border>
    <border>
      <left/>
      <right style="medium">
        <color theme="9" tint="-0.24994659260841701"/>
      </right>
      <top style="medium">
        <color theme="9" tint="-0.24994659260841701"/>
      </top>
      <bottom style="medium">
        <color theme="9" tint="-0.24994659260841701"/>
      </bottom>
      <diagonal/>
    </border>
    <border>
      <left style="thin">
        <color auto="1"/>
      </left>
      <right style="thin">
        <color auto="1"/>
      </right>
      <top style="thin">
        <color auto="1"/>
      </top>
      <bottom style="thin">
        <color auto="1"/>
      </bottom>
      <diagonal/>
    </border>
    <border>
      <left/>
      <right/>
      <top/>
      <bottom style="medium">
        <color auto="1"/>
      </bottom>
      <diagonal/>
    </border>
    <border>
      <left style="medium">
        <color theme="9"/>
      </left>
      <right style="medium">
        <color theme="9"/>
      </right>
      <top style="medium">
        <color theme="9"/>
      </top>
      <bottom style="thin">
        <color auto="1"/>
      </bottom>
      <diagonal/>
    </border>
    <border>
      <left style="medium">
        <color theme="9"/>
      </left>
      <right style="medium">
        <color theme="9"/>
      </right>
      <top style="thin">
        <color auto="1"/>
      </top>
      <bottom style="thin">
        <color auto="1"/>
      </bottom>
      <diagonal/>
    </border>
    <border>
      <left style="medium">
        <color theme="9"/>
      </left>
      <right style="medium">
        <color theme="9"/>
      </right>
      <top style="thin">
        <color auto="1"/>
      </top>
      <bottom style="medium">
        <color theme="9"/>
      </bottom>
      <diagonal/>
    </border>
    <border>
      <left style="medium">
        <color theme="9"/>
      </left>
      <right style="medium">
        <color theme="9"/>
      </right>
      <top/>
      <bottom/>
      <diagonal/>
    </border>
    <border>
      <left/>
      <right style="thin">
        <color auto="1"/>
      </right>
      <top style="medium">
        <color theme="9"/>
      </top>
      <bottom style="medium">
        <color theme="9"/>
      </bottom>
      <diagonal/>
    </border>
    <border>
      <left/>
      <right style="medium">
        <color theme="9"/>
      </right>
      <top style="medium">
        <color theme="9"/>
      </top>
      <bottom style="slantDashDot">
        <color theme="9"/>
      </bottom>
      <diagonal/>
    </border>
    <border>
      <left/>
      <right style="thin">
        <color auto="1"/>
      </right>
      <top style="medium">
        <color theme="9"/>
      </top>
      <bottom/>
      <diagonal/>
    </border>
    <border>
      <left/>
      <right/>
      <top style="slantDashDot">
        <color theme="9"/>
      </top>
      <bottom/>
      <diagonal/>
    </border>
    <border>
      <left/>
      <right/>
      <top/>
      <bottom style="thin">
        <color indexed="26"/>
      </bottom>
      <diagonal/>
    </border>
    <border>
      <left style="thin">
        <color indexed="26"/>
      </left>
      <right/>
      <top style="thin">
        <color indexed="26"/>
      </top>
      <bottom style="thin">
        <color indexed="26"/>
      </bottom>
      <diagonal/>
    </border>
    <border>
      <left/>
      <right style="thin">
        <color indexed="26"/>
      </right>
      <top style="thin">
        <color indexed="26"/>
      </top>
      <bottom style="thin">
        <color indexed="26"/>
      </bottom>
      <diagonal/>
    </border>
    <border>
      <left/>
      <right/>
      <top style="thin">
        <color indexed="26"/>
      </top>
      <bottom style="thin">
        <color indexed="26"/>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26"/>
      </top>
      <bottom/>
      <diagonal/>
    </border>
    <border>
      <left style="double">
        <color rgb="FFFF0000"/>
      </left>
      <right style="thin">
        <color indexed="64"/>
      </right>
      <top style="double">
        <color rgb="FFFF0000"/>
      </top>
      <bottom style="thin">
        <color indexed="64"/>
      </bottom>
      <diagonal/>
    </border>
    <border>
      <left style="thin">
        <color indexed="64"/>
      </left>
      <right style="thin">
        <color indexed="64"/>
      </right>
      <top style="double">
        <color rgb="FFFF0000"/>
      </top>
      <bottom style="thin">
        <color indexed="64"/>
      </bottom>
      <diagonal/>
    </border>
    <border>
      <left style="thin">
        <color indexed="64"/>
      </left>
      <right style="double">
        <color rgb="FFFF0000"/>
      </right>
      <top style="double">
        <color rgb="FFFF0000"/>
      </top>
      <bottom style="thin">
        <color indexed="64"/>
      </bottom>
      <diagonal/>
    </border>
    <border>
      <left style="double">
        <color rgb="FFFF0000"/>
      </left>
      <right style="thin">
        <color indexed="64"/>
      </right>
      <top style="thin">
        <color indexed="64"/>
      </top>
      <bottom style="thin">
        <color indexed="64"/>
      </bottom>
      <diagonal/>
    </border>
    <border>
      <left style="thin">
        <color indexed="64"/>
      </left>
      <right style="double">
        <color rgb="FFFF0000"/>
      </right>
      <top style="thin">
        <color indexed="64"/>
      </top>
      <bottom style="thin">
        <color indexed="64"/>
      </bottom>
      <diagonal/>
    </border>
    <border>
      <left style="double">
        <color rgb="FFFF0000"/>
      </left>
      <right style="thin">
        <color indexed="64"/>
      </right>
      <top style="thin">
        <color indexed="64"/>
      </top>
      <bottom style="double">
        <color indexed="64"/>
      </bottom>
      <diagonal/>
    </border>
    <border>
      <left style="thin">
        <color indexed="64"/>
      </left>
      <right style="double">
        <color rgb="FFFF0000"/>
      </right>
      <top style="thin">
        <color indexed="64"/>
      </top>
      <bottom style="double">
        <color indexed="64"/>
      </bottom>
      <diagonal/>
    </border>
    <border>
      <left style="thin">
        <color indexed="64"/>
      </left>
      <right style="double">
        <color rgb="FFFF0000"/>
      </right>
      <top/>
      <bottom/>
      <diagonal/>
    </border>
    <border>
      <left style="double">
        <color rgb="FFFF0000"/>
      </left>
      <right/>
      <top style="thin">
        <color auto="1"/>
      </top>
      <bottom style="thin">
        <color indexed="64"/>
      </bottom>
      <diagonal/>
    </border>
    <border>
      <left style="thin">
        <color indexed="64"/>
      </left>
      <right style="double">
        <color rgb="FFFF0000"/>
      </right>
      <top style="thin">
        <color indexed="64"/>
      </top>
      <bottom/>
      <diagonal/>
    </border>
    <border>
      <left/>
      <right style="double">
        <color rgb="FFFF0000"/>
      </right>
      <top style="thin">
        <color indexed="64"/>
      </top>
      <bottom style="thin">
        <color indexed="64"/>
      </bottom>
      <diagonal/>
    </border>
    <border>
      <left style="double">
        <color rgb="FFFF0000"/>
      </left>
      <right style="thin">
        <color indexed="64"/>
      </right>
      <top style="thin">
        <color indexed="64"/>
      </top>
      <bottom/>
      <diagonal/>
    </border>
    <border>
      <left style="double">
        <color rgb="FFFF0000"/>
      </left>
      <right style="thin">
        <color auto="1"/>
      </right>
      <top/>
      <bottom/>
      <diagonal/>
    </border>
    <border>
      <left style="double">
        <color rgb="FFFF0000"/>
      </left>
      <right style="thin">
        <color auto="1"/>
      </right>
      <top/>
      <bottom style="thin">
        <color indexed="64"/>
      </bottom>
      <diagonal/>
    </border>
    <border>
      <left/>
      <right/>
      <top/>
      <bottom style="thin">
        <color indexed="64"/>
      </bottom>
      <diagonal/>
    </border>
    <border>
      <left/>
      <right style="thin">
        <color auto="1"/>
      </right>
      <top/>
      <bottom/>
      <diagonal/>
    </border>
    <border>
      <left/>
      <right style="thin">
        <color auto="1"/>
      </right>
      <top/>
      <bottom style="thin">
        <color auto="1"/>
      </bottom>
      <diagonal/>
    </border>
    <border>
      <left/>
      <right/>
      <top/>
      <bottom style="medium">
        <color indexed="53"/>
      </bottom>
      <diagonal/>
    </border>
    <border>
      <left style="medium">
        <color indexed="53"/>
      </left>
      <right style="medium">
        <color indexed="53"/>
      </right>
      <top/>
      <bottom/>
      <diagonal/>
    </border>
    <border>
      <left style="medium">
        <color indexed="53"/>
      </left>
      <right style="medium">
        <color indexed="53"/>
      </right>
      <top/>
      <bottom style="medium">
        <color indexed="53"/>
      </bottom>
      <diagonal/>
    </border>
    <border>
      <left/>
      <right style="medium">
        <color indexed="53"/>
      </right>
      <top/>
      <bottom style="medium">
        <color indexed="53"/>
      </bottom>
      <diagonal/>
    </border>
    <border>
      <left/>
      <right/>
      <top style="medium">
        <color indexed="53"/>
      </top>
      <bottom style="dashed">
        <color rgb="FFFF0000"/>
      </bottom>
      <diagonal/>
    </border>
    <border>
      <left/>
      <right style="medium">
        <color indexed="53"/>
      </right>
      <top style="medium">
        <color indexed="53"/>
      </top>
      <bottom style="dashed">
        <color rgb="FFFF0000"/>
      </bottom>
      <diagonal/>
    </border>
    <border>
      <left style="medium">
        <color rgb="FFFF6600"/>
      </left>
      <right style="medium">
        <color rgb="FFFF6600"/>
      </right>
      <top style="medium">
        <color rgb="FFFF6600"/>
      </top>
      <bottom style="medium">
        <color rgb="FFFF6600"/>
      </bottom>
      <diagonal/>
    </border>
    <border>
      <left style="medium">
        <color rgb="FFFF6600"/>
      </left>
      <right style="medium">
        <color rgb="FFFF6600"/>
      </right>
      <top style="medium">
        <color rgb="FFFF6600"/>
      </top>
      <bottom/>
      <diagonal/>
    </border>
    <border>
      <left style="medium">
        <color rgb="FFFF6600"/>
      </left>
      <right style="medium">
        <color rgb="FFFF6600"/>
      </right>
      <top/>
      <bottom/>
      <diagonal/>
    </border>
    <border>
      <left style="medium">
        <color rgb="FFFF6600"/>
      </left>
      <right style="medium">
        <color rgb="FFFF6600"/>
      </right>
      <top/>
      <bottom style="medium">
        <color rgb="FFFF6600"/>
      </bottom>
      <diagonal/>
    </border>
    <border>
      <left/>
      <right style="medium">
        <color theme="9"/>
      </right>
      <top style="thin">
        <color auto="1"/>
      </top>
      <bottom style="thin">
        <color indexed="64"/>
      </bottom>
      <diagonal/>
    </border>
    <border>
      <left/>
      <right/>
      <top style="medium">
        <color theme="9"/>
      </top>
      <bottom style="slantDashDot">
        <color theme="9"/>
      </bottom>
      <diagonal/>
    </border>
    <border>
      <left style="medium">
        <color rgb="FFFF6600"/>
      </left>
      <right style="thin">
        <color indexed="64"/>
      </right>
      <top style="medium">
        <color rgb="FFFF6600"/>
      </top>
      <bottom/>
      <diagonal/>
    </border>
    <border>
      <left style="thin">
        <color auto="1"/>
      </left>
      <right/>
      <top style="medium">
        <color rgb="FFFF6600"/>
      </top>
      <bottom/>
      <diagonal/>
    </border>
    <border>
      <left style="medium">
        <color rgb="FFFF6600"/>
      </left>
      <right style="thin">
        <color auto="1"/>
      </right>
      <top style="thin">
        <color auto="1"/>
      </top>
      <bottom style="thin">
        <color auto="1"/>
      </bottom>
      <diagonal/>
    </border>
    <border>
      <left style="thin">
        <color auto="1"/>
      </left>
      <right style="medium">
        <color rgb="FFFF6600"/>
      </right>
      <top style="thin">
        <color auto="1"/>
      </top>
      <bottom style="thin">
        <color auto="1"/>
      </bottom>
      <diagonal/>
    </border>
    <border>
      <left style="medium">
        <color rgb="FFFF6600"/>
      </left>
      <right style="thin">
        <color indexed="64"/>
      </right>
      <top style="thin">
        <color indexed="64"/>
      </top>
      <bottom/>
      <diagonal/>
    </border>
    <border>
      <left/>
      <right style="medium">
        <color rgb="FFFF6600"/>
      </right>
      <top style="thin">
        <color auto="1"/>
      </top>
      <bottom style="thin">
        <color indexed="64"/>
      </bottom>
      <diagonal/>
    </border>
    <border>
      <left style="medium">
        <color rgb="FFFF6600"/>
      </left>
      <right style="thin">
        <color indexed="64"/>
      </right>
      <top/>
      <bottom/>
      <diagonal/>
    </border>
    <border>
      <left style="medium">
        <color rgb="FFFF6600"/>
      </left>
      <right style="thin">
        <color indexed="64"/>
      </right>
      <top/>
      <bottom style="medium">
        <color rgb="FFFF6600"/>
      </bottom>
      <diagonal/>
    </border>
    <border>
      <left/>
      <right style="thin">
        <color indexed="64"/>
      </right>
      <top style="thin">
        <color indexed="64"/>
      </top>
      <bottom style="medium">
        <color rgb="FFFF6600"/>
      </bottom>
      <diagonal/>
    </border>
    <border>
      <left style="thin">
        <color indexed="64"/>
      </left>
      <right/>
      <top style="thin">
        <color indexed="64"/>
      </top>
      <bottom style="medium">
        <color rgb="FFFF6600"/>
      </bottom>
      <diagonal/>
    </border>
    <border>
      <left/>
      <right/>
      <top style="thin">
        <color indexed="64"/>
      </top>
      <bottom style="medium">
        <color rgb="FFFF6600"/>
      </bottom>
      <diagonal/>
    </border>
    <border>
      <left/>
      <right style="medium">
        <color rgb="FFFF6600"/>
      </right>
      <top style="thin">
        <color indexed="64"/>
      </top>
      <bottom style="medium">
        <color rgb="FFFF6600"/>
      </bottom>
      <diagonal/>
    </border>
    <border>
      <left style="medium">
        <color indexed="53"/>
      </left>
      <right style="medium">
        <color rgb="FFFF6600"/>
      </right>
      <top style="medium">
        <color indexed="53"/>
      </top>
      <bottom/>
      <diagonal/>
    </border>
    <border>
      <left style="medium">
        <color indexed="53"/>
      </left>
      <right style="medium">
        <color rgb="FFFF6600"/>
      </right>
      <top/>
      <bottom/>
      <diagonal/>
    </border>
    <border>
      <left style="medium">
        <color indexed="53"/>
      </left>
      <right style="medium">
        <color rgb="FFFF6600"/>
      </right>
      <top/>
      <bottom style="medium">
        <color indexed="53"/>
      </bottom>
      <diagonal/>
    </border>
    <border>
      <left/>
      <right style="medium">
        <color rgb="FFFF6600"/>
      </right>
      <top style="medium">
        <color indexed="53"/>
      </top>
      <bottom/>
      <diagonal/>
    </border>
    <border>
      <left style="medium">
        <color rgb="FFFF6600"/>
      </left>
      <right/>
      <top/>
      <bottom style="thin">
        <color theme="1"/>
      </bottom>
      <diagonal/>
    </border>
    <border>
      <left style="medium">
        <color rgb="FFFF6600"/>
      </left>
      <right/>
      <top style="thin">
        <color auto="1"/>
      </top>
      <bottom style="thin">
        <color auto="1"/>
      </bottom>
      <diagonal/>
    </border>
    <border>
      <left/>
      <right/>
      <top style="medium">
        <color rgb="FFFF6600"/>
      </top>
      <bottom style="medium">
        <color indexed="53"/>
      </bottom>
      <diagonal/>
    </border>
    <border>
      <left style="medium">
        <color rgb="FFFF6600"/>
      </left>
      <right/>
      <top/>
      <bottom style="thin">
        <color auto="1"/>
      </bottom>
      <diagonal/>
    </border>
    <border>
      <left style="thin">
        <color auto="1"/>
      </left>
      <right/>
      <top style="medium">
        <color indexed="53"/>
      </top>
      <bottom/>
      <diagonal/>
    </border>
    <border>
      <left/>
      <right style="medium">
        <color indexed="53"/>
      </right>
      <top style="medium">
        <color rgb="FFFF6600"/>
      </top>
      <bottom style="medium">
        <color rgb="FFFF6600"/>
      </bottom>
      <diagonal/>
    </border>
    <border>
      <left style="medium">
        <color rgb="FFFF6600"/>
      </left>
      <right style="medium">
        <color rgb="FFFF6600"/>
      </right>
      <top/>
      <bottom style="medium">
        <color indexed="53"/>
      </bottom>
      <diagonal/>
    </border>
    <border>
      <left style="medium">
        <color rgb="FFFF6600"/>
      </left>
      <right/>
      <top style="medium">
        <color rgb="FFFF6600"/>
      </top>
      <bottom style="medium">
        <color indexed="53"/>
      </bottom>
      <diagonal/>
    </border>
    <border>
      <left/>
      <right style="medium">
        <color rgb="FFFF6600"/>
      </right>
      <top style="medium">
        <color rgb="FFFF6600"/>
      </top>
      <bottom style="medium">
        <color indexed="53"/>
      </bottom>
      <diagonal/>
    </border>
    <border>
      <left/>
      <right style="medium">
        <color rgb="FFFF6600"/>
      </right>
      <top/>
      <bottom style="medium">
        <color indexed="53"/>
      </bottom>
      <diagonal/>
    </border>
    <border>
      <left/>
      <right style="thin">
        <color auto="1"/>
      </right>
      <top style="medium">
        <color rgb="FFFF6600"/>
      </top>
      <bottom style="thin">
        <color auto="1"/>
      </bottom>
      <diagonal/>
    </border>
    <border>
      <left/>
      <right/>
      <top style="medium">
        <color rgb="FFFF6600"/>
      </top>
      <bottom style="thin">
        <color auto="1"/>
      </bottom>
      <diagonal/>
    </border>
    <border>
      <left style="thin">
        <color indexed="64"/>
      </left>
      <right/>
      <top style="medium">
        <color indexed="53"/>
      </top>
      <bottom style="medium">
        <color indexed="53"/>
      </bottom>
      <diagonal/>
    </border>
    <border>
      <left style="dashed">
        <color indexed="53"/>
      </left>
      <right/>
      <top style="medium">
        <color indexed="53"/>
      </top>
      <bottom style="dashed">
        <color indexed="53"/>
      </bottom>
      <diagonal/>
    </border>
    <border>
      <left/>
      <right style="hair">
        <color indexed="64"/>
      </right>
      <top style="medium">
        <color indexed="53"/>
      </top>
      <bottom style="dashed">
        <color indexed="53"/>
      </bottom>
      <diagonal/>
    </border>
    <border>
      <left style="dashed">
        <color indexed="53"/>
      </left>
      <right/>
      <top style="dashed">
        <color indexed="53"/>
      </top>
      <bottom style="dashed">
        <color indexed="53"/>
      </bottom>
      <diagonal/>
    </border>
    <border>
      <left/>
      <right style="hair">
        <color indexed="64"/>
      </right>
      <top style="dashed">
        <color indexed="53"/>
      </top>
      <bottom style="dashed">
        <color indexed="53"/>
      </bottom>
      <diagonal/>
    </border>
    <border>
      <left style="medium">
        <color indexed="53"/>
      </left>
      <right style="thin">
        <color auto="1"/>
      </right>
      <top style="thin">
        <color auto="1"/>
      </top>
      <bottom/>
      <diagonal/>
    </border>
    <border>
      <left style="thin">
        <color indexed="64"/>
      </left>
      <right style="thin">
        <color indexed="64"/>
      </right>
      <top style="thin">
        <color auto="1"/>
      </top>
      <bottom/>
      <diagonal/>
    </border>
    <border>
      <left style="thin">
        <color auto="1"/>
      </left>
      <right style="dashed">
        <color indexed="53"/>
      </right>
      <top style="thin">
        <color auto="1"/>
      </top>
      <bottom/>
      <diagonal/>
    </border>
    <border>
      <left style="dashed">
        <color indexed="53"/>
      </left>
      <right/>
      <top style="dashed">
        <color indexed="53"/>
      </top>
      <bottom/>
      <diagonal/>
    </border>
    <border>
      <left/>
      <right style="hair">
        <color indexed="64"/>
      </right>
      <top style="dashed">
        <color indexed="53"/>
      </top>
      <bottom/>
      <diagonal/>
    </border>
    <border>
      <left style="medium">
        <color rgb="FFFF6600"/>
      </left>
      <right style="medium">
        <color rgb="FFFF6600"/>
      </right>
      <top style="medium">
        <color indexed="53"/>
      </top>
      <bottom style="medium">
        <color rgb="FFFF6600"/>
      </bottom>
      <diagonal/>
    </border>
    <border>
      <left style="thin">
        <color auto="1"/>
      </left>
      <right style="medium">
        <color rgb="FFFF6600"/>
      </right>
      <top style="medium">
        <color indexed="53"/>
      </top>
      <bottom style="medium">
        <color rgb="FFFF6600"/>
      </bottom>
      <diagonal/>
    </border>
    <border>
      <left/>
      <right style="dotted">
        <color rgb="FFFF6600"/>
      </right>
      <top style="medium">
        <color rgb="FFFF6600"/>
      </top>
      <bottom style="dotted">
        <color rgb="FFFF6600"/>
      </bottom>
      <diagonal/>
    </border>
    <border>
      <left/>
      <right style="dotted">
        <color rgb="FFFF6600"/>
      </right>
      <top style="dotted">
        <color rgb="FFFF6600"/>
      </top>
      <bottom style="dotted">
        <color rgb="FFFF6600"/>
      </bottom>
      <diagonal/>
    </border>
    <border>
      <left style="thin">
        <color auto="1"/>
      </left>
      <right/>
      <top style="medium">
        <color rgb="FFFF6600"/>
      </top>
      <bottom style="thin">
        <color auto="1"/>
      </bottom>
      <diagonal/>
    </border>
    <border>
      <left style="thin">
        <color auto="1"/>
      </left>
      <right/>
      <top style="thin">
        <color auto="1"/>
      </top>
      <bottom style="thin">
        <color auto="1"/>
      </bottom>
      <diagonal/>
    </border>
    <border>
      <left/>
      <right style="dotted">
        <color rgb="FFFF6600"/>
      </right>
      <top style="thin">
        <color auto="1"/>
      </top>
      <bottom/>
      <diagonal/>
    </border>
    <border>
      <left/>
      <right style="dotted">
        <color rgb="FFFF6600"/>
      </right>
      <top style="dotted">
        <color rgb="FFFF6600"/>
      </top>
      <bottom/>
      <diagonal/>
    </border>
    <border>
      <left style="thin">
        <color indexed="64"/>
      </left>
      <right style="thin">
        <color indexed="64"/>
      </right>
      <top style="dotted">
        <color rgb="FFFF6600"/>
      </top>
      <bottom style="dotted">
        <color rgb="FFFF6600"/>
      </bottom>
      <diagonal/>
    </border>
    <border>
      <left style="dashed">
        <color indexed="53"/>
      </left>
      <right/>
      <top/>
      <bottom style="dashed">
        <color indexed="53"/>
      </bottom>
      <diagonal/>
    </border>
    <border>
      <left/>
      <right style="hair">
        <color indexed="64"/>
      </right>
      <top/>
      <bottom style="dashed">
        <color indexed="53"/>
      </bottom>
      <diagonal/>
    </border>
    <border>
      <left style="thin">
        <color indexed="64"/>
      </left>
      <right style="thin">
        <color indexed="64"/>
      </right>
      <top style="dotted">
        <color rgb="FFFF6600"/>
      </top>
      <bottom/>
      <diagonal/>
    </border>
    <border>
      <left style="thin">
        <color auto="1"/>
      </left>
      <right style="medium">
        <color rgb="FFFF6600"/>
      </right>
      <top/>
      <bottom style="medium">
        <color rgb="FFFF6600"/>
      </bottom>
      <diagonal/>
    </border>
    <border>
      <left style="thin">
        <color indexed="64"/>
      </left>
      <right/>
      <top style="medium">
        <color rgb="FFFF6600"/>
      </top>
      <bottom style="dotted">
        <color rgb="FFFF6600"/>
      </bottom>
      <diagonal/>
    </border>
    <border>
      <left style="thin">
        <color auto="1"/>
      </left>
      <right style="medium">
        <color rgb="FFFF6600"/>
      </right>
      <top style="medium">
        <color indexed="53"/>
      </top>
      <bottom/>
      <diagonal/>
    </border>
    <border>
      <left style="medium">
        <color rgb="FFFF6600"/>
      </left>
      <right style="medium">
        <color rgb="FFFF6600"/>
      </right>
      <top style="double">
        <color rgb="FFFF6600"/>
      </top>
      <bottom/>
      <diagonal/>
    </border>
    <border>
      <left style="medium">
        <color rgb="FFFF6600"/>
      </left>
      <right/>
      <top style="thin">
        <color auto="1"/>
      </top>
      <bottom/>
      <diagonal/>
    </border>
    <border>
      <left style="thin">
        <color indexed="64"/>
      </left>
      <right/>
      <top style="dotted">
        <color rgb="FFFF6600"/>
      </top>
      <bottom/>
      <diagonal/>
    </border>
    <border>
      <left style="medium">
        <color rgb="FFFF6600"/>
      </left>
      <right style="medium">
        <color indexed="53"/>
      </right>
      <top style="medium">
        <color indexed="53"/>
      </top>
      <bottom style="medium">
        <color rgb="FFFF6600"/>
      </bottom>
      <diagonal/>
    </border>
    <border>
      <left style="medium">
        <color indexed="53"/>
      </left>
      <right/>
      <top/>
      <bottom style="medium">
        <color indexed="53"/>
      </bottom>
      <diagonal/>
    </border>
    <border>
      <left style="medium">
        <color rgb="FFFF6600"/>
      </left>
      <right/>
      <top style="medium">
        <color theme="9"/>
      </top>
      <bottom style="medium">
        <color theme="9"/>
      </bottom>
      <diagonal/>
    </border>
    <border>
      <left style="medium">
        <color rgb="FFFF6600"/>
      </left>
      <right/>
      <top style="medium">
        <color rgb="FFFF6600"/>
      </top>
      <bottom style="thin">
        <color auto="1"/>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right style="medium">
        <color theme="9" tint="-0.24994659260841701"/>
      </right>
      <top style="medium">
        <color theme="9" tint="-0.24994659260841701"/>
      </top>
      <bottom/>
      <diagonal/>
    </border>
    <border>
      <left style="medium">
        <color theme="9" tint="-0.24994659260841701"/>
      </left>
      <right/>
      <top/>
      <bottom style="medium">
        <color theme="9" tint="-0.24994659260841701"/>
      </bottom>
      <diagonal/>
    </border>
    <border>
      <left/>
      <right/>
      <top/>
      <bottom style="medium">
        <color theme="9" tint="-0.24994659260841701"/>
      </bottom>
      <diagonal/>
    </border>
    <border>
      <left/>
      <right style="medium">
        <color theme="9" tint="-0.24994659260841701"/>
      </right>
      <top/>
      <bottom style="medium">
        <color theme="9" tint="-0.24994659260841701"/>
      </bottom>
      <diagonal/>
    </border>
    <border>
      <left style="medium">
        <color theme="9" tint="-0.24994659260841701"/>
      </left>
      <right/>
      <top/>
      <bottom/>
      <diagonal/>
    </border>
    <border>
      <left/>
      <right style="medium">
        <color theme="9" tint="-0.24994659260841701"/>
      </right>
      <top/>
      <bottom/>
      <diagonal/>
    </border>
    <border>
      <left style="medium">
        <color theme="9" tint="-0.24994659260841701"/>
      </left>
      <right/>
      <top/>
      <bottom style="medium">
        <color indexed="53"/>
      </bottom>
      <diagonal/>
    </border>
    <border>
      <left/>
      <right style="medium">
        <color theme="9" tint="-0.24994659260841701"/>
      </right>
      <top/>
      <bottom style="medium">
        <color indexed="53"/>
      </bottom>
      <diagonal/>
    </border>
    <border>
      <left/>
      <right/>
      <top style="double">
        <color indexed="10"/>
      </top>
      <bottom style="double">
        <color indexed="10"/>
      </bottom>
      <diagonal/>
    </border>
    <border>
      <left style="double">
        <color indexed="10"/>
      </left>
      <right/>
      <top style="double">
        <color indexed="10"/>
      </top>
      <bottom/>
      <diagonal/>
    </border>
    <border>
      <left/>
      <right/>
      <top style="double">
        <color indexed="10"/>
      </top>
      <bottom/>
      <diagonal/>
    </border>
    <border>
      <left/>
      <right style="double">
        <color indexed="10"/>
      </right>
      <top style="double">
        <color indexed="10"/>
      </top>
      <bottom/>
      <diagonal/>
    </border>
    <border>
      <left style="double">
        <color indexed="53"/>
      </left>
      <right/>
      <top/>
      <bottom style="medium">
        <color indexed="53"/>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thin">
        <color rgb="FFFF0000"/>
      </left>
      <right/>
      <top/>
      <bottom/>
      <diagonal/>
    </border>
    <border>
      <left/>
      <right/>
      <top/>
      <bottom style="thin">
        <color rgb="FFFF0000"/>
      </bottom>
      <diagonal/>
    </border>
    <border>
      <left/>
      <right style="thin">
        <color rgb="FFFF0000"/>
      </right>
      <top/>
      <bottom style="thin">
        <color rgb="FFFF0000"/>
      </bottom>
      <diagonal/>
    </border>
    <border>
      <left style="thin">
        <color auto="1"/>
      </left>
      <right/>
      <top style="thin">
        <color auto="1"/>
      </top>
      <bottom style="medium">
        <color rgb="FFFF6600"/>
      </bottom>
      <diagonal/>
    </border>
    <border>
      <left/>
      <right/>
      <top style="thin">
        <color auto="1"/>
      </top>
      <bottom style="medium">
        <color rgb="FFFF6600"/>
      </bottom>
      <diagonal/>
    </border>
    <border>
      <left/>
      <right style="thin">
        <color indexed="64"/>
      </right>
      <top style="thin">
        <color auto="1"/>
      </top>
      <bottom style="medium">
        <color rgb="FFFF6600"/>
      </bottom>
      <diagonal/>
    </border>
    <border>
      <left style="thin">
        <color rgb="FFFF0000"/>
      </left>
      <right/>
      <top style="thin">
        <color auto="1"/>
      </top>
      <bottom style="dotted">
        <color rgb="FFFF6600"/>
      </bottom>
      <diagonal/>
    </border>
    <border>
      <left/>
      <right/>
      <top style="thin">
        <color auto="1"/>
      </top>
      <bottom style="dotted">
        <color rgb="FFFF6600"/>
      </bottom>
      <diagonal/>
    </border>
    <border>
      <left style="thin">
        <color rgb="FFFF0000"/>
      </left>
      <right/>
      <top style="dotted">
        <color rgb="FFFF6600"/>
      </top>
      <bottom style="dotted">
        <color rgb="FFFF6600"/>
      </bottom>
      <diagonal/>
    </border>
    <border>
      <left style="thin">
        <color rgb="FFFF0000"/>
      </left>
      <right/>
      <top style="dotted">
        <color rgb="FFFF6600"/>
      </top>
      <bottom style="thin">
        <color auto="1"/>
      </bottom>
      <diagonal/>
    </border>
    <border>
      <left/>
      <right style="dotted">
        <color rgb="FFFF6600"/>
      </right>
      <top style="dotted">
        <color rgb="FFFF6600"/>
      </top>
      <bottom style="thin">
        <color auto="1"/>
      </bottom>
      <diagonal/>
    </border>
    <border>
      <left style="medium">
        <color theme="9" tint="-0.24994659260841701"/>
      </left>
      <right/>
      <top style="medium">
        <color theme="9"/>
      </top>
      <bottom/>
      <diagonal/>
    </border>
    <border>
      <left/>
      <right style="medium">
        <color theme="9" tint="-0.24994659260841701"/>
      </right>
      <top style="medium">
        <color theme="9"/>
      </top>
      <bottom/>
      <diagonal/>
    </border>
    <border>
      <left style="medium">
        <color theme="9"/>
      </left>
      <right/>
      <top style="medium">
        <color theme="9"/>
      </top>
      <bottom style="dotted">
        <color theme="9"/>
      </bottom>
      <diagonal/>
    </border>
    <border>
      <left/>
      <right style="medium">
        <color theme="9"/>
      </right>
      <top style="medium">
        <color theme="9"/>
      </top>
      <bottom style="dotted">
        <color theme="9"/>
      </bottom>
      <diagonal/>
    </border>
    <border>
      <left style="medium">
        <color theme="9"/>
      </left>
      <right/>
      <top style="dotted">
        <color theme="9"/>
      </top>
      <bottom style="dotted">
        <color theme="9"/>
      </bottom>
      <diagonal/>
    </border>
    <border>
      <left/>
      <right style="medium">
        <color theme="9"/>
      </right>
      <top style="dotted">
        <color theme="9"/>
      </top>
      <bottom style="dotted">
        <color theme="9"/>
      </bottom>
      <diagonal/>
    </border>
    <border>
      <left style="medium">
        <color theme="9"/>
      </left>
      <right/>
      <top style="dotted">
        <color theme="9"/>
      </top>
      <bottom/>
      <diagonal/>
    </border>
    <border>
      <left/>
      <right style="medium">
        <color theme="9"/>
      </right>
      <top style="dotted">
        <color theme="9"/>
      </top>
      <bottom/>
      <diagonal/>
    </border>
    <border>
      <left style="medium">
        <color theme="9"/>
      </left>
      <right/>
      <top style="medium">
        <color indexed="53"/>
      </top>
      <bottom style="thin">
        <color theme="9"/>
      </bottom>
      <diagonal/>
    </border>
    <border>
      <left/>
      <right style="medium">
        <color theme="9"/>
      </right>
      <top style="medium">
        <color indexed="53"/>
      </top>
      <bottom style="thin">
        <color theme="9"/>
      </bottom>
      <diagonal/>
    </border>
    <border>
      <left style="medium">
        <color theme="9"/>
      </left>
      <right/>
      <top style="thin">
        <color theme="9"/>
      </top>
      <bottom style="thin">
        <color theme="9"/>
      </bottom>
      <diagonal/>
    </border>
    <border>
      <left/>
      <right style="medium">
        <color theme="9"/>
      </right>
      <top style="thin">
        <color theme="9"/>
      </top>
      <bottom style="thin">
        <color theme="9"/>
      </bottom>
      <diagonal/>
    </border>
    <border>
      <left style="medium">
        <color theme="9"/>
      </left>
      <right/>
      <top style="medium">
        <color indexed="53"/>
      </top>
      <bottom/>
      <diagonal/>
    </border>
    <border>
      <left style="medium">
        <color theme="9"/>
      </left>
      <right style="medium">
        <color theme="9"/>
      </right>
      <top style="medium">
        <color theme="9"/>
      </top>
      <bottom/>
      <diagonal/>
    </border>
    <border>
      <left/>
      <right style="thin">
        <color auto="1"/>
      </right>
      <top/>
      <bottom/>
      <diagonal/>
    </border>
    <border>
      <left/>
      <right style="thin">
        <color auto="1"/>
      </right>
      <top/>
      <bottom/>
      <diagonal/>
    </border>
    <border>
      <left/>
      <right style="thin">
        <color auto="1"/>
      </right>
      <top/>
      <bottom/>
      <diagonal/>
    </border>
    <border>
      <left/>
      <right style="medium">
        <color theme="5"/>
      </right>
      <top/>
      <bottom/>
      <diagonal/>
    </border>
    <border>
      <left style="medium">
        <color theme="5"/>
      </left>
      <right style="medium">
        <color theme="5"/>
      </right>
      <top style="medium">
        <color theme="5"/>
      </top>
      <bottom style="medium">
        <color theme="5"/>
      </bottom>
      <diagonal/>
    </border>
    <border>
      <left style="medium">
        <color rgb="FF002060"/>
      </left>
      <right/>
      <top style="medium">
        <color rgb="FF002060"/>
      </top>
      <bottom style="medium">
        <color rgb="FF002060"/>
      </bottom>
      <diagonal/>
    </border>
    <border>
      <left/>
      <right/>
      <top style="medium">
        <color rgb="FF002060"/>
      </top>
      <bottom style="medium">
        <color rgb="FF002060"/>
      </bottom>
      <diagonal/>
    </border>
    <border>
      <left/>
      <right style="medium">
        <color rgb="FF002060"/>
      </right>
      <top style="medium">
        <color rgb="FF002060"/>
      </top>
      <bottom style="medium">
        <color rgb="FF002060"/>
      </bottom>
      <diagonal/>
    </border>
    <border>
      <left/>
      <right style="thin">
        <color auto="1"/>
      </right>
      <top/>
      <bottom/>
      <diagonal/>
    </border>
    <border>
      <left/>
      <right style="thin">
        <color auto="1"/>
      </right>
      <top/>
      <bottom/>
      <diagonal/>
    </border>
    <border>
      <left/>
      <right style="thin">
        <color auto="1"/>
      </right>
      <top/>
      <bottom/>
      <diagonal/>
    </border>
    <border>
      <left style="thin">
        <color rgb="FF3F3F3F"/>
      </left>
      <right style="thin">
        <color rgb="FF3F3F3F"/>
      </right>
      <top style="thin">
        <color rgb="FF3F3F3F"/>
      </top>
      <bottom style="thin">
        <color rgb="FF3F3F3F"/>
      </bottom>
      <diagonal/>
    </border>
    <border>
      <left style="double">
        <color indexed="53"/>
      </left>
      <right/>
      <top style="medium">
        <color indexed="53"/>
      </top>
      <bottom style="medium">
        <color indexed="53"/>
      </bottom>
      <diagonal/>
    </border>
    <border>
      <left style="medium">
        <color theme="9" tint="-0.24994659260841701"/>
      </left>
      <right style="medium">
        <color theme="9" tint="-0.24994659260841701"/>
      </right>
      <top/>
      <bottom style="medium">
        <color theme="9" tint="-0.2499465926084170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double">
        <color indexed="53"/>
      </left>
      <right/>
      <top style="medium">
        <color indexed="53"/>
      </top>
      <bottom/>
      <diagonal/>
    </border>
    <border>
      <left style="double">
        <color indexed="53"/>
      </left>
      <right/>
      <top style="medium">
        <color indexed="53"/>
      </top>
      <bottom style="double">
        <color indexed="53"/>
      </bottom>
      <diagonal/>
    </border>
    <border>
      <left/>
      <right/>
      <top style="medium">
        <color indexed="53"/>
      </top>
      <bottom style="double">
        <color indexed="53"/>
      </bottom>
      <diagonal/>
    </border>
    <border>
      <left style="medium">
        <color theme="5"/>
      </left>
      <right/>
      <top style="medium">
        <color theme="5"/>
      </top>
      <bottom style="medium">
        <color theme="5"/>
      </bottom>
      <diagonal/>
    </border>
    <border>
      <left/>
      <right/>
      <top style="medium">
        <color theme="5"/>
      </top>
      <bottom style="medium">
        <color theme="5"/>
      </bottom>
      <diagonal/>
    </border>
    <border>
      <left/>
      <right style="medium">
        <color theme="5"/>
      </right>
      <top style="medium">
        <color theme="5"/>
      </top>
      <bottom style="medium">
        <color theme="5"/>
      </bottom>
      <diagonal/>
    </border>
    <border>
      <left/>
      <right style="double">
        <color indexed="53"/>
      </right>
      <top/>
      <bottom style="medium">
        <color indexed="53"/>
      </bottom>
      <diagonal/>
    </border>
    <border>
      <left style="thin">
        <color auto="1"/>
      </left>
      <right style="thin">
        <color auto="1"/>
      </right>
      <top/>
      <bottom/>
      <diagonal/>
    </border>
    <border>
      <left style="double">
        <color rgb="FFFF0000"/>
      </left>
      <right style="thin">
        <color indexed="64"/>
      </right>
      <top style="double">
        <color rgb="FFFF0000"/>
      </top>
      <bottom/>
      <diagonal/>
    </border>
    <border>
      <left/>
      <right style="double">
        <color indexed="10"/>
      </right>
      <top style="thin">
        <color indexed="64"/>
      </top>
      <bottom style="thin">
        <color indexed="64"/>
      </bottom>
      <diagonal/>
    </border>
    <border>
      <left style="hair">
        <color indexed="64"/>
      </left>
      <right/>
      <top style="thin">
        <color indexed="64"/>
      </top>
      <bottom/>
      <diagonal/>
    </border>
    <border>
      <left/>
      <right style="double">
        <color indexed="10"/>
      </right>
      <top style="thin">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double">
        <color rgb="FFFF0000"/>
      </left>
      <right style="thin">
        <color indexed="64"/>
      </right>
      <top/>
      <bottom style="double">
        <color rgb="FFFF0000"/>
      </bottom>
      <diagonal/>
    </border>
    <border>
      <left style="double">
        <color indexed="10"/>
      </left>
      <right style="thin">
        <color indexed="64"/>
      </right>
      <top style="thin">
        <color indexed="64"/>
      </top>
      <bottom style="thin">
        <color indexed="64"/>
      </bottom>
      <diagonal/>
    </border>
    <border>
      <left style="double">
        <color indexed="10"/>
      </left>
      <right/>
      <top/>
      <bottom style="thin">
        <color theme="1"/>
      </bottom>
      <diagonal/>
    </border>
    <border>
      <left style="thin">
        <color indexed="64"/>
      </left>
      <right style="thin">
        <color indexed="64"/>
      </right>
      <top style="thin">
        <color auto="1"/>
      </top>
      <bottom style="thin">
        <color theme="1"/>
      </bottom>
      <diagonal/>
    </border>
    <border>
      <left style="thin">
        <color indexed="64"/>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style="double">
        <color indexed="10"/>
      </right>
      <top style="thin">
        <color auto="1"/>
      </top>
      <bottom style="thin">
        <color theme="1"/>
      </bottom>
      <diagonal/>
    </border>
    <border>
      <left/>
      <right style="double">
        <color indexed="10"/>
      </right>
      <top/>
      <bottom style="thin">
        <color indexed="64"/>
      </bottom>
      <diagonal/>
    </border>
    <border>
      <left/>
      <right style="dashed">
        <color indexed="53"/>
      </right>
      <top/>
      <bottom/>
      <diagonal/>
    </border>
    <border>
      <left style="medium">
        <color indexed="53"/>
      </left>
      <right/>
      <top style="thin">
        <color indexed="53"/>
      </top>
      <bottom/>
      <diagonal/>
    </border>
    <border>
      <left/>
      <right/>
      <top style="thin">
        <color indexed="53"/>
      </top>
      <bottom/>
      <diagonal/>
    </border>
    <border>
      <left/>
      <right style="dashed">
        <color indexed="53"/>
      </right>
      <top style="thin">
        <color indexed="53"/>
      </top>
      <bottom/>
      <diagonal/>
    </border>
    <border>
      <left style="medium">
        <color indexed="53"/>
      </left>
      <right/>
      <top/>
      <bottom style="thin">
        <color auto="1"/>
      </bottom>
      <diagonal/>
    </border>
    <border>
      <left/>
      <right style="dashed">
        <color indexed="53"/>
      </right>
      <top/>
      <bottom style="thin">
        <color auto="1"/>
      </bottom>
      <diagonal/>
    </border>
    <border>
      <left style="thin">
        <color indexed="64"/>
      </left>
      <right style="double">
        <color indexed="10"/>
      </right>
      <top style="thin">
        <color indexed="64"/>
      </top>
      <bottom style="thin">
        <color indexed="64"/>
      </bottom>
      <diagonal/>
    </border>
    <border>
      <left style="medium">
        <color rgb="FFFF6600"/>
      </left>
      <right/>
      <top style="medium">
        <color indexed="53"/>
      </top>
      <bottom style="medium">
        <color indexed="53"/>
      </bottom>
      <diagonal/>
    </border>
    <border>
      <left/>
      <right style="medium">
        <color rgb="FFFF6600"/>
      </right>
      <top style="medium">
        <color indexed="53"/>
      </top>
      <bottom style="medium">
        <color indexed="53"/>
      </bottom>
      <diagonal/>
    </border>
    <border>
      <left/>
      <right/>
      <top style="medium">
        <color indexed="53"/>
      </top>
      <bottom style="medium">
        <color rgb="FFFF6600"/>
      </bottom>
      <diagonal/>
    </border>
    <border>
      <left/>
      <right style="thin">
        <color auto="1"/>
      </right>
      <top/>
      <bottom/>
      <diagonal/>
    </border>
    <border>
      <left style="thin">
        <color indexed="64"/>
      </left>
      <right style="thin">
        <color indexed="64"/>
      </right>
      <top style="hair">
        <color indexed="64"/>
      </top>
      <bottom style="thin">
        <color auto="1"/>
      </bottom>
      <diagonal/>
    </border>
    <border>
      <left style="thin">
        <color auto="1"/>
      </left>
      <right/>
      <top style="medium">
        <color rgb="FFFF6600"/>
      </top>
      <bottom style="medium">
        <color indexed="53"/>
      </bottom>
      <diagonal/>
    </border>
    <border>
      <left style="thin">
        <color auto="1"/>
      </left>
      <right style="thin">
        <color auto="1"/>
      </right>
      <top/>
      <bottom style="thin">
        <color auto="1"/>
      </bottom>
      <diagonal/>
    </border>
    <border>
      <left/>
      <right style="thin">
        <color auto="1"/>
      </right>
      <top/>
      <bottom/>
      <diagonal/>
    </border>
    <border>
      <left/>
      <right/>
      <top/>
      <bottom style="thin">
        <color indexed="9"/>
      </bottom>
      <diagonal/>
    </border>
    <border>
      <left/>
      <right style="double">
        <color rgb="FFFF0000"/>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right style="double">
        <color rgb="FFFF0000"/>
      </right>
      <top style="thin">
        <color indexed="64"/>
      </top>
      <bottom/>
      <diagonal/>
    </border>
    <border>
      <left style="hair">
        <color indexed="64"/>
      </left>
      <right style="double">
        <color rgb="FFFF0000"/>
      </right>
      <top style="thin">
        <color indexed="64"/>
      </top>
      <bottom/>
      <diagonal/>
    </border>
    <border>
      <left style="hair">
        <color indexed="64"/>
      </left>
      <right style="double">
        <color rgb="FFFF0000"/>
      </right>
      <top/>
      <bottom/>
      <diagonal/>
    </border>
    <border>
      <left/>
      <right style="hair">
        <color indexed="64"/>
      </right>
      <top/>
      <bottom style="thin">
        <color indexed="64"/>
      </bottom>
      <diagonal/>
    </border>
    <border>
      <left style="hair">
        <color indexed="64"/>
      </left>
      <right style="double">
        <color rgb="FFFF0000"/>
      </right>
      <top/>
      <bottom style="thin">
        <color indexed="64"/>
      </bottom>
      <diagonal/>
    </border>
    <border>
      <left style="thin">
        <color auto="1"/>
      </left>
      <right style="double">
        <color rgb="FFFF0000"/>
      </right>
      <top style="thin">
        <color auto="1"/>
      </top>
      <bottom style="thin">
        <color auto="1"/>
      </bottom>
      <diagonal/>
    </border>
    <border>
      <left style="double">
        <color rgb="FFFF0000"/>
      </left>
      <right style="thin">
        <color indexed="64"/>
      </right>
      <top style="thin">
        <color indexed="64"/>
      </top>
      <bottom style="thin">
        <color indexed="64"/>
      </bottom>
      <diagonal/>
    </border>
    <border>
      <left style="double">
        <color rgb="FFFF0000"/>
      </left>
      <right/>
      <top style="thin">
        <color auto="1"/>
      </top>
      <bottom style="thin">
        <color indexed="64"/>
      </bottom>
      <diagonal/>
    </border>
    <border>
      <left style="thin">
        <color indexed="64"/>
      </left>
      <right style="double">
        <color rgb="FFFF0000"/>
      </right>
      <top/>
      <bottom style="thin">
        <color indexed="64"/>
      </bottom>
      <diagonal/>
    </border>
    <border>
      <left style="thin">
        <color indexed="64"/>
      </left>
      <right style="double">
        <color rgb="FFFF0000"/>
      </right>
      <top style="thin">
        <color indexed="64"/>
      </top>
      <bottom/>
      <diagonal/>
    </border>
    <border>
      <left style="double">
        <color rgb="FFFF0000"/>
      </left>
      <right/>
      <top style="thin">
        <color auto="1"/>
      </top>
      <bottom/>
      <diagonal/>
    </border>
    <border>
      <left style="double">
        <color rgb="FFFF0000"/>
      </left>
      <right/>
      <top style="double">
        <color theme="1"/>
      </top>
      <bottom/>
      <diagonal/>
    </border>
    <border>
      <left/>
      <right/>
      <top style="double">
        <color theme="1"/>
      </top>
      <bottom/>
      <diagonal/>
    </border>
    <border>
      <left/>
      <right style="double">
        <color rgb="FFFF0000"/>
      </right>
      <top style="double">
        <color theme="1"/>
      </top>
      <bottom/>
      <diagonal/>
    </border>
    <border>
      <left style="double">
        <color rgb="FFFF0000"/>
      </left>
      <right/>
      <top style="double">
        <color auto="1"/>
      </top>
      <bottom/>
      <diagonal/>
    </border>
    <border>
      <left/>
      <right/>
      <top style="double">
        <color auto="1"/>
      </top>
      <bottom/>
      <diagonal/>
    </border>
    <border>
      <left/>
      <right style="double">
        <color rgb="FFFF0000"/>
      </right>
      <top style="double">
        <color auto="1"/>
      </top>
      <bottom/>
      <diagonal/>
    </border>
    <border>
      <left style="thin">
        <color indexed="64"/>
      </left>
      <right/>
      <top style="medium">
        <color indexed="64"/>
      </top>
      <bottom/>
      <diagonal/>
    </border>
    <border>
      <left style="double">
        <color indexed="10"/>
      </left>
      <right/>
      <top style="double">
        <color indexed="10"/>
      </top>
      <bottom/>
      <diagonal/>
    </border>
    <border>
      <left/>
      <right/>
      <top style="double">
        <color indexed="10"/>
      </top>
      <bottom/>
      <diagonal/>
    </border>
    <border>
      <left/>
      <right style="double">
        <color indexed="10"/>
      </right>
      <top style="double">
        <color indexed="10"/>
      </top>
      <bottom/>
      <diagonal/>
    </border>
    <border>
      <left style="double">
        <color indexed="10"/>
      </left>
      <right style="thin">
        <color indexed="64"/>
      </right>
      <top style="thin">
        <color indexed="64"/>
      </top>
      <bottom style="thin">
        <color indexed="64"/>
      </bottom>
      <diagonal/>
    </border>
    <border>
      <left style="thin">
        <color indexed="64"/>
      </left>
      <right style="double">
        <color indexed="10"/>
      </right>
      <top style="thin">
        <color indexed="64"/>
      </top>
      <bottom style="medium">
        <color indexed="64"/>
      </bottom>
      <diagonal/>
    </border>
    <border>
      <left style="double">
        <color auto="1"/>
      </left>
      <right style="double">
        <color auto="1"/>
      </right>
      <top style="double">
        <color auto="1"/>
      </top>
      <bottom style="double">
        <color auto="1"/>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53"/>
      </right>
      <top style="medium">
        <color indexed="53"/>
      </top>
      <bottom style="double">
        <color indexed="53"/>
      </bottom>
      <diagonal/>
    </border>
    <border>
      <left style="double">
        <color indexed="53"/>
      </left>
      <right style="double">
        <color indexed="53"/>
      </right>
      <top style="double">
        <color indexed="53"/>
      </top>
      <bottom style="medium">
        <color indexed="53"/>
      </bottom>
      <diagonal/>
    </border>
    <border>
      <left style="double">
        <color indexed="53"/>
      </left>
      <right/>
      <top style="double">
        <color indexed="53"/>
      </top>
      <bottom style="medium">
        <color indexed="53"/>
      </bottom>
      <diagonal/>
    </border>
    <border>
      <left/>
      <right/>
      <top style="double">
        <color indexed="53"/>
      </top>
      <bottom style="medium">
        <color indexed="53"/>
      </bottom>
      <diagonal/>
    </border>
    <border>
      <left/>
      <right style="medium">
        <color indexed="53"/>
      </right>
      <top style="double">
        <color indexed="53"/>
      </top>
      <bottom style="medium">
        <color indexed="53"/>
      </bottom>
      <diagonal/>
    </border>
    <border>
      <left style="double">
        <color indexed="53"/>
      </left>
      <right style="double">
        <color indexed="53"/>
      </right>
      <top style="medium">
        <color indexed="53"/>
      </top>
      <bottom style="medium">
        <color indexed="53"/>
      </bottom>
      <diagonal/>
    </border>
    <border>
      <left/>
      <right style="double">
        <color indexed="53"/>
      </right>
      <top style="medium">
        <color indexed="53"/>
      </top>
      <bottom style="medium">
        <color indexed="53"/>
      </bottom>
      <diagonal/>
    </border>
    <border>
      <left style="double">
        <color indexed="53"/>
      </left>
      <right style="double">
        <color indexed="53"/>
      </right>
      <top style="medium">
        <color indexed="53"/>
      </top>
      <bottom/>
      <diagonal/>
    </border>
    <border>
      <left style="medium">
        <color rgb="FFFFC000"/>
      </left>
      <right style="medium">
        <color rgb="FFFFC000"/>
      </right>
      <top style="medium">
        <color rgb="FFFFC000"/>
      </top>
      <bottom style="medium">
        <color rgb="FFFFC000"/>
      </bottom>
      <diagonal/>
    </border>
    <border>
      <left style="medium">
        <color rgb="FFFFC000"/>
      </left>
      <right/>
      <top/>
      <bottom/>
      <diagonal/>
    </border>
    <border>
      <left style="double">
        <color indexed="53"/>
      </left>
      <right/>
      <top style="medium">
        <color indexed="53"/>
      </top>
      <bottom style="medium">
        <color rgb="FFFFC000"/>
      </bottom>
      <diagonal/>
    </border>
    <border>
      <left/>
      <right/>
      <top style="medium">
        <color indexed="53"/>
      </top>
      <bottom style="medium">
        <color rgb="FFFFC000"/>
      </bottom>
      <diagonal/>
    </border>
    <border>
      <left style="medium">
        <color indexed="53"/>
      </left>
      <right style="medium">
        <color indexed="53"/>
      </right>
      <top style="medium">
        <color indexed="53"/>
      </top>
      <bottom style="medium">
        <color rgb="FFFFC000"/>
      </bottom>
      <diagonal/>
    </border>
    <border>
      <left/>
      <right style="thin">
        <color auto="1"/>
      </right>
      <top style="thin">
        <color auto="1"/>
      </top>
      <bottom style="thin">
        <color auto="1"/>
      </bottom>
      <diagonal/>
    </border>
    <border>
      <left/>
      <right style="medium">
        <color indexed="53"/>
      </right>
      <top style="medium">
        <color indexed="53"/>
      </top>
      <bottom style="medium">
        <color rgb="FFFFC000"/>
      </bottom>
      <diagonal/>
    </border>
    <border>
      <left style="thin">
        <color auto="1"/>
      </left>
      <right style="medium">
        <color theme="9" tint="-0.24994659260841701"/>
      </right>
      <top/>
      <bottom style="medium">
        <color theme="9" tint="-0.24994659260841701"/>
      </bottom>
      <diagonal/>
    </border>
    <border>
      <left style="medium">
        <color theme="9" tint="-0.24994659260841701"/>
      </left>
      <right style="medium">
        <color theme="9" tint="-0.24994659260841701"/>
      </right>
      <top style="double">
        <color rgb="FFFF6600"/>
      </top>
      <bottom style="medium">
        <color theme="9" tint="-0.24994659260841701"/>
      </bottom>
      <diagonal/>
    </border>
    <border>
      <left style="medium">
        <color theme="9" tint="-0.24994659260841701"/>
      </left>
      <right style="medium">
        <color theme="9" tint="-0.24994659260841701"/>
      </right>
      <top style="medium">
        <color rgb="FFFF6600"/>
      </top>
      <bottom style="medium">
        <color theme="9" tint="-0.24994659260841701"/>
      </bottom>
      <diagonal/>
    </border>
    <border>
      <left style="medium">
        <color theme="9" tint="-0.24994659260841701"/>
      </left>
      <right style="medium">
        <color rgb="FFFF6600"/>
      </right>
      <top style="medium">
        <color rgb="FFFF6600"/>
      </top>
      <bottom style="medium">
        <color theme="9" tint="-0.24994659260841701"/>
      </bottom>
      <diagonal/>
    </border>
    <border>
      <left style="thin">
        <color auto="1"/>
      </left>
      <right style="medium">
        <color theme="9" tint="-0.24994659260841701"/>
      </right>
      <top style="medium">
        <color theme="9" tint="-0.24994659260841701"/>
      </top>
      <bottom style="medium">
        <color theme="9" tint="-0.24994659260841701"/>
      </bottom>
      <diagonal/>
    </border>
    <border>
      <left style="medium">
        <color theme="9" tint="-0.24994659260841701"/>
      </left>
      <right style="medium">
        <color rgb="FFFF6600"/>
      </right>
      <top style="medium">
        <color theme="9" tint="-0.24994659260841701"/>
      </top>
      <bottom style="medium">
        <color theme="9" tint="-0.24994659260841701"/>
      </bottom>
      <diagonal/>
    </border>
    <border>
      <left style="thin">
        <color auto="1"/>
      </left>
      <right style="medium">
        <color theme="9" tint="-0.24994659260841701"/>
      </right>
      <top style="medium">
        <color theme="9" tint="-0.24994659260841701"/>
      </top>
      <bottom style="thin">
        <color theme="9" tint="-0.24994659260841701"/>
      </bottom>
      <diagonal/>
    </border>
    <border>
      <left style="medium">
        <color theme="9" tint="-0.24994659260841701"/>
      </left>
      <right style="medium">
        <color theme="9" tint="-0.24994659260841701"/>
      </right>
      <top style="medium">
        <color theme="9" tint="-0.24994659260841701"/>
      </top>
      <bottom style="thin">
        <color theme="9" tint="-0.24994659260841701"/>
      </bottom>
      <diagonal/>
    </border>
    <border>
      <left style="medium">
        <color theme="9" tint="-0.24994659260841701"/>
      </left>
      <right style="medium">
        <color rgb="FFFF6600"/>
      </right>
      <top style="medium">
        <color theme="9" tint="-0.24994659260841701"/>
      </top>
      <bottom style="thin">
        <color theme="9" tint="-0.24994659260841701"/>
      </bottom>
      <diagonal/>
    </border>
    <border>
      <left style="medium">
        <color theme="9" tint="-0.24994659260841701"/>
      </left>
      <right style="medium">
        <color theme="9" tint="-0.24994659260841701"/>
      </right>
      <top style="medium">
        <color rgb="FFFF6600"/>
      </top>
      <bottom style="thin">
        <color theme="9" tint="-0.24994659260841701"/>
      </bottom>
      <diagonal/>
    </border>
    <border>
      <left style="medium">
        <color theme="9" tint="-0.24994659260841701"/>
      </left>
      <right style="medium">
        <color theme="9" tint="-0.24994659260841701"/>
      </right>
      <top style="thin">
        <color theme="9" tint="-0.24994659260841701"/>
      </top>
      <bottom style="thin">
        <color theme="9" tint="-0.24994659260841701"/>
      </bottom>
      <diagonal/>
    </border>
    <border>
      <left style="medium">
        <color theme="9" tint="-0.24994659260841701"/>
      </left>
      <right/>
      <top style="medium">
        <color theme="9" tint="-0.24994659260841701"/>
      </top>
      <bottom style="medium">
        <color indexed="53"/>
      </bottom>
      <diagonal/>
    </border>
    <border>
      <left/>
      <right/>
      <top style="medium">
        <color theme="9" tint="-0.24994659260841701"/>
      </top>
      <bottom style="medium">
        <color indexed="53"/>
      </bottom>
      <diagonal/>
    </border>
    <border>
      <left/>
      <right style="medium">
        <color theme="9" tint="-0.24994659260841701"/>
      </right>
      <top style="medium">
        <color theme="9" tint="-0.24994659260841701"/>
      </top>
      <bottom style="medium">
        <color indexed="53"/>
      </bottom>
      <diagonal/>
    </border>
    <border>
      <left style="medium">
        <color theme="9" tint="-0.24994659260841701"/>
      </left>
      <right/>
      <top style="medium">
        <color indexed="53"/>
      </top>
      <bottom style="medium">
        <color indexed="53"/>
      </bottom>
      <diagonal/>
    </border>
    <border>
      <left style="medium">
        <color indexed="53"/>
      </left>
      <right style="medium">
        <color theme="9" tint="-0.24994659260841701"/>
      </right>
      <top style="medium">
        <color indexed="53"/>
      </top>
      <bottom style="medium">
        <color indexed="53"/>
      </bottom>
      <diagonal/>
    </border>
    <border>
      <left style="medium">
        <color theme="9" tint="-0.24994659260841701"/>
      </left>
      <right/>
      <top style="medium">
        <color indexed="53"/>
      </top>
      <bottom style="double">
        <color indexed="53"/>
      </bottom>
      <diagonal/>
    </border>
    <border>
      <left style="medium">
        <color theme="9" tint="-0.24994659260841701"/>
      </left>
      <right style="double">
        <color indexed="53"/>
      </right>
      <top style="double">
        <color indexed="53"/>
      </top>
      <bottom style="medium">
        <color indexed="53"/>
      </bottom>
      <diagonal/>
    </border>
    <border>
      <left style="medium">
        <color theme="9" tint="-0.24994659260841701"/>
      </left>
      <right style="double">
        <color indexed="53"/>
      </right>
      <top style="medium">
        <color indexed="53"/>
      </top>
      <bottom style="medium">
        <color indexed="53"/>
      </bottom>
      <diagonal/>
    </border>
    <border>
      <left style="medium">
        <color theme="9" tint="-0.24994659260841701"/>
      </left>
      <right style="medium">
        <color indexed="53"/>
      </right>
      <top style="medium">
        <color indexed="53"/>
      </top>
      <bottom style="medium">
        <color indexed="53"/>
      </bottom>
      <diagonal/>
    </border>
    <border>
      <left style="medium">
        <color indexed="53"/>
      </left>
      <right style="medium">
        <color theme="9" tint="-0.24994659260841701"/>
      </right>
      <top style="medium">
        <color indexed="53"/>
      </top>
      <bottom/>
      <diagonal/>
    </border>
    <border>
      <left style="medium">
        <color indexed="53"/>
      </left>
      <right style="medium">
        <color theme="9" tint="-0.24994659260841701"/>
      </right>
      <top/>
      <bottom/>
      <diagonal/>
    </border>
    <border>
      <left style="medium">
        <color indexed="53"/>
      </left>
      <right style="medium">
        <color theme="9" tint="-0.24994659260841701"/>
      </right>
      <top/>
      <bottom style="medium">
        <color indexed="53"/>
      </bottom>
      <diagonal/>
    </border>
    <border>
      <left style="medium">
        <color theme="9" tint="-0.24994659260841701"/>
      </left>
      <right style="double">
        <color indexed="53"/>
      </right>
      <top style="medium">
        <color indexed="53"/>
      </top>
      <bottom/>
      <diagonal/>
    </border>
    <border>
      <left style="medium">
        <color theme="9" tint="-0.24994659260841701"/>
      </left>
      <right style="medium">
        <color rgb="FFFFC000"/>
      </right>
      <top style="medium">
        <color rgb="FFFFC000"/>
      </top>
      <bottom style="medium">
        <color rgb="FFFFC000"/>
      </bottom>
      <diagonal/>
    </border>
    <border>
      <left style="medium">
        <color rgb="FFFFC000"/>
      </left>
      <right style="medium">
        <color theme="9" tint="-0.24994659260841701"/>
      </right>
      <top style="medium">
        <color rgb="FFFFC000"/>
      </top>
      <bottom style="medium">
        <color rgb="FFFFC000"/>
      </bottom>
      <diagonal/>
    </border>
    <border>
      <left/>
      <right/>
      <top style="thin">
        <color auto="1"/>
      </top>
      <bottom style="medium">
        <color rgb="FFFF6600"/>
      </bottom>
      <diagonal/>
    </border>
    <border>
      <left/>
      <right style="thin">
        <color indexed="64"/>
      </right>
      <top style="thin">
        <color auto="1"/>
      </top>
      <bottom style="medium">
        <color rgb="FFFF6600"/>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top/>
      <bottom style="thin">
        <color indexed="64"/>
      </bottom>
      <diagonal/>
    </border>
    <border>
      <left style="double">
        <color indexed="10"/>
      </left>
      <right/>
      <top style="thin">
        <color indexed="64"/>
      </top>
      <bottom style="thin">
        <color indexed="64"/>
      </bottom>
      <diagonal/>
    </border>
    <border>
      <left/>
      <right style="double">
        <color indexed="10"/>
      </right>
      <top style="thin">
        <color indexed="64"/>
      </top>
      <bottom style="thin">
        <color indexed="64"/>
      </bottom>
      <diagonal/>
    </border>
    <border>
      <left style="double">
        <color indexed="10"/>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double">
        <color indexed="10"/>
      </right>
      <top style="thin">
        <color indexed="64"/>
      </top>
      <bottom/>
      <diagonal/>
    </border>
    <border>
      <left style="double">
        <color indexed="10"/>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medium">
        <color indexed="53"/>
      </left>
      <right/>
      <top style="medium">
        <color indexed="53"/>
      </top>
      <bottom style="hair">
        <color indexed="64"/>
      </bottom>
      <diagonal/>
    </border>
    <border>
      <left/>
      <right/>
      <top style="medium">
        <color indexed="53"/>
      </top>
      <bottom style="hair">
        <color indexed="64"/>
      </bottom>
      <diagonal/>
    </border>
    <border>
      <left/>
      <right style="medium">
        <color indexed="53"/>
      </right>
      <top style="medium">
        <color indexed="53"/>
      </top>
      <bottom style="hair">
        <color indexed="64"/>
      </bottom>
      <diagonal/>
    </border>
    <border>
      <left style="medium">
        <color indexed="53"/>
      </left>
      <right/>
      <top style="hair">
        <color indexed="64"/>
      </top>
      <bottom style="hair">
        <color indexed="64"/>
      </bottom>
      <diagonal/>
    </border>
    <border>
      <left/>
      <right style="medium">
        <color indexed="53"/>
      </right>
      <top style="hair">
        <color indexed="64"/>
      </top>
      <bottom style="hair">
        <color indexed="64"/>
      </bottom>
      <diagonal/>
    </border>
    <border>
      <left style="medium">
        <color indexed="53"/>
      </left>
      <right/>
      <top style="hair">
        <color indexed="64"/>
      </top>
      <bottom/>
      <diagonal/>
    </border>
    <border>
      <left/>
      <right style="medium">
        <color indexed="53"/>
      </right>
      <top style="hair">
        <color indexed="64"/>
      </top>
      <bottom/>
      <diagonal/>
    </border>
    <border>
      <left style="medium">
        <color rgb="FFFFC000"/>
      </left>
      <right/>
      <top style="medium">
        <color rgb="FFFFC000"/>
      </top>
      <bottom style="medium">
        <color rgb="FFFFC000"/>
      </bottom>
      <diagonal/>
    </border>
    <border>
      <left/>
      <right/>
      <top style="medium">
        <color rgb="FFFFC000"/>
      </top>
      <bottom style="medium">
        <color rgb="FFFFC000"/>
      </bottom>
      <diagonal/>
    </border>
    <border>
      <left/>
      <right style="medium">
        <color rgb="FFFFC000"/>
      </right>
      <top style="medium">
        <color rgb="FFFFC000"/>
      </top>
      <bottom style="medium">
        <color rgb="FFFFC000"/>
      </bottom>
      <diagonal/>
    </border>
    <border>
      <left/>
      <right/>
      <top style="medium">
        <color rgb="FFFFC000"/>
      </top>
      <bottom/>
      <diagonal/>
    </border>
    <border>
      <left/>
      <right style="thin">
        <color auto="1"/>
      </right>
      <top/>
      <bottom/>
      <diagonal/>
    </border>
    <border>
      <left style="medium">
        <color theme="9"/>
      </left>
      <right/>
      <top style="thin">
        <color theme="9"/>
      </top>
      <bottom style="medium">
        <color theme="9"/>
      </bottom>
      <diagonal/>
    </border>
    <border>
      <left/>
      <right style="medium">
        <color theme="9"/>
      </right>
      <top style="thin">
        <color theme="9"/>
      </top>
      <bottom style="medium">
        <color theme="9"/>
      </bottom>
      <diagonal/>
    </border>
    <border>
      <left style="thin">
        <color indexed="9"/>
      </left>
      <right/>
      <top/>
      <bottom/>
      <diagonal/>
    </border>
    <border>
      <left style="double">
        <color indexed="10"/>
      </left>
      <right/>
      <top style="thin">
        <color theme="1"/>
      </top>
      <bottom style="thin">
        <color auto="1"/>
      </bottom>
      <diagonal/>
    </border>
    <border>
      <left style="medium">
        <color theme="9" tint="-0.24994659260841701"/>
      </left>
      <right style="medium">
        <color theme="9" tint="-0.24994659260841701"/>
      </right>
      <top style="medium">
        <color theme="9" tint="-0.24994659260841701"/>
      </top>
      <bottom/>
      <diagonal/>
    </border>
    <border>
      <left style="medium">
        <color theme="9"/>
      </left>
      <right style="medium">
        <color theme="9" tint="-0.24994659260841701"/>
      </right>
      <top style="medium">
        <color theme="9" tint="-0.24994659260841701"/>
      </top>
      <bottom style="medium">
        <color theme="9"/>
      </bottom>
      <diagonal/>
    </border>
    <border>
      <left style="medium">
        <color indexed="53"/>
      </left>
      <right/>
      <top style="medium">
        <color indexed="53"/>
      </top>
      <bottom style="medium">
        <color theme="9"/>
      </bottom>
      <diagonal/>
    </border>
    <border>
      <left/>
      <right/>
      <top style="medium">
        <color indexed="53"/>
      </top>
      <bottom style="medium">
        <color theme="9"/>
      </bottom>
      <diagonal/>
    </border>
    <border>
      <left/>
      <right style="medium">
        <color indexed="53"/>
      </right>
      <top style="medium">
        <color indexed="53"/>
      </top>
      <bottom style="medium">
        <color theme="9"/>
      </bottom>
      <diagonal/>
    </border>
    <border>
      <left style="medium">
        <color theme="9" tint="-0.24994659260841701"/>
      </left>
      <right style="medium">
        <color theme="9" tint="-0.24994659260841701"/>
      </right>
      <top style="medium">
        <color theme="9"/>
      </top>
      <bottom style="medium">
        <color theme="9" tint="-0.24994659260841701"/>
      </bottom>
      <diagonal/>
    </border>
    <border>
      <left/>
      <right style="thin">
        <color auto="1"/>
      </right>
      <top/>
      <bottom/>
      <diagonal/>
    </border>
    <border>
      <left style="thin">
        <color indexed="64"/>
      </left>
      <right style="thin">
        <color indexed="64"/>
      </right>
      <top/>
      <bottom/>
      <diagonal/>
    </border>
    <border>
      <left/>
      <right style="double">
        <color indexed="53"/>
      </right>
      <top style="medium">
        <color indexed="53"/>
      </top>
      <bottom/>
      <diagonal/>
    </border>
    <border>
      <left style="medium">
        <color theme="9" tint="-0.24994659260841701"/>
      </left>
      <right style="medium">
        <color theme="9" tint="-0.24994659260841701"/>
      </right>
      <top style="medium">
        <color theme="9"/>
      </top>
      <bottom/>
      <diagonal/>
    </border>
    <border>
      <left style="medium">
        <color theme="9" tint="-0.24994659260841701"/>
      </left>
      <right/>
      <top style="dashed">
        <color theme="9" tint="-0.24994659260841701"/>
      </top>
      <bottom style="dashed">
        <color theme="9" tint="-0.24994659260841701"/>
      </bottom>
      <diagonal/>
    </border>
    <border>
      <left/>
      <right style="medium">
        <color theme="9" tint="-0.24994659260841701"/>
      </right>
      <top style="dashed">
        <color theme="9" tint="-0.24994659260841701"/>
      </top>
      <bottom style="dashed">
        <color theme="9" tint="-0.24994659260841701"/>
      </bottom>
      <diagonal/>
    </border>
    <border>
      <left style="medium">
        <color theme="9" tint="-0.24994659260841701"/>
      </left>
      <right/>
      <top style="dashed">
        <color theme="9" tint="-0.24994659260841701"/>
      </top>
      <bottom style="medium">
        <color theme="9" tint="-0.24994659260841701"/>
      </bottom>
      <diagonal/>
    </border>
    <border>
      <left/>
      <right style="medium">
        <color theme="9" tint="-0.24994659260841701"/>
      </right>
      <top style="dashed">
        <color theme="9" tint="-0.24994659260841701"/>
      </top>
      <bottom style="medium">
        <color theme="9" tint="-0.24994659260841701"/>
      </bottom>
      <diagonal/>
    </border>
    <border>
      <left style="medium">
        <color theme="9"/>
      </left>
      <right/>
      <top/>
      <bottom style="medium">
        <color theme="9" tint="-0.24994659260841701"/>
      </bottom>
      <diagonal/>
    </border>
    <border>
      <left/>
      <right style="medium">
        <color theme="9"/>
      </right>
      <top/>
      <bottom style="medium">
        <color theme="9" tint="-0.24994659260841701"/>
      </bottom>
      <diagonal/>
    </border>
    <border>
      <left style="medium">
        <color theme="9" tint="-0.24994659260841701"/>
      </left>
      <right/>
      <top style="medium">
        <color theme="9"/>
      </top>
      <bottom style="dashed">
        <color theme="9" tint="-0.24994659260841701"/>
      </bottom>
      <diagonal/>
    </border>
    <border>
      <left/>
      <right style="medium">
        <color theme="9" tint="-0.24994659260841701"/>
      </right>
      <top style="medium">
        <color theme="9"/>
      </top>
      <bottom style="dashed">
        <color theme="9" tint="-0.24994659260841701"/>
      </bottom>
      <diagonal/>
    </border>
    <border>
      <left style="medium">
        <color theme="9" tint="-0.24994659260841701"/>
      </left>
      <right style="medium">
        <color theme="9" tint="-0.24994659260841701"/>
      </right>
      <top/>
      <bottom/>
      <diagonal/>
    </border>
    <border>
      <left style="thin">
        <color indexed="64"/>
      </left>
      <right/>
      <top style="medium">
        <color theme="9" tint="-0.24994659260841701"/>
      </top>
      <bottom style="thin">
        <color indexed="64"/>
      </bottom>
      <diagonal/>
    </border>
    <border>
      <left/>
      <right style="thin">
        <color indexed="64"/>
      </right>
      <top style="medium">
        <color theme="9" tint="-0.24994659260841701"/>
      </top>
      <bottom style="thin">
        <color indexed="64"/>
      </bottom>
      <diagonal/>
    </border>
    <border>
      <left style="medium">
        <color theme="9" tint="-0.24994659260841701"/>
      </left>
      <right/>
      <top/>
      <bottom style="medium">
        <color theme="9"/>
      </bottom>
      <diagonal/>
    </border>
    <border>
      <left/>
      <right style="medium">
        <color theme="9" tint="-0.24994659260841701"/>
      </right>
      <top/>
      <bottom style="medium">
        <color theme="9"/>
      </bottom>
      <diagonal/>
    </border>
    <border>
      <left style="hair">
        <color indexed="64"/>
      </left>
      <right/>
      <top style="medium">
        <color theme="9" tint="-0.24994659260841701"/>
      </top>
      <bottom style="hair">
        <color indexed="64"/>
      </bottom>
      <diagonal/>
    </border>
    <border>
      <left/>
      <right style="hair">
        <color indexed="64"/>
      </right>
      <top style="medium">
        <color theme="9" tint="-0.24994659260841701"/>
      </top>
      <bottom style="hair">
        <color indexed="64"/>
      </bottom>
      <diagonal/>
    </border>
    <border>
      <left style="medium">
        <color indexed="53"/>
      </left>
      <right style="medium">
        <color indexed="53"/>
      </right>
      <top style="medium">
        <color theme="9" tint="-0.24994659260841701"/>
      </top>
      <bottom style="medium">
        <color indexed="53"/>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double">
        <color rgb="FFFF0000"/>
      </left>
      <right style="thin">
        <color indexed="64"/>
      </right>
      <top/>
      <bottom style="medium">
        <color indexed="64"/>
      </bottom>
      <diagonal/>
    </border>
    <border>
      <left style="thin">
        <color auto="1"/>
      </left>
      <right style="thin">
        <color auto="1"/>
      </right>
      <top/>
      <bottom style="medium">
        <color indexed="64"/>
      </bottom>
      <diagonal/>
    </border>
    <border>
      <left style="double">
        <color rgb="FFFF0000"/>
      </left>
      <right style="double">
        <color rgb="FFFF0000"/>
      </right>
      <top style="double">
        <color rgb="FFFF0000"/>
      </top>
      <bottom/>
      <diagonal/>
    </border>
    <border>
      <left style="double">
        <color rgb="FFFF0000"/>
      </left>
      <right style="double">
        <color rgb="FFFF0000"/>
      </right>
      <top/>
      <bottom/>
      <diagonal/>
    </border>
    <border>
      <left style="medium">
        <color indexed="53"/>
      </left>
      <right/>
      <top style="hair">
        <color indexed="64"/>
      </top>
      <bottom style="thin">
        <color auto="1"/>
      </bottom>
      <diagonal/>
    </border>
    <border>
      <left/>
      <right style="medium">
        <color indexed="53"/>
      </right>
      <top style="hair">
        <color indexed="64"/>
      </top>
      <bottom style="thin">
        <color auto="1"/>
      </bottom>
      <diagonal/>
    </border>
    <border>
      <left style="double">
        <color indexed="53"/>
      </left>
      <right/>
      <top style="medium">
        <color theme="9" tint="-0.24994659260841701"/>
      </top>
      <bottom style="double">
        <color indexed="53"/>
      </bottom>
      <diagonal/>
    </border>
    <border>
      <left/>
      <right/>
      <top style="medium">
        <color theme="9" tint="-0.24994659260841701"/>
      </top>
      <bottom style="double">
        <color indexed="53"/>
      </bottom>
      <diagonal/>
    </border>
    <border>
      <left/>
      <right style="double">
        <color indexed="53"/>
      </right>
      <top style="medium">
        <color theme="9" tint="-0.24994659260841701"/>
      </top>
      <bottom style="double">
        <color indexed="53"/>
      </bottom>
      <diagonal/>
    </border>
    <border>
      <left style="thin">
        <color indexed="64"/>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medium">
        <color indexed="53"/>
      </left>
      <right/>
      <top style="medium">
        <color theme="9" tint="-0.24994659260841701"/>
      </top>
      <bottom/>
      <diagonal/>
    </border>
    <border>
      <left/>
      <right style="medium">
        <color indexed="53"/>
      </right>
      <top style="medium">
        <color theme="9" tint="-0.24994659260841701"/>
      </top>
      <bottom/>
      <diagonal/>
    </border>
    <border>
      <left style="thin">
        <color theme="1"/>
      </left>
      <right style="thin">
        <color theme="1"/>
      </right>
      <top/>
      <bottom/>
      <diagonal/>
    </border>
    <border>
      <left style="thin">
        <color theme="1"/>
      </left>
      <right style="double">
        <color indexed="10"/>
      </right>
      <top/>
      <bottom/>
      <diagonal/>
    </border>
    <border>
      <left style="thin">
        <color theme="1"/>
      </left>
      <right style="double">
        <color indexed="10"/>
      </right>
      <top/>
      <bottom style="thin">
        <color auto="1"/>
      </bottom>
      <diagonal/>
    </border>
    <border>
      <left style="double">
        <color indexed="53"/>
      </left>
      <right/>
      <top style="double">
        <color indexed="53"/>
      </top>
      <bottom/>
      <diagonal/>
    </border>
    <border>
      <left/>
      <right style="double">
        <color indexed="53"/>
      </right>
      <top style="double">
        <color indexed="53"/>
      </top>
      <bottom/>
      <diagonal/>
    </border>
    <border>
      <left style="double">
        <color indexed="53"/>
      </left>
      <right/>
      <top/>
      <bottom style="double">
        <color indexed="53"/>
      </bottom>
      <diagonal/>
    </border>
    <border>
      <left/>
      <right/>
      <top/>
      <bottom style="double">
        <color indexed="53"/>
      </bottom>
      <diagonal/>
    </border>
    <border>
      <left/>
      <right style="double">
        <color indexed="53"/>
      </right>
      <top/>
      <bottom style="double">
        <color indexed="53"/>
      </bottom>
      <diagonal/>
    </border>
    <border>
      <left style="double">
        <color theme="9" tint="-0.24994659260841701"/>
      </left>
      <right/>
      <top style="double">
        <color theme="9" tint="-0.24994659260841701"/>
      </top>
      <bottom/>
      <diagonal/>
    </border>
    <border>
      <left/>
      <right/>
      <top style="double">
        <color theme="9" tint="-0.24994659260841701"/>
      </top>
      <bottom/>
      <diagonal/>
    </border>
    <border>
      <left/>
      <right style="double">
        <color theme="9" tint="-0.24994659260841701"/>
      </right>
      <top style="double">
        <color theme="9" tint="-0.24994659260841701"/>
      </top>
      <bottom/>
      <diagonal/>
    </border>
    <border>
      <left style="double">
        <color theme="9" tint="-0.24994659260841701"/>
      </left>
      <right/>
      <top/>
      <bottom/>
      <diagonal/>
    </border>
    <border>
      <left/>
      <right style="double">
        <color theme="9" tint="-0.24994659260841701"/>
      </right>
      <top/>
      <bottom/>
      <diagonal/>
    </border>
    <border>
      <left style="double">
        <color theme="9" tint="-0.24994659260841701"/>
      </left>
      <right/>
      <top/>
      <bottom style="double">
        <color theme="9" tint="-0.24994659260841701"/>
      </bottom>
      <diagonal/>
    </border>
    <border>
      <left/>
      <right/>
      <top/>
      <bottom style="double">
        <color theme="9" tint="-0.24994659260841701"/>
      </bottom>
      <diagonal/>
    </border>
    <border>
      <left/>
      <right style="double">
        <color theme="9" tint="-0.24994659260841701"/>
      </right>
      <top/>
      <bottom style="double">
        <color theme="9" tint="-0.24994659260841701"/>
      </bottom>
      <diagonal/>
    </border>
    <border>
      <left style="double">
        <color theme="9" tint="-0.24994659260841701"/>
      </left>
      <right/>
      <top/>
      <bottom style="double">
        <color indexed="10"/>
      </bottom>
      <diagonal/>
    </border>
    <border>
      <left/>
      <right style="double">
        <color theme="9" tint="-0.24994659260841701"/>
      </right>
      <top/>
      <bottom style="double">
        <color indexed="10"/>
      </bottom>
      <diagonal/>
    </border>
    <border>
      <left/>
      <right style="thin">
        <color indexed="9"/>
      </right>
      <top/>
      <bottom/>
      <diagonal/>
    </border>
    <border>
      <left/>
      <right style="thin">
        <color auto="1"/>
      </right>
      <top/>
      <bottom/>
      <diagonal/>
    </border>
    <border>
      <left style="thin">
        <color indexed="9"/>
      </left>
      <right/>
      <top style="thin">
        <color indexed="9"/>
      </top>
      <bottom/>
      <diagonal/>
    </border>
    <border>
      <left/>
      <right style="thin">
        <color indexed="9"/>
      </right>
      <top style="thin">
        <color indexed="9"/>
      </top>
      <bottom/>
      <diagonal/>
    </border>
    <border>
      <left style="thin">
        <color indexed="9"/>
      </left>
      <right/>
      <top/>
      <bottom style="thin">
        <color indexed="9"/>
      </bottom>
      <diagonal/>
    </border>
    <border>
      <left/>
      <right style="thin">
        <color indexed="9"/>
      </right>
      <top/>
      <bottom style="thin">
        <color indexed="9"/>
      </bottom>
      <diagonal/>
    </border>
    <border>
      <left style="thin">
        <color indexed="9"/>
      </left>
      <right style="thin">
        <color indexed="9"/>
      </right>
      <top/>
      <bottom style="thin">
        <color indexed="9"/>
      </bottom>
      <diagonal/>
    </border>
    <border>
      <left style="thin">
        <color auto="1"/>
      </left>
      <right/>
      <top style="thin">
        <color auto="1"/>
      </top>
      <bottom style="thin">
        <color auto="1"/>
      </bottom>
      <diagonal/>
    </border>
    <border>
      <left/>
      <right style="double">
        <color indexed="10"/>
      </right>
      <top style="thin">
        <color indexed="64"/>
      </top>
      <bottom style="thin">
        <color indexed="64"/>
      </bottom>
      <diagonal/>
    </border>
    <border>
      <left style="thin">
        <color indexed="64"/>
      </left>
      <right style="thin">
        <color indexed="64"/>
      </right>
      <top style="thin">
        <color auto="1"/>
      </top>
      <bottom/>
      <diagonal/>
    </border>
    <border>
      <left/>
      <right style="thin">
        <color indexed="64"/>
      </right>
      <top style="thin">
        <color auto="1"/>
      </top>
      <bottom style="thin">
        <color indexed="64"/>
      </bottom>
      <diagonal/>
    </border>
    <border>
      <left/>
      <right style="thin">
        <color theme="1"/>
      </right>
      <top style="thin">
        <color auto="1"/>
      </top>
      <bottom/>
      <diagonal/>
    </border>
    <border>
      <left style="thin">
        <color theme="1"/>
      </left>
      <right style="double">
        <color indexed="10"/>
      </right>
      <top style="thin">
        <color indexed="64"/>
      </top>
      <bottom/>
      <diagonal/>
    </border>
    <border>
      <left style="double">
        <color indexed="53"/>
      </left>
      <right/>
      <top style="double">
        <color indexed="53"/>
      </top>
      <bottom style="double">
        <color indexed="53"/>
      </bottom>
      <diagonal/>
    </border>
    <border>
      <left/>
      <right/>
      <top style="double">
        <color indexed="53"/>
      </top>
      <bottom style="double">
        <color indexed="53"/>
      </bottom>
      <diagonal/>
    </border>
    <border>
      <left/>
      <right style="medium">
        <color theme="9" tint="-0.24994659260841701"/>
      </right>
      <top style="double">
        <color indexed="53"/>
      </top>
      <bottom style="double">
        <color indexed="53"/>
      </bottom>
      <diagonal/>
    </border>
    <border>
      <left/>
      <right style="double">
        <color rgb="FFFF0000"/>
      </right>
      <top/>
      <bottom style="thin">
        <color indexed="64"/>
      </bottom>
      <diagonal/>
    </border>
    <border>
      <left style="thin">
        <color auto="1"/>
      </left>
      <right/>
      <top/>
      <bottom style="thin">
        <color indexed="64"/>
      </bottom>
      <diagonal/>
    </border>
    <border>
      <left/>
      <right style="medium">
        <color theme="9" tint="-0.24994659260841701"/>
      </right>
      <top/>
      <bottom style="double">
        <color indexed="53"/>
      </bottom>
      <diagonal/>
    </border>
    <border>
      <left style="medium">
        <color theme="9" tint="-0.24994659260841701"/>
      </left>
      <right/>
      <top/>
      <bottom style="double">
        <color indexed="53"/>
      </bottom>
      <diagonal/>
    </border>
    <border>
      <left style="medium">
        <color theme="9" tint="-0.24994659260841701"/>
      </left>
      <right/>
      <top style="double">
        <color indexed="53"/>
      </top>
      <bottom style="medium">
        <color theme="9" tint="-0.24994659260841701"/>
      </bottom>
      <diagonal/>
    </border>
    <border>
      <left/>
      <right/>
      <top style="double">
        <color indexed="53"/>
      </top>
      <bottom style="medium">
        <color theme="9" tint="-0.24994659260841701"/>
      </bottom>
      <diagonal/>
    </border>
    <border>
      <left/>
      <right style="medium">
        <color theme="9" tint="-0.24994659260841701"/>
      </right>
      <top style="double">
        <color indexed="53"/>
      </top>
      <bottom style="medium">
        <color theme="9" tint="-0.24994659260841701"/>
      </bottom>
      <diagonal/>
    </border>
    <border>
      <left style="double">
        <color indexed="53"/>
      </left>
      <right style="medium">
        <color theme="9"/>
      </right>
      <top style="medium">
        <color theme="9"/>
      </top>
      <bottom style="medium">
        <color theme="9"/>
      </bottom>
      <diagonal/>
    </border>
    <border>
      <left style="double">
        <color indexed="53"/>
      </left>
      <right style="medium">
        <color theme="9" tint="-0.24994659260841701"/>
      </right>
      <top style="medium">
        <color theme="9"/>
      </top>
      <bottom style="medium">
        <color theme="9" tint="-0.24994659260841701"/>
      </bottom>
      <diagonal/>
    </border>
    <border>
      <left style="double">
        <color indexed="53"/>
      </left>
      <right/>
      <top/>
      <bottom style="medium">
        <color theme="9" tint="-0.24994659260841701"/>
      </bottom>
      <diagonal/>
    </border>
    <border>
      <left style="medium">
        <color theme="9" tint="-0.24994659260841701"/>
      </left>
      <right/>
      <top style="medium">
        <color theme="9"/>
      </top>
      <bottom style="medium">
        <color theme="9" tint="-0.24994659260841701"/>
      </bottom>
      <diagonal/>
    </border>
    <border>
      <left/>
      <right style="thin">
        <color auto="1"/>
      </right>
      <top/>
      <bottom/>
      <diagonal/>
    </border>
    <border>
      <left style="double">
        <color indexed="53"/>
      </left>
      <right style="medium">
        <color theme="9" tint="-0.24994659260841701"/>
      </right>
      <top style="double">
        <color indexed="53"/>
      </top>
      <bottom/>
      <diagonal/>
    </border>
    <border>
      <left style="double">
        <color indexed="53"/>
      </left>
      <right style="medium">
        <color theme="9" tint="-0.24994659260841701"/>
      </right>
      <top/>
      <bottom/>
      <diagonal/>
    </border>
    <border>
      <left style="double">
        <color indexed="53"/>
      </left>
      <right style="medium">
        <color theme="9" tint="-0.24994659260841701"/>
      </right>
      <top/>
      <bottom style="medium">
        <color theme="9" tint="-0.24994659260841701"/>
      </bottom>
      <diagonal/>
    </border>
    <border>
      <left style="double">
        <color indexed="53"/>
      </left>
      <right/>
      <top style="double">
        <color indexed="53"/>
      </top>
      <bottom style="medium">
        <color theme="9"/>
      </bottom>
      <diagonal/>
    </border>
    <border>
      <left/>
      <right/>
      <top style="double">
        <color indexed="53"/>
      </top>
      <bottom style="medium">
        <color theme="9"/>
      </bottom>
      <diagonal/>
    </border>
    <border>
      <left/>
      <right style="thin">
        <color auto="1"/>
      </right>
      <top/>
      <bottom/>
      <diagonal/>
    </border>
    <border>
      <left/>
      <right style="thin">
        <color auto="1"/>
      </right>
      <top/>
      <bottom/>
      <diagonal/>
    </border>
    <border>
      <left/>
      <right style="double">
        <color rgb="FFFF0000"/>
      </right>
      <top style="thin">
        <color indexed="64"/>
      </top>
      <bottom/>
      <diagonal/>
    </border>
    <border>
      <left style="double">
        <color rgb="FFFF0000"/>
      </left>
      <right style="thin">
        <color indexed="64"/>
      </right>
      <top style="thin">
        <color indexed="64"/>
      </top>
      <bottom/>
      <diagonal/>
    </border>
    <border>
      <left style="thin">
        <color indexed="64"/>
      </left>
      <right style="double">
        <color rgb="FFFF0000"/>
      </right>
      <top style="thin">
        <color indexed="64"/>
      </top>
      <bottom/>
      <diagonal/>
    </border>
    <border>
      <left/>
      <right style="double">
        <color rgb="FFFF0000"/>
      </right>
      <top style="thin">
        <color indexed="64"/>
      </top>
      <bottom style="thin">
        <color indexed="64"/>
      </bottom>
      <diagonal/>
    </border>
    <border>
      <left style="medium">
        <color theme="9"/>
      </left>
      <right/>
      <top style="medium">
        <color theme="9" tint="-0.24994659260841701"/>
      </top>
      <bottom style="medium">
        <color theme="9"/>
      </bottom>
      <diagonal/>
    </border>
    <border>
      <left/>
      <right/>
      <top style="medium">
        <color theme="9" tint="-0.24994659260841701"/>
      </top>
      <bottom style="medium">
        <color theme="9"/>
      </bottom>
      <diagonal/>
    </border>
    <border>
      <left/>
      <right style="medium">
        <color theme="9"/>
      </right>
      <top style="medium">
        <color theme="9" tint="-0.24994659260841701"/>
      </top>
      <bottom style="medium">
        <color theme="9"/>
      </bottom>
      <diagonal/>
    </border>
    <border>
      <left style="thin">
        <color theme="0"/>
      </left>
      <right style="thin">
        <color indexed="64"/>
      </right>
      <top style="thin">
        <color theme="0"/>
      </top>
      <bottom style="thin">
        <color theme="0"/>
      </bottom>
      <diagonal/>
    </border>
    <border>
      <left style="thin">
        <color indexed="64"/>
      </left>
      <right style="thin">
        <color indexed="64"/>
      </right>
      <top style="thin">
        <color theme="0"/>
      </top>
      <bottom style="thin">
        <color theme="0"/>
      </bottom>
      <diagonal/>
    </border>
    <border>
      <left style="thin">
        <color indexed="64"/>
      </left>
      <right/>
      <top style="thin">
        <color theme="0"/>
      </top>
      <bottom style="thin">
        <color theme="0"/>
      </bottom>
      <diagonal/>
    </border>
  </borders>
  <cellStyleXfs count="6">
    <xf numFmtId="0" fontId="0" fillId="0" borderId="0"/>
    <xf numFmtId="0" fontId="319" fillId="30" borderId="0" applyNumberFormat="0" applyBorder="0" applyAlignment="0" applyProtection="0"/>
    <xf numFmtId="0" fontId="320" fillId="0" borderId="0" applyNumberFormat="0" applyFill="0" applyBorder="0" applyAlignment="0" applyProtection="0"/>
    <xf numFmtId="0" fontId="58" fillId="0" borderId="0" applyNumberFormat="0" applyFill="0" applyBorder="0" applyAlignment="0" applyProtection="0">
      <alignment vertical="top"/>
      <protection locked="0"/>
    </xf>
    <xf numFmtId="0" fontId="2" fillId="0" borderId="0"/>
    <xf numFmtId="0" fontId="464" fillId="95" borderId="480" applyNumberFormat="0" applyAlignment="0" applyProtection="0"/>
  </cellStyleXfs>
  <cellXfs count="6918">
    <xf numFmtId="0" fontId="0" fillId="0" borderId="0" xfId="0"/>
    <xf numFmtId="0" fontId="0" fillId="2" borderId="0" xfId="0" applyFill="1"/>
    <xf numFmtId="0" fontId="0" fillId="3" borderId="0" xfId="0" applyFill="1"/>
    <xf numFmtId="0" fontId="0" fillId="4" borderId="0" xfId="0" applyFill="1"/>
    <xf numFmtId="0" fontId="2" fillId="0" borderId="0" xfId="0" applyFont="1" applyProtection="1">
      <protection hidden="1"/>
    </xf>
    <xf numFmtId="3" fontId="0" fillId="0" borderId="0" xfId="0" applyNumberFormat="1"/>
    <xf numFmtId="0" fontId="137" fillId="4" borderId="0" xfId="0" applyFont="1" applyFill="1"/>
    <xf numFmtId="0" fontId="0" fillId="6" borderId="0" xfId="0" applyFill="1"/>
    <xf numFmtId="0" fontId="0" fillId="8" borderId="0" xfId="0" applyFill="1"/>
    <xf numFmtId="0" fontId="0" fillId="0" borderId="0" xfId="0" applyAlignment="1">
      <alignment horizontal="center"/>
    </xf>
    <xf numFmtId="0" fontId="0" fillId="9" borderId="0" xfId="0" applyFill="1"/>
    <xf numFmtId="0" fontId="141" fillId="9" borderId="0" xfId="0" applyFont="1" applyFill="1" applyAlignment="1">
      <alignment horizontal="center"/>
    </xf>
    <xf numFmtId="0" fontId="0" fillId="0" borderId="0" xfId="0" applyProtection="1">
      <protection hidden="1"/>
    </xf>
    <xf numFmtId="0" fontId="23" fillId="0" borderId="0" xfId="0" applyFont="1" applyProtection="1">
      <protection hidden="1"/>
    </xf>
    <xf numFmtId="0" fontId="6" fillId="0" borderId="0" xfId="0" applyFont="1" applyProtection="1">
      <protection hidden="1"/>
    </xf>
    <xf numFmtId="0" fontId="143" fillId="0" borderId="0" xfId="0" applyFont="1"/>
    <xf numFmtId="3" fontId="0" fillId="0" borderId="0" xfId="0" applyNumberFormat="1" applyAlignment="1">
      <alignment horizontal="center"/>
    </xf>
    <xf numFmtId="0" fontId="144" fillId="0" borderId="0" xfId="0" applyFont="1" applyAlignment="1">
      <alignment horizontal="left"/>
    </xf>
    <xf numFmtId="0" fontId="0" fillId="0" borderId="0" xfId="0" applyAlignment="1">
      <alignment horizontal="left"/>
    </xf>
    <xf numFmtId="0" fontId="143" fillId="0" borderId="0" xfId="0" applyFont="1" applyAlignment="1">
      <alignment horizontal="left"/>
    </xf>
    <xf numFmtId="0" fontId="145" fillId="0" borderId="0" xfId="0" applyFont="1" applyAlignment="1">
      <alignment horizontal="left"/>
    </xf>
    <xf numFmtId="0" fontId="0" fillId="10" borderId="0" xfId="0" applyFill="1"/>
    <xf numFmtId="0" fontId="150" fillId="9" borderId="0" xfId="0" applyFont="1" applyFill="1" applyAlignment="1" applyProtection="1">
      <alignment horizontal="left" vertical="top" wrapText="1"/>
      <protection locked="0"/>
    </xf>
    <xf numFmtId="0" fontId="151" fillId="3" borderId="0" xfId="0" applyFont="1" applyFill="1" applyAlignment="1" applyProtection="1">
      <alignment vertical="center"/>
      <protection locked="0"/>
    </xf>
    <xf numFmtId="0" fontId="152" fillId="3" borderId="0" xfId="0" applyFont="1" applyFill="1" applyAlignment="1">
      <alignment horizontal="center"/>
    </xf>
    <xf numFmtId="0" fontId="154" fillId="6" borderId="0" xfId="0" applyFont="1" applyFill="1"/>
    <xf numFmtId="0" fontId="155" fillId="6" borderId="0" xfId="0" applyFont="1" applyFill="1"/>
    <xf numFmtId="0" fontId="147" fillId="6" borderId="0" xfId="0" applyFont="1" applyFill="1"/>
    <xf numFmtId="0" fontId="156" fillId="6" borderId="0" xfId="0" applyFont="1" applyFill="1"/>
    <xf numFmtId="0" fontId="157" fillId="3" borderId="0" xfId="0" applyFont="1" applyFill="1"/>
    <xf numFmtId="0" fontId="158" fillId="3" borderId="0" xfId="0" applyFont="1" applyFill="1"/>
    <xf numFmtId="0" fontId="159" fillId="3" borderId="0" xfId="0" applyFont="1" applyFill="1"/>
    <xf numFmtId="0" fontId="35" fillId="3" borderId="0" xfId="0" applyFont="1" applyFill="1" applyAlignment="1">
      <alignment vertical="center"/>
    </xf>
    <xf numFmtId="0" fontId="141" fillId="3" borderId="0" xfId="0" applyFont="1" applyFill="1"/>
    <xf numFmtId="0" fontId="152" fillId="3" borderId="0" xfId="0" applyFont="1" applyFill="1"/>
    <xf numFmtId="0" fontId="160" fillId="3" borderId="0" xfId="0" applyFont="1" applyFill="1"/>
    <xf numFmtId="0" fontId="161" fillId="3" borderId="0" xfId="0" applyFont="1" applyFill="1" applyAlignment="1">
      <alignment vertical="center"/>
    </xf>
    <xf numFmtId="0" fontId="157" fillId="3" borderId="0" xfId="0" applyFont="1" applyFill="1" applyAlignment="1">
      <alignment vertical="center"/>
    </xf>
    <xf numFmtId="0" fontId="162" fillId="3" borderId="0" xfId="2" applyFont="1" applyFill="1" applyAlignment="1"/>
    <xf numFmtId="0" fontId="163" fillId="3" borderId="0" xfId="0" applyFont="1" applyFill="1"/>
    <xf numFmtId="0" fontId="164" fillId="3" borderId="0" xfId="0" applyFont="1" applyFill="1"/>
    <xf numFmtId="0" fontId="161" fillId="3" borderId="0" xfId="0" applyFont="1" applyFill="1"/>
    <xf numFmtId="0" fontId="159" fillId="3" borderId="0" xfId="0" applyFont="1" applyFill="1" applyAlignment="1">
      <alignment horizontal="left"/>
    </xf>
    <xf numFmtId="0" fontId="165" fillId="3" borderId="0" xfId="2" applyFont="1" applyFill="1"/>
    <xf numFmtId="0" fontId="166" fillId="3" borderId="0" xfId="0" applyFont="1" applyFill="1"/>
    <xf numFmtId="0" fontId="149" fillId="3" borderId="0" xfId="0" applyFont="1" applyFill="1"/>
    <xf numFmtId="0" fontId="0" fillId="11" borderId="0" xfId="0" applyFill="1"/>
    <xf numFmtId="0" fontId="168" fillId="6" borderId="0" xfId="0" applyFont="1" applyFill="1"/>
    <xf numFmtId="0" fontId="169" fillId="9" borderId="0" xfId="0" applyFont="1" applyFill="1"/>
    <xf numFmtId="168" fontId="170" fillId="13" borderId="0" xfId="0" applyNumberFormat="1" applyFont="1" applyFill="1" applyAlignment="1" applyProtection="1">
      <alignment vertical="top" wrapText="1"/>
      <protection hidden="1"/>
    </xf>
    <xf numFmtId="0" fontId="169" fillId="6" borderId="0" xfId="0" applyFont="1" applyFill="1"/>
    <xf numFmtId="0" fontId="171" fillId="0" borderId="0" xfId="0" applyFont="1" applyAlignment="1" applyProtection="1">
      <alignment horizontal="center"/>
      <protection hidden="1"/>
    </xf>
    <xf numFmtId="0" fontId="32" fillId="0" borderId="0" xfId="0" applyFont="1" applyProtection="1">
      <protection hidden="1"/>
    </xf>
    <xf numFmtId="0" fontId="59" fillId="0" borderId="0" xfId="0" applyFont="1" applyAlignment="1" applyProtection="1">
      <alignment vertical="center" wrapText="1"/>
      <protection hidden="1"/>
    </xf>
    <xf numFmtId="0" fontId="60" fillId="0" borderId="0" xfId="0" applyFont="1" applyProtection="1">
      <protection hidden="1"/>
    </xf>
    <xf numFmtId="0" fontId="53" fillId="0" borderId="0" xfId="0" applyFont="1" applyAlignment="1" applyProtection="1">
      <alignment vertical="center"/>
      <protection hidden="1"/>
    </xf>
    <xf numFmtId="0" fontId="62" fillId="0" borderId="0" xfId="0" applyFont="1" applyProtection="1">
      <protection hidden="1"/>
    </xf>
    <xf numFmtId="0" fontId="63" fillId="0" borderId="0" xfId="0" applyFont="1" applyProtection="1">
      <protection hidden="1"/>
    </xf>
    <xf numFmtId="0" fontId="63" fillId="0" borderId="0" xfId="0" applyFont="1" applyAlignment="1" applyProtection="1">
      <alignment horizontal="center"/>
      <protection hidden="1"/>
    </xf>
    <xf numFmtId="0" fontId="64" fillId="0" borderId="0" xfId="0" applyFont="1" applyProtection="1">
      <protection hidden="1"/>
    </xf>
    <xf numFmtId="0" fontId="65" fillId="0" borderId="0" xfId="0" applyFont="1" applyProtection="1">
      <protection hidden="1"/>
    </xf>
    <xf numFmtId="0" fontId="64" fillId="0" borderId="0" xfId="0" applyFont="1" applyAlignment="1" applyProtection="1">
      <alignment horizontal="center"/>
      <protection hidden="1"/>
    </xf>
    <xf numFmtId="17" fontId="64" fillId="0" borderId="0" xfId="0" applyNumberFormat="1" applyFont="1" applyAlignment="1" applyProtection="1">
      <alignment horizontal="center"/>
      <protection hidden="1"/>
    </xf>
    <xf numFmtId="0" fontId="60" fillId="0" borderId="0" xfId="0" applyFont="1" applyAlignment="1" applyProtection="1">
      <alignment horizontal="center"/>
      <protection hidden="1"/>
    </xf>
    <xf numFmtId="17" fontId="60" fillId="0" borderId="0" xfId="0" applyNumberFormat="1" applyFont="1" applyAlignment="1" applyProtection="1">
      <alignment horizontal="center"/>
      <protection hidden="1"/>
    </xf>
    <xf numFmtId="0" fontId="66" fillId="0" borderId="0" xfId="0" applyFont="1" applyAlignment="1" applyProtection="1">
      <alignment horizontal="center"/>
      <protection hidden="1"/>
    </xf>
    <xf numFmtId="0" fontId="67" fillId="0" borderId="0" xfId="0" applyFont="1" applyProtection="1">
      <protection hidden="1"/>
    </xf>
    <xf numFmtId="0" fontId="65" fillId="0" borderId="0" xfId="0" applyFont="1" applyAlignment="1" applyProtection="1">
      <alignment vertical="center" wrapText="1"/>
      <protection hidden="1"/>
    </xf>
    <xf numFmtId="0" fontId="68" fillId="0" borderId="0" xfId="0" applyFont="1" applyAlignment="1" applyProtection="1">
      <alignment horizontal="center"/>
      <protection hidden="1"/>
    </xf>
    <xf numFmtId="0" fontId="50" fillId="0" borderId="0" xfId="0" applyFont="1" applyAlignment="1" applyProtection="1">
      <alignment horizontal="center"/>
      <protection hidden="1"/>
    </xf>
    <xf numFmtId="0" fontId="22" fillId="0" borderId="0" xfId="0" applyFont="1" applyAlignment="1" applyProtection="1">
      <alignment horizontal="center"/>
      <protection hidden="1"/>
    </xf>
    <xf numFmtId="17" fontId="1" fillId="0" borderId="0" xfId="0" applyNumberFormat="1" applyFont="1" applyAlignment="1" applyProtection="1">
      <alignment horizontal="right" vertical="center"/>
      <protection hidden="1"/>
    </xf>
    <xf numFmtId="0" fontId="1" fillId="0" borderId="0" xfId="0" applyFont="1" applyAlignment="1" applyProtection="1">
      <alignment horizontal="center" vertical="center"/>
      <protection hidden="1"/>
    </xf>
    <xf numFmtId="17" fontId="65" fillId="0" borderId="0" xfId="0" applyNumberFormat="1" applyFont="1" applyAlignment="1" applyProtection="1">
      <alignment horizontal="right"/>
      <protection hidden="1"/>
    </xf>
    <xf numFmtId="170" fontId="6" fillId="0" borderId="0" xfId="0" applyNumberFormat="1" applyFont="1" applyProtection="1">
      <protection hidden="1"/>
    </xf>
    <xf numFmtId="0" fontId="143" fillId="8" borderId="0" xfId="0" applyFont="1" applyFill="1" applyAlignment="1" applyProtection="1">
      <alignment horizontal="center"/>
      <protection hidden="1"/>
    </xf>
    <xf numFmtId="0" fontId="2" fillId="0" borderId="0" xfId="0" applyFont="1" applyAlignment="1" applyProtection="1">
      <alignment horizontal="center"/>
      <protection hidden="1"/>
    </xf>
    <xf numFmtId="0" fontId="143" fillId="0" borderId="0" xfId="0" applyFont="1" applyAlignment="1" applyProtection="1">
      <alignment horizontal="center"/>
      <protection hidden="1"/>
    </xf>
    <xf numFmtId="0" fontId="60" fillId="0" borderId="0" xfId="0" applyFont="1" applyAlignment="1" applyProtection="1">
      <alignment horizontal="right"/>
      <protection hidden="1"/>
    </xf>
    <xf numFmtId="1" fontId="72" fillId="0" borderId="0" xfId="0" applyNumberFormat="1" applyFont="1" applyAlignment="1" applyProtection="1">
      <alignment vertical="center"/>
      <protection hidden="1"/>
    </xf>
    <xf numFmtId="0" fontId="73" fillId="0" borderId="0" xfId="0" applyFont="1" applyAlignment="1" applyProtection="1">
      <alignment horizontal="center"/>
      <protection hidden="1"/>
    </xf>
    <xf numFmtId="17" fontId="49" fillId="0" borderId="0" xfId="0" applyNumberFormat="1" applyFont="1" applyAlignment="1" applyProtection="1">
      <alignment horizontal="center" vertical="center"/>
      <protection hidden="1"/>
    </xf>
    <xf numFmtId="0" fontId="49" fillId="0" borderId="0" xfId="0" applyFont="1" applyAlignment="1" applyProtection="1">
      <alignment horizontal="center" vertical="center"/>
      <protection hidden="1"/>
    </xf>
    <xf numFmtId="0" fontId="56" fillId="0" borderId="0" xfId="3" applyFont="1" applyFill="1" applyBorder="1" applyAlignment="1" applyProtection="1">
      <alignment horizontal="center" vertical="center"/>
      <protection hidden="1"/>
    </xf>
    <xf numFmtId="0" fontId="73" fillId="0" borderId="0" xfId="0" applyFont="1" applyProtection="1">
      <protection hidden="1"/>
    </xf>
    <xf numFmtId="49" fontId="23" fillId="0" borderId="0" xfId="0" applyNumberFormat="1" applyFont="1" applyProtection="1">
      <protection hidden="1"/>
    </xf>
    <xf numFmtId="166" fontId="23" fillId="0" borderId="0" xfId="0" applyNumberFormat="1" applyFont="1" applyProtection="1">
      <protection hidden="1"/>
    </xf>
    <xf numFmtId="0" fontId="42" fillId="0" borderId="0" xfId="0" applyFont="1" applyProtection="1">
      <protection hidden="1"/>
    </xf>
    <xf numFmtId="164" fontId="71" fillId="0" borderId="0" xfId="0" applyNumberFormat="1" applyFont="1" applyAlignment="1" applyProtection="1">
      <alignment horizontal="right" vertical="center"/>
      <protection hidden="1"/>
    </xf>
    <xf numFmtId="0" fontId="60" fillId="0" borderId="0" xfId="0" applyFont="1" applyAlignment="1">
      <alignment horizontal="center" vertical="center" wrapText="1"/>
    </xf>
    <xf numFmtId="0" fontId="60" fillId="0" borderId="0" xfId="0" applyFont="1" applyAlignment="1">
      <alignment vertical="center" wrapText="1"/>
    </xf>
    <xf numFmtId="0" fontId="39" fillId="0" borderId="0" xfId="0" applyFont="1" applyProtection="1">
      <protection hidden="1"/>
    </xf>
    <xf numFmtId="0" fontId="74" fillId="0" borderId="0" xfId="0" applyFont="1" applyAlignment="1" applyProtection="1">
      <alignment vertical="center" wrapText="1"/>
      <protection hidden="1"/>
    </xf>
    <xf numFmtId="0" fontId="29" fillId="0" borderId="0" xfId="3" applyFont="1" applyFill="1" applyBorder="1" applyAlignment="1" applyProtection="1">
      <alignment vertical="center"/>
      <protection hidden="1"/>
    </xf>
    <xf numFmtId="0" fontId="79" fillId="0" borderId="0" xfId="0" applyFont="1" applyProtection="1">
      <protection hidden="1"/>
    </xf>
    <xf numFmtId="0" fontId="41" fillId="0" borderId="0" xfId="0" applyFont="1" applyProtection="1">
      <protection hidden="1"/>
    </xf>
    <xf numFmtId="0" fontId="41" fillId="0" borderId="0" xfId="0" applyFont="1" applyAlignment="1" applyProtection="1">
      <alignment horizontal="center"/>
      <protection hidden="1"/>
    </xf>
    <xf numFmtId="0" fontId="41" fillId="0" borderId="0" xfId="0" applyFont="1" applyAlignment="1" applyProtection="1">
      <alignment horizontal="center" vertical="center"/>
      <protection hidden="1"/>
    </xf>
    <xf numFmtId="0" fontId="80" fillId="0" borderId="0" xfId="0" applyFont="1" applyProtection="1">
      <protection hidden="1"/>
    </xf>
    <xf numFmtId="0" fontId="1" fillId="0" borderId="6" xfId="0" applyFont="1" applyBorder="1" applyAlignment="1" applyProtection="1">
      <alignment horizontal="center" vertical="center"/>
      <protection hidden="1"/>
    </xf>
    <xf numFmtId="0" fontId="14" fillId="0" borderId="15" xfId="0" applyFont="1" applyBorder="1" applyAlignment="1" applyProtection="1">
      <alignment vertical="center"/>
      <protection hidden="1"/>
    </xf>
    <xf numFmtId="0" fontId="14" fillId="0" borderId="21" xfId="0" applyFont="1" applyBorder="1" applyAlignment="1" applyProtection="1">
      <alignment horizontal="center" vertical="center"/>
      <protection hidden="1"/>
    </xf>
    <xf numFmtId="0" fontId="14" fillId="0" borderId="21" xfId="0" applyFont="1" applyBorder="1" applyAlignment="1" applyProtection="1">
      <alignment vertical="center"/>
      <protection hidden="1"/>
    </xf>
    <xf numFmtId="0" fontId="1" fillId="0" borderId="6" xfId="0" applyFont="1" applyBorder="1" applyAlignment="1" applyProtection="1">
      <alignment horizontal="right" vertical="center"/>
      <protection hidden="1"/>
    </xf>
    <xf numFmtId="0" fontId="172" fillId="0" borderId="0" xfId="0" applyFont="1" applyProtection="1">
      <protection hidden="1"/>
    </xf>
    <xf numFmtId="0" fontId="173" fillId="0" borderId="0" xfId="0" applyFont="1"/>
    <xf numFmtId="0" fontId="174" fillId="0" borderId="0" xfId="0" applyFont="1" applyAlignment="1" applyProtection="1">
      <alignment vertical="center" wrapText="1"/>
      <protection hidden="1"/>
    </xf>
    <xf numFmtId="3" fontId="175" fillId="0" borderId="0" xfId="0" applyNumberFormat="1" applyFont="1" applyProtection="1">
      <protection hidden="1"/>
    </xf>
    <xf numFmtId="0" fontId="175" fillId="0" borderId="0" xfId="0" applyFont="1" applyProtection="1">
      <protection hidden="1"/>
    </xf>
    <xf numFmtId="0" fontId="20" fillId="0" borderId="40" xfId="0" applyFont="1" applyBorder="1" applyProtection="1">
      <protection hidden="1"/>
    </xf>
    <xf numFmtId="0" fontId="20" fillId="0" borderId="41" xfId="0" applyFont="1" applyBorder="1" applyProtection="1">
      <protection hidden="1"/>
    </xf>
    <xf numFmtId="0" fontId="20" fillId="0" borderId="6" xfId="0" applyFont="1" applyBorder="1" applyProtection="1">
      <protection hidden="1"/>
    </xf>
    <xf numFmtId="0" fontId="20" fillId="0" borderId="0" xfId="0" applyFont="1" applyProtection="1">
      <protection hidden="1"/>
    </xf>
    <xf numFmtId="0" fontId="20" fillId="0" borderId="4" xfId="0" applyFont="1" applyBorder="1" applyProtection="1">
      <protection hidden="1"/>
    </xf>
    <xf numFmtId="0" fontId="22" fillId="0" borderId="45" xfId="0" applyFont="1" applyBorder="1" applyAlignment="1" applyProtection="1">
      <alignment horizontal="center" vertical="center"/>
      <protection hidden="1"/>
    </xf>
    <xf numFmtId="0" fontId="22" fillId="0" borderId="47" xfId="0" applyFont="1" applyBorder="1" applyAlignment="1" applyProtection="1">
      <alignment horizontal="center" vertical="center"/>
      <protection hidden="1"/>
    </xf>
    <xf numFmtId="0" fontId="38" fillId="0" borderId="49" xfId="0" applyFont="1" applyBorder="1" applyAlignment="1" applyProtection="1">
      <alignment horizontal="center" vertical="center"/>
      <protection hidden="1"/>
    </xf>
    <xf numFmtId="0" fontId="38" fillId="0" borderId="50" xfId="0" applyFont="1" applyBorder="1" applyAlignment="1" applyProtection="1">
      <alignment horizontal="center" vertical="center"/>
      <protection hidden="1"/>
    </xf>
    <xf numFmtId="0" fontId="20" fillId="14" borderId="7" xfId="0" applyFont="1" applyFill="1" applyBorder="1" applyProtection="1">
      <protection hidden="1"/>
    </xf>
    <xf numFmtId="0" fontId="20" fillId="14" borderId="39" xfId="0" applyFont="1" applyFill="1" applyBorder="1" applyProtection="1">
      <protection hidden="1"/>
    </xf>
    <xf numFmtId="0" fontId="20" fillId="14" borderId="5" xfId="0" applyFont="1" applyFill="1" applyBorder="1" applyProtection="1">
      <protection hidden="1"/>
    </xf>
    <xf numFmtId="0" fontId="2" fillId="12" borderId="0" xfId="0" applyFont="1" applyFill="1" applyAlignment="1">
      <alignment vertical="center"/>
    </xf>
    <xf numFmtId="0" fontId="1" fillId="12" borderId="0" xfId="0" applyFont="1" applyFill="1" applyAlignment="1">
      <alignment vertical="center"/>
    </xf>
    <xf numFmtId="0" fontId="0" fillId="15" borderId="0" xfId="0" applyFill="1"/>
    <xf numFmtId="9" fontId="0" fillId="0" borderId="0" xfId="0" applyNumberFormat="1" applyAlignment="1">
      <alignment horizontal="center"/>
    </xf>
    <xf numFmtId="0" fontId="1" fillId="0" borderId="0" xfId="0" applyFont="1" applyAlignment="1">
      <alignment vertical="center"/>
    </xf>
    <xf numFmtId="0" fontId="0" fillId="0" borderId="0" xfId="0" applyAlignment="1">
      <alignment vertical="center"/>
    </xf>
    <xf numFmtId="0" fontId="1" fillId="0" borderId="0" xfId="0" applyFont="1"/>
    <xf numFmtId="0" fontId="1" fillId="0" borderId="0" xfId="0" applyFont="1" applyAlignment="1">
      <alignment horizontal="center"/>
    </xf>
    <xf numFmtId="0" fontId="15" fillId="2" borderId="0" xfId="0" applyFont="1" applyFill="1" applyAlignment="1" applyProtection="1">
      <alignment horizontal="center"/>
      <protection hidden="1"/>
    </xf>
    <xf numFmtId="0" fontId="178" fillId="2" borderId="0" xfId="0" applyFont="1" applyFill="1" applyProtection="1">
      <protection hidden="1"/>
    </xf>
    <xf numFmtId="0" fontId="172" fillId="2" borderId="0" xfId="0" applyFont="1" applyFill="1" applyProtection="1">
      <protection hidden="1"/>
    </xf>
    <xf numFmtId="0" fontId="179" fillId="2" borderId="0" xfId="0" applyFont="1" applyFill="1" applyProtection="1">
      <protection hidden="1"/>
    </xf>
    <xf numFmtId="0" fontId="140" fillId="2" borderId="0" xfId="0" applyFont="1" applyFill="1"/>
    <xf numFmtId="0" fontId="81" fillId="2" borderId="0" xfId="0" applyFont="1" applyFill="1" applyAlignment="1" applyProtection="1">
      <alignment horizontal="center" vertical="top"/>
      <protection hidden="1"/>
    </xf>
    <xf numFmtId="0" fontId="178" fillId="2" borderId="0" xfId="0" applyFont="1" applyFill="1" applyAlignment="1" applyProtection="1">
      <alignment horizontal="right"/>
      <protection hidden="1"/>
    </xf>
    <xf numFmtId="3" fontId="172" fillId="2" borderId="0" xfId="0" applyNumberFormat="1" applyFont="1" applyFill="1" applyProtection="1">
      <protection hidden="1"/>
    </xf>
    <xf numFmtId="0" fontId="180" fillId="2" borderId="0" xfId="0" applyFont="1" applyFill="1" applyAlignment="1" applyProtection="1">
      <alignment horizontal="center" vertical="top"/>
      <protection hidden="1"/>
    </xf>
    <xf numFmtId="3" fontId="181" fillId="2" borderId="0" xfId="0" applyNumberFormat="1" applyFont="1" applyFill="1" applyAlignment="1" applyProtection="1">
      <alignment horizontal="right" vertical="center"/>
      <protection hidden="1"/>
    </xf>
    <xf numFmtId="164" fontId="18" fillId="2" borderId="0" xfId="0" applyNumberFormat="1" applyFont="1" applyFill="1" applyAlignment="1" applyProtection="1">
      <alignment horizontal="center" vertical="center"/>
      <protection hidden="1"/>
    </xf>
    <xf numFmtId="1" fontId="178" fillId="2" borderId="0" xfId="0" applyNumberFormat="1" applyFont="1" applyFill="1" applyAlignment="1" applyProtection="1">
      <alignment horizontal="right"/>
      <protection hidden="1"/>
    </xf>
    <xf numFmtId="3" fontId="178" fillId="2" borderId="0" xfId="0" applyNumberFormat="1" applyFont="1" applyFill="1" applyAlignment="1" applyProtection="1">
      <alignment horizontal="right"/>
      <protection hidden="1"/>
    </xf>
    <xf numFmtId="0" fontId="182" fillId="2" borderId="0" xfId="0" applyFont="1" applyFill="1" applyAlignment="1" applyProtection="1">
      <alignment horizontal="left" vertical="center"/>
      <protection hidden="1"/>
    </xf>
    <xf numFmtId="3" fontId="178" fillId="2" borderId="0" xfId="0" applyNumberFormat="1" applyFont="1" applyFill="1" applyProtection="1">
      <protection hidden="1"/>
    </xf>
    <xf numFmtId="164" fontId="18" fillId="2" borderId="0" xfId="0" applyNumberFormat="1" applyFont="1" applyFill="1" applyAlignment="1" applyProtection="1">
      <alignment vertical="center"/>
      <protection hidden="1"/>
    </xf>
    <xf numFmtId="1" fontId="19" fillId="2" borderId="0" xfId="0" applyNumberFormat="1" applyFont="1" applyFill="1" applyAlignment="1" applyProtection="1">
      <alignment horizontal="center" vertical="center"/>
      <protection hidden="1"/>
    </xf>
    <xf numFmtId="9" fontId="178" fillId="2" borderId="0" xfId="0" applyNumberFormat="1" applyFont="1" applyFill="1" applyAlignment="1" applyProtection="1">
      <alignment horizontal="right"/>
      <protection hidden="1"/>
    </xf>
    <xf numFmtId="0" fontId="183" fillId="2" borderId="0" xfId="0" applyFont="1" applyFill="1" applyAlignment="1" applyProtection="1">
      <alignment horizontal="center"/>
      <protection hidden="1"/>
    </xf>
    <xf numFmtId="3" fontId="184" fillId="2" borderId="0" xfId="0" applyNumberFormat="1" applyFont="1" applyFill="1" applyAlignment="1" applyProtection="1">
      <alignment horizontal="right" vertical="center"/>
      <protection hidden="1"/>
    </xf>
    <xf numFmtId="0" fontId="38" fillId="2" borderId="0" xfId="0" applyFont="1" applyFill="1" applyAlignment="1" applyProtection="1">
      <alignment horizontal="center" vertical="center"/>
      <protection hidden="1"/>
    </xf>
    <xf numFmtId="3" fontId="181" fillId="2" borderId="0" xfId="0" applyNumberFormat="1" applyFont="1" applyFill="1" applyProtection="1">
      <protection hidden="1"/>
    </xf>
    <xf numFmtId="0" fontId="172" fillId="2" borderId="0" xfId="0" applyFont="1" applyFill="1" applyAlignment="1" applyProtection="1">
      <alignment horizontal="center"/>
      <protection hidden="1"/>
    </xf>
    <xf numFmtId="164" fontId="2" fillId="2" borderId="0" xfId="0" applyNumberFormat="1" applyFont="1" applyFill="1" applyAlignment="1" applyProtection="1">
      <alignment horizontal="center" vertical="center"/>
      <protection hidden="1"/>
    </xf>
    <xf numFmtId="1" fontId="172" fillId="2" borderId="0" xfId="0" applyNumberFormat="1" applyFont="1" applyFill="1" applyProtection="1">
      <protection hidden="1"/>
    </xf>
    <xf numFmtId="0" fontId="172" fillId="2" borderId="54" xfId="0" applyFont="1" applyFill="1" applyBorder="1" applyProtection="1">
      <protection hidden="1"/>
    </xf>
    <xf numFmtId="0" fontId="181" fillId="2" borderId="0" xfId="0" applyFont="1" applyFill="1" applyProtection="1">
      <protection hidden="1"/>
    </xf>
    <xf numFmtId="3" fontId="178" fillId="2" borderId="54" xfId="0" applyNumberFormat="1" applyFont="1" applyFill="1" applyBorder="1" applyProtection="1">
      <protection hidden="1"/>
    </xf>
    <xf numFmtId="0" fontId="179" fillId="2" borderId="0" xfId="0" applyFont="1" applyFill="1" applyAlignment="1" applyProtection="1">
      <alignment horizontal="center"/>
      <protection hidden="1"/>
    </xf>
    <xf numFmtId="3" fontId="178" fillId="2" borderId="55" xfId="0" applyNumberFormat="1" applyFont="1" applyFill="1" applyBorder="1" applyProtection="1">
      <protection hidden="1"/>
    </xf>
    <xf numFmtId="0" fontId="185" fillId="2" borderId="0" xfId="0" applyFont="1" applyFill="1" applyProtection="1">
      <protection hidden="1"/>
    </xf>
    <xf numFmtId="164" fontId="1" fillId="2" borderId="0" xfId="0" applyNumberFormat="1" applyFont="1" applyFill="1" applyAlignment="1" applyProtection="1">
      <alignment horizontal="center" vertical="center"/>
      <protection hidden="1"/>
    </xf>
    <xf numFmtId="1" fontId="178" fillId="2" borderId="0" xfId="0" applyNumberFormat="1" applyFont="1" applyFill="1" applyAlignment="1" applyProtection="1">
      <alignment horizontal="center"/>
      <protection hidden="1"/>
    </xf>
    <xf numFmtId="0" fontId="178" fillId="2" borderId="0" xfId="0" applyFont="1" applyFill="1" applyAlignment="1" applyProtection="1">
      <alignment horizontal="center"/>
      <protection hidden="1"/>
    </xf>
    <xf numFmtId="0" fontId="178" fillId="2" borderId="54" xfId="0" applyFont="1" applyFill="1" applyBorder="1" applyAlignment="1" applyProtection="1">
      <alignment horizontal="right"/>
      <protection hidden="1"/>
    </xf>
    <xf numFmtId="3" fontId="186" fillId="2" borderId="0" xfId="0" applyNumberFormat="1" applyFont="1" applyFill="1" applyAlignment="1" applyProtection="1">
      <alignment horizontal="left"/>
      <protection hidden="1"/>
    </xf>
    <xf numFmtId="9" fontId="178" fillId="2" borderId="0" xfId="0" applyNumberFormat="1" applyFont="1" applyFill="1" applyProtection="1">
      <protection hidden="1"/>
    </xf>
    <xf numFmtId="0" fontId="178" fillId="2" borderId="0" xfId="0" applyFont="1" applyFill="1" applyAlignment="1" applyProtection="1">
      <alignment horizontal="center" vertical="center"/>
      <protection hidden="1"/>
    </xf>
    <xf numFmtId="1" fontId="174" fillId="2" borderId="54" xfId="0" applyNumberFormat="1" applyFont="1" applyFill="1" applyBorder="1" applyProtection="1">
      <protection hidden="1"/>
    </xf>
    <xf numFmtId="0" fontId="187" fillId="2" borderId="0" xfId="0" applyFont="1" applyFill="1" applyAlignment="1" applyProtection="1">
      <alignment horizontal="center"/>
      <protection hidden="1"/>
    </xf>
    <xf numFmtId="9" fontId="178" fillId="2" borderId="0" xfId="0" applyNumberFormat="1" applyFont="1" applyFill="1" applyAlignment="1" applyProtection="1">
      <alignment horizontal="center"/>
      <protection hidden="1"/>
    </xf>
    <xf numFmtId="0" fontId="188" fillId="2" borderId="0" xfId="0" applyFont="1" applyFill="1" applyProtection="1">
      <protection hidden="1"/>
    </xf>
    <xf numFmtId="3" fontId="188" fillId="2" borderId="0" xfId="0" applyNumberFormat="1" applyFont="1" applyFill="1" applyProtection="1">
      <protection hidden="1"/>
    </xf>
    <xf numFmtId="1" fontId="175" fillId="2" borderId="0" xfId="0" applyNumberFormat="1" applyFont="1" applyFill="1" applyAlignment="1" applyProtection="1">
      <alignment horizontal="right"/>
      <protection hidden="1"/>
    </xf>
    <xf numFmtId="0" fontId="173" fillId="2" borderId="0" xfId="0" applyFont="1" applyFill="1"/>
    <xf numFmtId="1" fontId="186" fillId="2" borderId="0" xfId="0" applyNumberFormat="1" applyFont="1" applyFill="1" applyAlignment="1" applyProtection="1">
      <alignment horizontal="right"/>
      <protection hidden="1"/>
    </xf>
    <xf numFmtId="0" fontId="58" fillId="2" borderId="0" xfId="3" applyFill="1" applyAlignment="1" applyProtection="1">
      <protection hidden="1"/>
    </xf>
    <xf numFmtId="164" fontId="172" fillId="2" borderId="0" xfId="0" applyNumberFormat="1" applyFont="1" applyFill="1" applyProtection="1">
      <protection hidden="1"/>
    </xf>
    <xf numFmtId="0" fontId="2" fillId="2" borderId="0" xfId="0" applyFont="1" applyFill="1" applyAlignment="1" applyProtection="1">
      <alignment horizontal="center" vertical="center"/>
      <protection hidden="1"/>
    </xf>
    <xf numFmtId="0" fontId="189" fillId="2" borderId="0" xfId="0" applyFont="1" applyFill="1" applyAlignment="1" applyProtection="1">
      <alignment horizontal="center"/>
      <protection hidden="1"/>
    </xf>
    <xf numFmtId="3" fontId="178" fillId="2" borderId="0" xfId="0" applyNumberFormat="1" applyFont="1" applyFill="1" applyAlignment="1" applyProtection="1">
      <alignment horizontal="center" vertical="center"/>
      <protection hidden="1"/>
    </xf>
    <xf numFmtId="3" fontId="189" fillId="2" borderId="0" xfId="0" applyNumberFormat="1" applyFont="1" applyFill="1" applyAlignment="1" applyProtection="1">
      <alignment horizontal="center"/>
      <protection hidden="1"/>
    </xf>
    <xf numFmtId="0" fontId="174" fillId="2" borderId="0" xfId="0" applyFont="1" applyFill="1" applyAlignment="1" applyProtection="1">
      <alignment vertical="center"/>
      <protection hidden="1"/>
    </xf>
    <xf numFmtId="0" fontId="172" fillId="2" borderId="0" xfId="0" applyFont="1" applyFill="1" applyAlignment="1" applyProtection="1">
      <alignment horizontal="center" vertical="center"/>
      <protection hidden="1"/>
    </xf>
    <xf numFmtId="0" fontId="178" fillId="2" borderId="0" xfId="0" applyFont="1" applyFill="1" applyAlignment="1" applyProtection="1">
      <alignment vertical="center"/>
      <protection hidden="1"/>
    </xf>
    <xf numFmtId="164" fontId="173" fillId="2" borderId="0" xfId="0" applyNumberFormat="1" applyFont="1" applyFill="1"/>
    <xf numFmtId="3" fontId="181" fillId="2" borderId="0" xfId="0" applyNumberFormat="1" applyFont="1" applyFill="1" applyAlignment="1" applyProtection="1">
      <alignment horizontal="center" vertical="center"/>
      <protection hidden="1"/>
    </xf>
    <xf numFmtId="3" fontId="173" fillId="2" borderId="0" xfId="0" applyNumberFormat="1" applyFont="1" applyFill="1"/>
    <xf numFmtId="3" fontId="187" fillId="2" borderId="0" xfId="0" applyNumberFormat="1" applyFont="1" applyFill="1" applyProtection="1">
      <protection hidden="1"/>
    </xf>
    <xf numFmtId="0" fontId="172" fillId="2" borderId="0" xfId="0" applyFont="1" applyFill="1" applyAlignment="1" applyProtection="1">
      <alignment horizontal="left"/>
      <protection hidden="1"/>
    </xf>
    <xf numFmtId="3" fontId="178" fillId="2" borderId="0" xfId="0" applyNumberFormat="1" applyFont="1" applyFill="1" applyAlignment="1" applyProtection="1">
      <alignment vertical="center"/>
      <protection hidden="1"/>
    </xf>
    <xf numFmtId="9" fontId="172" fillId="2" borderId="0" xfId="0" applyNumberFormat="1" applyFont="1" applyFill="1" applyProtection="1">
      <protection hidden="1"/>
    </xf>
    <xf numFmtId="0" fontId="183" fillId="2" borderId="0" xfId="0" applyFont="1" applyFill="1" applyProtection="1">
      <protection hidden="1"/>
    </xf>
    <xf numFmtId="0" fontId="183" fillId="2" borderId="0" xfId="0" applyFont="1" applyFill="1" applyAlignment="1" applyProtection="1">
      <alignment horizontal="left"/>
      <protection hidden="1"/>
    </xf>
    <xf numFmtId="9" fontId="172" fillId="2" borderId="0" xfId="0" quotePrefix="1" applyNumberFormat="1" applyFont="1" applyFill="1" applyProtection="1">
      <protection hidden="1"/>
    </xf>
    <xf numFmtId="3" fontId="188" fillId="2" borderId="0" xfId="0" applyNumberFormat="1" applyFont="1" applyFill="1" applyAlignment="1" applyProtection="1">
      <alignment horizontal="center" vertical="center"/>
      <protection hidden="1"/>
    </xf>
    <xf numFmtId="3" fontId="188" fillId="2" borderId="0" xfId="0" applyNumberFormat="1" applyFont="1" applyFill="1" applyAlignment="1" applyProtection="1">
      <alignment horizontal="left" vertical="center"/>
      <protection hidden="1"/>
    </xf>
    <xf numFmtId="0" fontId="190" fillId="2" borderId="0" xfId="0" applyFont="1" applyFill="1" applyAlignment="1" applyProtection="1">
      <alignment horizontal="center" vertical="center"/>
      <protection hidden="1"/>
    </xf>
    <xf numFmtId="0" fontId="173" fillId="2" borderId="0" xfId="0" applyFont="1" applyFill="1" applyAlignment="1" applyProtection="1">
      <alignment horizontal="center" vertical="center"/>
      <protection hidden="1"/>
    </xf>
    <xf numFmtId="0" fontId="188" fillId="2" borderId="0" xfId="0" applyFont="1" applyFill="1" applyAlignment="1" applyProtection="1">
      <alignment horizontal="center" vertical="center"/>
      <protection hidden="1"/>
    </xf>
    <xf numFmtId="0" fontId="188" fillId="2" borderId="0" xfId="0" applyFont="1" applyFill="1" applyAlignment="1" applyProtection="1">
      <alignment vertical="center"/>
      <protection hidden="1"/>
    </xf>
    <xf numFmtId="0" fontId="181" fillId="2" borderId="0" xfId="0" applyFont="1" applyFill="1" applyAlignment="1" applyProtection="1">
      <alignment horizontal="center" vertical="center"/>
      <protection hidden="1"/>
    </xf>
    <xf numFmtId="0" fontId="191" fillId="2" borderId="0" xfId="0" applyFont="1" applyFill="1" applyAlignment="1" applyProtection="1">
      <alignment vertical="center"/>
      <protection hidden="1"/>
    </xf>
    <xf numFmtId="1" fontId="188" fillId="2" borderId="0" xfId="0" applyNumberFormat="1" applyFont="1" applyFill="1" applyAlignment="1" applyProtection="1">
      <alignment horizontal="center" vertical="center"/>
      <protection hidden="1"/>
    </xf>
    <xf numFmtId="0" fontId="188" fillId="2" borderId="0" xfId="0" applyFont="1" applyFill="1" applyAlignment="1" applyProtection="1">
      <alignment horizontal="left" vertical="center"/>
      <protection hidden="1"/>
    </xf>
    <xf numFmtId="3" fontId="188" fillId="2" borderId="0" xfId="0" applyNumberFormat="1" applyFont="1" applyFill="1" applyAlignment="1" applyProtection="1">
      <alignment horizontal="right" vertical="center"/>
      <protection hidden="1"/>
    </xf>
    <xf numFmtId="164" fontId="172" fillId="2" borderId="0" xfId="0" applyNumberFormat="1" applyFont="1" applyFill="1" applyAlignment="1" applyProtection="1">
      <alignment horizontal="right"/>
      <protection hidden="1"/>
    </xf>
    <xf numFmtId="1" fontId="188" fillId="2" borderId="0" xfId="0" applyNumberFormat="1" applyFont="1" applyFill="1" applyProtection="1">
      <protection hidden="1"/>
    </xf>
    <xf numFmtId="3" fontId="172" fillId="2" borderId="0" xfId="0" applyNumberFormat="1" applyFont="1" applyFill="1" applyAlignment="1" applyProtection="1">
      <alignment horizontal="right"/>
      <protection hidden="1"/>
    </xf>
    <xf numFmtId="0" fontId="172" fillId="2" borderId="0" xfId="0" applyFont="1" applyFill="1" applyAlignment="1" applyProtection="1">
      <alignment horizontal="right"/>
      <protection hidden="1"/>
    </xf>
    <xf numFmtId="164" fontId="21" fillId="2" borderId="0" xfId="0" applyNumberFormat="1" applyFont="1" applyFill="1" applyAlignment="1" applyProtection="1">
      <alignment horizontal="center" vertical="center"/>
      <protection hidden="1"/>
    </xf>
    <xf numFmtId="3" fontId="181" fillId="2" borderId="0" xfId="0" applyNumberFormat="1" applyFont="1" applyFill="1" applyAlignment="1" applyProtection="1">
      <alignment horizontal="right"/>
      <protection hidden="1"/>
    </xf>
    <xf numFmtId="164" fontId="70" fillId="2" borderId="0" xfId="0" applyNumberFormat="1" applyFont="1" applyFill="1" applyAlignment="1" applyProtection="1">
      <alignment horizontal="right" vertical="center"/>
      <protection hidden="1"/>
    </xf>
    <xf numFmtId="9" fontId="181" fillId="2" borderId="0" xfId="0" applyNumberFormat="1" applyFont="1" applyFill="1" applyAlignment="1" applyProtection="1">
      <alignment horizontal="right"/>
      <protection hidden="1"/>
    </xf>
    <xf numFmtId="3" fontId="21" fillId="2" borderId="0" xfId="0" applyNumberFormat="1" applyFont="1" applyFill="1" applyAlignment="1" applyProtection="1">
      <alignment vertical="center"/>
      <protection hidden="1"/>
    </xf>
    <xf numFmtId="49" fontId="181" fillId="2" borderId="0" xfId="0" applyNumberFormat="1" applyFont="1" applyFill="1" applyAlignment="1" applyProtection="1">
      <alignment horizontal="right"/>
      <protection hidden="1"/>
    </xf>
    <xf numFmtId="0" fontId="188" fillId="2" borderId="0" xfId="0" applyFont="1" applyFill="1" applyAlignment="1" applyProtection="1">
      <alignment horizontal="right"/>
      <protection hidden="1"/>
    </xf>
    <xf numFmtId="0" fontId="14" fillId="2" borderId="0" xfId="0" applyFont="1" applyFill="1" applyAlignment="1" applyProtection="1">
      <alignment horizontal="right" vertical="center"/>
      <protection hidden="1"/>
    </xf>
    <xf numFmtId="10" fontId="181" fillId="2" borderId="0" xfId="0" applyNumberFormat="1" applyFont="1" applyFill="1" applyAlignment="1" applyProtection="1">
      <alignment horizontal="right"/>
      <protection hidden="1"/>
    </xf>
    <xf numFmtId="1" fontId="181" fillId="2" borderId="0" xfId="0" applyNumberFormat="1" applyFont="1" applyFill="1" applyAlignment="1" applyProtection="1">
      <alignment horizontal="right"/>
      <protection hidden="1"/>
    </xf>
    <xf numFmtId="3" fontId="14" fillId="2" borderId="0" xfId="0" applyNumberFormat="1" applyFont="1" applyFill="1" applyAlignment="1" applyProtection="1">
      <alignment horizontal="right" vertical="center"/>
      <protection hidden="1"/>
    </xf>
    <xf numFmtId="0" fontId="181" fillId="2" borderId="0" xfId="0" applyFont="1" applyFill="1" applyAlignment="1" applyProtection="1">
      <alignment horizontal="right"/>
      <protection hidden="1"/>
    </xf>
    <xf numFmtId="3" fontId="188" fillId="2" borderId="0" xfId="0" applyNumberFormat="1" applyFont="1" applyFill="1" applyAlignment="1" applyProtection="1">
      <alignment horizontal="right"/>
      <protection hidden="1"/>
    </xf>
    <xf numFmtId="0" fontId="1" fillId="2" borderId="0" xfId="0" applyFont="1" applyFill="1" applyProtection="1">
      <protection hidden="1"/>
    </xf>
    <xf numFmtId="0" fontId="9" fillId="2" borderId="0" xfId="0" applyFont="1" applyFill="1" applyProtection="1">
      <protection hidden="1"/>
    </xf>
    <xf numFmtId="0" fontId="187" fillId="2" borderId="0" xfId="0" applyFont="1" applyFill="1" applyAlignment="1" applyProtection="1">
      <alignment horizontal="right" vertical="center"/>
      <protection hidden="1"/>
    </xf>
    <xf numFmtId="0" fontId="2" fillId="2" borderId="0" xfId="0" applyFont="1" applyFill="1" applyAlignment="1" applyProtection="1">
      <alignment vertical="center"/>
      <protection hidden="1"/>
    </xf>
    <xf numFmtId="0" fontId="181" fillId="2" borderId="0" xfId="0" applyFont="1" applyFill="1" applyAlignment="1" applyProtection="1">
      <alignment horizontal="right" vertical="center"/>
      <protection hidden="1"/>
    </xf>
    <xf numFmtId="3" fontId="2" fillId="2" borderId="0" xfId="0" applyNumberFormat="1" applyFont="1" applyFill="1" applyAlignment="1" applyProtection="1">
      <alignment vertical="center"/>
      <protection hidden="1"/>
    </xf>
    <xf numFmtId="0" fontId="192" fillId="2" borderId="0" xfId="0" applyFont="1" applyFill="1" applyProtection="1">
      <protection hidden="1"/>
    </xf>
    <xf numFmtId="0" fontId="6" fillId="2" borderId="0" xfId="0" applyFont="1" applyFill="1" applyProtection="1">
      <protection hidden="1"/>
    </xf>
    <xf numFmtId="164" fontId="21" fillId="2" borderId="0" xfId="0" applyNumberFormat="1" applyFont="1" applyFill="1" applyAlignment="1" applyProtection="1">
      <alignment vertical="center"/>
      <protection hidden="1"/>
    </xf>
    <xf numFmtId="0" fontId="25" fillId="2" borderId="0" xfId="0" applyFont="1" applyFill="1" applyAlignment="1" applyProtection="1">
      <alignment horizontal="center"/>
      <protection hidden="1"/>
    </xf>
    <xf numFmtId="3" fontId="191" fillId="2" borderId="0" xfId="0" applyNumberFormat="1" applyFont="1" applyFill="1" applyProtection="1">
      <protection hidden="1"/>
    </xf>
    <xf numFmtId="0" fontId="26" fillId="2" borderId="0" xfId="0" applyFont="1" applyFill="1" applyAlignment="1" applyProtection="1">
      <alignment horizontal="left" vertical="center" wrapText="1"/>
      <protection hidden="1"/>
    </xf>
    <xf numFmtId="0" fontId="28" fillId="2" borderId="0" xfId="0" applyFont="1" applyFill="1" applyAlignment="1" applyProtection="1">
      <alignment horizontal="center" vertical="center" wrapText="1"/>
      <protection hidden="1"/>
    </xf>
    <xf numFmtId="0" fontId="193" fillId="2" borderId="0" xfId="0" applyFont="1" applyFill="1" applyAlignment="1" applyProtection="1">
      <alignment horizontal="center"/>
      <protection hidden="1"/>
    </xf>
    <xf numFmtId="0" fontId="194" fillId="2" borderId="0" xfId="0" applyFont="1" applyFill="1" applyProtection="1">
      <protection hidden="1"/>
    </xf>
    <xf numFmtId="0" fontId="31" fillId="2" borderId="0" xfId="3" applyFont="1" applyFill="1" applyBorder="1" applyAlignment="1" applyProtection="1">
      <alignment horizontal="left"/>
      <protection hidden="1"/>
    </xf>
    <xf numFmtId="0" fontId="195" fillId="2" borderId="0" xfId="0" applyFont="1" applyFill="1" applyProtection="1">
      <protection hidden="1"/>
    </xf>
    <xf numFmtId="3" fontId="32" fillId="2" borderId="0" xfId="0" applyNumberFormat="1" applyFont="1" applyFill="1" applyProtection="1">
      <protection hidden="1"/>
    </xf>
    <xf numFmtId="0" fontId="174" fillId="2" borderId="0" xfId="0" applyFont="1" applyFill="1" applyAlignment="1" applyProtection="1">
      <alignment vertical="center" wrapText="1"/>
      <protection hidden="1"/>
    </xf>
    <xf numFmtId="0" fontId="140" fillId="4" borderId="0" xfId="0" applyFont="1" applyFill="1"/>
    <xf numFmtId="0" fontId="173" fillId="4" borderId="0" xfId="0" applyFont="1" applyFill="1"/>
    <xf numFmtId="164" fontId="196" fillId="2" borderId="0" xfId="0" applyNumberFormat="1" applyFont="1" applyFill="1" applyAlignment="1" applyProtection="1">
      <alignment horizontal="center" vertical="center"/>
      <protection hidden="1"/>
    </xf>
    <xf numFmtId="164" fontId="197" fillId="2" borderId="0" xfId="0" applyNumberFormat="1" applyFont="1" applyFill="1" applyAlignment="1" applyProtection="1">
      <alignment horizontal="center" vertical="center"/>
      <protection hidden="1"/>
    </xf>
    <xf numFmtId="164" fontId="198" fillId="2" borderId="0" xfId="0" applyNumberFormat="1" applyFont="1" applyFill="1" applyAlignment="1" applyProtection="1">
      <alignment horizontal="center" vertical="center"/>
      <protection hidden="1"/>
    </xf>
    <xf numFmtId="0" fontId="196" fillId="2" borderId="0" xfId="0" applyFont="1" applyFill="1" applyAlignment="1" applyProtection="1">
      <alignment horizontal="center" vertical="center"/>
      <protection hidden="1"/>
    </xf>
    <xf numFmtId="164" fontId="2" fillId="2" borderId="56" xfId="0" applyNumberFormat="1" applyFont="1" applyFill="1" applyBorder="1" applyAlignment="1" applyProtection="1">
      <alignment horizontal="center" vertical="center"/>
      <protection hidden="1"/>
    </xf>
    <xf numFmtId="164" fontId="1" fillId="2" borderId="56" xfId="0" applyNumberFormat="1" applyFont="1" applyFill="1" applyBorder="1" applyAlignment="1" applyProtection="1">
      <alignment horizontal="center" vertical="center"/>
      <protection hidden="1"/>
    </xf>
    <xf numFmtId="164" fontId="2" fillId="2" borderId="54" xfId="0" applyNumberFormat="1" applyFont="1" applyFill="1" applyBorder="1" applyAlignment="1" applyProtection="1">
      <alignment horizontal="center" vertical="center"/>
      <protection hidden="1"/>
    </xf>
    <xf numFmtId="164" fontId="1" fillId="2" borderId="57" xfId="0" applyNumberFormat="1" applyFont="1" applyFill="1" applyBorder="1" applyAlignment="1" applyProtection="1">
      <alignment horizontal="center" vertical="center"/>
      <protection hidden="1"/>
    </xf>
    <xf numFmtId="164" fontId="1" fillId="2" borderId="58" xfId="0" applyNumberFormat="1" applyFont="1" applyFill="1" applyBorder="1" applyAlignment="1" applyProtection="1">
      <alignment horizontal="center" vertical="center"/>
      <protection hidden="1"/>
    </xf>
    <xf numFmtId="164" fontId="1" fillId="2" borderId="59" xfId="0" applyNumberFormat="1" applyFont="1" applyFill="1" applyBorder="1" applyAlignment="1" applyProtection="1">
      <alignment horizontal="center" vertical="center"/>
      <protection hidden="1"/>
    </xf>
    <xf numFmtId="0" fontId="38" fillId="4" borderId="0" xfId="0" applyFont="1" applyFill="1" applyAlignment="1" applyProtection="1">
      <alignment horizontal="center" vertical="center"/>
      <protection hidden="1"/>
    </xf>
    <xf numFmtId="164" fontId="197" fillId="4" borderId="0" xfId="0" applyNumberFormat="1" applyFont="1" applyFill="1" applyAlignment="1" applyProtection="1">
      <alignment horizontal="center" vertical="center"/>
      <protection hidden="1"/>
    </xf>
    <xf numFmtId="164" fontId="199" fillId="4" borderId="0" xfId="0" applyNumberFormat="1" applyFont="1" applyFill="1" applyAlignment="1" applyProtection="1">
      <alignment horizontal="center" vertical="top"/>
      <protection hidden="1"/>
    </xf>
    <xf numFmtId="37" fontId="199" fillId="4" borderId="0" xfId="0" applyNumberFormat="1" applyFont="1" applyFill="1" applyAlignment="1" applyProtection="1">
      <alignment horizontal="center"/>
      <protection hidden="1"/>
    </xf>
    <xf numFmtId="164" fontId="198" fillId="4" borderId="0" xfId="0" applyNumberFormat="1" applyFont="1" applyFill="1" applyAlignment="1" applyProtection="1">
      <alignment horizontal="center" vertical="center"/>
      <protection hidden="1"/>
    </xf>
    <xf numFmtId="37" fontId="196" fillId="4" borderId="0" xfId="0" applyNumberFormat="1" applyFont="1" applyFill="1" applyAlignment="1" applyProtection="1">
      <alignment horizontal="center"/>
      <protection hidden="1"/>
    </xf>
    <xf numFmtId="164" fontId="196" fillId="4" borderId="0" xfId="0" applyNumberFormat="1" applyFont="1" applyFill="1" applyAlignment="1" applyProtection="1">
      <alignment horizontal="center" vertical="center"/>
      <protection hidden="1"/>
    </xf>
    <xf numFmtId="0" fontId="196" fillId="4" borderId="0" xfId="0" applyFont="1" applyFill="1" applyAlignment="1" applyProtection="1">
      <alignment horizontal="center"/>
      <protection hidden="1"/>
    </xf>
    <xf numFmtId="164" fontId="2" fillId="4" borderId="0" xfId="0" applyNumberFormat="1" applyFont="1" applyFill="1" applyAlignment="1" applyProtection="1">
      <alignment horizontal="center" vertical="center"/>
      <protection hidden="1"/>
    </xf>
    <xf numFmtId="164" fontId="1" fillId="4" borderId="0" xfId="0" applyNumberFormat="1" applyFont="1" applyFill="1" applyAlignment="1" applyProtection="1">
      <alignment horizontal="center" vertical="center"/>
      <protection hidden="1"/>
    </xf>
    <xf numFmtId="0" fontId="197" fillId="2" borderId="0" xfId="0" applyFont="1" applyFill="1" applyAlignment="1" applyProtection="1">
      <alignment horizontal="center" vertical="center"/>
      <protection hidden="1"/>
    </xf>
    <xf numFmtId="0" fontId="199" fillId="2" borderId="0" xfId="0" applyFont="1" applyFill="1" applyAlignment="1" applyProtection="1">
      <alignment horizontal="center" vertical="center"/>
      <protection hidden="1"/>
    </xf>
    <xf numFmtId="0" fontId="139" fillId="6" borderId="0" xfId="0" applyFont="1" applyFill="1" applyAlignment="1" applyProtection="1">
      <alignment horizontal="center" vertical="center"/>
      <protection locked="0" hidden="1"/>
    </xf>
    <xf numFmtId="0" fontId="0" fillId="17" borderId="8" xfId="0" applyFill="1" applyBorder="1"/>
    <xf numFmtId="0" fontId="0" fillId="17" borderId="9" xfId="0" applyFill="1" applyBorder="1"/>
    <xf numFmtId="0" fontId="0" fillId="17" borderId="10" xfId="0" applyFill="1" applyBorder="1"/>
    <xf numFmtId="0" fontId="0" fillId="17" borderId="6" xfId="0" applyFill="1" applyBorder="1"/>
    <xf numFmtId="0" fontId="0" fillId="17" borderId="0" xfId="0" applyFill="1"/>
    <xf numFmtId="0" fontId="0" fillId="17" borderId="4" xfId="0" applyFill="1" applyBorder="1"/>
    <xf numFmtId="0" fontId="0" fillId="17" borderId="7" xfId="0" applyFill="1" applyBorder="1"/>
    <xf numFmtId="0" fontId="0" fillId="17" borderId="39" xfId="0" applyFill="1" applyBorder="1"/>
    <xf numFmtId="0" fontId="0" fillId="17" borderId="5" xfId="0" applyFill="1" applyBorder="1"/>
    <xf numFmtId="0" fontId="145" fillId="17" borderId="0" xfId="0" applyFont="1" applyFill="1"/>
    <xf numFmtId="0" fontId="145" fillId="17" borderId="0" xfId="0" applyFont="1" applyFill="1" applyAlignment="1">
      <alignment horizontal="left" vertical="center"/>
    </xf>
    <xf numFmtId="0" fontId="200" fillId="17" borderId="0" xfId="0" applyFont="1" applyFill="1" applyAlignment="1">
      <alignment horizontal="left" vertical="center"/>
    </xf>
    <xf numFmtId="0" fontId="145" fillId="17" borderId="0" xfId="0" applyFont="1" applyFill="1" applyAlignment="1">
      <alignment horizontal="left"/>
    </xf>
    <xf numFmtId="0" fontId="0" fillId="17" borderId="39" xfId="0" applyFill="1" applyBorder="1" applyAlignment="1">
      <alignment horizontal="left"/>
    </xf>
    <xf numFmtId="0" fontId="149" fillId="17" borderId="0" xfId="0" applyFont="1" applyFill="1"/>
    <xf numFmtId="0" fontId="179" fillId="6" borderId="0" xfId="0" applyFont="1" applyFill="1"/>
    <xf numFmtId="0" fontId="201" fillId="6" borderId="0" xfId="1" applyFont="1" applyFill="1" applyBorder="1" applyAlignment="1" applyProtection="1">
      <alignment vertical="center"/>
      <protection hidden="1"/>
    </xf>
    <xf numFmtId="0" fontId="169" fillId="9" borderId="0" xfId="0" applyFont="1" applyFill="1" applyAlignment="1">
      <alignment horizontal="center"/>
    </xf>
    <xf numFmtId="0" fontId="204" fillId="9" borderId="0" xfId="0" applyFont="1" applyFill="1" applyAlignment="1">
      <alignment horizontal="center"/>
    </xf>
    <xf numFmtId="0" fontId="169" fillId="12" borderId="0" xfId="0" applyFont="1" applyFill="1" applyAlignment="1">
      <alignment vertical="center"/>
    </xf>
    <xf numFmtId="0" fontId="169" fillId="9" borderId="0" xfId="0" applyFont="1" applyFill="1" applyAlignment="1">
      <alignment vertical="center"/>
    </xf>
    <xf numFmtId="0" fontId="0" fillId="16" borderId="0" xfId="0" applyFill="1"/>
    <xf numFmtId="0" fontId="0" fillId="18" borderId="0" xfId="0" applyFill="1"/>
    <xf numFmtId="0" fontId="0" fillId="0" borderId="12" xfId="0" applyBorder="1" applyAlignment="1">
      <alignment horizontal="center" vertical="center"/>
    </xf>
    <xf numFmtId="0" fontId="140" fillId="8" borderId="22" xfId="0" applyFont="1" applyFill="1" applyBorder="1" applyAlignment="1">
      <alignment horizontal="center"/>
    </xf>
    <xf numFmtId="0" fontId="0" fillId="19" borderId="0" xfId="0" applyFill="1"/>
    <xf numFmtId="0" fontId="0" fillId="4" borderId="0" xfId="0" applyFill="1" applyAlignment="1">
      <alignment horizontal="center" vertical="center"/>
    </xf>
    <xf numFmtId="9" fontId="0" fillId="0" borderId="12" xfId="0" applyNumberFormat="1" applyBorder="1" applyAlignment="1">
      <alignment horizontal="center" vertical="center"/>
    </xf>
    <xf numFmtId="1" fontId="0" fillId="0" borderId="12" xfId="0" applyNumberFormat="1" applyBorder="1" applyAlignment="1">
      <alignment horizontal="center" vertical="center"/>
    </xf>
    <xf numFmtId="0" fontId="0" fillId="0" borderId="12" xfId="0" applyBorder="1" applyAlignment="1">
      <alignment horizontal="center"/>
    </xf>
    <xf numFmtId="0" fontId="144" fillId="0" borderId="12" xfId="0" applyFont="1" applyBorder="1" applyAlignment="1">
      <alignment horizontal="center" vertical="center"/>
    </xf>
    <xf numFmtId="0" fontId="139" fillId="0" borderId="12" xfId="0" applyFont="1" applyBorder="1" applyAlignment="1">
      <alignment horizontal="center" vertical="center"/>
    </xf>
    <xf numFmtId="0" fontId="0" fillId="0" borderId="0" xfId="0" applyAlignment="1">
      <alignment horizontal="center" vertical="center"/>
    </xf>
    <xf numFmtId="168" fontId="170" fillId="13" borderId="0" xfId="0" applyNumberFormat="1" applyFont="1" applyFill="1" applyAlignment="1" applyProtection="1">
      <alignment horizontal="left" vertical="top" wrapText="1"/>
      <protection hidden="1"/>
    </xf>
    <xf numFmtId="0" fontId="169" fillId="3" borderId="0" xfId="0" applyFont="1" applyFill="1" applyAlignment="1">
      <alignment horizontal="center"/>
    </xf>
    <xf numFmtId="0" fontId="204" fillId="3" borderId="0" xfId="0" applyFont="1" applyFill="1" applyAlignment="1">
      <alignment horizontal="center"/>
    </xf>
    <xf numFmtId="0" fontId="70" fillId="18" borderId="12" xfId="0" applyFont="1" applyFill="1" applyBorder="1" applyAlignment="1">
      <alignment horizontal="center" vertical="center"/>
    </xf>
    <xf numFmtId="0" fontId="70" fillId="18" borderId="12" xfId="0" applyFont="1" applyFill="1" applyBorder="1" applyAlignment="1">
      <alignment horizontal="left" vertical="center"/>
    </xf>
    <xf numFmtId="3" fontId="70" fillId="18" borderId="12" xfId="0" applyNumberFormat="1" applyFont="1" applyFill="1" applyBorder="1" applyAlignment="1">
      <alignment horizontal="center" vertical="center"/>
    </xf>
    <xf numFmtId="0" fontId="1" fillId="18" borderId="12" xfId="0" applyFont="1" applyFill="1" applyBorder="1" applyAlignment="1">
      <alignment horizontal="center"/>
    </xf>
    <xf numFmtId="0" fontId="212" fillId="2" borderId="0" xfId="0" applyFont="1" applyFill="1" applyAlignment="1">
      <alignment horizontal="center" vertical="center"/>
    </xf>
    <xf numFmtId="0" fontId="212" fillId="2" borderId="0" xfId="0" applyFont="1" applyFill="1" applyAlignment="1">
      <alignment horizontal="left" vertical="center"/>
    </xf>
    <xf numFmtId="3" fontId="212" fillId="2" borderId="0" xfId="0" applyNumberFormat="1" applyFont="1" applyFill="1" applyAlignment="1">
      <alignment vertical="center"/>
    </xf>
    <xf numFmtId="0" fontId="177" fillId="4" borderId="12" xfId="0" applyFont="1" applyFill="1" applyBorder="1" applyAlignment="1">
      <alignment horizontal="center" vertical="center"/>
    </xf>
    <xf numFmtId="166" fontId="207" fillId="0" borderId="12" xfId="0" applyNumberFormat="1" applyFont="1" applyBorder="1" applyAlignment="1">
      <alignment horizontal="center" vertical="center"/>
    </xf>
    <xf numFmtId="0" fontId="210" fillId="4" borderId="12" xfId="0" applyFont="1" applyFill="1" applyBorder="1" applyAlignment="1">
      <alignment horizontal="center" vertical="center" wrapText="1"/>
    </xf>
    <xf numFmtId="0" fontId="213" fillId="4" borderId="0" xfId="0" applyFont="1" applyFill="1" applyAlignment="1">
      <alignment vertical="center"/>
    </xf>
    <xf numFmtId="0" fontId="0" fillId="9" borderId="0" xfId="0" applyFill="1" applyAlignment="1">
      <alignment horizontal="center"/>
    </xf>
    <xf numFmtId="0" fontId="215" fillId="2" borderId="75" xfId="0" applyFont="1" applyFill="1" applyBorder="1" applyAlignment="1">
      <alignment horizontal="center"/>
    </xf>
    <xf numFmtId="0" fontId="1" fillId="0" borderId="12" xfId="0" applyFont="1" applyBorder="1" applyAlignment="1">
      <alignment horizontal="center" vertical="center"/>
    </xf>
    <xf numFmtId="3" fontId="187" fillId="2" borderId="0" xfId="0" applyNumberFormat="1" applyFont="1" applyFill="1" applyAlignment="1" applyProtection="1">
      <alignment horizontal="right"/>
      <protection hidden="1"/>
    </xf>
    <xf numFmtId="0" fontId="140" fillId="6" borderId="0" xfId="0" applyFont="1" applyFill="1" applyAlignment="1">
      <alignment horizontal="center" vertical="center"/>
    </xf>
    <xf numFmtId="1" fontId="197" fillId="12" borderId="0" xfId="0" applyNumberFormat="1" applyFont="1" applyFill="1" applyAlignment="1" applyProtection="1">
      <alignment horizontal="center"/>
      <protection hidden="1"/>
    </xf>
    <xf numFmtId="1" fontId="199" fillId="2" borderId="0" xfId="0" applyNumberFormat="1" applyFont="1" applyFill="1" applyAlignment="1" applyProtection="1">
      <alignment horizontal="center" vertical="center"/>
      <protection hidden="1"/>
    </xf>
    <xf numFmtId="0" fontId="179" fillId="18" borderId="0" xfId="0" applyFont="1" applyFill="1"/>
    <xf numFmtId="0" fontId="140" fillId="18" borderId="0" xfId="0" applyFont="1" applyFill="1"/>
    <xf numFmtId="17" fontId="219" fillId="18" borderId="0" xfId="0" applyNumberFormat="1" applyFont="1" applyFill="1" applyAlignment="1" applyProtection="1">
      <alignment horizontal="center" vertical="center"/>
      <protection hidden="1"/>
    </xf>
    <xf numFmtId="0" fontId="179" fillId="18" borderId="0" xfId="0" applyFont="1" applyFill="1" applyAlignment="1" applyProtection="1">
      <alignment horizontal="center" vertical="center"/>
      <protection hidden="1"/>
    </xf>
    <xf numFmtId="0" fontId="179" fillId="18" borderId="0" xfId="0" applyFont="1" applyFill="1" applyAlignment="1">
      <alignment vertical="center"/>
    </xf>
    <xf numFmtId="17" fontId="179" fillId="18" borderId="0" xfId="0" applyNumberFormat="1" applyFont="1" applyFill="1" applyAlignment="1" applyProtection="1">
      <alignment horizontal="center" vertical="center"/>
      <protection hidden="1"/>
    </xf>
    <xf numFmtId="0" fontId="179" fillId="18" borderId="0" xfId="0" applyFont="1" applyFill="1" applyAlignment="1" applyProtection="1">
      <alignment horizontal="center"/>
      <protection hidden="1"/>
    </xf>
    <xf numFmtId="0" fontId="220" fillId="18" borderId="0" xfId="0" applyFont="1" applyFill="1" applyAlignment="1" applyProtection="1">
      <alignment horizontal="center"/>
      <protection hidden="1"/>
    </xf>
    <xf numFmtId="0" fontId="220" fillId="18" borderId="0" xfId="0" applyFont="1" applyFill="1" applyAlignment="1">
      <alignment vertical="center" wrapText="1"/>
    </xf>
    <xf numFmtId="0" fontId="220" fillId="18" borderId="0" xfId="0" applyFont="1" applyFill="1" applyAlignment="1">
      <alignment horizontal="left" vertical="center" wrapText="1"/>
    </xf>
    <xf numFmtId="0" fontId="221" fillId="18" borderId="0" xfId="0" applyFont="1" applyFill="1" applyAlignment="1">
      <alignment vertical="center" wrapText="1"/>
    </xf>
    <xf numFmtId="17" fontId="222" fillId="18" borderId="0" xfId="0" applyNumberFormat="1" applyFont="1" applyFill="1" applyAlignment="1" applyProtection="1">
      <alignment horizontal="center" vertical="center"/>
      <protection hidden="1"/>
    </xf>
    <xf numFmtId="0" fontId="223" fillId="18" borderId="0" xfId="0" applyFont="1" applyFill="1"/>
    <xf numFmtId="0" fontId="224" fillId="18" borderId="0" xfId="0" applyFont="1" applyFill="1" applyAlignment="1" applyProtection="1">
      <alignment vertical="center" wrapText="1"/>
      <protection hidden="1"/>
    </xf>
    <xf numFmtId="0" fontId="225" fillId="9" borderId="0" xfId="0" applyFont="1" applyFill="1" applyAlignment="1">
      <alignment vertical="center" wrapText="1"/>
    </xf>
    <xf numFmtId="0" fontId="225" fillId="9" borderId="0" xfId="1" applyFont="1" applyFill="1" applyBorder="1" applyAlignment="1" applyProtection="1">
      <alignment vertical="center"/>
      <protection hidden="1"/>
    </xf>
    <xf numFmtId="0" fontId="220" fillId="9" borderId="0" xfId="0" applyFont="1" applyFill="1" applyAlignment="1">
      <alignment horizontal="left" vertical="center" wrapText="1"/>
    </xf>
    <xf numFmtId="0" fontId="221" fillId="9" borderId="0" xfId="0" applyFont="1" applyFill="1" applyAlignment="1">
      <alignment vertical="center" wrapText="1"/>
    </xf>
    <xf numFmtId="0" fontId="201" fillId="9" borderId="0" xfId="1" applyFont="1" applyFill="1" applyBorder="1" applyAlignment="1" applyProtection="1">
      <alignment vertical="center"/>
      <protection hidden="1"/>
    </xf>
    <xf numFmtId="0" fontId="179" fillId="9" borderId="0" xfId="0" applyFont="1" applyFill="1"/>
    <xf numFmtId="164" fontId="220" fillId="9" borderId="0" xfId="0" applyNumberFormat="1" applyFont="1" applyFill="1" applyAlignment="1" applyProtection="1">
      <alignment horizontal="right" vertical="center"/>
      <protection hidden="1"/>
    </xf>
    <xf numFmtId="0" fontId="226" fillId="9" borderId="0" xfId="0" applyFont="1" applyFill="1" applyAlignment="1" applyProtection="1">
      <alignment vertical="center"/>
      <protection hidden="1"/>
    </xf>
    <xf numFmtId="0" fontId="224" fillId="9" borderId="0" xfId="0" applyFont="1" applyFill="1" applyAlignment="1" applyProtection="1">
      <alignment vertical="center"/>
      <protection hidden="1"/>
    </xf>
    <xf numFmtId="0" fontId="227" fillId="18" borderId="0" xfId="0" applyFont="1" applyFill="1"/>
    <xf numFmtId="0" fontId="8" fillId="2" borderId="0" xfId="0" applyFont="1" applyFill="1"/>
    <xf numFmtId="0" fontId="0" fillId="7" borderId="0" xfId="0" applyFill="1"/>
    <xf numFmtId="0" fontId="8" fillId="7" borderId="0" xfId="0" applyFont="1" applyFill="1"/>
    <xf numFmtId="0" fontId="32" fillId="2" borderId="0" xfId="0" applyFont="1" applyFill="1"/>
    <xf numFmtId="0" fontId="89" fillId="2" borderId="0" xfId="0" applyFont="1" applyFill="1" applyProtection="1">
      <protection hidden="1"/>
    </xf>
    <xf numFmtId="0" fontId="90" fillId="2" borderId="0" xfId="0" applyFont="1" applyFill="1" applyProtection="1">
      <protection hidden="1"/>
    </xf>
    <xf numFmtId="0" fontId="34" fillId="2" borderId="0" xfId="0" applyFont="1" applyFill="1" applyProtection="1">
      <protection hidden="1"/>
    </xf>
    <xf numFmtId="1" fontId="89" fillId="2" borderId="0" xfId="0" applyNumberFormat="1" applyFont="1" applyFill="1" applyAlignment="1" applyProtection="1">
      <alignment horizontal="right"/>
      <protection hidden="1"/>
    </xf>
    <xf numFmtId="3" fontId="52" fillId="2" borderId="0" xfId="0" applyNumberFormat="1" applyFont="1" applyFill="1" applyAlignment="1" applyProtection="1">
      <alignment vertical="center"/>
      <protection hidden="1"/>
    </xf>
    <xf numFmtId="3" fontId="89" fillId="2" borderId="0" xfId="0" applyNumberFormat="1" applyFont="1" applyFill="1" applyProtection="1">
      <protection hidden="1"/>
    </xf>
    <xf numFmtId="3" fontId="90" fillId="2" borderId="0" xfId="0" applyNumberFormat="1" applyFont="1" applyFill="1" applyProtection="1">
      <protection hidden="1"/>
    </xf>
    <xf numFmtId="0" fontId="91" fillId="2" borderId="0" xfId="0" applyFont="1" applyFill="1" applyProtection="1">
      <protection hidden="1"/>
    </xf>
    <xf numFmtId="0" fontId="92" fillId="2" borderId="0" xfId="0" applyFont="1" applyFill="1" applyProtection="1">
      <protection hidden="1"/>
    </xf>
    <xf numFmtId="0" fontId="93" fillId="2" borderId="0" xfId="0" applyFont="1" applyFill="1" applyProtection="1">
      <protection hidden="1"/>
    </xf>
    <xf numFmtId="164" fontId="0" fillId="2" borderId="0" xfId="0" applyNumberFormat="1" applyFill="1"/>
    <xf numFmtId="0" fontId="94" fillId="2" borderId="0" xfId="0" applyFont="1" applyFill="1" applyProtection="1">
      <protection hidden="1"/>
    </xf>
    <xf numFmtId="0" fontId="95" fillId="2" borderId="0" xfId="0" applyFont="1" applyFill="1" applyAlignment="1" applyProtection="1">
      <alignment horizontal="center"/>
      <protection hidden="1"/>
    </xf>
    <xf numFmtId="0" fontId="96" fillId="2" borderId="0" xfId="0" applyFont="1" applyFill="1" applyAlignment="1" applyProtection="1">
      <alignment horizontal="center"/>
      <protection hidden="1"/>
    </xf>
    <xf numFmtId="0" fontId="97" fillId="2" borderId="0" xfId="0" applyFont="1" applyFill="1" applyProtection="1">
      <protection hidden="1"/>
    </xf>
    <xf numFmtId="0" fontId="94" fillId="2" borderId="0" xfId="0" applyFont="1" applyFill="1" applyAlignment="1" applyProtection="1">
      <alignment horizontal="center"/>
      <protection hidden="1"/>
    </xf>
    <xf numFmtId="0" fontId="90" fillId="2" borderId="0" xfId="0" applyFont="1" applyFill="1" applyAlignment="1" applyProtection="1">
      <alignment horizontal="center"/>
      <protection hidden="1"/>
    </xf>
    <xf numFmtId="0" fontId="98" fillId="2" borderId="0" xfId="0" applyFont="1" applyFill="1" applyAlignment="1" applyProtection="1">
      <alignment horizontal="center"/>
      <protection hidden="1"/>
    </xf>
    <xf numFmtId="0" fontId="102" fillId="2" borderId="0" xfId="0" applyFont="1" applyFill="1" applyProtection="1">
      <protection hidden="1"/>
    </xf>
    <xf numFmtId="1" fontId="103" fillId="2" borderId="0" xfId="0" applyNumberFormat="1" applyFont="1" applyFill="1" applyProtection="1">
      <protection hidden="1"/>
    </xf>
    <xf numFmtId="0" fontId="106" fillId="2" borderId="0" xfId="0" applyFont="1" applyFill="1" applyAlignment="1" applyProtection="1">
      <alignment horizontal="left"/>
      <protection hidden="1"/>
    </xf>
    <xf numFmtId="0" fontId="90" fillId="2" borderId="0" xfId="0" applyFont="1" applyFill="1" applyAlignment="1" applyProtection="1">
      <alignment horizontal="left"/>
      <protection hidden="1"/>
    </xf>
    <xf numFmtId="0" fontId="99" fillId="2" borderId="0" xfId="0" applyFont="1" applyFill="1" applyAlignment="1" applyProtection="1">
      <alignment horizontal="left"/>
      <protection hidden="1"/>
    </xf>
    <xf numFmtId="0" fontId="99" fillId="2" borderId="0" xfId="0" applyFont="1" applyFill="1" applyProtection="1">
      <protection hidden="1"/>
    </xf>
    <xf numFmtId="0" fontId="94" fillId="2" borderId="0" xfId="0" applyFont="1" applyFill="1" applyAlignment="1" applyProtection="1">
      <alignment horizontal="left"/>
      <protection hidden="1"/>
    </xf>
    <xf numFmtId="0" fontId="22" fillId="0" borderId="86" xfId="0" applyFont="1" applyBorder="1" applyAlignment="1" applyProtection="1">
      <alignment horizontal="center" vertical="center"/>
      <protection hidden="1"/>
    </xf>
    <xf numFmtId="0" fontId="8" fillId="0" borderId="87" xfId="0" applyFont="1" applyBorder="1" applyAlignment="1" applyProtection="1">
      <alignment horizontal="center" vertical="center"/>
      <protection hidden="1"/>
    </xf>
    <xf numFmtId="0" fontId="8" fillId="0" borderId="60" xfId="0" applyFont="1" applyBorder="1" applyAlignment="1" applyProtection="1">
      <alignment horizontal="center" vertical="center"/>
      <protection hidden="1"/>
    </xf>
    <xf numFmtId="0" fontId="181" fillId="2" borderId="0" xfId="0" applyFont="1" applyFill="1" applyAlignment="1" applyProtection="1">
      <alignment horizontal="center"/>
      <protection hidden="1"/>
    </xf>
    <xf numFmtId="0" fontId="111" fillId="7" borderId="0" xfId="0" applyFont="1" applyFill="1" applyAlignment="1">
      <alignment horizontal="center" vertical="center"/>
    </xf>
    <xf numFmtId="0" fontId="112" fillId="7" borderId="0" xfId="0" applyFont="1" applyFill="1" applyAlignment="1">
      <alignment horizontal="center" vertical="center"/>
    </xf>
    <xf numFmtId="0" fontId="50" fillId="7" borderId="0" xfId="0" applyFont="1" applyFill="1" applyAlignment="1">
      <alignment horizontal="center"/>
    </xf>
    <xf numFmtId="0" fontId="1" fillId="7" borderId="0" xfId="0" applyFont="1" applyFill="1"/>
    <xf numFmtId="0" fontId="113" fillId="7" borderId="0" xfId="0" applyFont="1" applyFill="1" applyAlignment="1">
      <alignment horizontal="center"/>
    </xf>
    <xf numFmtId="0" fontId="9" fillId="7" borderId="0" xfId="0" applyFont="1" applyFill="1" applyAlignment="1">
      <alignment horizontal="left"/>
    </xf>
    <xf numFmtId="0" fontId="0" fillId="2" borderId="0" xfId="0" applyFill="1" applyProtection="1">
      <protection hidden="1"/>
    </xf>
    <xf numFmtId="0" fontId="2" fillId="2" borderId="0" xfId="0" applyFont="1" applyFill="1" applyProtection="1">
      <protection hidden="1"/>
    </xf>
    <xf numFmtId="0" fontId="21" fillId="2" borderId="0" xfId="0" applyFont="1" applyFill="1" applyProtection="1">
      <protection hidden="1"/>
    </xf>
    <xf numFmtId="0" fontId="32" fillId="2" borderId="0" xfId="0" applyFont="1" applyFill="1" applyProtection="1">
      <protection hidden="1"/>
    </xf>
    <xf numFmtId="0" fontId="33" fillId="2" borderId="0" xfId="0" applyFont="1" applyFill="1" applyProtection="1">
      <protection hidden="1"/>
    </xf>
    <xf numFmtId="3" fontId="33" fillId="2" borderId="0" xfId="0" applyNumberFormat="1" applyFont="1" applyFill="1" applyProtection="1">
      <protection hidden="1"/>
    </xf>
    <xf numFmtId="3" fontId="175" fillId="2" borderId="0" xfId="0" applyNumberFormat="1" applyFont="1" applyFill="1" applyProtection="1">
      <protection hidden="1"/>
    </xf>
    <xf numFmtId="0" fontId="0" fillId="2" borderId="0" xfId="0" applyFill="1" applyAlignment="1" applyProtection="1">
      <alignment horizontal="center"/>
      <protection hidden="1"/>
    </xf>
    <xf numFmtId="0" fontId="173" fillId="2" borderId="0" xfId="0" applyFont="1" applyFill="1" applyProtection="1">
      <protection hidden="1"/>
    </xf>
    <xf numFmtId="0" fontId="8" fillId="2" borderId="0" xfId="0" applyFont="1" applyFill="1" applyProtection="1">
      <protection hidden="1"/>
    </xf>
    <xf numFmtId="0" fontId="175" fillId="2" borderId="0" xfId="0" applyFont="1" applyFill="1" applyProtection="1">
      <protection hidden="1"/>
    </xf>
    <xf numFmtId="1" fontId="181" fillId="2" borderId="0" xfId="0" applyNumberFormat="1" applyFont="1" applyFill="1" applyAlignment="1" applyProtection="1">
      <alignment horizontal="left"/>
      <protection hidden="1"/>
    </xf>
    <xf numFmtId="3" fontId="193" fillId="2" borderId="0" xfId="0" applyNumberFormat="1" applyFont="1" applyFill="1" applyProtection="1">
      <protection hidden="1"/>
    </xf>
    <xf numFmtId="0" fontId="191" fillId="2" borderId="0" xfId="0" applyFont="1" applyFill="1" applyProtection="1">
      <protection hidden="1"/>
    </xf>
    <xf numFmtId="0" fontId="181" fillId="2" borderId="0" xfId="0" applyFont="1" applyFill="1" applyAlignment="1" applyProtection="1">
      <alignment horizontal="left"/>
      <protection hidden="1"/>
    </xf>
    <xf numFmtId="3" fontId="172" fillId="2" borderId="0" xfId="0" applyNumberFormat="1" applyFont="1" applyFill="1" applyAlignment="1" applyProtection="1">
      <alignment horizontal="left"/>
      <protection hidden="1"/>
    </xf>
    <xf numFmtId="0" fontId="230" fillId="2" borderId="0" xfId="0" applyFont="1" applyFill="1" applyProtection="1">
      <protection hidden="1"/>
    </xf>
    <xf numFmtId="0" fontId="231" fillId="2" borderId="0" xfId="0" applyFont="1" applyFill="1" applyProtection="1">
      <protection hidden="1"/>
    </xf>
    <xf numFmtId="0" fontId="175" fillId="2" borderId="0" xfId="0" applyFont="1" applyFill="1" applyAlignment="1" applyProtection="1">
      <alignment horizontal="left"/>
      <protection hidden="1"/>
    </xf>
    <xf numFmtId="164" fontId="0" fillId="4" borderId="0" xfId="0" applyNumberFormat="1" applyFill="1" applyAlignment="1">
      <alignment horizontal="center" vertical="center"/>
    </xf>
    <xf numFmtId="164" fontId="0" fillId="4" borderId="0" xfId="0" applyNumberFormat="1" applyFill="1"/>
    <xf numFmtId="0" fontId="141" fillId="4" borderId="0" xfId="0" applyFont="1" applyFill="1"/>
    <xf numFmtId="164" fontId="144" fillId="4" borderId="89" xfId="0" applyNumberFormat="1" applyFont="1" applyFill="1" applyBorder="1" applyAlignment="1">
      <alignment vertical="center"/>
    </xf>
    <xf numFmtId="164" fontId="144" fillId="4" borderId="90" xfId="0" applyNumberFormat="1" applyFont="1" applyFill="1" applyBorder="1" applyAlignment="1">
      <alignment vertical="center"/>
    </xf>
    <xf numFmtId="3" fontId="144" fillId="4" borderId="90" xfId="0" applyNumberFormat="1" applyFont="1" applyFill="1" applyBorder="1" applyAlignment="1">
      <alignment vertical="center"/>
    </xf>
    <xf numFmtId="0" fontId="144" fillId="4" borderId="90" xfId="0" applyFont="1" applyFill="1" applyBorder="1" applyAlignment="1">
      <alignment vertical="center"/>
    </xf>
    <xf numFmtId="1" fontId="144" fillId="4" borderId="90" xfId="0" applyNumberFormat="1" applyFont="1" applyFill="1" applyBorder="1"/>
    <xf numFmtId="0" fontId="0" fillId="4" borderId="91" xfId="0" applyFill="1" applyBorder="1" applyAlignment="1">
      <alignment horizontal="right" vertical="center"/>
    </xf>
    <xf numFmtId="0" fontId="144" fillId="4" borderId="92" xfId="0" applyFont="1" applyFill="1" applyBorder="1" applyAlignment="1">
      <alignment horizontal="center" vertical="center"/>
    </xf>
    <xf numFmtId="0" fontId="144" fillId="4" borderId="93" xfId="0" applyFont="1" applyFill="1" applyBorder="1" applyAlignment="1">
      <alignment horizontal="center" vertical="center"/>
    </xf>
    <xf numFmtId="0" fontId="144" fillId="4" borderId="94" xfId="0" applyFont="1" applyFill="1" applyBorder="1" applyAlignment="1">
      <alignment horizontal="center" vertical="center"/>
    </xf>
    <xf numFmtId="0" fontId="0" fillId="12" borderId="8" xfId="0" applyFill="1" applyBorder="1" applyProtection="1">
      <protection locked="0" hidden="1"/>
    </xf>
    <xf numFmtId="0" fontId="8" fillId="12" borderId="9" xfId="0" applyFont="1" applyFill="1" applyBorder="1" applyProtection="1">
      <protection locked="0" hidden="1"/>
    </xf>
    <xf numFmtId="0" fontId="0" fillId="12" borderId="10" xfId="0" applyFill="1" applyBorder="1" applyProtection="1">
      <protection locked="0" hidden="1"/>
    </xf>
    <xf numFmtId="0" fontId="0" fillId="12" borderId="6" xfId="0" applyFill="1" applyBorder="1" applyProtection="1">
      <protection locked="0" hidden="1"/>
    </xf>
    <xf numFmtId="0" fontId="0" fillId="12" borderId="4" xfId="0" applyFill="1" applyBorder="1" applyProtection="1">
      <protection locked="0" hidden="1"/>
    </xf>
    <xf numFmtId="0" fontId="4" fillId="12" borderId="0" xfId="0" applyFont="1" applyFill="1" applyAlignment="1" applyProtection="1">
      <alignment horizontal="center"/>
      <protection locked="0" hidden="1"/>
    </xf>
    <xf numFmtId="0" fontId="8" fillId="12" borderId="0" xfId="0" applyFont="1" applyFill="1" applyProtection="1">
      <protection locked="0" hidden="1"/>
    </xf>
    <xf numFmtId="0" fontId="8" fillId="12" borderId="0" xfId="0" applyFont="1" applyFill="1" applyAlignment="1" applyProtection="1">
      <alignment horizontal="left"/>
      <protection locked="0" hidden="1"/>
    </xf>
    <xf numFmtId="0" fontId="8" fillId="12" borderId="4" xfId="0" applyFont="1" applyFill="1" applyBorder="1" applyProtection="1">
      <protection locked="0" hidden="1"/>
    </xf>
    <xf numFmtId="0" fontId="0" fillId="12" borderId="7" xfId="0" applyFill="1" applyBorder="1" applyProtection="1">
      <protection locked="0" hidden="1"/>
    </xf>
    <xf numFmtId="0" fontId="8" fillId="12" borderId="39" xfId="0" applyFont="1" applyFill="1" applyBorder="1" applyProtection="1">
      <protection locked="0" hidden="1"/>
    </xf>
    <xf numFmtId="0" fontId="0" fillId="12" borderId="5" xfId="0" applyFill="1" applyBorder="1" applyProtection="1">
      <protection locked="0" hidden="1"/>
    </xf>
    <xf numFmtId="0" fontId="0" fillId="22" borderId="8" xfId="0" applyFill="1" applyBorder="1" applyProtection="1">
      <protection locked="0" hidden="1"/>
    </xf>
    <xf numFmtId="0" fontId="8" fillId="22" borderId="9" xfId="0" applyFont="1" applyFill="1" applyBorder="1" applyProtection="1">
      <protection locked="0" hidden="1"/>
    </xf>
    <xf numFmtId="0" fontId="8" fillId="22" borderId="10" xfId="0" applyFont="1" applyFill="1" applyBorder="1" applyProtection="1">
      <protection locked="0" hidden="1"/>
    </xf>
    <xf numFmtId="0" fontId="0" fillId="22" borderId="6" xfId="0" applyFill="1" applyBorder="1" applyProtection="1">
      <protection locked="0" hidden="1"/>
    </xf>
    <xf numFmtId="0" fontId="36" fillId="22" borderId="4" xfId="0" applyFont="1" applyFill="1" applyBorder="1" applyProtection="1">
      <protection locked="0" hidden="1"/>
    </xf>
    <xf numFmtId="0" fontId="3" fillId="22" borderId="4" xfId="0" applyFont="1" applyFill="1" applyBorder="1" applyProtection="1">
      <protection locked="0" hidden="1"/>
    </xf>
    <xf numFmtId="0" fontId="1" fillId="22" borderId="4" xfId="0" applyFont="1" applyFill="1" applyBorder="1" applyProtection="1">
      <protection locked="0" hidden="1"/>
    </xf>
    <xf numFmtId="0" fontId="8" fillId="22" borderId="0" xfId="0" applyFont="1" applyFill="1" applyProtection="1">
      <protection locked="0" hidden="1"/>
    </xf>
    <xf numFmtId="0" fontId="8" fillId="22" borderId="4" xfId="0" applyFont="1" applyFill="1" applyBorder="1" applyProtection="1">
      <protection locked="0" hidden="1"/>
    </xf>
    <xf numFmtId="0" fontId="8" fillId="22" borderId="0" xfId="0" applyFont="1" applyFill="1" applyAlignment="1" applyProtection="1">
      <alignment horizontal="center"/>
      <protection locked="0" hidden="1"/>
    </xf>
    <xf numFmtId="0" fontId="8" fillId="22" borderId="4" xfId="0" applyFont="1" applyFill="1" applyBorder="1" applyAlignment="1" applyProtection="1">
      <alignment horizontal="center"/>
      <protection locked="0" hidden="1"/>
    </xf>
    <xf numFmtId="0" fontId="8" fillId="22" borderId="0" xfId="0" applyFont="1" applyFill="1" applyAlignment="1" applyProtection="1">
      <alignment horizontal="left"/>
      <protection locked="0" hidden="1"/>
    </xf>
    <xf numFmtId="0" fontId="0" fillId="22" borderId="7" xfId="0" applyFill="1" applyBorder="1" applyProtection="1">
      <protection locked="0" hidden="1"/>
    </xf>
    <xf numFmtId="0" fontId="8" fillId="22" borderId="39" xfId="0" applyFont="1" applyFill="1" applyBorder="1" applyProtection="1">
      <protection locked="0" hidden="1"/>
    </xf>
    <xf numFmtId="0" fontId="8" fillId="22" borderId="5" xfId="0" applyFont="1" applyFill="1" applyBorder="1" applyProtection="1">
      <protection locked="0" hidden="1"/>
    </xf>
    <xf numFmtId="3" fontId="70" fillId="18" borderId="12" xfId="0" applyNumberFormat="1" applyFont="1" applyFill="1" applyBorder="1" applyAlignment="1" applyProtection="1">
      <alignment horizontal="left" vertical="center"/>
      <protection hidden="1"/>
    </xf>
    <xf numFmtId="3" fontId="0" fillId="18" borderId="12" xfId="0" applyNumberFormat="1" applyFill="1" applyBorder="1" applyAlignment="1">
      <alignment horizontal="center"/>
    </xf>
    <xf numFmtId="0" fontId="139" fillId="18" borderId="12" xfId="0" applyFont="1" applyFill="1" applyBorder="1" applyAlignment="1">
      <alignment horizontal="center" vertical="center"/>
    </xf>
    <xf numFmtId="0" fontId="1" fillId="18" borderId="12" xfId="0" applyFont="1" applyFill="1" applyBorder="1" applyAlignment="1">
      <alignment horizontal="center" vertical="center"/>
    </xf>
    <xf numFmtId="0" fontId="70" fillId="0" borderId="0" xfId="0" applyFont="1" applyAlignment="1">
      <alignment horizontal="center" vertical="center"/>
    </xf>
    <xf numFmtId="0" fontId="70" fillId="0" borderId="0" xfId="0" applyFont="1" applyAlignment="1">
      <alignment horizontal="left" vertical="center"/>
    </xf>
    <xf numFmtId="3" fontId="70" fillId="0" borderId="0" xfId="0" applyNumberFormat="1" applyFont="1" applyAlignment="1">
      <alignment horizontal="center" vertical="center"/>
    </xf>
    <xf numFmtId="0" fontId="1" fillId="0" borderId="38" xfId="0" applyFont="1" applyBorder="1" applyAlignment="1">
      <alignment horizontal="center"/>
    </xf>
    <xf numFmtId="0" fontId="70" fillId="0" borderId="38" xfId="0" applyFont="1" applyBorder="1" applyAlignment="1">
      <alignment horizontal="center"/>
    </xf>
    <xf numFmtId="0" fontId="70" fillId="0" borderId="38" xfId="0" applyFont="1" applyBorder="1" applyAlignment="1">
      <alignment horizontal="left"/>
    </xf>
    <xf numFmtId="3" fontId="70" fillId="0" borderId="38" xfId="0" applyNumberFormat="1" applyFont="1" applyBorder="1" applyAlignment="1">
      <alignment horizontal="center"/>
    </xf>
    <xf numFmtId="0" fontId="2" fillId="0" borderId="31" xfId="0" applyFont="1" applyBorder="1" applyAlignment="1">
      <alignment horizontal="center" vertical="center"/>
    </xf>
    <xf numFmtId="0" fontId="121" fillId="12" borderId="0" xfId="0" applyFont="1" applyFill="1" applyAlignment="1">
      <alignment horizontal="center" vertical="center"/>
    </xf>
    <xf numFmtId="0" fontId="2" fillId="12" borderId="60" xfId="0" applyFont="1" applyFill="1" applyBorder="1" applyAlignment="1">
      <alignment horizontal="center" vertical="center"/>
    </xf>
    <xf numFmtId="3" fontId="12" fillId="0" borderId="0" xfId="0" applyNumberFormat="1" applyFont="1" applyAlignment="1">
      <alignment horizontal="center" vertical="center"/>
    </xf>
    <xf numFmtId="0" fontId="12" fillId="0" borderId="0" xfId="0" applyFont="1" applyAlignment="1">
      <alignment horizontal="center" vertical="center"/>
    </xf>
    <xf numFmtId="0" fontId="9" fillId="0" borderId="0" xfId="0" applyFont="1" applyAlignment="1">
      <alignment horizontal="center" vertical="center"/>
    </xf>
    <xf numFmtId="0" fontId="12" fillId="0" borderId="0" xfId="0" applyFont="1" applyAlignment="1">
      <alignment horizontal="left" vertical="center"/>
    </xf>
    <xf numFmtId="0" fontId="2" fillId="12" borderId="1" xfId="0" applyFont="1" applyFill="1" applyBorder="1" applyAlignment="1">
      <alignment horizontal="center"/>
    </xf>
    <xf numFmtId="0" fontId="121" fillId="12" borderId="1" xfId="0" applyFont="1" applyFill="1" applyBorder="1" applyAlignment="1">
      <alignment horizontal="center"/>
    </xf>
    <xf numFmtId="0" fontId="121" fillId="12" borderId="20" xfId="0" applyFont="1" applyFill="1" applyBorder="1" applyAlignment="1">
      <alignment horizontal="center"/>
    </xf>
    <xf numFmtId="0" fontId="2" fillId="12" borderId="13" xfId="0" applyFont="1" applyFill="1" applyBorder="1"/>
    <xf numFmtId="164" fontId="6" fillId="12" borderId="0" xfId="0" applyNumberFormat="1" applyFont="1" applyFill="1" applyAlignment="1">
      <alignment vertical="center"/>
    </xf>
    <xf numFmtId="0" fontId="6" fillId="12" borderId="0" xfId="0" applyFont="1" applyFill="1" applyAlignment="1">
      <alignment vertical="center"/>
    </xf>
    <xf numFmtId="3" fontId="6" fillId="12" borderId="0" xfId="0" applyNumberFormat="1" applyFont="1" applyFill="1" applyAlignment="1">
      <alignment vertical="center"/>
    </xf>
    <xf numFmtId="0" fontId="2" fillId="12" borderId="0" xfId="0" applyFont="1" applyFill="1" applyAlignment="1">
      <alignment vertical="center" wrapText="1"/>
    </xf>
    <xf numFmtId="0" fontId="17" fillId="12" borderId="1" xfId="0" applyFont="1" applyFill="1" applyBorder="1" applyAlignment="1">
      <alignment horizontal="center" vertical="center"/>
    </xf>
    <xf numFmtId="3" fontId="2" fillId="12" borderId="0" xfId="0" applyNumberFormat="1" applyFont="1" applyFill="1" applyAlignment="1">
      <alignment horizontal="left" vertical="center"/>
    </xf>
    <xf numFmtId="0" fontId="2" fillId="12" borderId="13" xfId="0" applyFont="1" applyFill="1" applyBorder="1" applyAlignment="1">
      <alignment vertical="center"/>
    </xf>
    <xf numFmtId="0" fontId="2" fillId="12" borderId="31" xfId="0" applyFont="1" applyFill="1" applyBorder="1"/>
    <xf numFmtId="0" fontId="2" fillId="12" borderId="61" xfId="0" applyFont="1" applyFill="1" applyBorder="1"/>
    <xf numFmtId="0" fontId="2" fillId="12" borderId="60" xfId="0" applyFont="1" applyFill="1" applyBorder="1"/>
    <xf numFmtId="0" fontId="2" fillId="12" borderId="87" xfId="0" applyFont="1" applyFill="1" applyBorder="1"/>
    <xf numFmtId="0" fontId="2" fillId="12" borderId="97" xfId="0" applyFont="1" applyFill="1" applyBorder="1"/>
    <xf numFmtId="0" fontId="3" fillId="0" borderId="31" xfId="0" applyFont="1" applyBorder="1" applyAlignment="1">
      <alignment vertical="center"/>
    </xf>
    <xf numFmtId="0" fontId="2" fillId="12" borderId="61" xfId="0" applyFont="1" applyFill="1" applyBorder="1" applyAlignment="1">
      <alignment horizontal="center"/>
    </xf>
    <xf numFmtId="0" fontId="2" fillId="12" borderId="6" xfId="0" applyFont="1" applyFill="1" applyBorder="1"/>
    <xf numFmtId="0" fontId="2" fillId="12" borderId="95" xfId="0" applyFont="1" applyFill="1" applyBorder="1"/>
    <xf numFmtId="0" fontId="2" fillId="12" borderId="87" xfId="0" applyFont="1" applyFill="1" applyBorder="1" applyAlignment="1">
      <alignment horizontal="right"/>
    </xf>
    <xf numFmtId="0" fontId="21" fillId="12" borderId="0" xfId="0" applyFont="1" applyFill="1" applyAlignment="1">
      <alignment vertical="center" wrapText="1"/>
    </xf>
    <xf numFmtId="0" fontId="21" fillId="12" borderId="4" xfId="0" applyFont="1" applyFill="1" applyBorder="1" applyAlignment="1">
      <alignment vertical="center" wrapText="1"/>
    </xf>
    <xf numFmtId="0" fontId="21" fillId="12" borderId="38" xfId="0" applyFont="1" applyFill="1" applyBorder="1" applyAlignment="1">
      <alignment horizontal="center" vertical="center"/>
    </xf>
    <xf numFmtId="0" fontId="21" fillId="12" borderId="18" xfId="0" applyFont="1" applyFill="1" applyBorder="1" applyAlignment="1">
      <alignment horizontal="left" vertical="center"/>
    </xf>
    <xf numFmtId="0" fontId="21" fillId="12" borderId="38" xfId="0" applyFont="1" applyFill="1" applyBorder="1" applyAlignment="1">
      <alignment horizontal="left" vertical="center"/>
    </xf>
    <xf numFmtId="0" fontId="21" fillId="12" borderId="19" xfId="0" applyFont="1" applyFill="1" applyBorder="1" applyAlignment="1">
      <alignment horizontal="center" vertical="center"/>
    </xf>
    <xf numFmtId="0" fontId="2" fillId="12" borderId="4" xfId="0" applyFont="1" applyFill="1" applyBorder="1" applyAlignment="1">
      <alignment vertical="center" wrapText="1"/>
    </xf>
    <xf numFmtId="0" fontId="21" fillId="12" borderId="0" xfId="0" applyFont="1" applyFill="1" applyAlignment="1">
      <alignment horizontal="left" vertical="center" wrapText="1"/>
    </xf>
    <xf numFmtId="0" fontId="0" fillId="0" borderId="98" xfId="0" applyBorder="1" applyAlignment="1">
      <alignment horizontal="center" vertical="center"/>
    </xf>
    <xf numFmtId="0" fontId="0" fillId="0" borderId="98" xfId="0" applyBorder="1" applyAlignment="1">
      <alignment horizontal="center"/>
    </xf>
    <xf numFmtId="0" fontId="0" fillId="0" borderId="99" xfId="0" applyBorder="1" applyAlignment="1">
      <alignment horizontal="center" vertical="center"/>
    </xf>
    <xf numFmtId="0" fontId="0" fillId="0" borderId="100" xfId="0" applyBorder="1" applyAlignment="1">
      <alignment horizontal="center" vertical="center"/>
    </xf>
    <xf numFmtId="0" fontId="8" fillId="12" borderId="0" xfId="0" applyFont="1" applyFill="1" applyAlignment="1">
      <alignment vertical="top"/>
    </xf>
    <xf numFmtId="3" fontId="8" fillId="12" borderId="0" xfId="0" applyNumberFormat="1" applyFont="1" applyFill="1"/>
    <xf numFmtId="164" fontId="8" fillId="12" borderId="0" xfId="0" applyNumberFormat="1" applyFont="1" applyFill="1" applyAlignment="1">
      <alignment vertical="center"/>
    </xf>
    <xf numFmtId="164" fontId="7" fillId="12" borderId="0" xfId="0" applyNumberFormat="1" applyFont="1" applyFill="1" applyAlignment="1">
      <alignment vertical="center"/>
    </xf>
    <xf numFmtId="0" fontId="7" fillId="12" borderId="0" xfId="0" applyFont="1" applyFill="1" applyAlignment="1">
      <alignment vertical="center"/>
    </xf>
    <xf numFmtId="0" fontId="8" fillId="12" borderId="0" xfId="0" applyFont="1" applyFill="1" applyAlignment="1">
      <alignment vertical="center"/>
    </xf>
    <xf numFmtId="3" fontId="7" fillId="12" borderId="0" xfId="0" applyNumberFormat="1" applyFont="1" applyFill="1" applyAlignment="1">
      <alignment vertical="center"/>
    </xf>
    <xf numFmtId="0" fontId="8" fillId="12" borderId="0" xfId="0" applyFont="1" applyFill="1" applyAlignment="1">
      <alignment vertical="center" wrapText="1"/>
    </xf>
    <xf numFmtId="0" fontId="114" fillId="12" borderId="0" xfId="0" applyFont="1" applyFill="1" applyAlignment="1">
      <alignment vertical="center" wrapText="1"/>
    </xf>
    <xf numFmtId="0" fontId="8" fillId="12" borderId="0" xfId="0" applyFont="1" applyFill="1"/>
    <xf numFmtId="0" fontId="8" fillId="12" borderId="38" xfId="0" applyFont="1" applyFill="1" applyBorder="1" applyAlignment="1" applyProtection="1">
      <alignment horizontal="center" vertical="center"/>
      <protection locked="0" hidden="1"/>
    </xf>
    <xf numFmtId="0" fontId="8" fillId="12" borderId="38" xfId="0" applyFont="1" applyFill="1" applyBorder="1" applyProtection="1">
      <protection locked="0" hidden="1"/>
    </xf>
    <xf numFmtId="0" fontId="8" fillId="12" borderId="18" xfId="0" applyFont="1" applyFill="1" applyBorder="1" applyAlignment="1" applyProtection="1">
      <alignment vertical="center"/>
      <protection locked="0" hidden="1"/>
    </xf>
    <xf numFmtId="0" fontId="2" fillId="12" borderId="0" xfId="0" applyFont="1" applyFill="1" applyProtection="1">
      <protection locked="0" hidden="1"/>
    </xf>
    <xf numFmtId="0" fontId="2" fillId="12" borderId="4" xfId="0" applyFont="1" applyFill="1" applyBorder="1" applyProtection="1">
      <protection locked="0" hidden="1"/>
    </xf>
    <xf numFmtId="0" fontId="8" fillId="12" borderId="101" xfId="0" applyFont="1" applyFill="1" applyBorder="1" applyAlignment="1" applyProtection="1">
      <alignment vertical="center"/>
      <protection locked="0" hidden="1"/>
    </xf>
    <xf numFmtId="0" fontId="2" fillId="12" borderId="39" xfId="0" applyFont="1" applyFill="1" applyBorder="1" applyProtection="1">
      <protection locked="0" hidden="1"/>
    </xf>
    <xf numFmtId="0" fontId="2" fillId="12" borderId="5" xfId="0" applyFont="1" applyFill="1" applyBorder="1" applyProtection="1">
      <protection locked="0" hidden="1"/>
    </xf>
    <xf numFmtId="0" fontId="3" fillId="12" borderId="13" xfId="0" applyFont="1" applyFill="1" applyBorder="1" applyAlignment="1">
      <alignment vertical="center"/>
    </xf>
    <xf numFmtId="0" fontId="2" fillId="12" borderId="0" xfId="0" applyFont="1" applyFill="1" applyAlignment="1" applyProtection="1">
      <alignment vertical="center"/>
      <protection locked="0" hidden="1"/>
    </xf>
    <xf numFmtId="0" fontId="8" fillId="12" borderId="13" xfId="0" applyFont="1" applyFill="1" applyBorder="1" applyProtection="1">
      <protection locked="0" hidden="1"/>
    </xf>
    <xf numFmtId="0" fontId="8" fillId="12" borderId="1" xfId="0" applyFont="1" applyFill="1" applyBorder="1" applyAlignment="1" applyProtection="1">
      <alignment vertical="center"/>
      <protection locked="0" hidden="1"/>
    </xf>
    <xf numFmtId="0" fontId="2" fillId="2" borderId="0" xfId="0" applyFont="1" applyFill="1"/>
    <xf numFmtId="0" fontId="0" fillId="0" borderId="102" xfId="0" applyBorder="1" applyAlignment="1">
      <alignment horizontal="center"/>
    </xf>
    <xf numFmtId="0" fontId="233" fillId="2" borderId="0" xfId="0" applyFont="1" applyFill="1" applyAlignment="1">
      <alignment vertical="center"/>
    </xf>
    <xf numFmtId="0" fontId="0" fillId="2" borderId="0" xfId="0" applyFill="1" applyAlignment="1">
      <alignment horizontal="left"/>
    </xf>
    <xf numFmtId="0" fontId="209" fillId="2" borderId="0" xfId="0" applyFont="1" applyFill="1"/>
    <xf numFmtId="165" fontId="234" fillId="2" borderId="0" xfId="0" applyNumberFormat="1" applyFont="1" applyFill="1" applyAlignment="1" applyProtection="1">
      <alignment vertical="top"/>
      <protection hidden="1"/>
    </xf>
    <xf numFmtId="0" fontId="235" fillId="2" borderId="0" xfId="0" applyFont="1" applyFill="1" applyAlignment="1" applyProtection="1">
      <alignment horizontal="center"/>
      <protection hidden="1"/>
    </xf>
    <xf numFmtId="0" fontId="8" fillId="12" borderId="3" xfId="0" applyFont="1" applyFill="1" applyBorder="1" applyAlignment="1" applyProtection="1">
      <alignment vertical="center"/>
      <protection hidden="1"/>
    </xf>
    <xf numFmtId="0" fontId="8" fillId="12" borderId="3" xfId="0" applyFont="1" applyFill="1" applyBorder="1" applyProtection="1">
      <protection hidden="1"/>
    </xf>
    <xf numFmtId="0" fontId="8" fillId="12" borderId="17" xfId="0" applyFont="1" applyFill="1" applyBorder="1" applyProtection="1">
      <protection hidden="1"/>
    </xf>
    <xf numFmtId="0" fontId="168" fillId="2" borderId="0" xfId="0" applyFont="1" applyFill="1"/>
    <xf numFmtId="168" fontId="170" fillId="26" borderId="0" xfId="0" applyNumberFormat="1" applyFont="1" applyFill="1" applyAlignment="1" applyProtection="1">
      <alignment horizontal="left" vertical="top" wrapText="1"/>
      <protection hidden="1"/>
    </xf>
    <xf numFmtId="168" fontId="170" fillId="26" borderId="0" xfId="0" applyNumberFormat="1" applyFont="1" applyFill="1" applyAlignment="1" applyProtection="1">
      <alignment vertical="top" wrapText="1"/>
      <protection hidden="1"/>
    </xf>
    <xf numFmtId="3" fontId="179" fillId="2" borderId="0" xfId="0" applyNumberFormat="1" applyFont="1" applyFill="1" applyProtection="1">
      <protection hidden="1"/>
    </xf>
    <xf numFmtId="0" fontId="66" fillId="0" borderId="0" xfId="0" applyFont="1" applyProtection="1">
      <protection hidden="1"/>
    </xf>
    <xf numFmtId="0" fontId="38" fillId="12" borderId="0" xfId="0" applyFont="1" applyFill="1" applyProtection="1">
      <protection hidden="1"/>
    </xf>
    <xf numFmtId="0" fontId="76" fillId="12" borderId="0" xfId="0" applyFont="1" applyFill="1" applyProtection="1">
      <protection hidden="1"/>
    </xf>
    <xf numFmtId="0" fontId="29" fillId="12" borderId="0" xfId="3" applyFont="1" applyFill="1" applyBorder="1" applyAlignment="1" applyProtection="1">
      <alignment vertical="center"/>
      <protection hidden="1"/>
    </xf>
    <xf numFmtId="0" fontId="76" fillId="12" borderId="0" xfId="3" applyFont="1" applyFill="1" applyBorder="1" applyAlignment="1" applyProtection="1">
      <alignment vertical="center"/>
      <protection hidden="1"/>
    </xf>
    <xf numFmtId="0" fontId="17" fillId="12" borderId="0" xfId="3" applyFont="1" applyFill="1" applyBorder="1" applyAlignment="1" applyProtection="1">
      <alignment vertical="center"/>
      <protection hidden="1"/>
    </xf>
    <xf numFmtId="164" fontId="1" fillId="2" borderId="0" xfId="0" applyNumberFormat="1" applyFont="1" applyFill="1" applyAlignment="1" applyProtection="1">
      <alignment horizontal="center" vertical="center" wrapText="1"/>
      <protection hidden="1"/>
    </xf>
    <xf numFmtId="164" fontId="2" fillId="2" borderId="0" xfId="0" applyNumberFormat="1" applyFont="1" applyFill="1" applyAlignment="1" applyProtection="1">
      <alignment horizontal="center" vertical="center" wrapText="1"/>
      <protection hidden="1"/>
    </xf>
    <xf numFmtId="0" fontId="197" fillId="2" borderId="0" xfId="0" applyFont="1" applyFill="1" applyProtection="1">
      <protection hidden="1"/>
    </xf>
    <xf numFmtId="0" fontId="196" fillId="2" borderId="0" xfId="0" applyFont="1" applyFill="1" applyAlignment="1" applyProtection="1">
      <alignment vertical="center"/>
      <protection hidden="1"/>
    </xf>
    <xf numFmtId="3" fontId="196" fillId="2" borderId="0" xfId="0" applyNumberFormat="1" applyFont="1" applyFill="1" applyAlignment="1" applyProtection="1">
      <alignment vertical="center"/>
      <protection hidden="1"/>
    </xf>
    <xf numFmtId="0" fontId="196" fillId="2" borderId="0" xfId="0" applyFont="1" applyFill="1" applyProtection="1">
      <protection hidden="1"/>
    </xf>
    <xf numFmtId="164" fontId="197" fillId="2" borderId="0" xfId="0" applyNumberFormat="1" applyFont="1" applyFill="1" applyAlignment="1" applyProtection="1">
      <alignment vertical="center"/>
      <protection hidden="1"/>
    </xf>
    <xf numFmtId="0" fontId="238" fillId="2" borderId="0" xfId="0" applyFont="1" applyFill="1" applyAlignment="1" applyProtection="1">
      <alignment horizontal="center"/>
      <protection hidden="1"/>
    </xf>
    <xf numFmtId="3" fontId="197" fillId="2" borderId="0" xfId="0" applyNumberFormat="1" applyFont="1" applyFill="1" applyAlignment="1" applyProtection="1">
      <alignment vertical="center"/>
      <protection hidden="1"/>
    </xf>
    <xf numFmtId="164" fontId="239" fillId="2" borderId="0" xfId="0" applyNumberFormat="1" applyFont="1" applyFill="1" applyAlignment="1" applyProtection="1">
      <alignment vertical="center"/>
      <protection hidden="1"/>
    </xf>
    <xf numFmtId="164" fontId="197" fillId="2" borderId="103" xfId="0" applyNumberFormat="1" applyFont="1" applyFill="1" applyBorder="1" applyAlignment="1" applyProtection="1">
      <alignment horizontal="center" vertical="center"/>
      <protection hidden="1"/>
    </xf>
    <xf numFmtId="164" fontId="21" fillId="2" borderId="104" xfId="0" applyNumberFormat="1" applyFont="1" applyFill="1" applyBorder="1" applyAlignment="1" applyProtection="1">
      <alignment horizontal="center" vertical="center"/>
      <protection hidden="1"/>
    </xf>
    <xf numFmtId="164" fontId="21" fillId="2" borderId="105" xfId="0" applyNumberFormat="1" applyFont="1" applyFill="1" applyBorder="1" applyAlignment="1" applyProtection="1">
      <alignment horizontal="center" vertical="center"/>
      <protection hidden="1"/>
    </xf>
    <xf numFmtId="0" fontId="197" fillId="2" borderId="106" xfId="0" applyFont="1" applyFill="1" applyBorder="1" applyAlignment="1" applyProtection="1">
      <alignment horizontal="center" vertical="center"/>
      <protection hidden="1"/>
    </xf>
    <xf numFmtId="0" fontId="50" fillId="7" borderId="0" xfId="0" applyFont="1" applyFill="1"/>
    <xf numFmtId="0" fontId="320" fillId="6" borderId="0" xfId="2" applyFill="1"/>
    <xf numFmtId="0" fontId="240" fillId="6" borderId="52" xfId="0" applyFont="1" applyFill="1" applyBorder="1" applyAlignment="1">
      <alignment vertical="center"/>
    </xf>
    <xf numFmtId="0" fontId="240" fillId="6" borderId="53" xfId="0" applyFont="1" applyFill="1" applyBorder="1" applyAlignment="1">
      <alignment vertical="center"/>
    </xf>
    <xf numFmtId="0" fontId="241" fillId="9" borderId="52" xfId="0" applyFont="1" applyFill="1" applyBorder="1" applyAlignment="1">
      <alignment vertical="center"/>
    </xf>
    <xf numFmtId="0" fontId="242" fillId="6" borderId="0" xfId="0" applyFont="1" applyFill="1"/>
    <xf numFmtId="0" fontId="243" fillId="6" borderId="0" xfId="0" applyFont="1" applyFill="1"/>
    <xf numFmtId="0" fontId="154" fillId="6" borderId="0" xfId="0" applyFont="1" applyFill="1" applyAlignment="1">
      <alignment vertical="center"/>
    </xf>
    <xf numFmtId="0" fontId="242" fillId="6" borderId="0" xfId="0" applyFont="1" applyFill="1" applyAlignment="1">
      <alignment vertical="center"/>
    </xf>
    <xf numFmtId="0" fontId="242" fillId="6" borderId="0" xfId="2" applyFont="1" applyFill="1" applyAlignment="1">
      <alignment vertical="center"/>
    </xf>
    <xf numFmtId="0" fontId="154" fillId="9" borderId="0" xfId="0" applyFont="1" applyFill="1"/>
    <xf numFmtId="0" fontId="154" fillId="9" borderId="0" xfId="0" applyFont="1" applyFill="1" applyAlignment="1">
      <alignment vertical="center"/>
    </xf>
    <xf numFmtId="0" fontId="242" fillId="9" borderId="0" xfId="2" applyFont="1" applyFill="1" applyAlignment="1">
      <alignment vertical="center"/>
    </xf>
    <xf numFmtId="0" fontId="213" fillId="9" borderId="0" xfId="0" applyFont="1" applyFill="1" applyAlignment="1">
      <alignment vertical="center"/>
    </xf>
    <xf numFmtId="0" fontId="245" fillId="7" borderId="110" xfId="0" applyFont="1" applyFill="1" applyBorder="1"/>
    <xf numFmtId="0" fontId="245" fillId="7" borderId="111" xfId="0" applyFont="1" applyFill="1" applyBorder="1"/>
    <xf numFmtId="0" fontId="245" fillId="7" borderId="112" xfId="0" applyFont="1" applyFill="1" applyBorder="1"/>
    <xf numFmtId="0" fontId="245" fillId="7" borderId="113" xfId="0" applyFont="1" applyFill="1" applyBorder="1"/>
    <xf numFmtId="0" fontId="245" fillId="7" borderId="114" xfId="0" applyFont="1" applyFill="1" applyBorder="1"/>
    <xf numFmtId="0" fontId="245" fillId="2" borderId="115" xfId="0" applyFont="1" applyFill="1" applyBorder="1"/>
    <xf numFmtId="0" fontId="246" fillId="2" borderId="116" xfId="0" applyFont="1" applyFill="1" applyBorder="1" applyAlignment="1">
      <alignment horizontal="center" vertical="center"/>
    </xf>
    <xf numFmtId="0" fontId="245" fillId="4" borderId="0" xfId="0" applyFont="1" applyFill="1" applyAlignment="1">
      <alignment horizontal="center" vertical="center"/>
    </xf>
    <xf numFmtId="0" fontId="0" fillId="27" borderId="0" xfId="0" applyFill="1"/>
    <xf numFmtId="0" fontId="0" fillId="0" borderId="12" xfId="0" applyBorder="1" applyAlignment="1">
      <alignment horizontal="left" vertical="center"/>
    </xf>
    <xf numFmtId="0" fontId="0" fillId="0" borderId="12" xfId="0" applyBorder="1" applyAlignment="1">
      <alignment horizontal="center" vertical="center" wrapText="1"/>
    </xf>
    <xf numFmtId="0" fontId="0" fillId="27" borderId="1" xfId="0" applyFill="1" applyBorder="1"/>
    <xf numFmtId="0" fontId="0" fillId="27" borderId="13" xfId="0" applyFill="1" applyBorder="1"/>
    <xf numFmtId="0" fontId="0" fillId="27" borderId="20" xfId="0" applyFill="1" applyBorder="1"/>
    <xf numFmtId="0" fontId="0" fillId="27" borderId="37" xfId="0" applyFill="1" applyBorder="1"/>
    <xf numFmtId="0" fontId="218" fillId="2" borderId="0" xfId="0" applyFont="1" applyFill="1" applyAlignment="1">
      <alignment vertical="center"/>
    </xf>
    <xf numFmtId="164" fontId="18" fillId="2" borderId="39" xfId="0" applyNumberFormat="1" applyFont="1" applyFill="1" applyBorder="1" applyAlignment="1" applyProtection="1">
      <alignment vertical="center"/>
      <protection hidden="1"/>
    </xf>
    <xf numFmtId="3" fontId="70" fillId="0" borderId="12" xfId="0" applyNumberFormat="1" applyFont="1" applyBorder="1" applyAlignment="1">
      <alignment horizontal="center" vertical="center"/>
    </xf>
    <xf numFmtId="0" fontId="70" fillId="0" borderId="0" xfId="0" applyFont="1" applyAlignment="1">
      <alignment vertical="center"/>
    </xf>
    <xf numFmtId="3" fontId="70" fillId="0" borderId="0" xfId="0" applyNumberFormat="1" applyFont="1" applyAlignment="1">
      <alignment vertical="center"/>
    </xf>
    <xf numFmtId="0" fontId="0" fillId="0" borderId="0" xfId="0" applyAlignment="1">
      <alignment horizontal="left" indent="1"/>
    </xf>
    <xf numFmtId="0" fontId="250" fillId="0" borderId="0" xfId="0" applyFont="1"/>
    <xf numFmtId="3" fontId="218" fillId="2" borderId="0" xfId="0" applyNumberFormat="1" applyFont="1" applyFill="1" applyAlignment="1" applyProtection="1">
      <alignment vertical="center"/>
      <protection hidden="1"/>
    </xf>
    <xf numFmtId="164" fontId="21" fillId="2" borderId="119" xfId="0" applyNumberFormat="1" applyFont="1" applyFill="1" applyBorder="1" applyAlignment="1" applyProtection="1">
      <alignment vertical="center"/>
      <protection hidden="1"/>
    </xf>
    <xf numFmtId="0" fontId="233" fillId="2" borderId="0" xfId="0" applyFont="1" applyFill="1" applyAlignment="1">
      <alignment horizontal="center" vertical="center"/>
    </xf>
    <xf numFmtId="0" fontId="233" fillId="0" borderId="12" xfId="0" applyFont="1" applyBorder="1" applyAlignment="1">
      <alignment horizontal="center" vertical="center"/>
    </xf>
    <xf numFmtId="0" fontId="142" fillId="7" borderId="0" xfId="0" applyFont="1" applyFill="1"/>
    <xf numFmtId="0" fontId="248" fillId="2" borderId="9" xfId="0" applyFont="1" applyFill="1" applyBorder="1" applyAlignment="1">
      <alignment vertical="center"/>
    </xf>
    <xf numFmtId="0" fontId="248" fillId="2" borderId="0" xfId="0" applyFont="1" applyFill="1" applyAlignment="1">
      <alignment vertical="center"/>
    </xf>
    <xf numFmtId="3" fontId="0" fillId="4" borderId="90" xfId="0" applyNumberFormat="1" applyFill="1" applyBorder="1" applyAlignment="1">
      <alignment horizontal="right" vertical="center"/>
    </xf>
    <xf numFmtId="0" fontId="20" fillId="12" borderId="6" xfId="0" applyFont="1" applyFill="1" applyBorder="1" applyProtection="1">
      <protection hidden="1"/>
    </xf>
    <xf numFmtId="0" fontId="20" fillId="12" borderId="0" xfId="0" applyFont="1" applyFill="1" applyProtection="1">
      <protection hidden="1"/>
    </xf>
    <xf numFmtId="0" fontId="20" fillId="12" borderId="0" xfId="0" applyFont="1" applyFill="1" applyAlignment="1" applyProtection="1">
      <alignment horizontal="center"/>
      <protection hidden="1"/>
    </xf>
    <xf numFmtId="0" fontId="20" fillId="12" borderId="4" xfId="0" applyFont="1" applyFill="1" applyBorder="1" applyProtection="1">
      <protection hidden="1"/>
    </xf>
    <xf numFmtId="0" fontId="38" fillId="12" borderId="6" xfId="0" applyFont="1" applyFill="1" applyBorder="1" applyAlignment="1" applyProtection="1">
      <alignment vertical="center"/>
      <protection hidden="1"/>
    </xf>
    <xf numFmtId="0" fontId="38" fillId="12" borderId="0" xfId="0" applyFont="1" applyFill="1" applyAlignment="1" applyProtection="1">
      <alignment horizontal="right" vertical="center"/>
      <protection hidden="1"/>
    </xf>
    <xf numFmtId="0" fontId="100" fillId="12" borderId="0" xfId="0" applyFont="1" applyFill="1" applyProtection="1">
      <protection hidden="1"/>
    </xf>
    <xf numFmtId="0" fontId="101" fillId="12" borderId="0" xfId="0" applyFont="1" applyFill="1" applyProtection="1">
      <protection hidden="1"/>
    </xf>
    <xf numFmtId="0" fontId="15" fillId="12" borderId="0" xfId="0" applyFont="1" applyFill="1" applyAlignment="1" applyProtection="1">
      <alignment horizontal="right"/>
      <protection hidden="1"/>
    </xf>
    <xf numFmtId="0" fontId="8" fillId="12" borderId="6" xfId="0" applyFont="1" applyFill="1" applyBorder="1" applyAlignment="1" applyProtection="1">
      <alignment vertical="center"/>
      <protection hidden="1"/>
    </xf>
    <xf numFmtId="164" fontId="3" fillId="12" borderId="0" xfId="0" applyNumberFormat="1" applyFont="1" applyFill="1" applyAlignment="1" applyProtection="1">
      <alignment vertical="center"/>
      <protection hidden="1"/>
    </xf>
    <xf numFmtId="0" fontId="38" fillId="12" borderId="6" xfId="0" applyFont="1" applyFill="1" applyBorder="1" applyProtection="1">
      <protection hidden="1"/>
    </xf>
    <xf numFmtId="0" fontId="8" fillId="12" borderId="0" xfId="0" applyFont="1" applyFill="1" applyProtection="1">
      <protection hidden="1"/>
    </xf>
    <xf numFmtId="0" fontId="22" fillId="12" borderId="4" xfId="0" applyFont="1" applyFill="1" applyBorder="1" applyProtection="1">
      <protection hidden="1"/>
    </xf>
    <xf numFmtId="0" fontId="2" fillId="12" borderId="0" xfId="0" applyFont="1" applyFill="1" applyProtection="1">
      <protection hidden="1"/>
    </xf>
    <xf numFmtId="0" fontId="40" fillId="12" borderId="0" xfId="0" applyFont="1" applyFill="1" applyAlignment="1" applyProtection="1">
      <alignment horizontal="left"/>
      <protection hidden="1"/>
    </xf>
    <xf numFmtId="0" fontId="38" fillId="12" borderId="0" xfId="0" applyFont="1" applyFill="1" applyAlignment="1" applyProtection="1">
      <alignment horizontal="left"/>
      <protection hidden="1"/>
    </xf>
    <xf numFmtId="0" fontId="22" fillId="12" borderId="4" xfId="0" applyFont="1" applyFill="1" applyBorder="1" applyAlignment="1" applyProtection="1">
      <alignment horizontal="left"/>
      <protection hidden="1"/>
    </xf>
    <xf numFmtId="49" fontId="38" fillId="12" borderId="0" xfId="0" applyNumberFormat="1" applyFont="1" applyFill="1" applyAlignment="1" applyProtection="1">
      <alignment horizontal="left"/>
      <protection hidden="1"/>
    </xf>
    <xf numFmtId="0" fontId="20" fillId="12" borderId="7" xfId="0" applyFont="1" applyFill="1" applyBorder="1" applyProtection="1">
      <protection hidden="1"/>
    </xf>
    <xf numFmtId="0" fontId="20" fillId="12" borderId="39" xfId="0" applyFont="1" applyFill="1" applyBorder="1" applyProtection="1">
      <protection hidden="1"/>
    </xf>
    <xf numFmtId="0" fontId="20" fillId="12" borderId="5" xfId="0" applyFont="1" applyFill="1" applyBorder="1" applyProtection="1">
      <protection hidden="1"/>
    </xf>
    <xf numFmtId="0" fontId="59" fillId="4" borderId="0" xfId="0" applyFont="1" applyFill="1" applyAlignment="1" applyProtection="1">
      <alignment vertical="center" wrapText="1"/>
      <protection hidden="1"/>
    </xf>
    <xf numFmtId="0" fontId="257" fillId="2" borderId="0" xfId="0" applyFont="1" applyFill="1" applyProtection="1">
      <protection hidden="1"/>
    </xf>
    <xf numFmtId="0" fontId="320" fillId="2" borderId="0" xfId="2" applyFill="1" applyProtection="1">
      <protection hidden="1"/>
    </xf>
    <xf numFmtId="0" fontId="320" fillId="2" borderId="0" xfId="2" applyFill="1" applyAlignment="1" applyProtection="1">
      <alignment horizontal="left" indent="2"/>
      <protection hidden="1"/>
    </xf>
    <xf numFmtId="0" fontId="0" fillId="2" borderId="0" xfId="0" applyFill="1" applyAlignment="1" applyProtection="1">
      <alignment horizontal="left" indent="2"/>
      <protection hidden="1"/>
    </xf>
    <xf numFmtId="0" fontId="218" fillId="4" borderId="0" xfId="0" applyFont="1" applyFill="1" applyAlignment="1">
      <alignment horizontal="center" vertical="center"/>
    </xf>
    <xf numFmtId="0" fontId="70" fillId="17" borderId="12" xfId="0" applyFont="1" applyFill="1" applyBorder="1" applyAlignment="1">
      <alignment horizontal="center" vertical="center"/>
    </xf>
    <xf numFmtId="3" fontId="70" fillId="17" borderId="12" xfId="0" applyNumberFormat="1" applyFont="1" applyFill="1" applyBorder="1" applyAlignment="1">
      <alignment horizontal="center" vertical="center"/>
    </xf>
    <xf numFmtId="0" fontId="171" fillId="0" borderId="0" xfId="0" applyFont="1" applyAlignment="1">
      <alignment horizontal="left" vertical="center"/>
    </xf>
    <xf numFmtId="0" fontId="14" fillId="0" borderId="34" xfId="0" applyFont="1" applyBorder="1" applyAlignment="1" applyProtection="1">
      <alignment vertical="center"/>
      <protection hidden="1"/>
    </xf>
    <xf numFmtId="0" fontId="233" fillId="7" borderId="0" xfId="0" applyFont="1" applyFill="1" applyAlignment="1">
      <alignment horizontal="center" vertical="center"/>
    </xf>
    <xf numFmtId="0" fontId="233" fillId="6" borderId="0" xfId="0" applyFont="1" applyFill="1" applyAlignment="1">
      <alignment horizontal="center" vertical="center"/>
    </xf>
    <xf numFmtId="0" fontId="218" fillId="2" borderId="0" xfId="0" applyFont="1" applyFill="1" applyAlignment="1">
      <alignment horizontal="center" vertical="center"/>
    </xf>
    <xf numFmtId="0" fontId="218" fillId="4" borderId="0" xfId="0" applyFont="1" applyFill="1"/>
    <xf numFmtId="166" fontId="233" fillId="0" borderId="12" xfId="0" applyNumberFormat="1" applyFont="1" applyBorder="1" applyAlignment="1">
      <alignment horizontal="center" vertical="center"/>
    </xf>
    <xf numFmtId="166" fontId="233" fillId="0" borderId="12" xfId="0" applyNumberFormat="1" applyFont="1" applyBorder="1" applyAlignment="1">
      <alignment horizontal="center"/>
    </xf>
    <xf numFmtId="0" fontId="233" fillId="0" borderId="12" xfId="0" applyFont="1" applyBorder="1" applyAlignment="1">
      <alignment horizontal="center"/>
    </xf>
    <xf numFmtId="0" fontId="233" fillId="0" borderId="12" xfId="0" applyFont="1" applyBorder="1"/>
    <xf numFmtId="0" fontId="233" fillId="0" borderId="0" xfId="0" applyFont="1" applyAlignment="1">
      <alignment horizontal="center" vertical="center"/>
    </xf>
    <xf numFmtId="0" fontId="233" fillId="24" borderId="12" xfId="0" applyFont="1" applyFill="1" applyBorder="1" applyAlignment="1">
      <alignment horizontal="center" vertical="center"/>
    </xf>
    <xf numFmtId="0" fontId="176" fillId="4" borderId="0" xfId="0" applyFont="1" applyFill="1"/>
    <xf numFmtId="1" fontId="176" fillId="4" borderId="0" xfId="0" applyNumberFormat="1" applyFont="1" applyFill="1" applyAlignment="1">
      <alignment horizontal="center"/>
    </xf>
    <xf numFmtId="0" fontId="264" fillId="4" borderId="0" xfId="0" applyFont="1" applyFill="1"/>
    <xf numFmtId="0" fontId="215" fillId="4" borderId="0" xfId="0" applyFont="1" applyFill="1"/>
    <xf numFmtId="0" fontId="134" fillId="0" borderId="0" xfId="0" applyFont="1" applyAlignment="1" applyProtection="1">
      <alignment horizontal="center"/>
      <protection hidden="1"/>
    </xf>
    <xf numFmtId="0" fontId="22" fillId="12" borderId="0" xfId="0" applyFont="1" applyFill="1" applyAlignment="1" applyProtection="1">
      <alignment horizontal="center"/>
      <protection hidden="1"/>
    </xf>
    <xf numFmtId="0" fontId="266" fillId="4" borderId="12" xfId="0" applyFont="1" applyFill="1" applyBorder="1" applyAlignment="1">
      <alignment horizontal="center" vertical="center"/>
    </xf>
    <xf numFmtId="0" fontId="208" fillId="4" borderId="12" xfId="0" applyFont="1" applyFill="1" applyBorder="1" applyAlignment="1">
      <alignment horizontal="center" vertical="center"/>
    </xf>
    <xf numFmtId="0" fontId="261" fillId="11" borderId="12" xfId="0" applyFont="1" applyFill="1" applyBorder="1" applyAlignment="1">
      <alignment horizontal="center" vertical="center"/>
    </xf>
    <xf numFmtId="0" fontId="267" fillId="4" borderId="12" xfId="0" applyFont="1" applyFill="1" applyBorder="1" applyAlignment="1">
      <alignment horizontal="center" vertical="center" wrapText="1"/>
    </xf>
    <xf numFmtId="0" fontId="267" fillId="4" borderId="12" xfId="0" applyFont="1" applyFill="1" applyBorder="1" applyAlignment="1">
      <alignment horizontal="center" vertical="center"/>
    </xf>
    <xf numFmtId="0" fontId="236" fillId="16" borderId="12" xfId="0" applyFont="1" applyFill="1" applyBorder="1" applyAlignment="1">
      <alignment horizontal="center" vertical="center"/>
    </xf>
    <xf numFmtId="0" fontId="268" fillId="16" borderId="12" xfId="0" applyFont="1" applyFill="1" applyBorder="1" applyAlignment="1">
      <alignment horizontal="center" vertical="center"/>
    </xf>
    <xf numFmtId="0" fontId="266" fillId="2" borderId="12" xfId="0" applyFont="1" applyFill="1" applyBorder="1" applyAlignment="1">
      <alignment horizontal="center" vertical="center" wrapText="1"/>
    </xf>
    <xf numFmtId="0" fontId="138" fillId="2" borderId="12" xfId="0" applyFont="1" applyFill="1" applyBorder="1" applyAlignment="1">
      <alignment horizontal="center" vertical="center"/>
    </xf>
    <xf numFmtId="0" fontId="0" fillId="12" borderId="0" xfId="0" applyFill="1"/>
    <xf numFmtId="0" fontId="270" fillId="4" borderId="12" xfId="0" applyFont="1" applyFill="1" applyBorder="1" applyAlignment="1">
      <alignment horizontal="center" vertical="center" wrapText="1"/>
    </xf>
    <xf numFmtId="0" fontId="274" fillId="18" borderId="0" xfId="0" applyFont="1" applyFill="1"/>
    <xf numFmtId="0" fontId="233" fillId="8" borderId="0" xfId="0" applyFont="1" applyFill="1" applyAlignment="1">
      <alignment horizontal="center" vertical="center"/>
    </xf>
    <xf numFmtId="0" fontId="0" fillId="28" borderId="0" xfId="0" applyFill="1"/>
    <xf numFmtId="0" fontId="233" fillId="17" borderId="12" xfId="0" applyFont="1" applyFill="1" applyBorder="1" applyAlignment="1">
      <alignment horizontal="center" vertical="center"/>
    </xf>
    <xf numFmtId="0" fontId="179" fillId="0" borderId="0" xfId="0" applyFont="1" applyAlignment="1">
      <alignment horizontal="center" vertical="center"/>
    </xf>
    <xf numFmtId="0" fontId="179" fillId="0" borderId="0" xfId="0" applyFont="1" applyAlignment="1">
      <alignment horizontal="left" vertical="center"/>
    </xf>
    <xf numFmtId="3" fontId="179" fillId="0" borderId="0" xfId="0" applyNumberFormat="1" applyFont="1" applyAlignment="1">
      <alignment horizontal="center" vertical="center"/>
    </xf>
    <xf numFmtId="0" fontId="233" fillId="17" borderId="83" xfId="0" applyFont="1" applyFill="1" applyBorder="1" applyAlignment="1">
      <alignment horizontal="center" vertical="center"/>
    </xf>
    <xf numFmtId="0" fontId="0" fillId="17" borderId="83" xfId="0" applyFill="1" applyBorder="1" applyAlignment="1">
      <alignment horizontal="center" vertical="center"/>
    </xf>
    <xf numFmtId="0" fontId="144" fillId="17" borderId="83" xfId="0" applyFont="1" applyFill="1" applyBorder="1" applyAlignment="1">
      <alignment horizontal="left" vertical="center"/>
    </xf>
    <xf numFmtId="37" fontId="142" fillId="17" borderId="83" xfId="0" applyNumberFormat="1" applyFont="1" applyFill="1" applyBorder="1" applyAlignment="1">
      <alignment horizontal="center" vertical="center"/>
    </xf>
    <xf numFmtId="0" fontId="0" fillId="17" borderId="12" xfId="0" applyFill="1" applyBorder="1" applyAlignment="1">
      <alignment horizontal="center" vertical="center"/>
    </xf>
    <xf numFmtId="0" fontId="144" fillId="17" borderId="12" xfId="0" applyFont="1" applyFill="1" applyBorder="1" applyAlignment="1">
      <alignment horizontal="left" vertical="center"/>
    </xf>
    <xf numFmtId="37" fontId="142" fillId="17" borderId="12" xfId="0" applyNumberFormat="1" applyFont="1" applyFill="1" applyBorder="1" applyAlignment="1">
      <alignment horizontal="center" vertical="center"/>
    </xf>
    <xf numFmtId="0" fontId="142" fillId="17" borderId="12" xfId="0" applyFont="1" applyFill="1" applyBorder="1" applyAlignment="1">
      <alignment horizontal="center" vertical="center"/>
    </xf>
    <xf numFmtId="0" fontId="10" fillId="17" borderId="12" xfId="0" applyFont="1" applyFill="1" applyBorder="1" applyAlignment="1">
      <alignment horizontal="center" vertical="center"/>
    </xf>
    <xf numFmtId="0" fontId="8" fillId="17" borderId="12" xfId="0" applyFont="1" applyFill="1" applyBorder="1" applyAlignment="1">
      <alignment horizontal="center" vertical="center"/>
    </xf>
    <xf numFmtId="0" fontId="8" fillId="17" borderId="12" xfId="0" applyFont="1" applyFill="1" applyBorder="1" applyAlignment="1">
      <alignment horizontal="left" vertical="center"/>
    </xf>
    <xf numFmtId="0" fontId="2" fillId="17" borderId="12" xfId="0" applyFont="1" applyFill="1" applyBorder="1" applyAlignment="1">
      <alignment horizontal="center" vertical="center"/>
    </xf>
    <xf numFmtId="3" fontId="0" fillId="17" borderId="12" xfId="0" applyNumberFormat="1" applyFill="1" applyBorder="1" applyAlignment="1">
      <alignment horizontal="center" vertical="center"/>
    </xf>
    <xf numFmtId="0" fontId="135" fillId="0" borderId="12" xfId="0" applyFont="1" applyBorder="1" applyAlignment="1" applyProtection="1">
      <alignment horizontal="center" vertical="center"/>
      <protection hidden="1"/>
    </xf>
    <xf numFmtId="0" fontId="135" fillId="0" borderId="12" xfId="0" applyFont="1" applyBorder="1" applyAlignment="1" applyProtection="1">
      <alignment horizontal="center"/>
      <protection hidden="1"/>
    </xf>
    <xf numFmtId="1" fontId="233" fillId="0" borderId="12" xfId="0" applyNumberFormat="1" applyFont="1" applyBorder="1" applyAlignment="1" applyProtection="1">
      <alignment horizontal="center" vertical="center"/>
      <protection hidden="1"/>
    </xf>
    <xf numFmtId="170" fontId="233" fillId="0" borderId="12" xfId="0" applyNumberFormat="1" applyFont="1" applyBorder="1" applyAlignment="1" applyProtection="1">
      <alignment horizontal="center"/>
      <protection hidden="1"/>
    </xf>
    <xf numFmtId="0" fontId="233" fillId="0" borderId="12" xfId="0" applyFont="1" applyBorder="1" applyAlignment="1" applyProtection="1">
      <alignment horizontal="center"/>
      <protection hidden="1"/>
    </xf>
    <xf numFmtId="1" fontId="233" fillId="0" borderId="12" xfId="0" applyNumberFormat="1" applyFont="1" applyBorder="1" applyAlignment="1" applyProtection="1">
      <alignment horizontal="center"/>
      <protection hidden="1"/>
    </xf>
    <xf numFmtId="9" fontId="197" fillId="2" borderId="103" xfId="0" applyNumberFormat="1" applyFont="1" applyFill="1" applyBorder="1" applyAlignment="1" applyProtection="1">
      <alignment horizontal="center" vertical="center"/>
      <protection hidden="1"/>
    </xf>
    <xf numFmtId="0" fontId="144" fillId="0" borderId="0" xfId="0" applyFont="1"/>
    <xf numFmtId="0" fontId="144" fillId="12" borderId="0" xfId="0" applyFont="1" applyFill="1"/>
    <xf numFmtId="0" fontId="277" fillId="19" borderId="12" xfId="0" applyFont="1" applyFill="1" applyBorder="1" applyAlignment="1">
      <alignment horizontal="center"/>
    </xf>
    <xf numFmtId="0" fontId="144" fillId="7" borderId="0" xfId="0" applyFont="1" applyFill="1"/>
    <xf numFmtId="0" fontId="144" fillId="2" borderId="0" xfId="0" applyFont="1" applyFill="1"/>
    <xf numFmtId="0" fontId="144" fillId="18" borderId="0" xfId="0" applyFont="1" applyFill="1"/>
    <xf numFmtId="0" fontId="144" fillId="6" borderId="0" xfId="0" applyFont="1" applyFill="1"/>
    <xf numFmtId="0" fontId="144" fillId="16" borderId="0" xfId="0" applyFont="1" applyFill="1"/>
    <xf numFmtId="0" fontId="144" fillId="4" borderId="0" xfId="0" applyFont="1" applyFill="1"/>
    <xf numFmtId="0" fontId="144" fillId="8" borderId="0" xfId="0" applyFont="1" applyFill="1"/>
    <xf numFmtId="0" fontId="144" fillId="11" borderId="0" xfId="0" applyFont="1" applyFill="1"/>
    <xf numFmtId="0" fontId="261" fillId="0" borderId="1" xfId="0" applyFont="1" applyBorder="1" applyAlignment="1">
      <alignment horizontal="center" vertical="center"/>
    </xf>
    <xf numFmtId="0" fontId="261" fillId="0" borderId="0" xfId="0" applyFont="1" applyAlignment="1">
      <alignment horizontal="center" vertical="center"/>
    </xf>
    <xf numFmtId="0" fontId="233" fillId="0" borderId="1" xfId="0" applyFont="1" applyBorder="1" applyAlignment="1">
      <alignment horizontal="left"/>
    </xf>
    <xf numFmtId="0" fontId="233" fillId="0" borderId="0" xfId="0" applyFont="1" applyAlignment="1">
      <alignment horizontal="center"/>
    </xf>
    <xf numFmtId="0" fontId="233" fillId="0" borderId="1" xfId="0" applyFont="1" applyBorder="1" applyAlignment="1">
      <alignment horizontal="left" vertical="center"/>
    </xf>
    <xf numFmtId="166" fontId="261" fillId="0" borderId="12" xfId="0" applyNumberFormat="1" applyFont="1" applyBorder="1" applyAlignment="1">
      <alignment horizontal="center"/>
    </xf>
    <xf numFmtId="167" fontId="0" fillId="0" borderId="0" xfId="0" applyNumberFormat="1"/>
    <xf numFmtId="0" fontId="261" fillId="0" borderId="12" xfId="0" applyFont="1" applyBorder="1" applyAlignment="1">
      <alignment horizontal="center"/>
    </xf>
    <xf numFmtId="0" fontId="229" fillId="4" borderId="12" xfId="0" applyFont="1" applyFill="1" applyBorder="1" applyAlignment="1">
      <alignment horizontal="center" vertical="center"/>
    </xf>
    <xf numFmtId="0" fontId="228" fillId="4" borderId="12" xfId="0" applyFont="1" applyFill="1" applyBorder="1" applyAlignment="1">
      <alignment horizontal="center" vertical="center"/>
    </xf>
    <xf numFmtId="166" fontId="233" fillId="8" borderId="0" xfId="0" applyNumberFormat="1" applyFont="1" applyFill="1" applyAlignment="1">
      <alignment horizontal="center" vertical="center"/>
    </xf>
    <xf numFmtId="0" fontId="233" fillId="11" borderId="0" xfId="0" applyFont="1" applyFill="1" applyAlignment="1">
      <alignment horizontal="center" vertical="center"/>
    </xf>
    <xf numFmtId="0" fontId="280" fillId="0" borderId="12" xfId="0" applyFont="1" applyBorder="1" applyAlignment="1">
      <alignment horizontal="center"/>
    </xf>
    <xf numFmtId="0" fontId="280" fillId="12" borderId="12" xfId="0" applyFont="1" applyFill="1" applyBorder="1" applyAlignment="1">
      <alignment horizontal="center"/>
    </xf>
    <xf numFmtId="0" fontId="233" fillId="4" borderId="0" xfId="0" applyFont="1" applyFill="1"/>
    <xf numFmtId="0" fontId="281" fillId="4" borderId="0" xfId="0" applyFont="1" applyFill="1" applyAlignment="1">
      <alignment horizontal="center" vertical="center"/>
    </xf>
    <xf numFmtId="0" fontId="233" fillId="18" borderId="0" xfId="0" applyFont="1" applyFill="1" applyAlignment="1">
      <alignment horizontal="center"/>
    </xf>
    <xf numFmtId="0" fontId="233" fillId="7" borderId="0" xfId="0" applyFont="1" applyFill="1" applyAlignment="1">
      <alignment horizontal="center"/>
    </xf>
    <xf numFmtId="0" fontId="233" fillId="2" borderId="0" xfId="0" applyFont="1" applyFill="1" applyAlignment="1">
      <alignment horizontal="center"/>
    </xf>
    <xf numFmtId="0" fontId="233" fillId="0" borderId="12" xfId="0" applyFont="1" applyBorder="1" applyAlignment="1">
      <alignment vertical="center"/>
    </xf>
    <xf numFmtId="166" fontId="196" fillId="4" borderId="0" xfId="0" applyNumberFormat="1" applyFont="1" applyFill="1" applyAlignment="1">
      <alignment horizontal="center" vertical="center"/>
    </xf>
    <xf numFmtId="0" fontId="144" fillId="17" borderId="12" xfId="0" applyFont="1" applyFill="1" applyBorder="1" applyAlignment="1">
      <alignment horizontal="center" vertical="center"/>
    </xf>
    <xf numFmtId="166" fontId="144" fillId="17" borderId="12" xfId="0" applyNumberFormat="1" applyFont="1" applyFill="1" applyBorder="1" applyAlignment="1">
      <alignment horizontal="center" vertical="center"/>
    </xf>
    <xf numFmtId="0" fontId="144" fillId="24" borderId="12" xfId="0" applyFont="1" applyFill="1" applyBorder="1" applyAlignment="1">
      <alignment horizontal="center"/>
    </xf>
    <xf numFmtId="0" fontId="233" fillId="24" borderId="12" xfId="0" applyFont="1" applyFill="1" applyBorder="1" applyAlignment="1">
      <alignment horizontal="center"/>
    </xf>
    <xf numFmtId="0" fontId="218" fillId="4" borderId="12" xfId="0" applyFont="1" applyFill="1" applyBorder="1" applyAlignment="1">
      <alignment horizontal="center" vertical="center"/>
    </xf>
    <xf numFmtId="0" fontId="218" fillId="4" borderId="12" xfId="0" applyFont="1" applyFill="1" applyBorder="1" applyAlignment="1">
      <alignment horizontal="center" vertical="center" wrapText="1"/>
    </xf>
    <xf numFmtId="0" fontId="233" fillId="24" borderId="12" xfId="0" applyFont="1" applyFill="1" applyBorder="1"/>
    <xf numFmtId="0" fontId="0" fillId="24" borderId="12" xfId="0" applyFill="1" applyBorder="1" applyAlignment="1">
      <alignment horizontal="center"/>
    </xf>
    <xf numFmtId="0" fontId="218" fillId="3" borderId="12" xfId="0" applyFont="1" applyFill="1" applyBorder="1"/>
    <xf numFmtId="0" fontId="218" fillId="3" borderId="12" xfId="0" applyFont="1" applyFill="1" applyBorder="1" applyAlignment="1">
      <alignment horizontal="center" vertical="center"/>
    </xf>
    <xf numFmtId="0" fontId="233" fillId="0" borderId="1" xfId="0" applyFont="1" applyBorder="1" applyAlignment="1">
      <alignment horizontal="center"/>
    </xf>
    <xf numFmtId="0" fontId="229" fillId="4" borderId="12" xfId="0" applyFont="1" applyFill="1" applyBorder="1" applyAlignment="1">
      <alignment vertical="center"/>
    </xf>
    <xf numFmtId="0" fontId="247" fillId="2" borderId="12" xfId="0" applyFont="1" applyFill="1" applyBorder="1" applyAlignment="1">
      <alignment horizontal="center" vertical="center"/>
    </xf>
    <xf numFmtId="166" fontId="247" fillId="2" borderId="12" xfId="0" applyNumberFormat="1" applyFont="1" applyFill="1" applyBorder="1" applyAlignment="1">
      <alignment horizontal="center" vertical="center"/>
    </xf>
    <xf numFmtId="0" fontId="261" fillId="0" borderId="12" xfId="0" applyFont="1" applyBorder="1" applyAlignment="1">
      <alignment horizontal="center" vertical="center"/>
    </xf>
    <xf numFmtId="17" fontId="0" fillId="0" borderId="0" xfId="0" applyNumberFormat="1"/>
    <xf numFmtId="176" fontId="0" fillId="0" borderId="0" xfId="0" applyNumberFormat="1"/>
    <xf numFmtId="176" fontId="233" fillId="0" borderId="12" xfId="0" applyNumberFormat="1" applyFont="1" applyBorder="1" applyAlignment="1">
      <alignment horizontal="center" vertical="center"/>
    </xf>
    <xf numFmtId="177" fontId="0" fillId="0" borderId="0" xfId="0" applyNumberFormat="1"/>
    <xf numFmtId="0" fontId="233" fillId="0" borderId="0" xfId="0" applyFont="1"/>
    <xf numFmtId="0" fontId="233" fillId="18" borderId="0" xfId="0" applyFont="1" applyFill="1" applyAlignment="1">
      <alignment horizontal="center" vertical="center"/>
    </xf>
    <xf numFmtId="166" fontId="282" fillId="5" borderId="0" xfId="0" applyNumberFormat="1" applyFont="1" applyFill="1" applyAlignment="1">
      <alignment horizontal="center" vertical="center"/>
    </xf>
    <xf numFmtId="0" fontId="247" fillId="15" borderId="12" xfId="0" applyFont="1" applyFill="1" applyBorder="1" applyAlignment="1">
      <alignment horizontal="center" vertical="center"/>
    </xf>
    <xf numFmtId="166" fontId="247" fillId="15" borderId="12" xfId="0" applyNumberFormat="1" applyFont="1" applyFill="1" applyBorder="1" applyAlignment="1">
      <alignment horizontal="center" vertical="center"/>
    </xf>
    <xf numFmtId="0" fontId="137" fillId="15" borderId="12" xfId="0" applyFont="1" applyFill="1" applyBorder="1" applyAlignment="1">
      <alignment horizontal="center" vertical="center"/>
    </xf>
    <xf numFmtId="0" fontId="233" fillId="15" borderId="18" xfId="0" applyFont="1" applyFill="1" applyBorder="1"/>
    <xf numFmtId="0" fontId="233" fillId="15" borderId="38" xfId="0" applyFont="1" applyFill="1" applyBorder="1"/>
    <xf numFmtId="0" fontId="233" fillId="15" borderId="2" xfId="0" applyFont="1" applyFill="1" applyBorder="1"/>
    <xf numFmtId="0" fontId="233" fillId="22" borderId="12" xfId="0" applyFont="1" applyFill="1" applyBorder="1" applyAlignment="1">
      <alignment horizontal="center" vertical="center"/>
    </xf>
    <xf numFmtId="0" fontId="233" fillId="12" borderId="0" xfId="0" applyFont="1" applyFill="1"/>
    <xf numFmtId="0" fontId="218" fillId="2" borderId="22" xfId="0" applyFont="1" applyFill="1" applyBorder="1" applyAlignment="1">
      <alignment horizontal="center"/>
    </xf>
    <xf numFmtId="0" fontId="266" fillId="4" borderId="0" xfId="0" applyFont="1" applyFill="1" applyAlignment="1">
      <alignment horizontal="center" vertical="center"/>
    </xf>
    <xf numFmtId="0" fontId="218" fillId="16" borderId="0" xfId="0" applyFont="1" applyFill="1" applyAlignment="1">
      <alignment horizontal="center" vertical="center"/>
    </xf>
    <xf numFmtId="0" fontId="266" fillId="4" borderId="0" xfId="0" applyFont="1" applyFill="1" applyAlignment="1">
      <alignment horizontal="center" vertical="center" wrapText="1"/>
    </xf>
    <xf numFmtId="0" fontId="233" fillId="12" borderId="0" xfId="0" applyFont="1" applyFill="1" applyAlignment="1">
      <alignment horizontal="center" vertical="center"/>
    </xf>
    <xf numFmtId="0" fontId="218" fillId="4" borderId="0" xfId="0" applyFont="1" applyFill="1" applyAlignment="1">
      <alignment horizontal="center"/>
    </xf>
    <xf numFmtId="0" fontId="247" fillId="2" borderId="0" xfId="0" applyFont="1" applyFill="1" applyAlignment="1">
      <alignment horizontal="center" vertical="center"/>
    </xf>
    <xf numFmtId="0" fontId="233" fillId="12" borderId="0" xfId="0" applyFont="1" applyFill="1" applyAlignment="1">
      <alignment horizontal="center"/>
    </xf>
    <xf numFmtId="0" fontId="233" fillId="7" borderId="126" xfId="0" applyFont="1" applyFill="1" applyBorder="1" applyAlignment="1">
      <alignment horizontal="center"/>
    </xf>
    <xf numFmtId="9" fontId="233" fillId="0" borderId="12" xfId="0" applyNumberFormat="1" applyFont="1" applyBorder="1" applyAlignment="1">
      <alignment horizontal="center"/>
    </xf>
    <xf numFmtId="0" fontId="142" fillId="2" borderId="0" xfId="0" applyFont="1" applyFill="1"/>
    <xf numFmtId="0" fontId="142" fillId="18" borderId="0" xfId="0" applyFont="1" applyFill="1"/>
    <xf numFmtId="0" fontId="142" fillId="4" borderId="0" xfId="0" applyFont="1" applyFill="1"/>
    <xf numFmtId="0" fontId="142" fillId="16" borderId="0" xfId="0" applyFont="1" applyFill="1"/>
    <xf numFmtId="0" fontId="142" fillId="8" borderId="0" xfId="0" applyFont="1" applyFill="1"/>
    <xf numFmtId="0" fontId="142" fillId="11" borderId="0" xfId="0" applyFont="1" applyFill="1"/>
    <xf numFmtId="0" fontId="142" fillId="6" borderId="0" xfId="0" applyFont="1" applyFill="1"/>
    <xf numFmtId="166" fontId="218" fillId="2" borderId="0" xfId="0" applyNumberFormat="1" applyFont="1" applyFill="1" applyAlignment="1">
      <alignment horizontal="center" vertical="center"/>
    </xf>
    <xf numFmtId="166" fontId="218" fillId="16" borderId="0" xfId="0" applyNumberFormat="1" applyFont="1" applyFill="1" applyAlignment="1">
      <alignment horizontal="center" vertical="center"/>
    </xf>
    <xf numFmtId="166" fontId="233" fillId="12" borderId="12" xfId="0" applyNumberFormat="1" applyFont="1" applyFill="1" applyBorder="1" applyAlignment="1">
      <alignment horizontal="center" vertical="center"/>
    </xf>
    <xf numFmtId="166" fontId="233" fillId="0" borderId="12" xfId="0" applyNumberFormat="1" applyFont="1" applyBorder="1" applyAlignment="1">
      <alignment vertical="center"/>
    </xf>
    <xf numFmtId="0" fontId="233" fillId="16" borderId="0" xfId="0" applyFont="1" applyFill="1" applyAlignment="1">
      <alignment horizontal="center" vertical="center"/>
    </xf>
    <xf numFmtId="0" fontId="233" fillId="8" borderId="0" xfId="0" applyFont="1" applyFill="1" applyAlignment="1">
      <alignment horizontal="center"/>
    </xf>
    <xf numFmtId="0" fontId="233" fillId="11" borderId="0" xfId="0" applyFont="1" applyFill="1"/>
    <xf numFmtId="0" fontId="233" fillId="11" borderId="0" xfId="0" applyFont="1" applyFill="1" applyAlignment="1">
      <alignment horizontal="center"/>
    </xf>
    <xf numFmtId="0" fontId="233" fillId="6" borderId="0" xfId="0" applyFont="1" applyFill="1"/>
    <xf numFmtId="0" fontId="142" fillId="0" borderId="0" xfId="0" applyFont="1"/>
    <xf numFmtId="166" fontId="233" fillId="0" borderId="2" xfId="0" applyNumberFormat="1" applyFont="1" applyBorder="1" applyAlignment="1">
      <alignment vertical="center"/>
    </xf>
    <xf numFmtId="0" fontId="261" fillId="0" borderId="62" xfId="0" applyFont="1" applyBorder="1" applyAlignment="1">
      <alignment horizontal="center" vertical="center"/>
    </xf>
    <xf numFmtId="0" fontId="142" fillId="0" borderId="38" xfId="0" applyFont="1" applyBorder="1"/>
    <xf numFmtId="0" fontId="233" fillId="16" borderId="0" xfId="0" applyFont="1" applyFill="1" applyAlignment="1">
      <alignment horizontal="center"/>
    </xf>
    <xf numFmtId="0" fontId="218" fillId="6" borderId="0" xfId="0" applyFont="1" applyFill="1" applyAlignment="1">
      <alignment horizontal="center" vertical="center"/>
    </xf>
    <xf numFmtId="0" fontId="142" fillId="22" borderId="18" xfId="0" applyFont="1" applyFill="1" applyBorder="1"/>
    <xf numFmtId="0" fontId="142" fillId="22" borderId="38" xfId="0" applyFont="1" applyFill="1" applyBorder="1"/>
    <xf numFmtId="0" fontId="142" fillId="22" borderId="2" xfId="0" applyFont="1" applyFill="1" applyBorder="1"/>
    <xf numFmtId="0" fontId="142" fillId="12" borderId="0" xfId="0" applyFont="1" applyFill="1"/>
    <xf numFmtId="0" fontId="142" fillId="22" borderId="1" xfId="0" applyFont="1" applyFill="1" applyBorder="1"/>
    <xf numFmtId="0" fontId="142" fillId="22" borderId="0" xfId="0" applyFont="1" applyFill="1"/>
    <xf numFmtId="0" fontId="142" fillId="22" borderId="13" xfId="0" applyFont="1" applyFill="1" applyBorder="1"/>
    <xf numFmtId="0" fontId="142" fillId="27" borderId="0" xfId="0" applyFont="1" applyFill="1"/>
    <xf numFmtId="0" fontId="142" fillId="27" borderId="13" xfId="0" applyFont="1" applyFill="1" applyBorder="1"/>
    <xf numFmtId="0" fontId="233" fillId="22" borderId="0" xfId="0" applyFont="1" applyFill="1" applyAlignment="1">
      <alignment horizontal="center" vertical="center"/>
    </xf>
    <xf numFmtId="0" fontId="142" fillId="22" borderId="20" xfId="0" applyFont="1" applyFill="1" applyBorder="1"/>
    <xf numFmtId="0" fontId="142" fillId="22" borderId="3" xfId="0" applyFont="1" applyFill="1" applyBorder="1"/>
    <xf numFmtId="0" fontId="142" fillId="22" borderId="37" xfId="0" applyFont="1" applyFill="1" applyBorder="1"/>
    <xf numFmtId="0" fontId="233" fillId="2" borderId="0" xfId="0" applyFont="1" applyFill="1"/>
    <xf numFmtId="0" fontId="233" fillId="18" borderId="0" xfId="0" applyFont="1" applyFill="1"/>
    <xf numFmtId="0" fontId="233" fillId="7" borderId="0" xfId="0" applyFont="1" applyFill="1"/>
    <xf numFmtId="0" fontId="233" fillId="16" borderId="0" xfId="0" applyFont="1" applyFill="1"/>
    <xf numFmtId="0" fontId="233" fillId="8" borderId="0" xfId="0" applyFont="1" applyFill="1"/>
    <xf numFmtId="9" fontId="233" fillId="18" borderId="0" xfId="0" applyNumberFormat="1" applyFont="1" applyFill="1" applyAlignment="1">
      <alignment horizontal="center"/>
    </xf>
    <xf numFmtId="0" fontId="218" fillId="16" borderId="0" xfId="0" applyFont="1" applyFill="1"/>
    <xf numFmtId="9" fontId="218" fillId="4" borderId="0" xfId="0" applyNumberFormat="1" applyFont="1" applyFill="1" applyAlignment="1">
      <alignment horizontal="center"/>
    </xf>
    <xf numFmtId="9" fontId="233" fillId="0" borderId="12" xfId="0" applyNumberFormat="1" applyFont="1" applyBorder="1" applyAlignment="1">
      <alignment horizontal="center" vertical="center"/>
    </xf>
    <xf numFmtId="166" fontId="233" fillId="11" borderId="0" xfId="0" applyNumberFormat="1" applyFont="1" applyFill="1" applyAlignment="1">
      <alignment horizontal="center" vertical="center"/>
    </xf>
    <xf numFmtId="0" fontId="10" fillId="12" borderId="12" xfId="0" applyFont="1" applyFill="1" applyBorder="1" applyAlignment="1">
      <alignment horizontal="center" vertical="center"/>
    </xf>
    <xf numFmtId="0" fontId="233" fillId="0" borderId="12" xfId="0" applyFont="1" applyBorder="1" applyAlignment="1">
      <alignment horizontal="center" wrapText="1"/>
    </xf>
    <xf numFmtId="0" fontId="266" fillId="4" borderId="0" xfId="0" applyFont="1" applyFill="1" applyAlignment="1">
      <alignment vertical="center"/>
    </xf>
    <xf numFmtId="0" fontId="266" fillId="4" borderId="3" xfId="0" applyFont="1" applyFill="1" applyBorder="1" applyAlignment="1">
      <alignment vertical="center"/>
    </xf>
    <xf numFmtId="0" fontId="233" fillId="7" borderId="12" xfId="0" applyFont="1" applyFill="1" applyBorder="1" applyAlignment="1">
      <alignment horizontal="center"/>
    </xf>
    <xf numFmtId="0" fontId="218" fillId="4" borderId="12" xfId="0" applyFont="1" applyFill="1" applyBorder="1" applyAlignment="1">
      <alignment horizontal="center"/>
    </xf>
    <xf numFmtId="0" fontId="233" fillId="8" borderId="12" xfId="0" applyFont="1" applyFill="1" applyBorder="1" applyAlignment="1">
      <alignment horizontal="center"/>
    </xf>
    <xf numFmtId="0" fontId="196" fillId="2" borderId="0" xfId="0" applyFont="1" applyFill="1"/>
    <xf numFmtId="0" fontId="143" fillId="8" borderId="12" xfId="0" applyFont="1" applyFill="1" applyBorder="1" applyAlignment="1">
      <alignment horizontal="center"/>
    </xf>
    <xf numFmtId="0" fontId="271" fillId="7" borderId="12" xfId="0" applyFont="1" applyFill="1" applyBorder="1" applyAlignment="1">
      <alignment horizontal="center" vertical="center"/>
    </xf>
    <xf numFmtId="0" fontId="271" fillId="7" borderId="22" xfId="0" applyFont="1" applyFill="1" applyBorder="1" applyAlignment="1">
      <alignment horizontal="center" vertical="center"/>
    </xf>
    <xf numFmtId="0" fontId="290" fillId="7" borderId="25" xfId="0" applyFont="1" applyFill="1" applyBorder="1" applyAlignment="1">
      <alignment horizontal="center" vertical="center"/>
    </xf>
    <xf numFmtId="0" fontId="233" fillId="8" borderId="22" xfId="0" applyFont="1" applyFill="1" applyBorder="1"/>
    <xf numFmtId="0" fontId="144" fillId="8" borderId="25" xfId="0" applyFont="1" applyFill="1" applyBorder="1"/>
    <xf numFmtId="0" fontId="233" fillId="16" borderId="22" xfId="0" applyFont="1" applyFill="1" applyBorder="1"/>
    <xf numFmtId="0" fontId="218" fillId="16" borderId="25" xfId="0" applyFont="1" applyFill="1" applyBorder="1" applyAlignment="1">
      <alignment horizontal="center" vertical="center"/>
    </xf>
    <xf numFmtId="0" fontId="218" fillId="16" borderId="12" xfId="0" applyFont="1" applyFill="1" applyBorder="1" applyAlignment="1">
      <alignment horizontal="center" vertical="center"/>
    </xf>
    <xf numFmtId="1" fontId="10" fillId="12" borderId="12" xfId="0" applyNumberFormat="1" applyFont="1" applyFill="1" applyBorder="1" applyAlignment="1">
      <alignment horizontal="center"/>
    </xf>
    <xf numFmtId="0" fontId="262" fillId="4" borderId="0" xfId="0" applyFont="1" applyFill="1" applyAlignment="1">
      <alignment horizontal="center" vertical="center" wrapText="1"/>
    </xf>
    <xf numFmtId="0" fontId="262" fillId="4" borderId="0" xfId="0" applyFont="1" applyFill="1" applyAlignment="1">
      <alignment horizontal="center" vertical="center"/>
    </xf>
    <xf numFmtId="166" fontId="233" fillId="18" borderId="0" xfId="0" applyNumberFormat="1" applyFont="1" applyFill="1"/>
    <xf numFmtId="166" fontId="233" fillId="18" borderId="0" xfId="0" applyNumberFormat="1" applyFont="1" applyFill="1" applyAlignment="1">
      <alignment horizontal="center"/>
    </xf>
    <xf numFmtId="0" fontId="273" fillId="7" borderId="0" xfId="0" applyFont="1" applyFill="1" applyAlignment="1">
      <alignment vertical="center"/>
    </xf>
    <xf numFmtId="0" fontId="233" fillId="3" borderId="0" xfId="0" applyFont="1" applyFill="1"/>
    <xf numFmtId="0" fontId="233" fillId="3" borderId="0" xfId="0" applyFont="1" applyFill="1" applyAlignment="1">
      <alignment horizontal="center"/>
    </xf>
    <xf numFmtId="0" fontId="233" fillId="3" borderId="12" xfId="0" applyFont="1" applyFill="1" applyBorder="1" applyAlignment="1">
      <alignment horizontal="center"/>
    </xf>
    <xf numFmtId="0" fontId="233" fillId="19" borderId="0" xfId="0" applyFont="1" applyFill="1"/>
    <xf numFmtId="0" fontId="314" fillId="4" borderId="0" xfId="0" applyFont="1" applyFill="1"/>
    <xf numFmtId="0" fontId="315" fillId="4" borderId="0" xfId="0" applyFont="1" applyFill="1"/>
    <xf numFmtId="0" fontId="88" fillId="0" borderId="12" xfId="0" applyFont="1" applyBorder="1" applyAlignment="1">
      <alignment horizontal="center" vertical="center"/>
    </xf>
    <xf numFmtId="9" fontId="316" fillId="0" borderId="12" xfId="0" applyNumberFormat="1" applyFont="1" applyBorder="1" applyAlignment="1">
      <alignment horizontal="center"/>
    </xf>
    <xf numFmtId="0" fontId="233" fillId="12" borderId="12" xfId="0" applyFont="1" applyFill="1" applyBorder="1" applyAlignment="1">
      <alignment horizontal="center" vertical="center"/>
    </xf>
    <xf numFmtId="0" fontId="321" fillId="0" borderId="12" xfId="0" applyFont="1" applyBorder="1" applyAlignment="1">
      <alignment horizontal="center"/>
    </xf>
    <xf numFmtId="0" fontId="233" fillId="32" borderId="0" xfId="0" applyFont="1" applyFill="1"/>
    <xf numFmtId="0" fontId="322" fillId="32" borderId="0" xfId="0" applyFont="1" applyFill="1" applyAlignment="1">
      <alignment horizontal="center"/>
    </xf>
    <xf numFmtId="0" fontId="322" fillId="32" borderId="0" xfId="0" applyFont="1" applyFill="1"/>
    <xf numFmtId="0" fontId="0" fillId="33" borderId="0" xfId="0" applyFill="1"/>
    <xf numFmtId="0" fontId="322" fillId="33" borderId="0" xfId="0" applyFont="1" applyFill="1" applyAlignment="1">
      <alignment horizontal="center" vertical="center" textRotation="90"/>
    </xf>
    <xf numFmtId="0" fontId="0" fillId="32" borderId="0" xfId="0" applyFill="1"/>
    <xf numFmtId="0" fontId="0" fillId="35" borderId="0" xfId="0" applyFill="1"/>
    <xf numFmtId="0" fontId="325" fillId="35" borderId="0" xfId="0" applyFont="1" applyFill="1" applyAlignment="1">
      <alignment horizontal="center" vertical="center" textRotation="90"/>
    </xf>
    <xf numFmtId="0" fontId="317" fillId="4" borderId="0" xfId="0" applyFont="1" applyFill="1" applyAlignment="1">
      <alignment horizontal="center" vertical="center"/>
    </xf>
    <xf numFmtId="0" fontId="322" fillId="32" borderId="12" xfId="0" applyFont="1" applyFill="1" applyBorder="1" applyAlignment="1">
      <alignment horizontal="center" wrapText="1"/>
    </xf>
    <xf numFmtId="0" fontId="0" fillId="36" borderId="0" xfId="0" applyFill="1"/>
    <xf numFmtId="0" fontId="88" fillId="0" borderId="12" xfId="0" applyFont="1" applyBorder="1" applyAlignment="1">
      <alignment horizontal="center"/>
    </xf>
    <xf numFmtId="0" fontId="0" fillId="39" borderId="0" xfId="0" applyFill="1"/>
    <xf numFmtId="0" fontId="0" fillId="40" borderId="0" xfId="0" applyFill="1"/>
    <xf numFmtId="0" fontId="0" fillId="41" borderId="0" xfId="0" applyFill="1"/>
    <xf numFmtId="0" fontId="0" fillId="42" borderId="0" xfId="0" applyFill="1"/>
    <xf numFmtId="0" fontId="0" fillId="43" borderId="0" xfId="0" applyFill="1"/>
    <xf numFmtId="0" fontId="233" fillId="44" borderId="0" xfId="0" applyFont="1" applyFill="1"/>
    <xf numFmtId="0" fontId="233" fillId="44" borderId="0" xfId="0" applyFont="1" applyFill="1" applyAlignment="1">
      <alignment horizontal="center" vertical="center"/>
    </xf>
    <xf numFmtId="0" fontId="142" fillId="44" borderId="0" xfId="0" applyFont="1" applyFill="1" applyAlignment="1">
      <alignment horizontal="center" vertical="center"/>
    </xf>
    <xf numFmtId="0" fontId="322" fillId="16" borderId="0" xfId="0" applyFont="1" applyFill="1" applyAlignment="1">
      <alignment horizontal="center" vertical="center"/>
    </xf>
    <xf numFmtId="0" fontId="322" fillId="45" borderId="0" xfId="0" applyFont="1" applyFill="1" applyAlignment="1">
      <alignment horizontal="center"/>
    </xf>
    <xf numFmtId="166" fontId="322" fillId="16" borderId="12" xfId="0" applyNumberFormat="1" applyFont="1" applyFill="1" applyBorder="1" applyAlignment="1">
      <alignment horizontal="center" vertical="center"/>
    </xf>
    <xf numFmtId="0" fontId="322" fillId="16" borderId="0" xfId="0" applyFont="1" applyFill="1"/>
    <xf numFmtId="0" fontId="323" fillId="33" borderId="12" xfId="0" applyFont="1" applyFill="1" applyBorder="1" applyAlignment="1">
      <alignment horizontal="center" vertical="center"/>
    </xf>
    <xf numFmtId="0" fontId="323" fillId="33" borderId="12" xfId="0" applyFont="1" applyFill="1" applyBorder="1" applyAlignment="1">
      <alignment horizontal="center" vertical="center" wrapText="1"/>
    </xf>
    <xf numFmtId="0" fontId="218" fillId="4" borderId="12" xfId="0" applyFont="1" applyFill="1" applyBorder="1" applyAlignment="1">
      <alignment horizontal="left" vertical="center" wrapText="1"/>
    </xf>
    <xf numFmtId="0" fontId="328" fillId="0" borderId="12" xfId="0" applyFont="1" applyBorder="1" applyAlignment="1">
      <alignment horizontal="center"/>
    </xf>
    <xf numFmtId="0" fontId="321" fillId="0" borderId="0" xfId="0" applyFont="1" applyAlignment="1">
      <alignment horizontal="center" vertical="center"/>
    </xf>
    <xf numFmtId="0" fontId="322" fillId="33" borderId="0" xfId="0" applyFont="1" applyFill="1" applyAlignment="1">
      <alignment horizontal="center" vertical="center"/>
    </xf>
    <xf numFmtId="0" fontId="322" fillId="33" borderId="0" xfId="0" applyFont="1" applyFill="1" applyAlignment="1">
      <alignment horizontal="center" vertical="center" wrapText="1"/>
    </xf>
    <xf numFmtId="0" fontId="321" fillId="0" borderId="0" xfId="0" applyFont="1"/>
    <xf numFmtId="0" fontId="321" fillId="0" borderId="178" xfId="0" applyFont="1" applyBorder="1" applyAlignment="1">
      <alignment horizontal="center" vertical="center"/>
    </xf>
    <xf numFmtId="0" fontId="321" fillId="0" borderId="178" xfId="0" applyFont="1" applyBorder="1" applyAlignment="1">
      <alignment horizontal="center"/>
    </xf>
    <xf numFmtId="0" fontId="44" fillId="18" borderId="0" xfId="0" applyFont="1" applyFill="1" applyAlignment="1">
      <alignment horizontal="center" vertical="center"/>
    </xf>
    <xf numFmtId="0" fontId="233" fillId="33" borderId="0" xfId="0" applyFont="1" applyFill="1"/>
    <xf numFmtId="0" fontId="0" fillId="46" borderId="0" xfId="0" applyFill="1"/>
    <xf numFmtId="166" fontId="261" fillId="0" borderId="179" xfId="0" applyNumberFormat="1" applyFont="1" applyBorder="1" applyAlignment="1">
      <alignment horizontal="center"/>
    </xf>
    <xf numFmtId="0" fontId="261" fillId="0" borderId="180" xfId="0" applyFont="1" applyBorder="1" applyAlignment="1">
      <alignment horizontal="center"/>
    </xf>
    <xf numFmtId="166" fontId="261" fillId="0" borderId="1" xfId="0" applyNumberFormat="1" applyFont="1" applyBorder="1" applyAlignment="1">
      <alignment horizontal="center"/>
    </xf>
    <xf numFmtId="0" fontId="261" fillId="0" borderId="0" xfId="0" applyFont="1" applyAlignment="1">
      <alignment horizontal="center"/>
    </xf>
    <xf numFmtId="0" fontId="229" fillId="4" borderId="181" xfId="0" applyFont="1" applyFill="1" applyBorder="1" applyAlignment="1">
      <alignment horizontal="center" vertical="center"/>
    </xf>
    <xf numFmtId="0" fontId="228" fillId="4" borderId="181" xfId="0" applyFont="1" applyFill="1" applyBorder="1" applyAlignment="1">
      <alignment horizontal="center" vertical="center"/>
    </xf>
    <xf numFmtId="0" fontId="0" fillId="0" borderId="178" xfId="0" applyBorder="1"/>
    <xf numFmtId="0" fontId="322" fillId="33" borderId="0" xfId="0" applyFont="1" applyFill="1"/>
    <xf numFmtId="0" fontId="332" fillId="33" borderId="0" xfId="0" applyFont="1" applyFill="1"/>
    <xf numFmtId="0" fontId="233" fillId="41" borderId="0" xfId="0" applyFont="1" applyFill="1"/>
    <xf numFmtId="0" fontId="0" fillId="48" borderId="0" xfId="0" applyFill="1"/>
    <xf numFmtId="0" fontId="233" fillId="45" borderId="0" xfId="0" applyFont="1" applyFill="1"/>
    <xf numFmtId="0" fontId="0" fillId="45" borderId="0" xfId="0" applyFill="1"/>
    <xf numFmtId="0" fontId="233" fillId="47" borderId="0" xfId="0" applyFont="1" applyFill="1"/>
    <xf numFmtId="0" fontId="0" fillId="47" borderId="0" xfId="0" applyFill="1"/>
    <xf numFmtId="0" fontId="0" fillId="44" borderId="0" xfId="0" applyFill="1"/>
    <xf numFmtId="0" fontId="233" fillId="46" borderId="0" xfId="0" applyFont="1" applyFill="1"/>
    <xf numFmtId="0" fontId="88" fillId="18" borderId="0" xfId="0" applyFont="1" applyFill="1" applyAlignment="1">
      <alignment vertical="center"/>
    </xf>
    <xf numFmtId="0" fontId="233" fillId="18" borderId="0" xfId="0" applyFont="1" applyFill="1" applyAlignment="1">
      <alignment vertical="center"/>
    </xf>
    <xf numFmtId="0" fontId="233" fillId="7" borderId="0" xfId="0" applyFont="1" applyFill="1" applyAlignment="1">
      <alignment vertical="center"/>
    </xf>
    <xf numFmtId="0" fontId="126" fillId="4" borderId="0" xfId="0" applyFont="1" applyFill="1"/>
    <xf numFmtId="0" fontId="321" fillId="40" borderId="0" xfId="0" applyFont="1" applyFill="1" applyAlignment="1">
      <alignment horizontal="center" vertical="center"/>
    </xf>
    <xf numFmtId="0" fontId="321" fillId="39" borderId="0" xfId="0" applyFont="1" applyFill="1" applyAlignment="1">
      <alignment horizontal="center" vertical="center"/>
    </xf>
    <xf numFmtId="0" fontId="233" fillId="49" borderId="12" xfId="0" applyFont="1" applyFill="1" applyBorder="1" applyAlignment="1">
      <alignment horizontal="center" vertical="center"/>
    </xf>
    <xf numFmtId="0" fontId="322" fillId="48" borderId="0" xfId="0" applyFont="1" applyFill="1" applyAlignment="1">
      <alignment horizontal="center"/>
    </xf>
    <xf numFmtId="0" fontId="322" fillId="48" borderId="0" xfId="0" applyFont="1" applyFill="1" applyAlignment="1">
      <alignment horizontal="center" vertical="center"/>
    </xf>
    <xf numFmtId="0" fontId="321" fillId="40" borderId="0" xfId="0" applyFont="1" applyFill="1" applyAlignment="1">
      <alignment horizontal="center"/>
    </xf>
    <xf numFmtId="0" fontId="321" fillId="39" borderId="0" xfId="0" applyFont="1" applyFill="1" applyAlignment="1">
      <alignment horizontal="center"/>
    </xf>
    <xf numFmtId="0" fontId="321" fillId="45" borderId="0" xfId="0" applyFont="1" applyFill="1" applyAlignment="1">
      <alignment horizontal="center"/>
    </xf>
    <xf numFmtId="0" fontId="321" fillId="46" borderId="0" xfId="0" applyFont="1" applyFill="1" applyAlignment="1">
      <alignment horizontal="center"/>
    </xf>
    <xf numFmtId="0" fontId="321" fillId="47" borderId="178" xfId="0" applyFont="1" applyFill="1" applyBorder="1" applyAlignment="1">
      <alignment horizontal="center" vertical="center"/>
    </xf>
    <xf numFmtId="0" fontId="321" fillId="47" borderId="0" xfId="0" applyFont="1" applyFill="1" applyAlignment="1">
      <alignment horizontal="center" vertical="center"/>
    </xf>
    <xf numFmtId="176" fontId="321" fillId="47" borderId="178" xfId="0" applyNumberFormat="1" applyFont="1" applyFill="1" applyBorder="1" applyAlignment="1">
      <alignment horizontal="center" vertical="center"/>
    </xf>
    <xf numFmtId="0" fontId="322" fillId="41" borderId="0" xfId="0" applyFont="1" applyFill="1" applyAlignment="1">
      <alignment horizontal="center"/>
    </xf>
    <xf numFmtId="0" fontId="322" fillId="44" borderId="0" xfId="0" applyFont="1" applyFill="1" applyAlignment="1">
      <alignment horizontal="center"/>
    </xf>
    <xf numFmtId="0" fontId="142" fillId="41" borderId="0" xfId="0" applyFont="1" applyFill="1"/>
    <xf numFmtId="166" fontId="322" fillId="41" borderId="0" xfId="0" applyNumberFormat="1" applyFont="1" applyFill="1" applyAlignment="1">
      <alignment horizontal="center" vertical="center"/>
    </xf>
    <xf numFmtId="0" fontId="322" fillId="41" borderId="0" xfId="0" applyFont="1" applyFill="1" applyAlignment="1">
      <alignment horizontal="center" vertical="center"/>
    </xf>
    <xf numFmtId="0" fontId="322" fillId="41" borderId="0" xfId="0" applyFont="1" applyFill="1"/>
    <xf numFmtId="0" fontId="333" fillId="44" borderId="0" xfId="0" applyFont="1" applyFill="1"/>
    <xf numFmtId="0" fontId="142" fillId="45" borderId="0" xfId="0" applyFont="1" applyFill="1"/>
    <xf numFmtId="166" fontId="218" fillId="45" borderId="0" xfId="0" applyNumberFormat="1" applyFont="1" applyFill="1" applyAlignment="1">
      <alignment horizontal="center" vertical="center"/>
    </xf>
    <xf numFmtId="0" fontId="322" fillId="45" borderId="178" xfId="0" applyFont="1" applyFill="1" applyBorder="1" applyAlignment="1">
      <alignment horizontal="center" vertical="center"/>
    </xf>
    <xf numFmtId="0" fontId="322" fillId="44" borderId="0" xfId="0" applyFont="1" applyFill="1" applyAlignment="1">
      <alignment horizontal="center" vertical="center"/>
    </xf>
    <xf numFmtId="166" fontId="322" fillId="6" borderId="0" xfId="0" applyNumberFormat="1" applyFont="1" applyFill="1" applyAlignment="1">
      <alignment horizontal="center" vertical="center"/>
    </xf>
    <xf numFmtId="166" fontId="233" fillId="0" borderId="178" xfId="0" applyNumberFormat="1" applyFont="1" applyBorder="1" applyAlignment="1">
      <alignment vertical="center"/>
    </xf>
    <xf numFmtId="0" fontId="10" fillId="50" borderId="178" xfId="0" applyFont="1" applyFill="1" applyBorder="1" applyAlignment="1">
      <alignment horizontal="center" vertical="center"/>
    </xf>
    <xf numFmtId="0" fontId="321" fillId="46" borderId="178" xfId="0" applyFont="1" applyFill="1" applyBorder="1" applyAlignment="1">
      <alignment horizontal="center"/>
    </xf>
    <xf numFmtId="0" fontId="41" fillId="4" borderId="0" xfId="0" applyFont="1" applyFill="1" applyAlignment="1">
      <alignment horizontal="center" vertical="center"/>
    </xf>
    <xf numFmtId="0" fontId="88" fillId="50" borderId="12" xfId="0" applyFont="1" applyFill="1" applyBorder="1" applyAlignment="1">
      <alignment horizontal="center" vertical="center"/>
    </xf>
    <xf numFmtId="0" fontId="322" fillId="45" borderId="0" xfId="0" applyFont="1" applyFill="1" applyAlignment="1">
      <alignment horizontal="center" vertical="center"/>
    </xf>
    <xf numFmtId="0" fontId="332" fillId="44" borderId="0" xfId="0" applyFont="1" applyFill="1" applyAlignment="1">
      <alignment horizontal="center" vertical="center"/>
    </xf>
    <xf numFmtId="176" fontId="322" fillId="45" borderId="178" xfId="0" applyNumberFormat="1" applyFont="1" applyFill="1" applyBorder="1" applyAlignment="1">
      <alignment horizontal="center" vertical="center"/>
    </xf>
    <xf numFmtId="0" fontId="332" fillId="45" borderId="0" xfId="0" applyFont="1" applyFill="1"/>
    <xf numFmtId="0" fontId="233" fillId="18" borderId="178" xfId="0" applyFont="1" applyFill="1" applyBorder="1" applyAlignment="1">
      <alignment horizontal="center"/>
    </xf>
    <xf numFmtId="0" fontId="8" fillId="7" borderId="178" xfId="0" applyFont="1" applyFill="1" applyBorder="1" applyAlignment="1">
      <alignment horizontal="center" vertical="center"/>
    </xf>
    <xf numFmtId="0" fontId="218" fillId="4" borderId="178" xfId="0" applyFont="1" applyFill="1" applyBorder="1" applyAlignment="1">
      <alignment horizontal="center" vertical="center"/>
    </xf>
    <xf numFmtId="0" fontId="332" fillId="16" borderId="178" xfId="0" applyFont="1" applyFill="1" applyBorder="1" applyAlignment="1">
      <alignment horizontal="center" vertical="center"/>
    </xf>
    <xf numFmtId="0" fontId="10" fillId="8" borderId="178" xfId="0" applyFont="1" applyFill="1" applyBorder="1" applyAlignment="1">
      <alignment horizontal="center" vertical="center"/>
    </xf>
    <xf numFmtId="0" fontId="218" fillId="2" borderId="178" xfId="0" applyFont="1" applyFill="1" applyBorder="1" applyAlignment="1">
      <alignment horizontal="center" vertical="center"/>
    </xf>
    <xf numFmtId="0" fontId="322" fillId="45" borderId="181" xfId="0" applyFont="1" applyFill="1" applyBorder="1" applyAlignment="1">
      <alignment horizontal="center"/>
    </xf>
    <xf numFmtId="166" fontId="233" fillId="0" borderId="82" xfId="0" applyNumberFormat="1" applyFont="1" applyBorder="1" applyAlignment="1">
      <alignment horizontal="center"/>
    </xf>
    <xf numFmtId="166" fontId="233" fillId="6" borderId="178" xfId="0" applyNumberFormat="1" applyFont="1" applyFill="1" applyBorder="1" applyAlignment="1">
      <alignment horizontal="center"/>
    </xf>
    <xf numFmtId="0" fontId="321" fillId="46" borderId="178" xfId="0" applyFont="1" applyFill="1" applyBorder="1" applyAlignment="1">
      <alignment horizontal="center" vertical="center"/>
    </xf>
    <xf numFmtId="0" fontId="44" fillId="51" borderId="12" xfId="0" applyFont="1" applyFill="1" applyBorder="1" applyAlignment="1">
      <alignment horizontal="center" vertical="center"/>
    </xf>
    <xf numFmtId="166" fontId="44" fillId="51" borderId="12" xfId="0" applyNumberFormat="1" applyFont="1" applyFill="1" applyBorder="1" applyAlignment="1">
      <alignment horizontal="center" vertical="center"/>
    </xf>
    <xf numFmtId="0" fontId="334" fillId="51" borderId="12" xfId="0" applyFont="1" applyFill="1" applyBorder="1" applyAlignment="1">
      <alignment horizontal="center" vertical="center"/>
    </xf>
    <xf numFmtId="166" fontId="196" fillId="43" borderId="0" xfId="0" applyNumberFormat="1" applyFont="1" applyFill="1" applyAlignment="1">
      <alignment horizontal="center" vertical="center"/>
    </xf>
    <xf numFmtId="0" fontId="325" fillId="0" borderId="178" xfId="0" applyFont="1" applyBorder="1" applyAlignment="1">
      <alignment horizontal="center" vertical="center"/>
    </xf>
    <xf numFmtId="0" fontId="0" fillId="52" borderId="0" xfId="0" applyFill="1"/>
    <xf numFmtId="0" fontId="0" fillId="53" borderId="0" xfId="0" applyFill="1"/>
    <xf numFmtId="0" fontId="88" fillId="23" borderId="12" xfId="0" applyFont="1" applyFill="1" applyBorder="1" applyAlignment="1">
      <alignment horizontal="center" vertical="center"/>
    </xf>
    <xf numFmtId="0" fontId="88" fillId="25" borderId="12" xfId="0" applyFont="1" applyFill="1" applyBorder="1" applyAlignment="1">
      <alignment horizontal="center" vertical="center"/>
    </xf>
    <xf numFmtId="0" fontId="88" fillId="29" borderId="12" xfId="0" applyFont="1" applyFill="1" applyBorder="1" applyAlignment="1">
      <alignment horizontal="center"/>
    </xf>
    <xf numFmtId="0" fontId="88" fillId="22" borderId="12" xfId="0" applyFont="1" applyFill="1" applyBorder="1" applyAlignment="1">
      <alignment horizontal="center"/>
    </xf>
    <xf numFmtId="0" fontId="88" fillId="12" borderId="12" xfId="0" applyFont="1" applyFill="1" applyBorder="1" applyAlignment="1">
      <alignment horizontal="center"/>
    </xf>
    <xf numFmtId="0" fontId="0" fillId="37" borderId="0" xfId="0" applyFill="1"/>
    <xf numFmtId="0" fontId="0" fillId="31" borderId="0" xfId="0" applyFill="1"/>
    <xf numFmtId="0" fontId="0" fillId="54" borderId="0" xfId="0" applyFill="1"/>
    <xf numFmtId="0" fontId="50" fillId="4" borderId="12" xfId="0" applyFont="1" applyFill="1" applyBorder="1" applyAlignment="1">
      <alignment horizontal="center" vertical="center"/>
    </xf>
    <xf numFmtId="0" fontId="321" fillId="0" borderId="12" xfId="0" applyFont="1" applyBorder="1"/>
    <xf numFmtId="0" fontId="50" fillId="4" borderId="12" xfId="0" applyFont="1" applyFill="1" applyBorder="1" applyAlignment="1">
      <alignment horizontal="center" vertical="center" wrapText="1"/>
    </xf>
    <xf numFmtId="1" fontId="321" fillId="0" borderId="12" xfId="0" applyNumberFormat="1" applyFont="1" applyBorder="1" applyAlignment="1">
      <alignment horizontal="center"/>
    </xf>
    <xf numFmtId="1" fontId="325" fillId="0" borderId="12" xfId="0" applyNumberFormat="1" applyFont="1" applyBorder="1" applyAlignment="1">
      <alignment horizontal="center"/>
    </xf>
    <xf numFmtId="1" fontId="325" fillId="0" borderId="12" xfId="0" applyNumberFormat="1" applyFont="1" applyBorder="1" applyAlignment="1">
      <alignment horizontal="center" vertical="center"/>
    </xf>
    <xf numFmtId="176" fontId="321" fillId="35" borderId="0" xfId="0" applyNumberFormat="1" applyFont="1" applyFill="1" applyAlignment="1">
      <alignment horizontal="center"/>
    </xf>
    <xf numFmtId="0" fontId="197" fillId="2" borderId="103" xfId="0" applyFont="1" applyFill="1" applyBorder="1" applyAlignment="1" applyProtection="1">
      <alignment horizontal="center" vertical="center"/>
      <protection hidden="1"/>
    </xf>
    <xf numFmtId="0" fontId="197" fillId="2" borderId="106" xfId="0" applyFont="1" applyFill="1" applyBorder="1" applyAlignment="1" applyProtection="1">
      <alignment horizontal="center"/>
      <protection hidden="1"/>
    </xf>
    <xf numFmtId="0" fontId="197" fillId="2" borderId="0" xfId="0" applyFont="1" applyFill="1" applyAlignment="1" applyProtection="1">
      <alignment horizontal="center"/>
      <protection hidden="1"/>
    </xf>
    <xf numFmtId="0" fontId="332" fillId="33" borderId="0" xfId="0" applyFont="1" applyFill="1" applyAlignment="1">
      <alignment horizontal="center" vertical="center"/>
    </xf>
    <xf numFmtId="0" fontId="321" fillId="0" borderId="0" xfId="0" applyFont="1" applyAlignment="1">
      <alignment horizontal="center"/>
    </xf>
    <xf numFmtId="0" fontId="322" fillId="0" borderId="0" xfId="0" applyFont="1" applyAlignment="1">
      <alignment horizontal="center" vertical="center" wrapText="1"/>
    </xf>
    <xf numFmtId="0" fontId="332" fillId="0" borderId="0" xfId="0" applyFont="1" applyAlignment="1">
      <alignment horizontal="center" vertical="center"/>
    </xf>
    <xf numFmtId="178" fontId="328" fillId="0" borderId="178" xfId="0" applyNumberFormat="1" applyFont="1" applyBorder="1" applyAlignment="1">
      <alignment horizontal="center" vertical="center"/>
    </xf>
    <xf numFmtId="0" fontId="322" fillId="0" borderId="0" xfId="0" applyFont="1" applyAlignment="1">
      <alignment horizontal="center" vertical="center"/>
    </xf>
    <xf numFmtId="166" fontId="261" fillId="0" borderId="0" xfId="0" applyNumberFormat="1" applyFont="1" applyAlignment="1">
      <alignment horizontal="center"/>
    </xf>
    <xf numFmtId="0" fontId="50" fillId="0" borderId="185" xfId="0" applyFont="1" applyBorder="1" applyAlignment="1">
      <alignment horizontal="center" vertical="center"/>
    </xf>
    <xf numFmtId="1" fontId="321" fillId="0" borderId="178" xfId="0" applyNumberFormat="1" applyFont="1" applyBorder="1" applyAlignment="1">
      <alignment horizontal="center"/>
    </xf>
    <xf numFmtId="0" fontId="176" fillId="4" borderId="0" xfId="0" applyFont="1" applyFill="1" applyAlignment="1">
      <alignment horizontal="center"/>
    </xf>
    <xf numFmtId="0" fontId="223" fillId="18" borderId="0" xfId="0" applyFont="1" applyFill="1" applyAlignment="1">
      <alignment horizontal="left" vertical="center" wrapText="1"/>
    </xf>
    <xf numFmtId="0" fontId="225" fillId="18" borderId="0" xfId="0" applyFont="1" applyFill="1" applyAlignment="1">
      <alignment vertical="center" wrapText="1"/>
    </xf>
    <xf numFmtId="0" fontId="223" fillId="18" borderId="0" xfId="0" applyFont="1" applyFill="1" applyAlignment="1">
      <alignment horizontal="left" vertical="top" wrapText="1"/>
    </xf>
    <xf numFmtId="0" fontId="8" fillId="0" borderId="4" xfId="0" applyFont="1" applyBorder="1" applyAlignment="1" applyProtection="1">
      <alignment horizontal="center" vertical="center"/>
      <protection hidden="1"/>
    </xf>
    <xf numFmtId="0" fontId="14" fillId="0" borderId="189" xfId="0" applyFont="1" applyBorder="1" applyAlignment="1" applyProtection="1">
      <alignment vertical="center"/>
      <protection hidden="1"/>
    </xf>
    <xf numFmtId="0" fontId="1" fillId="0" borderId="192" xfId="0" applyFont="1" applyBorder="1" applyAlignment="1" applyProtection="1">
      <alignment horizontal="center" vertical="center"/>
      <protection hidden="1"/>
    </xf>
    <xf numFmtId="1" fontId="2" fillId="0" borderId="195" xfId="0" applyNumberFormat="1" applyFont="1" applyBorder="1" applyAlignment="1" applyProtection="1">
      <alignment horizontal="center"/>
      <protection hidden="1"/>
    </xf>
    <xf numFmtId="0" fontId="14" fillId="0" borderId="196" xfId="0" applyFont="1" applyBorder="1" applyAlignment="1" applyProtection="1">
      <alignment vertical="center"/>
      <protection hidden="1"/>
    </xf>
    <xf numFmtId="0" fontId="2" fillId="0" borderId="199" xfId="0" applyFont="1" applyBorder="1" applyAlignment="1" applyProtection="1">
      <alignment horizontal="center"/>
      <protection hidden="1"/>
    </xf>
    <xf numFmtId="164" fontId="2" fillId="0" borderId="4" xfId="0" applyNumberFormat="1" applyFont="1" applyBorder="1" applyAlignment="1" applyProtection="1">
      <alignment horizontal="center"/>
      <protection hidden="1"/>
    </xf>
    <xf numFmtId="0" fontId="2" fillId="0" borderId="36" xfId="0" applyFont="1" applyBorder="1" applyAlignment="1" applyProtection="1">
      <alignment horizontal="center" vertical="center"/>
      <protection hidden="1"/>
    </xf>
    <xf numFmtId="0" fontId="14" fillId="0" borderId="200" xfId="0" applyFont="1" applyBorder="1" applyAlignment="1" applyProtection="1">
      <alignment vertical="center"/>
      <protection hidden="1"/>
    </xf>
    <xf numFmtId="3" fontId="196" fillId="2" borderId="0" xfId="0" applyNumberFormat="1" applyFont="1" applyFill="1" applyAlignment="1" applyProtection="1">
      <alignment horizontal="center" vertical="center"/>
      <protection hidden="1"/>
    </xf>
    <xf numFmtId="164" fontId="276" fillId="2" borderId="0" xfId="0" applyNumberFormat="1" applyFont="1" applyFill="1" applyAlignment="1" applyProtection="1">
      <alignment vertical="center"/>
      <protection hidden="1"/>
    </xf>
    <xf numFmtId="164" fontId="197" fillId="2" borderId="0" xfId="0" applyNumberFormat="1" applyFont="1" applyFill="1" applyAlignment="1" applyProtection="1">
      <alignment vertical="top"/>
      <protection hidden="1"/>
    </xf>
    <xf numFmtId="0" fontId="197" fillId="2" borderId="0" xfId="0" applyFont="1" applyFill="1" applyAlignment="1" applyProtection="1">
      <alignment vertical="center"/>
      <protection hidden="1"/>
    </xf>
    <xf numFmtId="3" fontId="197" fillId="2" borderId="0" xfId="0" applyNumberFormat="1" applyFont="1" applyFill="1" applyAlignment="1" applyProtection="1">
      <alignment vertical="top"/>
      <protection hidden="1"/>
    </xf>
    <xf numFmtId="0" fontId="1" fillId="0" borderId="198" xfId="0" applyFont="1" applyBorder="1" applyAlignment="1" applyProtection="1">
      <alignment horizontal="center" vertical="center"/>
      <protection hidden="1"/>
    </xf>
    <xf numFmtId="0" fontId="15" fillId="41" borderId="0" xfId="0" applyFont="1" applyFill="1" applyAlignment="1" applyProtection="1">
      <alignment horizontal="center"/>
      <protection hidden="1"/>
    </xf>
    <xf numFmtId="0" fontId="235" fillId="41" borderId="0" xfId="0" applyFont="1" applyFill="1" applyAlignment="1" applyProtection="1">
      <alignment horizontal="center"/>
      <protection hidden="1"/>
    </xf>
    <xf numFmtId="0" fontId="81" fillId="41" borderId="0" xfId="0" applyFont="1" applyFill="1" applyAlignment="1" applyProtection="1">
      <alignment horizontal="center" vertical="top"/>
      <protection hidden="1"/>
    </xf>
    <xf numFmtId="164" fontId="18" fillId="41" borderId="0" xfId="0" applyNumberFormat="1" applyFont="1" applyFill="1" applyAlignment="1" applyProtection="1">
      <alignment horizontal="center" vertical="center"/>
      <protection hidden="1"/>
    </xf>
    <xf numFmtId="164" fontId="18" fillId="41" borderId="0" xfId="0" applyNumberFormat="1" applyFont="1" applyFill="1" applyAlignment="1" applyProtection="1">
      <alignment vertical="center"/>
      <protection hidden="1"/>
    </xf>
    <xf numFmtId="1" fontId="19" fillId="41" borderId="0" xfId="0" applyNumberFormat="1" applyFont="1" applyFill="1" applyAlignment="1" applyProtection="1">
      <alignment horizontal="center" vertical="center"/>
      <protection hidden="1"/>
    </xf>
    <xf numFmtId="0" fontId="292" fillId="41" borderId="0" xfId="0" applyFont="1" applyFill="1" applyAlignment="1" applyProtection="1">
      <alignment vertical="center"/>
      <protection hidden="1"/>
    </xf>
    <xf numFmtId="1" fontId="249" fillId="41" borderId="0" xfId="0" applyNumberFormat="1" applyFont="1" applyFill="1" applyAlignment="1" applyProtection="1">
      <alignment vertical="center"/>
      <protection hidden="1"/>
    </xf>
    <xf numFmtId="0" fontId="38" fillId="41" borderId="0" xfId="0" applyFont="1" applyFill="1" applyAlignment="1" applyProtection="1">
      <alignment horizontal="center" vertical="center"/>
      <protection hidden="1"/>
    </xf>
    <xf numFmtId="164" fontId="2" fillId="41" borderId="0" xfId="0" applyNumberFormat="1" applyFont="1" applyFill="1" applyAlignment="1" applyProtection="1">
      <alignment horizontal="center" vertical="center"/>
      <protection hidden="1"/>
    </xf>
    <xf numFmtId="164" fontId="262" fillId="41" borderId="0" xfId="0" applyNumberFormat="1" applyFont="1" applyFill="1" applyAlignment="1" applyProtection="1">
      <alignment vertical="center"/>
      <protection hidden="1"/>
    </xf>
    <xf numFmtId="164" fontId="197" fillId="41" borderId="0" xfId="0" applyNumberFormat="1" applyFont="1" applyFill="1" applyAlignment="1" applyProtection="1">
      <alignment horizontal="center" vertical="center"/>
      <protection hidden="1"/>
    </xf>
    <xf numFmtId="1" fontId="199" fillId="41" borderId="0" xfId="0" applyNumberFormat="1" applyFont="1" applyFill="1" applyAlignment="1" applyProtection="1">
      <alignment horizontal="center" vertical="center"/>
      <protection hidden="1"/>
    </xf>
    <xf numFmtId="164" fontId="197" fillId="41" borderId="0" xfId="0" applyNumberFormat="1" applyFont="1" applyFill="1" applyAlignment="1" applyProtection="1">
      <alignment vertical="center"/>
      <protection hidden="1"/>
    </xf>
    <xf numFmtId="0" fontId="199" fillId="41" borderId="0" xfId="0" applyFont="1" applyFill="1" applyAlignment="1" applyProtection="1">
      <alignment horizontal="center" vertical="center"/>
      <protection hidden="1"/>
    </xf>
    <xf numFmtId="164" fontId="1" fillId="41" borderId="0" xfId="0" applyNumberFormat="1" applyFont="1" applyFill="1" applyAlignment="1" applyProtection="1">
      <alignment horizontal="center" vertical="center"/>
      <protection hidden="1"/>
    </xf>
    <xf numFmtId="0" fontId="139" fillId="41" borderId="0" xfId="0" applyFont="1" applyFill="1" applyAlignment="1" applyProtection="1">
      <alignment horizontal="center" vertical="center"/>
      <protection locked="0" hidden="1"/>
    </xf>
    <xf numFmtId="164" fontId="1" fillId="41" borderId="0" xfId="0" applyNumberFormat="1" applyFont="1" applyFill="1" applyAlignment="1" applyProtection="1">
      <alignment horizontal="center" vertical="center" wrapText="1"/>
      <protection hidden="1"/>
    </xf>
    <xf numFmtId="164" fontId="198" fillId="41" borderId="0" xfId="0" applyNumberFormat="1" applyFont="1" applyFill="1" applyAlignment="1" applyProtection="1">
      <alignment horizontal="center" vertical="center"/>
      <protection hidden="1"/>
    </xf>
    <xf numFmtId="0" fontId="196" fillId="41" borderId="0" xfId="0" applyFont="1" applyFill="1" applyAlignment="1" applyProtection="1">
      <alignment horizontal="center" vertical="center"/>
      <protection hidden="1"/>
    </xf>
    <xf numFmtId="164" fontId="2" fillId="41" borderId="0" xfId="0" applyNumberFormat="1" applyFont="1" applyFill="1" applyAlignment="1" applyProtection="1">
      <alignment horizontal="center" vertical="center" wrapText="1"/>
      <protection hidden="1"/>
    </xf>
    <xf numFmtId="164" fontId="196" fillId="41" borderId="0" xfId="0" applyNumberFormat="1" applyFont="1" applyFill="1" applyAlignment="1" applyProtection="1">
      <alignment horizontal="center" vertical="center"/>
      <protection hidden="1"/>
    </xf>
    <xf numFmtId="0" fontId="197" fillId="41" borderId="0" xfId="0" applyFont="1" applyFill="1" applyAlignment="1" applyProtection="1">
      <alignment horizontal="center" vertical="center"/>
      <protection hidden="1"/>
    </xf>
    <xf numFmtId="0" fontId="2" fillId="41" borderId="0" xfId="0" applyFont="1" applyFill="1" applyAlignment="1" applyProtection="1">
      <alignment horizontal="center" vertical="center"/>
      <protection hidden="1"/>
    </xf>
    <xf numFmtId="0" fontId="293" fillId="41" borderId="0" xfId="0" applyFont="1" applyFill="1" applyAlignment="1" applyProtection="1">
      <alignment vertical="center"/>
      <protection hidden="1"/>
    </xf>
    <xf numFmtId="0" fontId="245" fillId="41" borderId="0" xfId="0" applyFont="1" applyFill="1"/>
    <xf numFmtId="0" fontId="246" fillId="41" borderId="0" xfId="0" applyFont="1" applyFill="1" applyAlignment="1">
      <alignment horizontal="center" vertical="center"/>
    </xf>
    <xf numFmtId="164" fontId="21" fillId="41" borderId="0" xfId="0" applyNumberFormat="1" applyFont="1" applyFill="1" applyAlignment="1" applyProtection="1">
      <alignment horizontal="center" vertical="center"/>
      <protection hidden="1"/>
    </xf>
    <xf numFmtId="164" fontId="70" fillId="41" borderId="0" xfId="0" applyNumberFormat="1" applyFont="1" applyFill="1" applyAlignment="1" applyProtection="1">
      <alignment horizontal="right" vertical="center"/>
      <protection hidden="1"/>
    </xf>
    <xf numFmtId="3" fontId="21" fillId="41" borderId="0" xfId="0" applyNumberFormat="1" applyFont="1" applyFill="1" applyAlignment="1" applyProtection="1">
      <alignment vertical="center"/>
      <protection hidden="1"/>
    </xf>
    <xf numFmtId="0" fontId="14" fillId="41" borderId="0" xfId="0" applyFont="1" applyFill="1" applyAlignment="1" applyProtection="1">
      <alignment horizontal="right" vertical="center"/>
      <protection hidden="1"/>
    </xf>
    <xf numFmtId="3" fontId="14" fillId="41" borderId="0" xfId="0" applyNumberFormat="1" applyFont="1" applyFill="1" applyAlignment="1" applyProtection="1">
      <alignment horizontal="right" vertical="center"/>
      <protection hidden="1"/>
    </xf>
    <xf numFmtId="0" fontId="1" fillId="41" borderId="0" xfId="0" applyFont="1" applyFill="1" applyProtection="1">
      <protection hidden="1"/>
    </xf>
    <xf numFmtId="0" fontId="9" fillId="41" borderId="0" xfId="0" applyFont="1" applyFill="1" applyProtection="1">
      <protection hidden="1"/>
    </xf>
    <xf numFmtId="0" fontId="2" fillId="41" borderId="0" xfId="0" applyFont="1" applyFill="1" applyAlignment="1" applyProtection="1">
      <alignment vertical="center"/>
      <protection hidden="1"/>
    </xf>
    <xf numFmtId="3" fontId="2" fillId="41" borderId="0" xfId="0" applyNumberFormat="1" applyFont="1" applyFill="1" applyAlignment="1" applyProtection="1">
      <alignment vertical="center"/>
      <protection hidden="1"/>
    </xf>
    <xf numFmtId="0" fontId="6" fillId="41" borderId="0" xfId="0" applyFont="1" applyFill="1" applyProtection="1">
      <protection hidden="1"/>
    </xf>
    <xf numFmtId="0" fontId="295" fillId="41" borderId="0" xfId="0" applyFont="1" applyFill="1" applyAlignment="1">
      <alignment vertical="center"/>
    </xf>
    <xf numFmtId="164" fontId="196" fillId="41" borderId="0" xfId="0" applyNumberFormat="1" applyFont="1" applyFill="1" applyAlignment="1" applyProtection="1">
      <alignment vertical="center"/>
      <protection hidden="1"/>
    </xf>
    <xf numFmtId="0" fontId="245" fillId="41" borderId="0" xfId="0" applyFont="1" applyFill="1" applyAlignment="1" applyProtection="1">
      <alignment vertical="center"/>
      <protection hidden="1"/>
    </xf>
    <xf numFmtId="0" fontId="271" fillId="41" borderId="0" xfId="0" applyFont="1" applyFill="1" applyAlignment="1">
      <alignment vertical="center"/>
    </xf>
    <xf numFmtId="0" fontId="296" fillId="41" borderId="0" xfId="0" applyFont="1" applyFill="1"/>
    <xf numFmtId="0" fontId="247" fillId="41" borderId="0" xfId="0" applyFont="1" applyFill="1" applyAlignment="1" applyProtection="1">
      <alignment vertical="center" wrapText="1"/>
      <protection hidden="1"/>
    </xf>
    <xf numFmtId="0" fontId="299" fillId="41" borderId="0" xfId="0" applyFont="1" applyFill="1"/>
    <xf numFmtId="0" fontId="266" fillId="41" borderId="0" xfId="0" applyFont="1" applyFill="1" applyProtection="1">
      <protection hidden="1"/>
    </xf>
    <xf numFmtId="0" fontId="302" fillId="41" borderId="0" xfId="0" applyFont="1" applyFill="1"/>
    <xf numFmtId="0" fontId="218" fillId="41" borderId="0" xfId="0" applyFont="1" applyFill="1" applyProtection="1">
      <protection hidden="1"/>
    </xf>
    <xf numFmtId="0" fontId="218" fillId="41" borderId="0" xfId="0" applyFont="1" applyFill="1" applyAlignment="1" applyProtection="1">
      <alignment vertical="center"/>
      <protection hidden="1"/>
    </xf>
    <xf numFmtId="3" fontId="10" fillId="41" borderId="0" xfId="0" applyNumberFormat="1" applyFont="1" applyFill="1" applyAlignment="1" applyProtection="1">
      <alignment vertical="center"/>
      <protection hidden="1"/>
    </xf>
    <xf numFmtId="3" fontId="218" fillId="41" borderId="0" xfId="0" applyNumberFormat="1" applyFont="1" applyFill="1" applyAlignment="1" applyProtection="1">
      <alignment vertical="center"/>
      <protection hidden="1"/>
    </xf>
    <xf numFmtId="0" fontId="21" fillId="50" borderId="0" xfId="0" applyFont="1" applyFill="1" applyAlignment="1" applyProtection="1">
      <alignment vertical="center"/>
      <protection hidden="1"/>
    </xf>
    <xf numFmtId="0" fontId="21" fillId="50" borderId="39" xfId="0" applyFont="1" applyFill="1" applyBorder="1" applyAlignment="1" applyProtection="1">
      <alignment vertical="center"/>
      <protection hidden="1"/>
    </xf>
    <xf numFmtId="0" fontId="197" fillId="2" borderId="204" xfId="0" applyFont="1" applyFill="1" applyBorder="1" applyProtection="1">
      <protection hidden="1"/>
    </xf>
    <xf numFmtId="164" fontId="2" fillId="2" borderId="204" xfId="0" applyNumberFormat="1" applyFont="1" applyFill="1" applyBorder="1" applyAlignment="1" applyProtection="1">
      <alignment horizontal="center" vertical="center"/>
      <protection hidden="1"/>
    </xf>
    <xf numFmtId="0" fontId="262" fillId="2" borderId="106" xfId="0" applyFont="1" applyFill="1" applyBorder="1" applyAlignment="1" applyProtection="1">
      <alignment horizontal="center" vertical="center"/>
      <protection hidden="1"/>
    </xf>
    <xf numFmtId="0" fontId="336" fillId="2" borderId="205" xfId="0" applyFont="1" applyFill="1" applyBorder="1" applyAlignment="1" applyProtection="1">
      <alignment horizontal="center" vertical="center"/>
      <protection hidden="1"/>
    </xf>
    <xf numFmtId="3" fontId="262" fillId="2" borderId="106" xfId="0" applyNumberFormat="1" applyFont="1" applyFill="1" applyBorder="1" applyAlignment="1" applyProtection="1">
      <alignment horizontal="center" vertical="center"/>
      <protection hidden="1"/>
    </xf>
    <xf numFmtId="0" fontId="41" fillId="2" borderId="106" xfId="0" applyFont="1" applyFill="1" applyBorder="1" applyAlignment="1" applyProtection="1">
      <alignment horizontal="center" vertical="center"/>
      <protection hidden="1"/>
    </xf>
    <xf numFmtId="0" fontId="11" fillId="2" borderId="0" xfId="0" applyFont="1" applyFill="1" applyAlignment="1" applyProtection="1">
      <alignment vertical="center"/>
      <protection hidden="1"/>
    </xf>
    <xf numFmtId="0" fontId="22" fillId="2" borderId="0" xfId="0" applyFont="1" applyFill="1" applyAlignment="1" applyProtection="1">
      <alignment horizontal="left" vertical="center" wrapText="1"/>
      <protection hidden="1"/>
    </xf>
    <xf numFmtId="0" fontId="28" fillId="2" borderId="0" xfId="0" applyFont="1" applyFill="1" applyAlignment="1" applyProtection="1">
      <alignment vertical="center" wrapText="1"/>
      <protection hidden="1"/>
    </xf>
    <xf numFmtId="0" fontId="1" fillId="41" borderId="0" xfId="0" applyFont="1" applyFill="1" applyAlignment="1" applyProtection="1">
      <alignment horizontal="center" vertical="center"/>
      <protection hidden="1"/>
    </xf>
    <xf numFmtId="0" fontId="14" fillId="41" borderId="0" xfId="0" applyFont="1" applyFill="1" applyAlignment="1" applyProtection="1">
      <alignment vertical="center"/>
      <protection hidden="1"/>
    </xf>
    <xf numFmtId="0" fontId="22" fillId="41" borderId="0" xfId="0" applyFont="1" applyFill="1" applyAlignment="1" applyProtection="1">
      <alignment horizontal="center" vertical="center"/>
      <protection hidden="1"/>
    </xf>
    <xf numFmtId="0" fontId="2" fillId="41" borderId="0" xfId="0" applyFont="1" applyFill="1" applyProtection="1">
      <protection hidden="1"/>
    </xf>
    <xf numFmtId="0" fontId="3" fillId="41" borderId="0" xfId="0" applyFont="1" applyFill="1" applyAlignment="1" applyProtection="1">
      <alignment vertical="center"/>
      <protection hidden="1"/>
    </xf>
    <xf numFmtId="0" fontId="1" fillId="41" borderId="0" xfId="0" applyFont="1" applyFill="1" applyAlignment="1" applyProtection="1">
      <alignment horizontal="left" vertical="center"/>
      <protection hidden="1"/>
    </xf>
    <xf numFmtId="164" fontId="1" fillId="41" borderId="0" xfId="0" applyNumberFormat="1" applyFont="1" applyFill="1" applyAlignment="1" applyProtection="1">
      <alignment vertical="center"/>
      <protection hidden="1"/>
    </xf>
    <xf numFmtId="0" fontId="22" fillId="41" borderId="0" xfId="0" applyFont="1" applyFill="1" applyAlignment="1" applyProtection="1">
      <alignment vertical="center"/>
      <protection hidden="1"/>
    </xf>
    <xf numFmtId="0" fontId="1" fillId="41" borderId="0" xfId="0" applyFont="1" applyFill="1" applyAlignment="1" applyProtection="1">
      <alignment vertical="center"/>
      <protection hidden="1"/>
    </xf>
    <xf numFmtId="37" fontId="1" fillId="41" borderId="0" xfId="0" applyNumberFormat="1" applyFont="1" applyFill="1" applyAlignment="1" applyProtection="1">
      <alignment vertical="center"/>
      <protection hidden="1"/>
    </xf>
    <xf numFmtId="0" fontId="8" fillId="41" borderId="0" xfId="0" applyFont="1" applyFill="1" applyAlignment="1" applyProtection="1">
      <alignment vertical="center"/>
      <protection hidden="1"/>
    </xf>
    <xf numFmtId="0" fontId="123" fillId="41" borderId="0" xfId="0" applyFont="1" applyFill="1" applyAlignment="1" applyProtection="1">
      <alignment vertical="center"/>
      <protection hidden="1"/>
    </xf>
    <xf numFmtId="164" fontId="20" fillId="41" borderId="0" xfId="0" applyNumberFormat="1" applyFont="1" applyFill="1" applyAlignment="1" applyProtection="1">
      <alignment horizontal="center" vertical="center"/>
      <protection hidden="1"/>
    </xf>
    <xf numFmtId="0" fontId="20" fillId="41" borderId="0" xfId="0" applyFont="1" applyFill="1" applyAlignment="1" applyProtection="1">
      <alignment horizontal="center" vertical="center"/>
      <protection hidden="1"/>
    </xf>
    <xf numFmtId="164" fontId="22" fillId="41" borderId="0" xfId="0" applyNumberFormat="1" applyFont="1" applyFill="1" applyAlignment="1" applyProtection="1">
      <alignment horizontal="center" vertical="center"/>
      <protection hidden="1"/>
    </xf>
    <xf numFmtId="37" fontId="70" fillId="41" borderId="0" xfId="0" applyNumberFormat="1" applyFont="1" applyFill="1" applyAlignment="1" applyProtection="1">
      <alignment horizontal="center" vertical="center"/>
      <protection hidden="1"/>
    </xf>
    <xf numFmtId="3" fontId="14" fillId="41" borderId="0" xfId="0" applyNumberFormat="1" applyFont="1" applyFill="1" applyAlignment="1" applyProtection="1">
      <alignment vertical="center"/>
      <protection hidden="1"/>
    </xf>
    <xf numFmtId="0" fontId="20" fillId="41" borderId="0" xfId="0" applyFont="1" applyFill="1" applyAlignment="1" applyProtection="1">
      <alignment horizontal="right" vertical="center"/>
      <protection hidden="1"/>
    </xf>
    <xf numFmtId="164" fontId="21" fillId="41" borderId="0" xfId="0" applyNumberFormat="1" applyFont="1" applyFill="1" applyAlignment="1" applyProtection="1">
      <alignment horizontal="right" vertical="center"/>
      <protection hidden="1"/>
    </xf>
    <xf numFmtId="0" fontId="9" fillId="41" borderId="0" xfId="0" applyFont="1" applyFill="1" applyAlignment="1" applyProtection="1">
      <alignment horizontal="center"/>
      <protection hidden="1"/>
    </xf>
    <xf numFmtId="0" fontId="2" fillId="41" borderId="0" xfId="0" applyFont="1" applyFill="1" applyAlignment="1" applyProtection="1">
      <alignment horizontal="center"/>
      <protection hidden="1"/>
    </xf>
    <xf numFmtId="0" fontId="2" fillId="41" borderId="0" xfId="0" applyFont="1" applyFill="1" applyAlignment="1" applyProtection="1">
      <alignment horizontal="left" vertical="center"/>
      <protection hidden="1"/>
    </xf>
    <xf numFmtId="0" fontId="23" fillId="41" borderId="0" xfId="0" applyFont="1" applyFill="1" applyProtection="1">
      <protection hidden="1"/>
    </xf>
    <xf numFmtId="3" fontId="2" fillId="41" borderId="0" xfId="0" applyNumberFormat="1" applyFont="1" applyFill="1" applyAlignment="1" applyProtection="1">
      <alignment horizontal="center" vertical="center"/>
      <protection hidden="1"/>
    </xf>
    <xf numFmtId="0" fontId="70" fillId="41" borderId="0" xfId="0" applyFont="1" applyFill="1" applyAlignment="1" applyProtection="1">
      <alignment vertical="center"/>
      <protection hidden="1"/>
    </xf>
    <xf numFmtId="1" fontId="2" fillId="41" borderId="0" xfId="0" applyNumberFormat="1" applyFont="1" applyFill="1" applyAlignment="1" applyProtection="1">
      <alignment horizontal="center" vertical="center"/>
      <protection hidden="1"/>
    </xf>
    <xf numFmtId="0" fontId="21" fillId="41" borderId="0" xfId="0" applyFont="1" applyFill="1" applyAlignment="1" applyProtection="1">
      <alignment horizontal="center" vertical="center"/>
      <protection hidden="1"/>
    </xf>
    <xf numFmtId="169" fontId="21" fillId="41" borderId="0" xfId="0" applyNumberFormat="1" applyFont="1" applyFill="1" applyAlignment="1" applyProtection="1">
      <alignment horizontal="left" vertical="center"/>
      <protection hidden="1"/>
    </xf>
    <xf numFmtId="0" fontId="1" fillId="41" borderId="0" xfId="0" applyFont="1" applyFill="1" applyAlignment="1" applyProtection="1">
      <alignment horizontal="right" vertical="center"/>
      <protection hidden="1"/>
    </xf>
    <xf numFmtId="169" fontId="21" fillId="41" borderId="0" xfId="0" applyNumberFormat="1" applyFont="1" applyFill="1" applyAlignment="1" applyProtection="1">
      <alignment vertical="center"/>
      <protection hidden="1"/>
    </xf>
    <xf numFmtId="0" fontId="2" fillId="41" borderId="0" xfId="0" applyFont="1" applyFill="1" applyAlignment="1" applyProtection="1">
      <alignment vertical="center" wrapText="1"/>
      <protection hidden="1"/>
    </xf>
    <xf numFmtId="164" fontId="21" fillId="41" borderId="0" xfId="0" applyNumberFormat="1" applyFont="1" applyFill="1" applyAlignment="1" applyProtection="1">
      <alignment vertical="center"/>
      <protection hidden="1"/>
    </xf>
    <xf numFmtId="0" fontId="0" fillId="41" borderId="0" xfId="0" applyFill="1" applyProtection="1">
      <protection hidden="1"/>
    </xf>
    <xf numFmtId="0" fontId="25" fillId="41" borderId="0" xfId="0" applyFont="1" applyFill="1" applyProtection="1">
      <protection hidden="1"/>
    </xf>
    <xf numFmtId="0" fontId="25" fillId="41" borderId="0" xfId="0" applyFont="1" applyFill="1" applyAlignment="1" applyProtection="1">
      <alignment horizontal="center"/>
      <protection hidden="1"/>
    </xf>
    <xf numFmtId="0" fontId="8" fillId="41" borderId="0" xfId="0" applyFont="1" applyFill="1" applyAlignment="1" applyProtection="1">
      <alignment horizontal="center" vertical="center"/>
      <protection hidden="1"/>
    </xf>
    <xf numFmtId="0" fontId="26" fillId="41" borderId="0" xfId="0" applyFont="1" applyFill="1" applyAlignment="1" applyProtection="1">
      <alignment vertical="center" wrapText="1"/>
      <protection hidden="1"/>
    </xf>
    <xf numFmtId="0" fontId="26" fillId="41" borderId="0" xfId="0" applyFont="1" applyFill="1" applyAlignment="1" applyProtection="1">
      <alignment horizontal="left" vertical="center" wrapText="1"/>
      <protection hidden="1"/>
    </xf>
    <xf numFmtId="0" fontId="11" fillId="41" borderId="0" xfId="0" applyFont="1" applyFill="1" applyAlignment="1" applyProtection="1">
      <alignment vertical="center"/>
      <protection hidden="1"/>
    </xf>
    <xf numFmtId="0" fontId="28" fillId="41" borderId="0" xfId="0" applyFont="1" applyFill="1" applyAlignment="1" applyProtection="1">
      <alignment vertical="center"/>
      <protection hidden="1"/>
    </xf>
    <xf numFmtId="0" fontId="22" fillId="41" borderId="0" xfId="0" applyFont="1" applyFill="1" applyAlignment="1" applyProtection="1">
      <alignment horizontal="left" vertical="center" wrapText="1"/>
      <protection hidden="1"/>
    </xf>
    <xf numFmtId="0" fontId="28" fillId="41" borderId="0" xfId="0" applyFont="1" applyFill="1" applyAlignment="1" applyProtection="1">
      <alignment vertical="center" wrapText="1"/>
      <protection hidden="1"/>
    </xf>
    <xf numFmtId="0" fontId="28" fillId="41" borderId="0" xfId="0" applyFont="1" applyFill="1" applyAlignment="1" applyProtection="1">
      <alignment horizontal="center" vertical="center" wrapText="1"/>
      <protection hidden="1"/>
    </xf>
    <xf numFmtId="164" fontId="276" fillId="41" borderId="0" xfId="0" applyNumberFormat="1" applyFont="1" applyFill="1" applyAlignment="1" applyProtection="1">
      <alignment vertical="center"/>
      <protection hidden="1"/>
    </xf>
    <xf numFmtId="164" fontId="197" fillId="41" borderId="0" xfId="0" applyNumberFormat="1" applyFont="1" applyFill="1" applyAlignment="1" applyProtection="1">
      <alignment vertical="top"/>
      <protection hidden="1"/>
    </xf>
    <xf numFmtId="0" fontId="197" fillId="41" borderId="0" xfId="0" applyFont="1" applyFill="1" applyAlignment="1" applyProtection="1">
      <alignment vertical="center"/>
      <protection hidden="1"/>
    </xf>
    <xf numFmtId="3" fontId="197" fillId="41" borderId="0" xfId="0" applyNumberFormat="1" applyFont="1" applyFill="1" applyAlignment="1" applyProtection="1">
      <alignment vertical="top"/>
      <protection hidden="1"/>
    </xf>
    <xf numFmtId="9" fontId="197" fillId="41" borderId="0" xfId="0" applyNumberFormat="1" applyFont="1" applyFill="1" applyAlignment="1" applyProtection="1">
      <alignment horizontal="center" vertical="center"/>
      <protection hidden="1"/>
    </xf>
    <xf numFmtId="0" fontId="197" fillId="41" borderId="0" xfId="0" applyFont="1" applyFill="1" applyAlignment="1" applyProtection="1">
      <alignment vertical="top"/>
      <protection hidden="1"/>
    </xf>
    <xf numFmtId="0" fontId="197" fillId="41" borderId="0" xfId="0" applyFont="1" applyFill="1" applyProtection="1">
      <protection hidden="1"/>
    </xf>
    <xf numFmtId="0" fontId="8" fillId="0" borderId="122" xfId="0" applyFont="1" applyBorder="1" applyAlignment="1" applyProtection="1">
      <alignment horizontal="center" vertical="center"/>
      <protection hidden="1"/>
    </xf>
    <xf numFmtId="0" fontId="8" fillId="0" borderId="36" xfId="0" applyFont="1" applyBorder="1" applyAlignment="1" applyProtection="1">
      <alignment horizontal="center" vertical="center"/>
      <protection hidden="1"/>
    </xf>
    <xf numFmtId="0" fontId="203" fillId="33" borderId="0" xfId="0" applyFont="1" applyFill="1" applyAlignment="1">
      <alignment horizontal="left" wrapText="1"/>
    </xf>
    <xf numFmtId="0" fontId="169" fillId="33" borderId="0" xfId="0" applyFont="1" applyFill="1"/>
    <xf numFmtId="0" fontId="198" fillId="4" borderId="0" xfId="0" applyFont="1" applyFill="1" applyAlignment="1" applyProtection="1">
      <alignment horizontal="center" vertical="center"/>
      <protection hidden="1"/>
    </xf>
    <xf numFmtId="0" fontId="0" fillId="9" borderId="124" xfId="0" applyFill="1" applyBorder="1" applyAlignment="1">
      <alignment horizontal="center"/>
    </xf>
    <xf numFmtId="0" fontId="265" fillId="39" borderId="0" xfId="0" applyFont="1" applyFill="1" applyAlignment="1" applyProtection="1">
      <alignment vertical="center"/>
      <protection hidden="1"/>
    </xf>
    <xf numFmtId="0" fontId="253" fillId="33" borderId="0" xfId="0" applyFont="1" applyFill="1" applyAlignment="1" applyProtection="1">
      <alignment vertical="center"/>
      <protection hidden="1"/>
    </xf>
    <xf numFmtId="0" fontId="253" fillId="33" borderId="219" xfId="0" applyFont="1" applyFill="1" applyBorder="1" applyAlignment="1" applyProtection="1">
      <alignment vertical="center"/>
      <protection hidden="1"/>
    </xf>
    <xf numFmtId="0" fontId="265" fillId="33" borderId="226" xfId="0" applyFont="1" applyFill="1" applyBorder="1" applyProtection="1">
      <protection hidden="1"/>
    </xf>
    <xf numFmtId="0" fontId="266" fillId="39" borderId="0" xfId="0" applyFont="1" applyFill="1" applyProtection="1">
      <protection hidden="1"/>
    </xf>
    <xf numFmtId="0" fontId="323" fillId="31" borderId="227" xfId="0" applyFont="1" applyFill="1" applyBorder="1" applyAlignment="1" applyProtection="1">
      <alignment horizontal="center" vertical="center"/>
      <protection hidden="1"/>
    </xf>
    <xf numFmtId="0" fontId="347" fillId="50" borderId="229" xfId="0" applyFont="1" applyFill="1" applyBorder="1" applyAlignment="1" applyProtection="1">
      <alignment horizontal="center"/>
      <protection hidden="1"/>
    </xf>
    <xf numFmtId="0" fontId="347" fillId="50" borderId="232" xfId="0" applyFont="1" applyFill="1" applyBorder="1" applyAlignment="1" applyProtection="1">
      <alignment horizontal="center" vertical="center"/>
      <protection hidden="1"/>
    </xf>
    <xf numFmtId="0" fontId="347" fillId="50" borderId="228" xfId="0" applyFont="1" applyFill="1" applyBorder="1" applyAlignment="1" applyProtection="1">
      <alignment horizontal="center"/>
      <protection locked="0" hidden="1"/>
    </xf>
    <xf numFmtId="0" fontId="347" fillId="50" borderId="229" xfId="0" applyFont="1" applyFill="1" applyBorder="1" applyAlignment="1" applyProtection="1">
      <alignment horizontal="center"/>
      <protection locked="0" hidden="1"/>
    </xf>
    <xf numFmtId="0" fontId="347" fillId="50" borderId="231" xfId="0" applyFont="1" applyFill="1" applyBorder="1" applyAlignment="1" applyProtection="1">
      <alignment horizontal="center"/>
      <protection locked="0" hidden="1"/>
    </xf>
    <xf numFmtId="0" fontId="347" fillId="50" borderId="232" xfId="0" applyFont="1" applyFill="1" applyBorder="1" applyAlignment="1" applyProtection="1">
      <alignment horizontal="center"/>
      <protection locked="0" hidden="1"/>
    </xf>
    <xf numFmtId="0" fontId="347" fillId="50" borderId="230" xfId="0" applyFont="1" applyFill="1" applyBorder="1" applyAlignment="1" applyProtection="1">
      <alignment horizontal="center" vertical="center"/>
      <protection locked="0" hidden="1"/>
    </xf>
    <xf numFmtId="0" fontId="321" fillId="39" borderId="211" xfId="0" applyFont="1" applyFill="1" applyBorder="1" applyAlignment="1">
      <alignment horizontal="center"/>
    </xf>
    <xf numFmtId="0" fontId="261" fillId="18" borderId="0" xfId="0" applyFont="1" applyFill="1" applyAlignment="1">
      <alignment horizontal="center" vertical="center"/>
    </xf>
    <xf numFmtId="0" fontId="322" fillId="16" borderId="0" xfId="0" applyFont="1" applyFill="1" applyAlignment="1">
      <alignment horizontal="center"/>
    </xf>
    <xf numFmtId="0" fontId="322" fillId="11" borderId="0" xfId="0" applyFont="1" applyFill="1" applyAlignment="1">
      <alignment horizontal="center" vertical="center"/>
    </xf>
    <xf numFmtId="0" fontId="1" fillId="17" borderId="12" xfId="0" applyFont="1" applyFill="1" applyBorder="1" applyAlignment="1">
      <alignment horizontal="center"/>
    </xf>
    <xf numFmtId="0" fontId="1" fillId="17" borderId="12" xfId="0" applyFont="1" applyFill="1" applyBorder="1" applyAlignment="1">
      <alignment horizontal="left" vertical="center"/>
    </xf>
    <xf numFmtId="0" fontId="1" fillId="17" borderId="25" xfId="0" applyFont="1" applyFill="1" applyBorder="1" applyAlignment="1">
      <alignment horizontal="left"/>
    </xf>
    <xf numFmtId="0" fontId="1" fillId="17" borderId="12" xfId="0" applyFont="1" applyFill="1" applyBorder="1" applyAlignment="1">
      <alignment horizontal="left"/>
    </xf>
    <xf numFmtId="0" fontId="351" fillId="17" borderId="0" xfId="0" applyFont="1" applyFill="1" applyAlignment="1">
      <alignment horizontal="left" wrapText="1"/>
    </xf>
    <xf numFmtId="0" fontId="131" fillId="49" borderId="12" xfId="0" applyFont="1" applyFill="1" applyBorder="1" applyAlignment="1">
      <alignment horizontal="center" vertical="center"/>
    </xf>
    <xf numFmtId="0" fontId="44" fillId="49" borderId="12" xfId="0" applyFont="1" applyFill="1" applyBorder="1" applyAlignment="1">
      <alignment horizontal="left" vertical="center"/>
    </xf>
    <xf numFmtId="0" fontId="228" fillId="4" borderId="77" xfId="0" applyFont="1" applyFill="1" applyBorder="1" applyAlignment="1">
      <alignment vertical="center"/>
    </xf>
    <xf numFmtId="0" fontId="228" fillId="4" borderId="0" xfId="0" applyFont="1" applyFill="1" applyAlignment="1">
      <alignment vertical="center"/>
    </xf>
    <xf numFmtId="0" fontId="228" fillId="4" borderId="75" xfId="0" applyFont="1" applyFill="1" applyBorder="1" applyAlignment="1">
      <alignment vertical="center"/>
    </xf>
    <xf numFmtId="0" fontId="44" fillId="0" borderId="0" xfId="0" applyFont="1" applyAlignment="1">
      <alignment horizontal="left" vertical="center"/>
    </xf>
    <xf numFmtId="0" fontId="44" fillId="49" borderId="211" xfId="0" applyFont="1" applyFill="1" applyBorder="1" applyAlignment="1">
      <alignment horizontal="left" vertical="center"/>
    </xf>
    <xf numFmtId="0" fontId="169" fillId="40" borderId="0" xfId="0" applyFont="1" applyFill="1" applyAlignment="1">
      <alignment horizontal="center"/>
    </xf>
    <xf numFmtId="0" fontId="328" fillId="39" borderId="0" xfId="0" applyFont="1" applyFill="1" applyAlignment="1">
      <alignment horizontal="center" vertical="center"/>
    </xf>
    <xf numFmtId="0" fontId="131" fillId="50" borderId="0" xfId="0" applyFont="1" applyFill="1" applyAlignment="1">
      <alignment horizontal="center" vertical="center"/>
    </xf>
    <xf numFmtId="0" fontId="44" fillId="50" borderId="0" xfId="0" applyFont="1" applyFill="1" applyAlignment="1">
      <alignment horizontal="left" vertical="center"/>
    </xf>
    <xf numFmtId="0" fontId="353" fillId="4" borderId="0" xfId="0" applyFont="1" applyFill="1"/>
    <xf numFmtId="0" fontId="318" fillId="4" borderId="0" xfId="0" applyFont="1" applyFill="1"/>
    <xf numFmtId="0" fontId="353" fillId="4" borderId="0" xfId="0" applyFont="1" applyFill="1" applyAlignment="1">
      <alignment horizontal="center" vertical="center"/>
    </xf>
    <xf numFmtId="0" fontId="318" fillId="4" borderId="0" xfId="0" applyFont="1" applyFill="1" applyAlignment="1">
      <alignment horizontal="center" vertical="center"/>
    </xf>
    <xf numFmtId="0" fontId="353" fillId="4" borderId="0" xfId="0" applyFont="1" applyFill="1" applyAlignment="1">
      <alignment horizontal="center"/>
    </xf>
    <xf numFmtId="0" fontId="318" fillId="4" borderId="0" xfId="0" applyFont="1" applyFill="1" applyAlignment="1">
      <alignment horizontal="center"/>
    </xf>
    <xf numFmtId="0" fontId="144" fillId="12" borderId="211" xfId="0" applyFont="1" applyFill="1" applyBorder="1" applyAlignment="1">
      <alignment horizontal="center" vertical="center"/>
    </xf>
    <xf numFmtId="0" fontId="321" fillId="0" borderId="211" xfId="0" applyFont="1" applyBorder="1" applyAlignment="1">
      <alignment horizontal="center" vertical="center"/>
    </xf>
    <xf numFmtId="0" fontId="14" fillId="0" borderId="235" xfId="0" applyFont="1" applyBorder="1" applyAlignment="1" applyProtection="1">
      <alignment vertical="center"/>
      <protection hidden="1"/>
    </xf>
    <xf numFmtId="0" fontId="2" fillId="0" borderId="191" xfId="0" applyFont="1" applyBorder="1" applyAlignment="1" applyProtection="1">
      <alignment horizontal="center"/>
      <protection hidden="1"/>
    </xf>
    <xf numFmtId="1" fontId="355" fillId="2" borderId="205" xfId="0" applyNumberFormat="1" applyFont="1" applyFill="1" applyBorder="1" applyAlignment="1" applyProtection="1">
      <alignment horizontal="center" vertical="center"/>
      <protection hidden="1"/>
    </xf>
    <xf numFmtId="0" fontId="1" fillId="5" borderId="211" xfId="0" applyFont="1" applyFill="1" applyBorder="1" applyAlignment="1">
      <alignment horizontal="center" vertical="center"/>
    </xf>
    <xf numFmtId="0" fontId="70" fillId="5" borderId="211" xfId="0" applyFont="1" applyFill="1" applyBorder="1" applyAlignment="1">
      <alignment horizontal="center" vertical="center"/>
    </xf>
    <xf numFmtId="0" fontId="70" fillId="5" borderId="211" xfId="0" applyFont="1" applyFill="1" applyBorder="1" applyAlignment="1">
      <alignment vertical="center"/>
    </xf>
    <xf numFmtId="3" fontId="70" fillId="5" borderId="211" xfId="0" applyNumberFormat="1" applyFont="1" applyFill="1" applyBorder="1" applyAlignment="1">
      <alignment vertical="center"/>
    </xf>
    <xf numFmtId="0" fontId="1" fillId="20" borderId="211" xfId="0" applyFont="1" applyFill="1" applyBorder="1" applyAlignment="1">
      <alignment horizontal="center" vertical="center"/>
    </xf>
    <xf numFmtId="0" fontId="70" fillId="20" borderId="211" xfId="0" applyFont="1" applyFill="1" applyBorder="1" applyAlignment="1">
      <alignment horizontal="center" vertical="center"/>
    </xf>
    <xf numFmtId="0" fontId="70" fillId="20" borderId="211" xfId="0" applyFont="1" applyFill="1" applyBorder="1" applyAlignment="1">
      <alignment vertical="center"/>
    </xf>
    <xf numFmtId="3" fontId="70" fillId="20" borderId="211" xfId="0" applyNumberFormat="1" applyFont="1" applyFill="1" applyBorder="1" applyAlignment="1">
      <alignment vertical="center"/>
    </xf>
    <xf numFmtId="0" fontId="1" fillId="20" borderId="211" xfId="0" applyFont="1" applyFill="1" applyBorder="1" applyAlignment="1">
      <alignment horizontal="center"/>
    </xf>
    <xf numFmtId="3" fontId="1" fillId="20" borderId="211" xfId="0" applyNumberFormat="1" applyFont="1" applyFill="1" applyBorder="1"/>
    <xf numFmtId="0" fontId="1" fillId="3" borderId="211" xfId="0" applyFont="1" applyFill="1" applyBorder="1" applyAlignment="1">
      <alignment horizontal="center" vertical="center"/>
    </xf>
    <xf numFmtId="0" fontId="70" fillId="3" borderId="211" xfId="0" applyFont="1" applyFill="1" applyBorder="1" applyAlignment="1">
      <alignment horizontal="center" vertical="center"/>
    </xf>
    <xf numFmtId="0" fontId="70" fillId="3" borderId="211" xfId="0" applyFont="1" applyFill="1" applyBorder="1" applyAlignment="1">
      <alignment horizontal="left" vertical="center"/>
    </xf>
    <xf numFmtId="3" fontId="70" fillId="3" borderId="211" xfId="0" applyNumberFormat="1" applyFont="1" applyFill="1" applyBorder="1" applyAlignment="1">
      <alignment vertical="center"/>
    </xf>
    <xf numFmtId="0" fontId="149" fillId="42" borderId="0" xfId="0" applyFont="1" applyFill="1"/>
    <xf numFmtId="0" fontId="147" fillId="42" borderId="0" xfId="0" applyFont="1" applyFill="1" applyAlignment="1">
      <alignment vertical="top" wrapText="1"/>
    </xf>
    <xf numFmtId="0" fontId="283" fillId="42" borderId="0" xfId="2" applyFont="1" applyFill="1" applyAlignment="1">
      <alignment vertical="center"/>
    </xf>
    <xf numFmtId="0" fontId="151" fillId="42" borderId="0" xfId="0" applyFont="1" applyFill="1" applyAlignment="1" applyProtection="1">
      <alignment vertical="center"/>
      <protection locked="0"/>
    </xf>
    <xf numFmtId="0" fontId="243" fillId="42" borderId="0" xfId="0" applyFont="1" applyFill="1"/>
    <xf numFmtId="0" fontId="242" fillId="42" borderId="0" xfId="2" applyFont="1" applyFill="1" applyBorder="1" applyAlignment="1">
      <alignment vertical="center"/>
    </xf>
    <xf numFmtId="0" fontId="244" fillId="42" borderId="0" xfId="0" applyFont="1" applyFill="1"/>
    <xf numFmtId="0" fontId="156" fillId="4" borderId="0" xfId="0" applyFont="1" applyFill="1" applyAlignment="1">
      <alignment horizontal="left" vertical="center"/>
    </xf>
    <xf numFmtId="0" fontId="357" fillId="0" borderId="0" xfId="0" applyFont="1" applyAlignment="1">
      <alignment horizontal="center" vertical="center"/>
    </xf>
    <xf numFmtId="0" fontId="167" fillId="33" borderId="0" xfId="0" applyFont="1" applyFill="1" applyAlignment="1">
      <alignment vertical="center"/>
    </xf>
    <xf numFmtId="0" fontId="146" fillId="33" borderId="0" xfId="0" applyFont="1" applyFill="1" applyAlignment="1">
      <alignment vertical="center"/>
    </xf>
    <xf numFmtId="0" fontId="147" fillId="33" borderId="0" xfId="0" applyFont="1" applyFill="1"/>
    <xf numFmtId="0" fontId="148" fillId="33" borderId="0" xfId="0" applyFont="1" applyFill="1"/>
    <xf numFmtId="0" fontId="147" fillId="33" borderId="0" xfId="0" applyFont="1" applyFill="1" applyAlignment="1">
      <alignment vertical="center"/>
    </xf>
    <xf numFmtId="0" fontId="148" fillId="33" borderId="0" xfId="0" applyFont="1" applyFill="1" applyAlignment="1">
      <alignment vertical="center"/>
    </xf>
    <xf numFmtId="164" fontId="197" fillId="41" borderId="0" xfId="0" applyNumberFormat="1" applyFont="1" applyFill="1" applyAlignment="1" applyProtection="1">
      <alignment vertical="center" wrapText="1"/>
      <protection hidden="1"/>
    </xf>
    <xf numFmtId="164" fontId="21" fillId="2" borderId="54" xfId="0" applyNumberFormat="1" applyFont="1" applyFill="1" applyBorder="1" applyAlignment="1" applyProtection="1">
      <alignment horizontal="center" vertical="center"/>
      <protection hidden="1"/>
    </xf>
    <xf numFmtId="164" fontId="197" fillId="2" borderId="54" xfId="0" applyNumberFormat="1" applyFont="1" applyFill="1" applyBorder="1" applyAlignment="1" applyProtection="1">
      <alignment horizontal="center" vertical="center"/>
      <protection hidden="1"/>
    </xf>
    <xf numFmtId="164" fontId="21" fillId="2" borderId="252" xfId="0" applyNumberFormat="1" applyFont="1" applyFill="1" applyBorder="1" applyAlignment="1" applyProtection="1">
      <alignment horizontal="center" vertical="center"/>
      <protection hidden="1"/>
    </xf>
    <xf numFmtId="9" fontId="196" fillId="2" borderId="54" xfId="0" applyNumberFormat="1" applyFont="1" applyFill="1" applyBorder="1" applyAlignment="1" applyProtection="1">
      <alignment horizontal="center" vertical="center"/>
      <protection hidden="1"/>
    </xf>
    <xf numFmtId="3" fontId="329" fillId="2" borderId="103" xfId="0" applyNumberFormat="1" applyFont="1" applyFill="1" applyBorder="1" applyAlignment="1" applyProtection="1">
      <alignment horizontal="center" vertical="center"/>
      <protection hidden="1"/>
    </xf>
    <xf numFmtId="3" fontId="355" fillId="2" borderId="251" xfId="0" applyNumberFormat="1" applyFont="1" applyFill="1" applyBorder="1" applyAlignment="1" applyProtection="1">
      <alignment horizontal="center"/>
      <protection hidden="1"/>
    </xf>
    <xf numFmtId="0" fontId="197" fillId="2" borderId="251" xfId="0" applyFont="1" applyFill="1" applyBorder="1" applyAlignment="1" applyProtection="1">
      <alignment horizontal="center"/>
      <protection hidden="1"/>
    </xf>
    <xf numFmtId="0" fontId="41" fillId="2" borderId="251" xfId="0" applyFont="1" applyFill="1" applyBorder="1" applyAlignment="1" applyProtection="1">
      <alignment horizontal="center" vertical="center"/>
      <protection hidden="1"/>
    </xf>
    <xf numFmtId="3" fontId="355" fillId="2" borderId="251" xfId="0" applyNumberFormat="1" applyFont="1" applyFill="1" applyBorder="1" applyAlignment="1" applyProtection="1">
      <alignment horizontal="center" vertical="center"/>
      <protection hidden="1"/>
    </xf>
    <xf numFmtId="3" fontId="41" fillId="2" borderId="251" xfId="0" applyNumberFormat="1" applyFont="1" applyFill="1" applyBorder="1" applyAlignment="1" applyProtection="1">
      <alignment horizontal="center" vertical="center"/>
      <protection hidden="1"/>
    </xf>
    <xf numFmtId="3" fontId="41" fillId="37" borderId="251" xfId="0" applyNumberFormat="1" applyFont="1" applyFill="1" applyBorder="1" applyAlignment="1" applyProtection="1">
      <alignment horizontal="center" vertical="center"/>
      <protection hidden="1"/>
    </xf>
    <xf numFmtId="0" fontId="44" fillId="0" borderId="0" xfId="0" applyFont="1"/>
    <xf numFmtId="0" fontId="359" fillId="41" borderId="0" xfId="0" applyFont="1" applyFill="1"/>
    <xf numFmtId="165" fontId="360" fillId="41" borderId="0" xfId="0" applyNumberFormat="1" applyFont="1" applyFill="1" applyAlignment="1" applyProtection="1">
      <alignment vertical="top"/>
      <protection hidden="1"/>
    </xf>
    <xf numFmtId="0" fontId="361" fillId="41" borderId="0" xfId="0" applyFont="1" applyFill="1"/>
    <xf numFmtId="3" fontId="188" fillId="2" borderId="0" xfId="0" applyNumberFormat="1" applyFont="1" applyFill="1" applyAlignment="1" applyProtection="1">
      <alignment vertical="center"/>
      <protection hidden="1"/>
    </xf>
    <xf numFmtId="0" fontId="362" fillId="33" borderId="0" xfId="0" applyFont="1" applyFill="1"/>
    <xf numFmtId="0" fontId="0" fillId="33" borderId="0" xfId="0" applyFill="1" applyAlignment="1">
      <alignment horizontal="center" vertical="center"/>
    </xf>
    <xf numFmtId="0" fontId="318" fillId="41" borderId="0" xfId="0" applyFont="1" applyFill="1"/>
    <xf numFmtId="165" fontId="363" fillId="41" borderId="0" xfId="0" applyNumberFormat="1" applyFont="1" applyFill="1" applyAlignment="1" applyProtection="1">
      <alignment vertical="top"/>
      <protection hidden="1"/>
    </xf>
    <xf numFmtId="0" fontId="353" fillId="41" borderId="0" xfId="0" applyFont="1" applyFill="1"/>
    <xf numFmtId="0" fontId="322" fillId="2" borderId="211" xfId="0" applyFont="1" applyFill="1" applyBorder="1" applyAlignment="1">
      <alignment horizontal="center" vertical="center"/>
    </xf>
    <xf numFmtId="1" fontId="322" fillId="33" borderId="126" xfId="0" applyNumberFormat="1" applyFont="1" applyFill="1" applyBorder="1" applyAlignment="1">
      <alignment horizontal="center" vertical="center"/>
    </xf>
    <xf numFmtId="3" fontId="322" fillId="33" borderId="126" xfId="0" applyNumberFormat="1" applyFont="1" applyFill="1" applyBorder="1" applyAlignment="1">
      <alignment horizontal="center"/>
    </xf>
    <xf numFmtId="0" fontId="322" fillId="33" borderId="126" xfId="0" applyFont="1" applyFill="1" applyBorder="1" applyAlignment="1">
      <alignment horizontal="center"/>
    </xf>
    <xf numFmtId="1" fontId="322" fillId="33" borderId="126" xfId="0" applyNumberFormat="1" applyFont="1" applyFill="1" applyBorder="1" applyAlignment="1">
      <alignment horizontal="center"/>
    </xf>
    <xf numFmtId="1" fontId="2" fillId="0" borderId="197" xfId="0" applyNumberFormat="1" applyFont="1" applyBorder="1" applyAlignment="1" applyProtection="1">
      <alignment horizontal="center" vertical="center"/>
      <protection locked="0" hidden="1"/>
    </xf>
    <xf numFmtId="0" fontId="0" fillId="4" borderId="0" xfId="0" applyFill="1" applyProtection="1">
      <protection hidden="1"/>
    </xf>
    <xf numFmtId="0" fontId="22" fillId="0" borderId="244" xfId="0" applyFont="1" applyBorder="1" applyAlignment="1" applyProtection="1">
      <alignment horizontal="center"/>
      <protection hidden="1"/>
    </xf>
    <xf numFmtId="0" fontId="22" fillId="0" borderId="245" xfId="0" applyFont="1" applyBorder="1" applyAlignment="1" applyProtection="1">
      <alignment horizontal="center"/>
      <protection hidden="1"/>
    </xf>
    <xf numFmtId="0" fontId="69" fillId="0" borderId="256" xfId="0" applyFont="1" applyBorder="1" applyAlignment="1" applyProtection="1">
      <alignment horizontal="center" vertical="center"/>
      <protection hidden="1"/>
    </xf>
    <xf numFmtId="0" fontId="69" fillId="0" borderId="245" xfId="0" applyFont="1" applyBorder="1" applyAlignment="1" applyProtection="1">
      <alignment vertical="center" wrapText="1"/>
      <protection hidden="1"/>
    </xf>
    <xf numFmtId="0" fontId="0" fillId="0" borderId="245" xfId="0" applyBorder="1" applyProtection="1">
      <protection hidden="1"/>
    </xf>
    <xf numFmtId="0" fontId="22" fillId="0" borderId="245" xfId="0" applyFont="1" applyBorder="1" applyAlignment="1" applyProtection="1">
      <alignment vertical="center"/>
      <protection hidden="1"/>
    </xf>
    <xf numFmtId="0" fontId="24" fillId="0" borderId="245" xfId="0" applyFont="1" applyBorder="1" applyAlignment="1" applyProtection="1">
      <alignment horizontal="right" vertical="center"/>
      <protection hidden="1"/>
    </xf>
    <xf numFmtId="0" fontId="22" fillId="12" borderId="244" xfId="0" applyFont="1" applyFill="1" applyBorder="1" applyProtection="1">
      <protection hidden="1"/>
    </xf>
    <xf numFmtId="0" fontId="38" fillId="12" borderId="245" xfId="0" applyFont="1" applyFill="1" applyBorder="1" applyProtection="1">
      <protection hidden="1"/>
    </xf>
    <xf numFmtId="0" fontId="76" fillId="12" borderId="244" xfId="0" applyFont="1" applyFill="1" applyBorder="1" applyProtection="1">
      <protection hidden="1"/>
    </xf>
    <xf numFmtId="0" fontId="29" fillId="12" borderId="245" xfId="3" applyFont="1" applyFill="1" applyBorder="1" applyAlignment="1" applyProtection="1">
      <alignment vertical="center"/>
      <protection hidden="1"/>
    </xf>
    <xf numFmtId="0" fontId="323" fillId="31" borderId="258" xfId="0" applyFont="1" applyFill="1" applyBorder="1" applyAlignment="1" applyProtection="1">
      <alignment horizontal="center" vertical="center"/>
      <protection hidden="1"/>
    </xf>
    <xf numFmtId="0" fontId="253" fillId="4" borderId="120" xfId="0" applyFont="1" applyFill="1" applyBorder="1" applyAlignment="1" applyProtection="1">
      <alignment vertical="center"/>
      <protection hidden="1"/>
    </xf>
    <xf numFmtId="0" fontId="2" fillId="0" borderId="0" xfId="0" applyFont="1" applyAlignment="1" applyProtection="1">
      <alignment horizontal="center" vertical="center"/>
      <protection hidden="1"/>
    </xf>
    <xf numFmtId="0" fontId="1" fillId="0" borderId="0" xfId="0" applyFont="1" applyAlignment="1" applyProtection="1">
      <alignment horizontal="left" vertical="center"/>
      <protection hidden="1"/>
    </xf>
    <xf numFmtId="0" fontId="1" fillId="0" borderId="0" xfId="0" applyFont="1" applyAlignment="1" applyProtection="1">
      <alignment vertical="center"/>
      <protection hidden="1"/>
    </xf>
    <xf numFmtId="0" fontId="0" fillId="62" borderId="0" xfId="0" applyFill="1"/>
    <xf numFmtId="0" fontId="0" fillId="63" borderId="0" xfId="0" applyFill="1"/>
    <xf numFmtId="0" fontId="0" fillId="64" borderId="0" xfId="0" applyFill="1"/>
    <xf numFmtId="0" fontId="366" fillId="64" borderId="0" xfId="0" applyFont="1" applyFill="1" applyAlignment="1">
      <alignment vertical="center" wrapText="1"/>
    </xf>
    <xf numFmtId="0" fontId="366" fillId="66" borderId="0" xfId="0" applyFont="1" applyFill="1" applyAlignment="1">
      <alignment vertical="center" wrapText="1"/>
    </xf>
    <xf numFmtId="0" fontId="368" fillId="66" borderId="0" xfId="0" applyFont="1" applyFill="1"/>
    <xf numFmtId="0" fontId="369" fillId="63" borderId="0" xfId="0" applyFont="1" applyFill="1" applyAlignment="1">
      <alignment horizontal="center"/>
    </xf>
    <xf numFmtId="0" fontId="0" fillId="64" borderId="0" xfId="0" applyFill="1" applyAlignment="1">
      <alignment vertical="center"/>
    </xf>
    <xf numFmtId="0" fontId="345" fillId="66" borderId="0" xfId="0" applyFont="1" applyFill="1"/>
    <xf numFmtId="0" fontId="0" fillId="66" borderId="0" xfId="0" applyFill="1"/>
    <xf numFmtId="0" fontId="372" fillId="63" borderId="0" xfId="0" applyFont="1" applyFill="1" applyAlignment="1">
      <alignment horizontal="center"/>
    </xf>
    <xf numFmtId="0" fontId="373" fillId="63" borderId="0" xfId="0" applyFont="1" applyFill="1"/>
    <xf numFmtId="166" fontId="376" fillId="55" borderId="0" xfId="0" applyNumberFormat="1" applyFont="1" applyFill="1" applyAlignment="1">
      <alignment vertical="center"/>
    </xf>
    <xf numFmtId="0" fontId="377" fillId="64" borderId="0" xfId="0" applyFont="1" applyFill="1"/>
    <xf numFmtId="0" fontId="4" fillId="69" borderId="12" xfId="0" applyFont="1" applyFill="1" applyBorder="1" applyAlignment="1" applyProtection="1">
      <alignment horizontal="center" vertical="center"/>
      <protection hidden="1"/>
    </xf>
    <xf numFmtId="0" fontId="3" fillId="69" borderId="12" xfId="0" applyFont="1" applyFill="1" applyBorder="1" applyAlignment="1">
      <alignment horizontal="center"/>
    </xf>
    <xf numFmtId="0" fontId="3" fillId="69" borderId="12" xfId="0" applyFont="1" applyFill="1" applyBorder="1"/>
    <xf numFmtId="166" fontId="332" fillId="63" borderId="0" xfId="0" applyNumberFormat="1" applyFont="1" applyFill="1"/>
    <xf numFmtId="0" fontId="377" fillId="63" borderId="0" xfId="0" applyFont="1" applyFill="1"/>
    <xf numFmtId="0" fontId="350" fillId="63" borderId="0" xfId="0" applyFont="1" applyFill="1"/>
    <xf numFmtId="0" fontId="350" fillId="64" borderId="0" xfId="0" applyFont="1" applyFill="1"/>
    <xf numFmtId="0" fontId="3" fillId="70" borderId="12" xfId="0" applyFont="1" applyFill="1" applyBorder="1" applyAlignment="1" applyProtection="1">
      <alignment horizontal="center"/>
      <protection hidden="1"/>
    </xf>
    <xf numFmtId="0" fontId="4" fillId="70" borderId="12" xfId="0" applyFont="1" applyFill="1" applyBorder="1" applyAlignment="1" applyProtection="1">
      <alignment horizontal="center" vertical="center"/>
      <protection hidden="1"/>
    </xf>
    <xf numFmtId="166" fontId="8" fillId="71" borderId="0" xfId="0" applyNumberFormat="1" applyFont="1" applyFill="1"/>
    <xf numFmtId="166" fontId="332" fillId="71" borderId="0" xfId="0" applyNumberFormat="1" applyFont="1" applyFill="1"/>
    <xf numFmtId="0" fontId="343" fillId="71" borderId="0" xfId="0" applyFont="1" applyFill="1"/>
    <xf numFmtId="0" fontId="369" fillId="71" borderId="0" xfId="0" applyFont="1" applyFill="1"/>
    <xf numFmtId="0" fontId="350" fillId="33" borderId="0" xfId="0" applyFont="1" applyFill="1"/>
    <xf numFmtId="166" fontId="8" fillId="37" borderId="0" xfId="0" applyNumberFormat="1" applyFont="1" applyFill="1"/>
    <xf numFmtId="0" fontId="382" fillId="63" borderId="0" xfId="0" applyFont="1" applyFill="1"/>
    <xf numFmtId="0" fontId="382" fillId="33" borderId="0" xfId="0" applyFont="1" applyFill="1"/>
    <xf numFmtId="0" fontId="382" fillId="32" borderId="0" xfId="0" applyFont="1" applyFill="1"/>
    <xf numFmtId="0" fontId="0" fillId="72" borderId="0" xfId="0" applyFill="1"/>
    <xf numFmtId="0" fontId="6" fillId="72" borderId="0" xfId="0" applyFont="1" applyFill="1"/>
    <xf numFmtId="17" fontId="219" fillId="72" borderId="0" xfId="0" applyNumberFormat="1" applyFont="1" applyFill="1" applyAlignment="1" applyProtection="1">
      <alignment horizontal="center" vertical="center"/>
      <protection hidden="1"/>
    </xf>
    <xf numFmtId="0" fontId="201" fillId="72" borderId="0" xfId="1" applyFont="1" applyFill="1" applyBorder="1" applyAlignment="1" applyProtection="1">
      <alignment vertical="center"/>
      <protection hidden="1"/>
    </xf>
    <xf numFmtId="0" fontId="7" fillId="72" borderId="0" xfId="1" applyFont="1" applyFill="1" applyBorder="1" applyAlignment="1" applyProtection="1">
      <alignment vertical="center"/>
      <protection hidden="1"/>
    </xf>
    <xf numFmtId="0" fontId="8" fillId="72" borderId="0" xfId="0" applyFont="1" applyFill="1" applyAlignment="1">
      <alignment vertical="center" wrapText="1"/>
    </xf>
    <xf numFmtId="0" fontId="6" fillId="72" borderId="0" xfId="0" applyFont="1" applyFill="1" applyAlignment="1" applyProtection="1">
      <alignment horizontal="center" vertical="center"/>
      <protection hidden="1"/>
    </xf>
    <xf numFmtId="0" fontId="2" fillId="72" borderId="0" xfId="0" applyFont="1" applyFill="1" applyAlignment="1">
      <alignment vertical="center"/>
    </xf>
    <xf numFmtId="0" fontId="7" fillId="72" borderId="0" xfId="0" applyFont="1" applyFill="1" applyAlignment="1">
      <alignment vertical="center" wrapText="1"/>
    </xf>
    <xf numFmtId="17" fontId="6" fillId="72" borderId="0" xfId="0" applyNumberFormat="1" applyFont="1" applyFill="1" applyAlignment="1" applyProtection="1">
      <alignment horizontal="center" vertical="center"/>
      <protection hidden="1"/>
    </xf>
    <xf numFmtId="0" fontId="6" fillId="72" borderId="0" xfId="0" applyFont="1" applyFill="1" applyAlignment="1" applyProtection="1">
      <alignment horizontal="center"/>
      <protection hidden="1"/>
    </xf>
    <xf numFmtId="0" fontId="2" fillId="72" borderId="0" xfId="0" applyFont="1" applyFill="1"/>
    <xf numFmtId="0" fontId="9" fillId="72" borderId="0" xfId="0" applyFont="1" applyFill="1" applyAlignment="1" applyProtection="1">
      <alignment horizontal="center"/>
      <protection hidden="1"/>
    </xf>
    <xf numFmtId="0" fontId="1" fillId="72" borderId="0" xfId="0" applyFont="1" applyFill="1" applyAlignment="1">
      <alignment vertical="center" wrapText="1"/>
    </xf>
    <xf numFmtId="0" fontId="1" fillId="72" borderId="0" xfId="0" applyFont="1" applyFill="1" applyAlignment="1">
      <alignment horizontal="left" vertical="center" wrapText="1"/>
    </xf>
    <xf numFmtId="0" fontId="384" fillId="72" borderId="0" xfId="0" applyFont="1" applyFill="1"/>
    <xf numFmtId="0" fontId="11" fillId="72" borderId="0" xfId="0" applyFont="1" applyFill="1" applyAlignment="1">
      <alignment vertical="center" wrapText="1"/>
    </xf>
    <xf numFmtId="0" fontId="10" fillId="72" borderId="0" xfId="0" applyFont="1" applyFill="1"/>
    <xf numFmtId="164" fontId="9" fillId="72" borderId="0" xfId="0" applyNumberFormat="1" applyFont="1" applyFill="1" applyAlignment="1" applyProtection="1">
      <alignment horizontal="right" vertical="center"/>
      <protection hidden="1"/>
    </xf>
    <xf numFmtId="0" fontId="13" fillId="72" borderId="0" xfId="0" applyFont="1" applyFill="1" applyAlignment="1" applyProtection="1">
      <alignment vertical="center"/>
      <protection hidden="1"/>
    </xf>
    <xf numFmtId="0" fontId="12" fillId="72" borderId="0" xfId="0" applyFont="1" applyFill="1" applyAlignment="1" applyProtection="1">
      <alignment vertical="center"/>
      <protection hidden="1"/>
    </xf>
    <xf numFmtId="0" fontId="0" fillId="50" borderId="0" xfId="0" applyFill="1"/>
    <xf numFmtId="0" fontId="0" fillId="73" borderId="0" xfId="0" applyFill="1"/>
    <xf numFmtId="0" fontId="3" fillId="70" borderId="12" xfId="0" applyFont="1" applyFill="1" applyBorder="1" applyAlignment="1">
      <alignment horizontal="center"/>
    </xf>
    <xf numFmtId="166" fontId="8" fillId="70" borderId="12" xfId="0" applyNumberFormat="1" applyFont="1" applyFill="1" applyBorder="1"/>
    <xf numFmtId="166" fontId="8" fillId="74" borderId="0" xfId="0" applyNumberFormat="1" applyFont="1" applyFill="1"/>
    <xf numFmtId="166" fontId="340" fillId="74" borderId="0" xfId="0" applyNumberFormat="1" applyFont="1" applyFill="1" applyAlignment="1">
      <alignment vertical="center"/>
    </xf>
    <xf numFmtId="166" fontId="340" fillId="74" borderId="185" xfId="0" applyNumberFormat="1" applyFont="1" applyFill="1" applyBorder="1" applyAlignment="1">
      <alignment vertical="center"/>
    </xf>
    <xf numFmtId="166" fontId="332" fillId="74" borderId="0" xfId="0" applyNumberFormat="1" applyFont="1" applyFill="1"/>
    <xf numFmtId="166" fontId="378" fillId="74" borderId="0" xfId="0" applyNumberFormat="1" applyFont="1" applyFill="1" applyAlignment="1">
      <alignment vertical="center"/>
    </xf>
    <xf numFmtId="166" fontId="8" fillId="74" borderId="185" xfId="0" applyNumberFormat="1" applyFont="1" applyFill="1" applyBorder="1"/>
    <xf numFmtId="166" fontId="338" fillId="74" borderId="0" xfId="0" applyNumberFormat="1" applyFont="1" applyFill="1"/>
    <xf numFmtId="166" fontId="335" fillId="74" borderId="0" xfId="0" applyNumberFormat="1" applyFont="1" applyFill="1"/>
    <xf numFmtId="166" fontId="332" fillId="74" borderId="185" xfId="0" applyNumberFormat="1" applyFont="1" applyFill="1" applyBorder="1"/>
    <xf numFmtId="166" fontId="329" fillId="74" borderId="0" xfId="0" applyNumberFormat="1" applyFont="1" applyFill="1"/>
    <xf numFmtId="166" fontId="335" fillId="74" borderId="0" xfId="0" applyNumberFormat="1" applyFont="1" applyFill="1" applyAlignment="1">
      <alignment vertical="top" wrapText="1"/>
    </xf>
    <xf numFmtId="0" fontId="332" fillId="74" borderId="0" xfId="0" applyFont="1" applyFill="1"/>
    <xf numFmtId="166" fontId="328" fillId="74" borderId="0" xfId="0" applyNumberFormat="1" applyFont="1" applyFill="1"/>
    <xf numFmtId="0" fontId="325" fillId="74" borderId="0" xfId="0" applyFont="1" applyFill="1" applyAlignment="1" applyProtection="1">
      <alignment vertical="center"/>
      <protection hidden="1"/>
    </xf>
    <xf numFmtId="0" fontId="340" fillId="74" borderId="0" xfId="0" applyFont="1" applyFill="1"/>
    <xf numFmtId="0" fontId="383" fillId="74" borderId="0" xfId="0" applyFont="1" applyFill="1"/>
    <xf numFmtId="166" fontId="14" fillId="74" borderId="0" xfId="0" applyNumberFormat="1" applyFont="1" applyFill="1"/>
    <xf numFmtId="0" fontId="8" fillId="74" borderId="0" xfId="0" applyFont="1" applyFill="1"/>
    <xf numFmtId="0" fontId="0" fillId="75" borderId="0" xfId="0" applyFill="1"/>
    <xf numFmtId="0" fontId="0" fillId="59" borderId="0" xfId="0" applyFill="1"/>
    <xf numFmtId="0" fontId="0" fillId="76" borderId="0" xfId="0" applyFill="1"/>
    <xf numFmtId="0" fontId="0" fillId="77" borderId="0" xfId="0" applyFill="1"/>
    <xf numFmtId="0" fontId="0" fillId="34" borderId="0" xfId="0" applyFill="1"/>
    <xf numFmtId="0" fontId="0" fillId="61" borderId="0" xfId="0" applyFill="1"/>
    <xf numFmtId="0" fontId="328" fillId="34" borderId="12" xfId="0" applyFont="1" applyFill="1" applyBorder="1" applyAlignment="1">
      <alignment horizontal="center"/>
    </xf>
    <xf numFmtId="0" fontId="385" fillId="50" borderId="0" xfId="0" applyFont="1" applyFill="1"/>
    <xf numFmtId="0" fontId="0" fillId="50" borderId="0" xfId="0" applyFill="1" applyAlignment="1">
      <alignment horizontal="center"/>
    </xf>
    <xf numFmtId="0" fontId="328" fillId="34" borderId="12" xfId="0" applyFont="1" applyFill="1" applyBorder="1" applyAlignment="1">
      <alignment horizontal="center" vertical="center"/>
    </xf>
    <xf numFmtId="0" fontId="321" fillId="34" borderId="12" xfId="0" applyFont="1" applyFill="1" applyBorder="1" applyAlignment="1">
      <alignment horizontal="center" vertical="center"/>
    </xf>
    <xf numFmtId="0" fontId="355" fillId="31" borderId="261" xfId="0" applyFont="1" applyFill="1" applyBorder="1" applyAlignment="1" applyProtection="1">
      <alignment vertical="center"/>
      <protection hidden="1"/>
    </xf>
    <xf numFmtId="0" fontId="355" fillId="31" borderId="260" xfId="0" applyFont="1" applyFill="1" applyBorder="1" applyAlignment="1" applyProtection="1">
      <alignment vertical="center"/>
      <protection hidden="1"/>
    </xf>
    <xf numFmtId="0" fontId="355" fillId="31" borderId="260" xfId="0" applyFont="1" applyFill="1" applyBorder="1" applyAlignment="1" applyProtection="1">
      <alignment horizontal="left" vertical="center"/>
      <protection hidden="1"/>
    </xf>
    <xf numFmtId="0" fontId="318" fillId="31" borderId="262" xfId="0" applyFont="1" applyFill="1" applyBorder="1"/>
    <xf numFmtId="0" fontId="355" fillId="78" borderId="261" xfId="0" applyFont="1" applyFill="1" applyBorder="1" applyAlignment="1" applyProtection="1">
      <alignment vertical="center"/>
      <protection hidden="1"/>
    </xf>
    <xf numFmtId="0" fontId="355" fillId="78" borderId="260" xfId="0" applyFont="1" applyFill="1" applyBorder="1" applyAlignment="1" applyProtection="1">
      <alignment vertical="center"/>
      <protection hidden="1"/>
    </xf>
    <xf numFmtId="0" fontId="355" fillId="78" borderId="260" xfId="0" applyFont="1" applyFill="1" applyBorder="1" applyAlignment="1" applyProtection="1">
      <alignment horizontal="left" vertical="center"/>
      <protection hidden="1"/>
    </xf>
    <xf numFmtId="0" fontId="318" fillId="78" borderId="262" xfId="0" applyFont="1" applyFill="1" applyBorder="1"/>
    <xf numFmtId="0" fontId="329" fillId="72" borderId="0" xfId="0" applyFont="1" applyFill="1" applyAlignment="1" applyProtection="1">
      <alignment vertical="center"/>
      <protection hidden="1"/>
    </xf>
    <xf numFmtId="0" fontId="329" fillId="72" borderId="12" xfId="0" applyFont="1" applyFill="1" applyBorder="1" applyAlignment="1" applyProtection="1">
      <alignment horizontal="center" vertical="center"/>
      <protection hidden="1"/>
    </xf>
    <xf numFmtId="0" fontId="329" fillId="50" borderId="0" xfId="0" applyFont="1" applyFill="1" applyAlignment="1" applyProtection="1">
      <alignment horizontal="center" vertical="center"/>
      <protection hidden="1"/>
    </xf>
    <xf numFmtId="0" fontId="329" fillId="31" borderId="185" xfId="0" applyFont="1" applyFill="1" applyBorder="1" applyAlignment="1" applyProtection="1">
      <alignment horizontal="center" vertical="center"/>
      <protection hidden="1"/>
    </xf>
    <xf numFmtId="0" fontId="329" fillId="31" borderId="0" xfId="0" applyFont="1" applyFill="1" applyAlignment="1" applyProtection="1">
      <alignment vertical="center"/>
      <protection hidden="1"/>
    </xf>
    <xf numFmtId="0" fontId="2" fillId="72" borderId="0" xfId="0" applyFont="1" applyFill="1" applyAlignment="1" applyProtection="1">
      <alignment horizontal="center" vertical="center"/>
      <protection hidden="1"/>
    </xf>
    <xf numFmtId="0" fontId="329" fillId="78" borderId="185" xfId="0" applyFont="1" applyFill="1" applyBorder="1" applyAlignment="1" applyProtection="1">
      <alignment horizontal="center" vertical="center"/>
      <protection hidden="1"/>
    </xf>
    <xf numFmtId="0" fontId="329" fillId="78" borderId="0" xfId="0" applyFont="1" applyFill="1" applyAlignment="1" applyProtection="1">
      <alignment vertical="center"/>
      <protection hidden="1"/>
    </xf>
    <xf numFmtId="0" fontId="329" fillId="72" borderId="0" xfId="0" applyFont="1" applyFill="1" applyProtection="1">
      <protection hidden="1"/>
    </xf>
    <xf numFmtId="0" fontId="329" fillId="72" borderId="12" xfId="0" applyFont="1" applyFill="1" applyBorder="1" applyAlignment="1" applyProtection="1">
      <alignment horizontal="center"/>
      <protection hidden="1"/>
    </xf>
    <xf numFmtId="0" fontId="329" fillId="31" borderId="0" xfId="0" applyFont="1" applyFill="1" applyProtection="1">
      <protection hidden="1"/>
    </xf>
    <xf numFmtId="0" fontId="329" fillId="78" borderId="0" xfId="0" applyFont="1" applyFill="1" applyProtection="1">
      <protection hidden="1"/>
    </xf>
    <xf numFmtId="0" fontId="336" fillId="72" borderId="0" xfId="0" applyFont="1" applyFill="1" applyAlignment="1" applyProtection="1">
      <alignment vertical="center"/>
      <protection hidden="1"/>
    </xf>
    <xf numFmtId="0" fontId="355" fillId="72" borderId="12" xfId="0" applyFont="1" applyFill="1" applyBorder="1" applyAlignment="1" applyProtection="1">
      <alignment horizontal="center" vertical="center"/>
      <protection hidden="1"/>
    </xf>
    <xf numFmtId="0" fontId="387" fillId="72" borderId="12" xfId="0" applyFont="1" applyFill="1" applyBorder="1" applyAlignment="1" applyProtection="1">
      <alignment vertical="center"/>
      <protection hidden="1"/>
    </xf>
    <xf numFmtId="0" fontId="387" fillId="31" borderId="0" xfId="0" applyFont="1" applyFill="1" applyAlignment="1" applyProtection="1">
      <alignment vertical="center"/>
      <protection hidden="1"/>
    </xf>
    <xf numFmtId="0" fontId="329" fillId="31" borderId="0" xfId="0" applyFont="1" applyFill="1" applyAlignment="1" applyProtection="1">
      <alignment horizontal="left" vertical="center"/>
      <protection hidden="1"/>
    </xf>
    <xf numFmtId="1" fontId="388" fillId="72" borderId="0" xfId="0" applyNumberFormat="1" applyFont="1" applyFill="1" applyAlignment="1" applyProtection="1">
      <alignment horizontal="right"/>
      <protection hidden="1"/>
    </xf>
    <xf numFmtId="0" fontId="389" fillId="72" borderId="0" xfId="0" applyFont="1" applyFill="1" applyAlignment="1" applyProtection="1">
      <alignment horizontal="right"/>
      <protection hidden="1"/>
    </xf>
    <xf numFmtId="0" fontId="387" fillId="78" borderId="0" xfId="0" applyFont="1" applyFill="1" applyAlignment="1" applyProtection="1">
      <alignment vertical="center"/>
      <protection hidden="1"/>
    </xf>
    <xf numFmtId="0" fontId="329" fillId="78" borderId="0" xfId="0" applyFont="1" applyFill="1" applyAlignment="1" applyProtection="1">
      <alignment horizontal="left" vertical="center"/>
      <protection hidden="1"/>
    </xf>
    <xf numFmtId="0" fontId="355" fillId="72" borderId="0" xfId="0" applyFont="1" applyFill="1" applyAlignment="1" applyProtection="1">
      <alignment vertical="center"/>
      <protection hidden="1"/>
    </xf>
    <xf numFmtId="0" fontId="329" fillId="31" borderId="185" xfId="0" applyFont="1" applyFill="1" applyBorder="1" applyAlignment="1" applyProtection="1">
      <alignment horizontal="left" vertical="center"/>
      <protection hidden="1"/>
    </xf>
    <xf numFmtId="0" fontId="355" fillId="31" borderId="0" xfId="0" applyFont="1" applyFill="1" applyAlignment="1" applyProtection="1">
      <alignment vertical="center"/>
      <protection hidden="1"/>
    </xf>
    <xf numFmtId="0" fontId="388" fillId="72" borderId="0" xfId="0" applyFont="1" applyFill="1" applyAlignment="1" applyProtection="1">
      <alignment horizontal="center"/>
      <protection hidden="1"/>
    </xf>
    <xf numFmtId="0" fontId="392" fillId="72" borderId="0" xfId="0" applyFont="1" applyFill="1" applyProtection="1">
      <protection hidden="1"/>
    </xf>
    <xf numFmtId="0" fontId="329" fillId="78" borderId="185" xfId="0" applyFont="1" applyFill="1" applyBorder="1" applyAlignment="1" applyProtection="1">
      <alignment horizontal="left" vertical="center"/>
      <protection hidden="1"/>
    </xf>
    <xf numFmtId="0" fontId="355" fillId="78" borderId="0" xfId="0" applyFont="1" applyFill="1" applyAlignment="1" applyProtection="1">
      <alignment vertical="center"/>
      <protection hidden="1"/>
    </xf>
    <xf numFmtId="0" fontId="318" fillId="31" borderId="0" xfId="0" applyFont="1" applyFill="1"/>
    <xf numFmtId="0" fontId="392" fillId="72" borderId="0" xfId="0" applyFont="1" applyFill="1" applyAlignment="1" applyProtection="1">
      <alignment horizontal="right"/>
      <protection hidden="1"/>
    </xf>
    <xf numFmtId="0" fontId="318" fillId="78" borderId="0" xfId="0" applyFont="1" applyFill="1"/>
    <xf numFmtId="0" fontId="393" fillId="72" borderId="0" xfId="0" applyFont="1" applyFill="1" applyAlignment="1" applyProtection="1">
      <alignment horizontal="right"/>
      <protection hidden="1"/>
    </xf>
    <xf numFmtId="0" fontId="0" fillId="78" borderId="0" xfId="0" applyFill="1"/>
    <xf numFmtId="0" fontId="318" fillId="31" borderId="187" xfId="0" applyFont="1" applyFill="1" applyBorder="1" applyAlignment="1">
      <alignment horizontal="left"/>
    </xf>
    <xf numFmtId="0" fontId="318" fillId="31" borderId="187" xfId="0" applyFont="1" applyFill="1" applyBorder="1"/>
    <xf numFmtId="0" fontId="318" fillId="78" borderId="187" xfId="0" applyFont="1" applyFill="1" applyBorder="1" applyAlignment="1">
      <alignment horizontal="left"/>
    </xf>
    <xf numFmtId="0" fontId="0" fillId="78" borderId="187" xfId="0" applyFill="1" applyBorder="1"/>
    <xf numFmtId="0" fontId="318" fillId="46" borderId="0" xfId="0" applyFont="1" applyFill="1"/>
    <xf numFmtId="3" fontId="388" fillId="72" borderId="0" xfId="0" applyNumberFormat="1" applyFont="1" applyFill="1" applyAlignment="1" applyProtection="1">
      <alignment horizontal="right"/>
      <protection hidden="1"/>
    </xf>
    <xf numFmtId="0" fontId="318" fillId="78" borderId="187" xfId="0" applyFont="1" applyFill="1" applyBorder="1"/>
    <xf numFmtId="0" fontId="0" fillId="34" borderId="0" xfId="0" applyFill="1" applyAlignment="1">
      <alignment horizontal="center"/>
    </xf>
    <xf numFmtId="0" fontId="393" fillId="50" borderId="0" xfId="0" applyFont="1" applyFill="1" applyAlignment="1" applyProtection="1">
      <alignment horizontal="right"/>
      <protection hidden="1"/>
    </xf>
    <xf numFmtId="0" fontId="0" fillId="32" borderId="0" xfId="0" applyFill="1" applyAlignment="1">
      <alignment horizontal="center"/>
    </xf>
    <xf numFmtId="0" fontId="0" fillId="79" borderId="0" xfId="0" applyFill="1"/>
    <xf numFmtId="0" fontId="0" fillId="68" borderId="185" xfId="0" applyFill="1" applyBorder="1"/>
    <xf numFmtId="0" fontId="0" fillId="68" borderId="0" xfId="0" applyFill="1"/>
    <xf numFmtId="0" fontId="0" fillId="68" borderId="13" xfId="0" applyFill="1" applyBorder="1"/>
    <xf numFmtId="0" fontId="0" fillId="0" borderId="136" xfId="0" applyBorder="1" applyAlignment="1">
      <alignment horizontal="center" vertical="center"/>
    </xf>
    <xf numFmtId="0" fontId="0" fillId="0" borderId="63" xfId="0" applyBorder="1" applyAlignment="1">
      <alignment horizontal="center" vertical="center"/>
    </xf>
    <xf numFmtId="0" fontId="0" fillId="0" borderId="266" xfId="0" applyBorder="1" applyAlignment="1">
      <alignment horizontal="center" vertical="center"/>
    </xf>
    <xf numFmtId="0" fontId="0" fillId="0" borderId="136" xfId="0" applyBorder="1" applyAlignment="1">
      <alignment horizontal="center"/>
    </xf>
    <xf numFmtId="0" fontId="0" fillId="0" borderId="266" xfId="0" applyBorder="1" applyAlignment="1">
      <alignment horizontal="center"/>
    </xf>
    <xf numFmtId="0" fontId="0" fillId="68" borderId="186" xfId="0" applyFill="1" applyBorder="1"/>
    <xf numFmtId="0" fontId="0" fillId="68" borderId="187" xfId="0" applyFill="1" applyBorder="1"/>
    <xf numFmtId="0" fontId="0" fillId="68" borderId="234" xfId="0" applyFill="1" applyBorder="1"/>
    <xf numFmtId="0" fontId="0" fillId="0" borderId="267" xfId="0" applyBorder="1" applyAlignment="1">
      <alignment horizontal="center" vertical="center"/>
    </xf>
    <xf numFmtId="0" fontId="0" fillId="0" borderId="11" xfId="0" applyBorder="1" applyAlignment="1">
      <alignment horizontal="center" vertical="center"/>
    </xf>
    <xf numFmtId="0" fontId="0" fillId="0" borderId="268" xfId="0" applyBorder="1" applyAlignment="1">
      <alignment horizontal="center" vertical="center"/>
    </xf>
    <xf numFmtId="0" fontId="0" fillId="0" borderId="267" xfId="0" applyBorder="1" applyAlignment="1">
      <alignment horizontal="center"/>
    </xf>
    <xf numFmtId="0" fontId="0" fillId="0" borderId="268" xfId="0" applyBorder="1"/>
    <xf numFmtId="0" fontId="0" fillId="80" borderId="82" xfId="0" applyFill="1" applyBorder="1" applyAlignment="1">
      <alignment horizontal="center"/>
    </xf>
    <xf numFmtId="0" fontId="0" fillId="0" borderId="268" xfId="0" applyBorder="1" applyAlignment="1">
      <alignment horizontal="center"/>
    </xf>
    <xf numFmtId="0" fontId="0" fillId="80" borderId="12" xfId="0" applyFill="1" applyBorder="1" applyAlignment="1">
      <alignment horizontal="center"/>
    </xf>
    <xf numFmtId="0" fontId="0" fillId="0" borderId="74" xfId="0" applyBorder="1" applyAlignment="1">
      <alignment horizontal="center"/>
    </xf>
    <xf numFmtId="0" fontId="0" fillId="0" borderId="273" xfId="0" applyBorder="1" applyAlignment="1">
      <alignment horizontal="center"/>
    </xf>
    <xf numFmtId="0" fontId="0" fillId="0" borderId="273" xfId="0" applyBorder="1" applyAlignment="1">
      <alignment horizontal="center" vertical="center"/>
    </xf>
    <xf numFmtId="3" fontId="388" fillId="50" borderId="0" xfId="0" applyNumberFormat="1" applyFont="1" applyFill="1" applyAlignment="1" applyProtection="1">
      <alignment horizontal="right"/>
      <protection hidden="1"/>
    </xf>
    <xf numFmtId="0" fontId="329" fillId="50" borderId="260" xfId="0" applyFont="1" applyFill="1" applyBorder="1" applyAlignment="1" applyProtection="1">
      <alignment vertical="center"/>
      <protection hidden="1"/>
    </xf>
    <xf numFmtId="0" fontId="0" fillId="0" borderId="74" xfId="0" applyBorder="1" applyAlignment="1">
      <alignment horizontal="center" vertical="center"/>
    </xf>
    <xf numFmtId="0" fontId="0" fillId="0" borderId="71" xfId="0" applyBorder="1" applyAlignment="1">
      <alignment horizontal="center" vertical="center"/>
    </xf>
    <xf numFmtId="0" fontId="386" fillId="31" borderId="0" xfId="0" applyFont="1" applyFill="1"/>
    <xf numFmtId="0" fontId="0" fillId="50" borderId="279" xfId="0" applyFill="1" applyBorder="1" applyAlignment="1">
      <alignment horizontal="center" vertical="center"/>
    </xf>
    <xf numFmtId="0" fontId="0" fillId="50" borderId="0" xfId="0" applyFill="1" applyAlignment="1">
      <alignment horizontal="center" vertical="center"/>
    </xf>
    <xf numFmtId="0" fontId="0" fillId="50" borderId="280" xfId="0" applyFill="1" applyBorder="1" applyAlignment="1">
      <alignment horizontal="center" vertical="center"/>
    </xf>
    <xf numFmtId="0" fontId="0" fillId="50" borderId="279" xfId="0" applyFill="1" applyBorder="1"/>
    <xf numFmtId="0" fontId="0" fillId="50" borderId="280" xfId="0" applyFill="1" applyBorder="1"/>
    <xf numFmtId="0" fontId="373" fillId="50" borderId="285" xfId="0" applyFont="1" applyFill="1" applyBorder="1" applyAlignment="1">
      <alignment horizontal="center" vertical="center"/>
    </xf>
    <xf numFmtId="0" fontId="373" fillId="50" borderId="285" xfId="0" applyFont="1" applyFill="1" applyBorder="1" applyAlignment="1">
      <alignment horizontal="center"/>
    </xf>
    <xf numFmtId="0" fontId="386" fillId="31" borderId="0" xfId="0" applyFont="1" applyFill="1" applyAlignment="1">
      <alignment horizontal="center"/>
    </xf>
    <xf numFmtId="0" fontId="0" fillId="50" borderId="285" xfId="0" applyFill="1" applyBorder="1" applyAlignment="1">
      <alignment horizontal="center"/>
    </xf>
    <xf numFmtId="0" fontId="0" fillId="50" borderId="244" xfId="0" applyFill="1" applyBorder="1"/>
    <xf numFmtId="0" fontId="0" fillId="50" borderId="0" xfId="0" applyFill="1" applyAlignment="1">
      <alignment vertical="center"/>
    </xf>
    <xf numFmtId="0" fontId="0" fillId="50" borderId="245" xfId="0" applyFill="1" applyBorder="1"/>
    <xf numFmtId="0" fontId="397" fillId="50" borderId="0" xfId="0" applyFont="1" applyFill="1" applyAlignment="1" applyProtection="1">
      <alignment vertical="center"/>
      <protection hidden="1"/>
    </xf>
    <xf numFmtId="0" fontId="28" fillId="50" borderId="0" xfId="0" applyFont="1" applyFill="1" applyAlignment="1" applyProtection="1">
      <alignment vertical="center"/>
      <protection hidden="1"/>
    </xf>
    <xf numFmtId="0" fontId="0" fillId="50" borderId="246" xfId="0" applyFill="1" applyBorder="1"/>
    <xf numFmtId="0" fontId="0" fillId="50" borderId="247" xfId="0" applyFill="1" applyBorder="1"/>
    <xf numFmtId="0" fontId="0" fillId="50" borderId="248" xfId="0" applyFill="1" applyBorder="1"/>
    <xf numFmtId="0" fontId="318" fillId="50" borderId="0" xfId="0" applyFont="1" applyFill="1"/>
    <xf numFmtId="0" fontId="373" fillId="50" borderId="0" xfId="0" applyFont="1" applyFill="1"/>
    <xf numFmtId="0" fontId="373" fillId="50" borderId="0" xfId="0" applyFont="1" applyFill="1" applyAlignment="1">
      <alignment horizontal="left"/>
    </xf>
    <xf numFmtId="49" fontId="0" fillId="50" borderId="0" xfId="0" applyNumberFormat="1" applyFill="1" applyAlignment="1">
      <alignment horizontal="center" vertical="center"/>
    </xf>
    <xf numFmtId="0" fontId="0" fillId="50" borderId="0" xfId="0" applyFill="1" applyAlignment="1">
      <alignment horizontal="left"/>
    </xf>
    <xf numFmtId="0" fontId="394" fillId="50" borderId="0" xfId="0" applyFont="1" applyFill="1" applyAlignment="1">
      <alignment horizontal="center"/>
    </xf>
    <xf numFmtId="0" fontId="373" fillId="50" borderId="0" xfId="0" applyFont="1" applyFill="1" applyAlignment="1">
      <alignment horizontal="center"/>
    </xf>
    <xf numFmtId="0" fontId="373" fillId="50" borderId="280" xfId="0" applyFont="1" applyFill="1" applyBorder="1"/>
    <xf numFmtId="0" fontId="373" fillId="31" borderId="0" xfId="0" applyFont="1" applyFill="1"/>
    <xf numFmtId="0" fontId="0" fillId="50" borderId="287" xfId="0" applyFill="1" applyBorder="1"/>
    <xf numFmtId="0" fontId="0" fillId="50" borderId="288" xfId="0" applyFill="1" applyBorder="1"/>
    <xf numFmtId="0" fontId="373" fillId="50" borderId="281" xfId="0" applyFont="1" applyFill="1" applyBorder="1" applyAlignment="1">
      <alignment horizontal="center"/>
    </xf>
    <xf numFmtId="0" fontId="373" fillId="50" borderId="283" xfId="0" applyFont="1" applyFill="1" applyBorder="1" applyAlignment="1">
      <alignment horizontal="center"/>
    </xf>
    <xf numFmtId="0" fontId="373" fillId="50" borderId="283" xfId="0" applyFont="1" applyFill="1" applyBorder="1"/>
    <xf numFmtId="0" fontId="0" fillId="50" borderId="290" xfId="0" applyFill="1" applyBorder="1"/>
    <xf numFmtId="0" fontId="0" fillId="50" borderId="187" xfId="0" applyFill="1" applyBorder="1"/>
    <xf numFmtId="0" fontId="0" fillId="50" borderId="292" xfId="0" applyFill="1" applyBorder="1"/>
    <xf numFmtId="0" fontId="373" fillId="0" borderId="285" xfId="0" applyFont="1" applyBorder="1" applyAlignment="1">
      <alignment horizontal="center" vertical="center"/>
    </xf>
    <xf numFmtId="0" fontId="321" fillId="0" borderId="285" xfId="0" applyFont="1" applyBorder="1" applyAlignment="1">
      <alignment horizontal="center"/>
    </xf>
    <xf numFmtId="0" fontId="328" fillId="0" borderId="285" xfId="0" applyFont="1" applyBorder="1" applyAlignment="1">
      <alignment horizontal="center"/>
    </xf>
    <xf numFmtId="0" fontId="0" fillId="49" borderId="0" xfId="0" applyFill="1"/>
    <xf numFmtId="0" fontId="371" fillId="66" borderId="0" xfId="0" applyFont="1" applyFill="1" applyAlignment="1">
      <alignment vertical="center" wrapText="1"/>
    </xf>
    <xf numFmtId="0" fontId="370" fillId="33" borderId="0" xfId="0" applyFont="1" applyFill="1" applyAlignment="1">
      <alignment vertical="center" wrapText="1"/>
    </xf>
    <xf numFmtId="0" fontId="0" fillId="0" borderId="260" xfId="0" applyBorder="1"/>
    <xf numFmtId="0" fontId="387" fillId="0" borderId="0" xfId="0" applyFont="1" applyAlignment="1" applyProtection="1">
      <alignment vertical="center"/>
      <protection hidden="1"/>
    </xf>
    <xf numFmtId="0" fontId="355" fillId="0" borderId="0" xfId="0" applyFont="1" applyAlignment="1" applyProtection="1">
      <alignment vertical="center"/>
      <protection hidden="1"/>
    </xf>
    <xf numFmtId="0" fontId="318" fillId="0" borderId="0" xfId="0" applyFont="1"/>
    <xf numFmtId="0" fontId="329" fillId="0" borderId="0" xfId="0" applyFont="1" applyAlignment="1" applyProtection="1">
      <alignment vertical="center"/>
      <protection hidden="1"/>
    </xf>
    <xf numFmtId="0" fontId="391" fillId="0" borderId="0" xfId="0" applyFont="1" applyAlignment="1" applyProtection="1">
      <alignment vertical="center"/>
      <protection hidden="1"/>
    </xf>
    <xf numFmtId="0" fontId="388" fillId="72" borderId="0" xfId="0" applyFont="1" applyFill="1" applyAlignment="1" applyProtection="1">
      <alignment horizontal="right"/>
      <protection hidden="1"/>
    </xf>
    <xf numFmtId="166" fontId="8" fillId="36" borderId="12" xfId="0" applyNumberFormat="1" applyFont="1" applyFill="1" applyBorder="1" applyProtection="1">
      <protection hidden="1"/>
    </xf>
    <xf numFmtId="0" fontId="332" fillId="31" borderId="218" xfId="0" applyFont="1" applyFill="1" applyBorder="1" applyAlignment="1">
      <alignment vertical="center"/>
    </xf>
    <xf numFmtId="0" fontId="323" fillId="31" borderId="227" xfId="0" applyFont="1" applyFill="1" applyBorder="1" applyAlignment="1">
      <alignment horizontal="center" vertical="center"/>
    </xf>
    <xf numFmtId="0" fontId="321" fillId="77" borderId="0" xfId="0" applyFont="1" applyFill="1" applyAlignment="1">
      <alignment horizontal="center"/>
    </xf>
    <xf numFmtId="0" fontId="321" fillId="34" borderId="0" xfId="0" applyFont="1" applyFill="1" applyAlignment="1">
      <alignment horizontal="center"/>
    </xf>
    <xf numFmtId="0" fontId="322" fillId="77" borderId="0" xfId="0" applyFont="1" applyFill="1" applyAlignment="1">
      <alignment horizontal="center"/>
    </xf>
    <xf numFmtId="0" fontId="321" fillId="0" borderId="0" xfId="0" applyFont="1" applyAlignment="1">
      <alignment horizontal="left" vertical="center"/>
    </xf>
    <xf numFmtId="0" fontId="350" fillId="33" borderId="0" xfId="0" applyFont="1" applyFill="1" applyAlignment="1">
      <alignment vertical="center"/>
    </xf>
    <xf numFmtId="176" fontId="321" fillId="0" borderId="0" xfId="0" applyNumberFormat="1" applyFont="1" applyAlignment="1">
      <alignment horizontal="center"/>
    </xf>
    <xf numFmtId="0" fontId="142" fillId="50" borderId="0" xfId="0" applyFont="1" applyFill="1"/>
    <xf numFmtId="0" fontId="233" fillId="50" borderId="0" xfId="0" applyFont="1" applyFill="1"/>
    <xf numFmtId="0" fontId="233" fillId="21" borderId="261" xfId="0" applyFont="1" applyFill="1" applyBorder="1"/>
    <xf numFmtId="0" fontId="0" fillId="21" borderId="260" xfId="0" applyFill="1" applyBorder="1"/>
    <xf numFmtId="0" fontId="0" fillId="21" borderId="262" xfId="0" applyFill="1" applyBorder="1"/>
    <xf numFmtId="0" fontId="142" fillId="27" borderId="261" xfId="0" applyFont="1" applyFill="1" applyBorder="1"/>
    <xf numFmtId="0" fontId="142" fillId="27" borderId="260" xfId="0" applyFont="1" applyFill="1" applyBorder="1"/>
    <xf numFmtId="0" fontId="142" fillId="27" borderId="262" xfId="0" applyFont="1" applyFill="1" applyBorder="1"/>
    <xf numFmtId="0" fontId="142" fillId="27" borderId="185" xfId="0" applyFont="1" applyFill="1" applyBorder="1"/>
    <xf numFmtId="0" fontId="142" fillId="27" borderId="186" xfId="0" applyFont="1" applyFill="1" applyBorder="1"/>
    <xf numFmtId="0" fontId="142" fillId="27" borderId="187" xfId="0" applyFont="1" applyFill="1" applyBorder="1"/>
    <xf numFmtId="0" fontId="142" fillId="27" borderId="234" xfId="0" applyFont="1" applyFill="1" applyBorder="1"/>
    <xf numFmtId="176" fontId="321" fillId="51" borderId="12" xfId="0" applyNumberFormat="1" applyFont="1" applyFill="1" applyBorder="1" applyAlignment="1">
      <alignment horizontal="center"/>
    </xf>
    <xf numFmtId="176" fontId="321" fillId="69" borderId="12" xfId="0" applyNumberFormat="1" applyFont="1" applyFill="1" applyBorder="1" applyAlignment="1">
      <alignment horizontal="center"/>
    </xf>
    <xf numFmtId="0" fontId="322" fillId="16" borderId="0" xfId="0" applyFont="1" applyFill="1" applyAlignment="1">
      <alignment horizontal="center" vertical="center" wrapText="1"/>
    </xf>
    <xf numFmtId="0" fontId="322" fillId="16" borderId="0" xfId="0" applyFont="1" applyFill="1" applyAlignment="1">
      <alignment vertical="center"/>
    </xf>
    <xf numFmtId="176" fontId="282" fillId="5" borderId="211" xfId="0" applyNumberFormat="1" applyFont="1" applyFill="1" applyBorder="1" applyAlignment="1">
      <alignment horizontal="center" vertical="center"/>
    </xf>
    <xf numFmtId="0" fontId="321" fillId="0" borderId="211" xfId="0" applyFont="1" applyBorder="1" applyAlignment="1">
      <alignment horizontal="center"/>
    </xf>
    <xf numFmtId="0" fontId="60" fillId="50" borderId="0" xfId="0" applyFont="1" applyFill="1" applyProtection="1">
      <protection hidden="1"/>
    </xf>
    <xf numFmtId="0" fontId="0" fillId="81" borderId="0" xfId="0" applyFill="1"/>
    <xf numFmtId="0" fontId="328" fillId="0" borderId="0" xfId="0" applyFont="1" applyAlignment="1">
      <alignment horizontal="center" vertical="center"/>
    </xf>
    <xf numFmtId="0" fontId="233" fillId="4" borderId="82" xfId="0" applyFont="1" applyFill="1" applyBorder="1"/>
    <xf numFmtId="0" fontId="233" fillId="4" borderId="186" xfId="0" applyFont="1" applyFill="1" applyBorder="1"/>
    <xf numFmtId="0" fontId="88" fillId="7" borderId="0" xfId="0" applyFont="1" applyFill="1"/>
    <xf numFmtId="0" fontId="261" fillId="18" borderId="0" xfId="0" applyFont="1" applyFill="1" applyAlignment="1">
      <alignment vertical="center"/>
    </xf>
    <xf numFmtId="0" fontId="233" fillId="16" borderId="260" xfId="0" applyFont="1" applyFill="1" applyBorder="1"/>
    <xf numFmtId="0" fontId="233" fillId="81" borderId="0" xfId="0" applyFont="1" applyFill="1"/>
    <xf numFmtId="0" fontId="261" fillId="81" borderId="0" xfId="0" applyFont="1" applyFill="1" applyAlignment="1">
      <alignment vertical="center"/>
    </xf>
    <xf numFmtId="0" fontId="233" fillId="4" borderId="187" xfId="0" applyFont="1" applyFill="1" applyBorder="1"/>
    <xf numFmtId="0" fontId="261" fillId="50" borderId="0" xfId="0" applyFont="1" applyFill="1" applyAlignment="1">
      <alignment vertical="center"/>
    </xf>
    <xf numFmtId="0" fontId="328" fillId="0" borderId="0" xfId="0" applyFont="1"/>
    <xf numFmtId="0" fontId="410" fillId="2" borderId="0" xfId="0" applyFont="1" applyFill="1"/>
    <xf numFmtId="0" fontId="410" fillId="2" borderId="211" xfId="0" applyFont="1" applyFill="1" applyBorder="1" applyAlignment="1">
      <alignment horizontal="center"/>
    </xf>
    <xf numFmtId="0" fontId="322" fillId="45" borderId="211" xfId="0" applyFont="1" applyFill="1" applyBorder="1" applyAlignment="1">
      <alignment horizontal="center" vertical="center"/>
    </xf>
    <xf numFmtId="0" fontId="410" fillId="2" borderId="0" xfId="0" applyFont="1" applyFill="1" applyAlignment="1">
      <alignment horizontal="center"/>
    </xf>
    <xf numFmtId="0" fontId="321" fillId="37" borderId="211" xfId="0" applyFont="1" applyFill="1" applyBorder="1" applyAlignment="1">
      <alignment horizontal="center" vertical="center"/>
    </xf>
    <xf numFmtId="0" fontId="88" fillId="0" borderId="0" xfId="0" applyFont="1"/>
    <xf numFmtId="0" fontId="328" fillId="0" borderId="0" xfId="0" applyFont="1" applyAlignment="1">
      <alignment vertical="center"/>
    </xf>
    <xf numFmtId="0" fontId="233" fillId="11" borderId="297" xfId="0" applyFont="1" applyFill="1" applyBorder="1"/>
    <xf numFmtId="0" fontId="322" fillId="37" borderId="211" xfId="0" applyFont="1" applyFill="1" applyBorder="1" applyAlignment="1">
      <alignment horizontal="center" vertical="center"/>
    </xf>
    <xf numFmtId="0" fontId="328" fillId="37" borderId="0" xfId="0" applyFont="1" applyFill="1" applyAlignment="1">
      <alignment vertical="center"/>
    </xf>
    <xf numFmtId="0" fontId="411" fillId="2" borderId="211" xfId="0" applyFont="1" applyFill="1" applyBorder="1" applyAlignment="1">
      <alignment horizontal="center" vertical="center"/>
    </xf>
    <xf numFmtId="0" fontId="411" fillId="41" borderId="211" xfId="0" applyFont="1" applyFill="1" applyBorder="1" applyAlignment="1">
      <alignment horizontal="center" vertical="center"/>
    </xf>
    <xf numFmtId="0" fontId="321" fillId="0" borderId="0" xfId="0" applyFont="1" applyAlignment="1">
      <alignment vertical="center"/>
    </xf>
    <xf numFmtId="176" fontId="321" fillId="0" borderId="0" xfId="0" applyNumberFormat="1" applyFont="1" applyAlignment="1">
      <alignment horizontal="center" vertical="center"/>
    </xf>
    <xf numFmtId="166" fontId="88" fillId="0" borderId="211" xfId="0" applyNumberFormat="1" applyFont="1" applyBorder="1" applyAlignment="1">
      <alignment horizontal="center"/>
    </xf>
    <xf numFmtId="0" fontId="322" fillId="33" borderId="211" xfId="0" applyFont="1" applyFill="1" applyBorder="1" applyAlignment="1">
      <alignment horizontal="center" vertical="center"/>
    </xf>
    <xf numFmtId="176" fontId="328" fillId="0" borderId="0" xfId="0" applyNumberFormat="1" applyFont="1" applyAlignment="1">
      <alignment horizontal="center" vertical="center"/>
    </xf>
    <xf numFmtId="0" fontId="322" fillId="44" borderId="298" xfId="0" applyFont="1" applyFill="1" applyBorder="1" applyAlignment="1">
      <alignment horizontal="center" vertical="center" wrapText="1"/>
    </xf>
    <xf numFmtId="0" fontId="322" fillId="44" borderId="298" xfId="0" applyFont="1" applyFill="1" applyBorder="1" applyAlignment="1">
      <alignment horizontal="center" vertical="center"/>
    </xf>
    <xf numFmtId="0" fontId="88" fillId="8" borderId="211" xfId="0" applyFont="1" applyFill="1" applyBorder="1" applyAlignment="1">
      <alignment horizontal="center" vertical="center"/>
    </xf>
    <xf numFmtId="176" fontId="233" fillId="8" borderId="211" xfId="0" applyNumberFormat="1" applyFont="1" applyFill="1" applyBorder="1" applyAlignment="1">
      <alignment horizontal="center" vertical="center"/>
    </xf>
    <xf numFmtId="176" fontId="282" fillId="0" borderId="0" xfId="0" applyNumberFormat="1" applyFont="1" applyAlignment="1">
      <alignment horizontal="center" vertical="center"/>
    </xf>
    <xf numFmtId="176" fontId="328" fillId="37" borderId="211" xfId="0" applyNumberFormat="1" applyFont="1" applyFill="1" applyBorder="1" applyAlignment="1">
      <alignment horizontal="center" vertical="center"/>
    </xf>
    <xf numFmtId="0" fontId="328" fillId="37" borderId="211" xfId="0" applyFont="1" applyFill="1" applyBorder="1" applyAlignment="1">
      <alignment horizontal="center" vertical="center"/>
    </xf>
    <xf numFmtId="176" fontId="328" fillId="36" borderId="211" xfId="0" applyNumberFormat="1" applyFont="1" applyFill="1" applyBorder="1" applyAlignment="1">
      <alignment horizontal="center" vertical="center"/>
    </xf>
    <xf numFmtId="0" fontId="328" fillId="36" borderId="211" xfId="0" applyFont="1" applyFill="1" applyBorder="1" applyAlignment="1">
      <alignment horizontal="center" vertical="center"/>
    </xf>
    <xf numFmtId="0" fontId="0" fillId="12" borderId="6" xfId="0" applyFill="1" applyBorder="1" applyAlignment="1" applyProtection="1">
      <alignment vertical="center"/>
      <protection hidden="1"/>
    </xf>
    <xf numFmtId="0" fontId="0" fillId="12" borderId="0" xfId="0" applyFill="1" applyAlignment="1" applyProtection="1">
      <alignment vertical="center"/>
      <protection hidden="1"/>
    </xf>
    <xf numFmtId="0" fontId="0" fillId="12" borderId="4" xfId="0" applyFill="1" applyBorder="1" applyAlignment="1" applyProtection="1">
      <alignment vertical="center"/>
      <protection hidden="1"/>
    </xf>
    <xf numFmtId="0" fontId="10" fillId="12" borderId="6" xfId="0" applyFont="1" applyFill="1" applyBorder="1" applyAlignment="1" applyProtection="1">
      <alignment vertical="center"/>
      <protection hidden="1"/>
    </xf>
    <xf numFmtId="0" fontId="10" fillId="12" borderId="0" xfId="0" applyFont="1" applyFill="1" applyAlignment="1" applyProtection="1">
      <alignment vertical="center"/>
      <protection hidden="1"/>
    </xf>
    <xf numFmtId="0" fontId="10" fillId="12" borderId="0" xfId="0" applyFont="1" applyFill="1" applyAlignment="1" applyProtection="1">
      <alignment horizontal="left" vertical="center"/>
      <protection hidden="1"/>
    </xf>
    <xf numFmtId="164" fontId="49" fillId="12" borderId="0" xfId="0" applyNumberFormat="1" applyFont="1" applyFill="1" applyAlignment="1" applyProtection="1">
      <alignment vertical="center"/>
      <protection hidden="1"/>
    </xf>
    <xf numFmtId="0" fontId="145" fillId="12" borderId="0" xfId="0" applyFont="1" applyFill="1" applyAlignment="1" applyProtection="1">
      <alignment vertical="center"/>
      <protection hidden="1"/>
    </xf>
    <xf numFmtId="3" fontId="49" fillId="12" borderId="0" xfId="0" applyNumberFormat="1" applyFont="1" applyFill="1" applyAlignment="1" applyProtection="1">
      <alignment vertical="center"/>
      <protection hidden="1"/>
    </xf>
    <xf numFmtId="0" fontId="2" fillId="12" borderId="0" xfId="0" applyFont="1" applyFill="1" applyAlignment="1" applyProtection="1">
      <alignment horizontal="left" vertical="center"/>
      <protection hidden="1"/>
    </xf>
    <xf numFmtId="0" fontId="2" fillId="12" borderId="0" xfId="0" applyFont="1" applyFill="1" applyAlignment="1" applyProtection="1">
      <alignment vertical="center"/>
      <protection hidden="1"/>
    </xf>
    <xf numFmtId="175" fontId="49" fillId="12" borderId="0" xfId="0" applyNumberFormat="1" applyFont="1" applyFill="1" applyAlignment="1" applyProtection="1">
      <alignment vertical="center"/>
      <protection hidden="1"/>
    </xf>
    <xf numFmtId="175" fontId="49" fillId="12" borderId="4" xfId="0" applyNumberFormat="1" applyFont="1" applyFill="1" applyBorder="1" applyAlignment="1" applyProtection="1">
      <alignment vertical="center"/>
      <protection hidden="1"/>
    </xf>
    <xf numFmtId="0" fontId="10" fillId="12" borderId="0" xfId="0" applyFont="1" applyFill="1" applyAlignment="1" applyProtection="1">
      <alignment vertical="center" wrapText="1"/>
      <protection hidden="1"/>
    </xf>
    <xf numFmtId="0" fontId="10" fillId="12" borderId="4" xfId="0" applyFont="1" applyFill="1" applyBorder="1" applyAlignment="1" applyProtection="1">
      <alignment vertical="center" wrapText="1"/>
      <protection hidden="1"/>
    </xf>
    <xf numFmtId="0" fontId="10" fillId="12" borderId="0" xfId="0" applyFont="1" applyFill="1" applyAlignment="1" applyProtection="1">
      <alignment horizontal="center" vertical="center" wrapText="1"/>
      <protection hidden="1"/>
    </xf>
    <xf numFmtId="0" fontId="2" fillId="12" borderId="4" xfId="0" applyFont="1" applyFill="1" applyBorder="1" applyAlignment="1" applyProtection="1">
      <alignment vertical="center"/>
      <protection hidden="1"/>
    </xf>
    <xf numFmtId="0" fontId="2" fillId="12" borderId="6" xfId="0" applyFont="1" applyFill="1" applyBorder="1" applyAlignment="1" applyProtection="1">
      <alignment vertical="center"/>
      <protection hidden="1"/>
    </xf>
    <xf numFmtId="0" fontId="1" fillId="12" borderId="0" xfId="0" applyFont="1" applyFill="1" applyAlignment="1" applyProtection="1">
      <alignment vertical="center"/>
      <protection hidden="1"/>
    </xf>
    <xf numFmtId="0" fontId="2" fillId="12" borderId="0" xfId="0" applyFont="1" applyFill="1" applyAlignment="1" applyProtection="1">
      <alignment horizontal="right" vertical="center"/>
      <protection hidden="1"/>
    </xf>
    <xf numFmtId="0" fontId="2" fillId="12" borderId="7" xfId="0" applyFont="1" applyFill="1" applyBorder="1" applyAlignment="1" applyProtection="1">
      <alignment vertical="center"/>
      <protection hidden="1"/>
    </xf>
    <xf numFmtId="0" fontId="2" fillId="12" borderId="39" xfId="0" applyFont="1" applyFill="1" applyBorder="1" applyAlignment="1" applyProtection="1">
      <alignment vertical="center"/>
      <protection hidden="1"/>
    </xf>
    <xf numFmtId="0" fontId="0" fillId="12" borderId="39" xfId="0" applyFill="1" applyBorder="1" applyAlignment="1" applyProtection="1">
      <alignment vertical="center"/>
      <protection hidden="1"/>
    </xf>
    <xf numFmtId="0" fontId="2" fillId="12" borderId="39" xfId="0" applyFont="1" applyFill="1" applyBorder="1" applyAlignment="1" applyProtection="1">
      <alignment horizontal="center" vertical="center"/>
      <protection hidden="1"/>
    </xf>
    <xf numFmtId="3" fontId="49" fillId="12" borderId="4" xfId="0" applyNumberFormat="1" applyFont="1" applyFill="1" applyBorder="1" applyAlignment="1" applyProtection="1">
      <alignment vertical="center"/>
      <protection hidden="1"/>
    </xf>
    <xf numFmtId="0" fontId="10" fillId="12" borderId="4" xfId="0" applyFont="1" applyFill="1" applyBorder="1" applyAlignment="1" applyProtection="1">
      <alignment horizontal="center" vertical="center" wrapText="1"/>
      <protection hidden="1"/>
    </xf>
    <xf numFmtId="0" fontId="2" fillId="12" borderId="5" xfId="0" applyFont="1" applyFill="1" applyBorder="1" applyAlignment="1" applyProtection="1">
      <alignment horizontal="center" vertical="center"/>
      <protection hidden="1"/>
    </xf>
    <xf numFmtId="0" fontId="0" fillId="82" borderId="0" xfId="0" applyFill="1"/>
    <xf numFmtId="0" fontId="0" fillId="83" borderId="0" xfId="0" applyFill="1"/>
    <xf numFmtId="0" fontId="355" fillId="60" borderId="261" xfId="0" applyFont="1" applyFill="1" applyBorder="1" applyAlignment="1" applyProtection="1">
      <alignment vertical="center"/>
      <protection hidden="1"/>
    </xf>
    <xf numFmtId="0" fontId="355" fillId="60" borderId="260" xfId="0" applyFont="1" applyFill="1" applyBorder="1" applyAlignment="1" applyProtection="1">
      <alignment vertical="center"/>
      <protection hidden="1"/>
    </xf>
    <xf numFmtId="0" fontId="355" fillId="60" borderId="260" xfId="0" applyFont="1" applyFill="1" applyBorder="1" applyAlignment="1" applyProtection="1">
      <alignment horizontal="left" vertical="center"/>
      <protection hidden="1"/>
    </xf>
    <xf numFmtId="0" fontId="318" fillId="60" borderId="262" xfId="0" applyFont="1" applyFill="1" applyBorder="1"/>
    <xf numFmtId="0" fontId="329" fillId="60" borderId="185" xfId="0" applyFont="1" applyFill="1" applyBorder="1" applyAlignment="1" applyProtection="1">
      <alignment horizontal="center" vertical="center"/>
      <protection hidden="1"/>
    </xf>
    <xf numFmtId="0" fontId="329" fillId="60" borderId="0" xfId="0" applyFont="1" applyFill="1" applyAlignment="1" applyProtection="1">
      <alignment vertical="center"/>
      <protection hidden="1"/>
    </xf>
    <xf numFmtId="0" fontId="329" fillId="60" borderId="0" xfId="0" applyFont="1" applyFill="1" applyProtection="1">
      <protection hidden="1"/>
    </xf>
    <xf numFmtId="0" fontId="329" fillId="60" borderId="0" xfId="0" applyFont="1" applyFill="1" applyAlignment="1" applyProtection="1">
      <alignment horizontal="left" vertical="center"/>
      <protection hidden="1"/>
    </xf>
    <xf numFmtId="0" fontId="355" fillId="60" borderId="0" xfId="0" applyFont="1" applyFill="1" applyAlignment="1" applyProtection="1">
      <alignment vertical="center"/>
      <protection hidden="1"/>
    </xf>
    <xf numFmtId="0" fontId="318" fillId="60" borderId="0" xfId="0" applyFont="1" applyFill="1"/>
    <xf numFmtId="0" fontId="318" fillId="60" borderId="187" xfId="0" applyFont="1" applyFill="1" applyBorder="1"/>
    <xf numFmtId="0" fontId="337" fillId="34" borderId="0" xfId="0" applyFont="1" applyFill="1" applyAlignment="1" applyProtection="1">
      <alignment horizontal="center" vertical="center"/>
      <protection hidden="1"/>
    </xf>
    <xf numFmtId="0" fontId="337" fillId="34" borderId="0" xfId="0" applyFont="1" applyFill="1" applyAlignment="1" applyProtection="1">
      <alignment vertical="center"/>
      <protection hidden="1"/>
    </xf>
    <xf numFmtId="0" fontId="337" fillId="34" borderId="12" xfId="0" applyFont="1" applyFill="1" applyBorder="1" applyAlignment="1" applyProtection="1">
      <alignment horizontal="center" vertical="center"/>
      <protection hidden="1"/>
    </xf>
    <xf numFmtId="0" fontId="337" fillId="34" borderId="0" xfId="0" applyFont="1" applyFill="1" applyProtection="1">
      <protection hidden="1"/>
    </xf>
    <xf numFmtId="0" fontId="337" fillId="34" borderId="12" xfId="0" applyFont="1" applyFill="1" applyBorder="1" applyAlignment="1" applyProtection="1">
      <alignment horizontal="center"/>
      <protection hidden="1"/>
    </xf>
    <xf numFmtId="0" fontId="335" fillId="34" borderId="0" xfId="0" applyFont="1" applyFill="1" applyAlignment="1" applyProtection="1">
      <alignment vertical="center"/>
      <protection hidden="1"/>
    </xf>
    <xf numFmtId="0" fontId="349" fillId="34" borderId="12" xfId="0" applyFont="1" applyFill="1" applyBorder="1" applyAlignment="1" applyProtection="1">
      <alignment vertical="center"/>
      <protection hidden="1"/>
    </xf>
    <xf numFmtId="1" fontId="413" fillId="34" borderId="0" xfId="0" applyNumberFormat="1" applyFont="1" applyFill="1" applyAlignment="1" applyProtection="1">
      <alignment horizontal="right"/>
      <protection hidden="1"/>
    </xf>
    <xf numFmtId="0" fontId="337" fillId="34" borderId="0" xfId="0" applyFont="1" applyFill="1" applyAlignment="1" applyProtection="1">
      <alignment horizontal="right"/>
      <protection hidden="1"/>
    </xf>
    <xf numFmtId="0" fontId="412" fillId="34" borderId="0" xfId="0" applyFont="1" applyFill="1" applyAlignment="1" applyProtection="1">
      <alignment vertical="center"/>
      <protection hidden="1"/>
    </xf>
    <xf numFmtId="0" fontId="413" fillId="34" borderId="0" xfId="0" applyFont="1" applyFill="1" applyAlignment="1" applyProtection="1">
      <alignment horizontal="center"/>
      <protection hidden="1"/>
    </xf>
    <xf numFmtId="0" fontId="412" fillId="34" borderId="0" xfId="0" applyFont="1" applyFill="1" applyProtection="1">
      <protection hidden="1"/>
    </xf>
    <xf numFmtId="0" fontId="0" fillId="50" borderId="303" xfId="0" applyFill="1" applyBorder="1"/>
    <xf numFmtId="0" fontId="168" fillId="31" borderId="0" xfId="0" applyFont="1" applyFill="1"/>
    <xf numFmtId="0" fontId="54" fillId="31" borderId="0" xfId="0" applyFont="1" applyFill="1" applyAlignment="1">
      <alignment horizontal="left" vertical="center"/>
    </xf>
    <xf numFmtId="0" fontId="10" fillId="0" borderId="12" xfId="0" applyFont="1" applyBorder="1" applyAlignment="1">
      <alignment horizontal="center" vertical="center"/>
    </xf>
    <xf numFmtId="0" fontId="321" fillId="50" borderId="0" xfId="0" applyFont="1" applyFill="1" applyAlignment="1">
      <alignment horizontal="center"/>
    </xf>
    <xf numFmtId="166" fontId="261" fillId="50" borderId="0" xfId="0" applyNumberFormat="1" applyFont="1" applyFill="1" applyAlignment="1">
      <alignment horizontal="center"/>
    </xf>
    <xf numFmtId="0" fontId="88" fillId="50" borderId="0" xfId="0" applyFont="1" applyFill="1" applyAlignment="1">
      <alignment horizontal="center" vertical="center"/>
    </xf>
    <xf numFmtId="0" fontId="88" fillId="50" borderId="0" xfId="0" applyFont="1" applyFill="1" applyAlignment="1">
      <alignment horizontal="center"/>
    </xf>
    <xf numFmtId="0" fontId="321" fillId="50" borderId="0" xfId="0" applyFont="1" applyFill="1" applyAlignment="1">
      <alignment horizontal="center" vertical="center"/>
    </xf>
    <xf numFmtId="0" fontId="322" fillId="50" borderId="0" xfId="0" applyFont="1" applyFill="1" applyAlignment="1">
      <alignment horizontal="center" vertical="center"/>
    </xf>
    <xf numFmtId="0" fontId="322" fillId="50" borderId="0" xfId="0" applyFont="1" applyFill="1" applyAlignment="1">
      <alignment horizontal="center"/>
    </xf>
    <xf numFmtId="0" fontId="321" fillId="50" borderId="12" xfId="0" applyFont="1" applyFill="1" applyBorder="1" applyAlignment="1">
      <alignment horizontal="center" vertical="center" wrapText="1"/>
    </xf>
    <xf numFmtId="166" fontId="88" fillId="0" borderId="0" xfId="0" applyNumberFormat="1" applyFont="1" applyAlignment="1">
      <alignment horizontal="center"/>
    </xf>
    <xf numFmtId="0" fontId="247" fillId="0" borderId="0" xfId="0" applyFont="1" applyAlignment="1">
      <alignment horizontal="center" vertical="center"/>
    </xf>
    <xf numFmtId="0" fontId="137" fillId="0" borderId="0" xfId="0" applyFont="1" applyAlignment="1">
      <alignment horizontal="center" vertical="center"/>
    </xf>
    <xf numFmtId="0" fontId="233" fillId="37" borderId="0" xfId="0" applyFont="1" applyFill="1"/>
    <xf numFmtId="0" fontId="261" fillId="45" borderId="0" xfId="0" applyFont="1" applyFill="1" applyAlignment="1">
      <alignment vertical="center"/>
    </xf>
    <xf numFmtId="0" fontId="247" fillId="45" borderId="0" xfId="0" applyFont="1" applyFill="1" applyAlignment="1">
      <alignment horizontal="center" vertical="center"/>
    </xf>
    <xf numFmtId="0" fontId="137" fillId="45" borderId="0" xfId="0" applyFont="1" applyFill="1" applyAlignment="1">
      <alignment horizontal="center" vertical="center"/>
    </xf>
    <xf numFmtId="0" fontId="321" fillId="0" borderId="260" xfId="0" applyFont="1" applyBorder="1" applyAlignment="1">
      <alignment horizontal="center" vertical="center"/>
    </xf>
    <xf numFmtId="166" fontId="88" fillId="0" borderId="260" xfId="0" applyNumberFormat="1" applyFont="1" applyBorder="1" applyAlignment="1">
      <alignment horizontal="center"/>
    </xf>
    <xf numFmtId="0" fontId="10" fillId="37" borderId="0" xfId="0" applyFont="1" applyFill="1"/>
    <xf numFmtId="0" fontId="322" fillId="4" borderId="185" xfId="0" applyFont="1" applyFill="1" applyBorder="1" applyAlignment="1">
      <alignment horizontal="center" vertical="center"/>
    </xf>
    <xf numFmtId="176" fontId="322" fillId="16" borderId="0" xfId="0" applyNumberFormat="1" applyFont="1" applyFill="1" applyAlignment="1">
      <alignment horizontal="center" vertical="center"/>
    </xf>
    <xf numFmtId="0" fontId="261" fillId="42" borderId="0" xfId="0" applyFont="1" applyFill="1" applyAlignment="1">
      <alignment vertical="center"/>
    </xf>
    <xf numFmtId="0" fontId="233" fillId="42" borderId="0" xfId="0" applyFont="1" applyFill="1"/>
    <xf numFmtId="0" fontId="247" fillId="42" borderId="0" xfId="0" applyFont="1" applyFill="1" applyAlignment="1">
      <alignment horizontal="center" vertical="center"/>
    </xf>
    <xf numFmtId="0" fontId="137" fillId="42" borderId="0" xfId="0" applyFont="1" applyFill="1" applyAlignment="1">
      <alignment horizontal="center" vertical="center"/>
    </xf>
    <xf numFmtId="0" fontId="10" fillId="42" borderId="0" xfId="0" applyFont="1" applyFill="1"/>
    <xf numFmtId="0" fontId="233" fillId="35" borderId="0" xfId="0" applyFont="1" applyFill="1"/>
    <xf numFmtId="0" fontId="10" fillId="35" borderId="0" xfId="0" applyFont="1" applyFill="1"/>
    <xf numFmtId="0" fontId="418" fillId="2" borderId="0" xfId="0" applyFont="1" applyFill="1"/>
    <xf numFmtId="0" fontId="322" fillId="41" borderId="211" xfId="0" applyFont="1" applyFill="1" applyBorder="1" applyAlignment="1">
      <alignment horizontal="center" vertical="center"/>
    </xf>
    <xf numFmtId="0" fontId="322" fillId="44" borderId="211" xfId="0" applyFont="1" applyFill="1" applyBorder="1" applyAlignment="1">
      <alignment horizontal="center" vertical="center"/>
    </xf>
    <xf numFmtId="0" fontId="261" fillId="35" borderId="0" xfId="0" applyFont="1" applyFill="1" applyAlignment="1">
      <alignment vertical="center"/>
    </xf>
    <xf numFmtId="0" fontId="418" fillId="35" borderId="0" xfId="0" applyFont="1" applyFill="1"/>
    <xf numFmtId="0" fontId="247" fillId="35" borderId="0" xfId="0" applyFont="1" applyFill="1" applyAlignment="1">
      <alignment horizontal="center" vertical="center"/>
    </xf>
    <xf numFmtId="0" fontId="137" fillId="35" borderId="0" xfId="0" applyFont="1" applyFill="1" applyAlignment="1">
      <alignment horizontal="center" vertical="center"/>
    </xf>
    <xf numFmtId="0" fontId="233" fillId="35" borderId="185" xfId="0" applyFont="1" applyFill="1" applyBorder="1"/>
    <xf numFmtId="0" fontId="261" fillId="18" borderId="0" xfId="0" applyFont="1" applyFill="1" applyAlignment="1">
      <alignment vertical="center" wrapText="1"/>
    </xf>
    <xf numFmtId="0" fontId="10" fillId="37" borderId="0" xfId="0" applyFont="1" applyFill="1" applyAlignment="1">
      <alignment horizontal="center" vertical="center"/>
    </xf>
    <xf numFmtId="0" fontId="10" fillId="37" borderId="81" xfId="0" applyFont="1" applyFill="1" applyBorder="1" applyAlignment="1">
      <alignment horizontal="center" vertical="center"/>
    </xf>
    <xf numFmtId="0" fontId="261" fillId="18" borderId="305" xfId="0" applyFont="1" applyFill="1" applyBorder="1" applyAlignment="1">
      <alignment vertical="center" wrapText="1"/>
    </xf>
    <xf numFmtId="0" fontId="261" fillId="18" borderId="310" xfId="0" applyFont="1" applyFill="1" applyBorder="1" applyAlignment="1">
      <alignment vertical="center" wrapText="1"/>
    </xf>
    <xf numFmtId="176" fontId="4" fillId="35" borderId="295" xfId="0" applyNumberFormat="1" applyFont="1" applyFill="1" applyBorder="1" applyAlignment="1">
      <alignment horizontal="center" vertical="center"/>
    </xf>
    <xf numFmtId="176" fontId="4" fillId="35" borderId="12" xfId="0" applyNumberFormat="1" applyFont="1" applyFill="1" applyBorder="1" applyAlignment="1">
      <alignment horizontal="center" vertical="center"/>
    </xf>
    <xf numFmtId="176" fontId="4" fillId="35" borderId="213" xfId="0" applyNumberFormat="1" applyFont="1" applyFill="1" applyBorder="1" applyAlignment="1">
      <alignment horizontal="center" vertical="center"/>
    </xf>
    <xf numFmtId="0" fontId="322" fillId="41" borderId="211" xfId="0" applyFont="1" applyFill="1" applyBorder="1" applyAlignment="1">
      <alignment horizontal="center" vertical="center" wrapText="1"/>
    </xf>
    <xf numFmtId="0" fontId="322" fillId="46" borderId="211" xfId="0" applyFont="1" applyFill="1" applyBorder="1" applyAlignment="1">
      <alignment horizontal="center" vertical="center"/>
    </xf>
    <xf numFmtId="0" fontId="322" fillId="46" borderId="0" xfId="0" applyFont="1" applyFill="1"/>
    <xf numFmtId="0" fontId="321" fillId="37" borderId="211" xfId="0" applyFont="1" applyFill="1" applyBorder="1" applyAlignment="1">
      <alignment horizontal="center" vertical="center" wrapText="1"/>
    </xf>
    <xf numFmtId="0" fontId="321" fillId="50" borderId="12" xfId="0" applyFont="1" applyFill="1" applyBorder="1" applyAlignment="1">
      <alignment horizontal="center" vertical="center"/>
    </xf>
    <xf numFmtId="0" fontId="411" fillId="41" borderId="0" xfId="0" applyFont="1" applyFill="1" applyAlignment="1">
      <alignment horizontal="center" vertical="center"/>
    </xf>
    <xf numFmtId="0" fontId="322" fillId="37" borderId="0" xfId="0" applyFont="1" applyFill="1" applyAlignment="1">
      <alignment horizontal="center" vertical="center"/>
    </xf>
    <xf numFmtId="166" fontId="247" fillId="43" borderId="12" xfId="0" applyNumberFormat="1" applyFont="1" applyFill="1" applyBorder="1" applyAlignment="1">
      <alignment horizontal="center" vertical="center"/>
    </xf>
    <xf numFmtId="0" fontId="247" fillId="43" borderId="12" xfId="0" applyFont="1" applyFill="1" applyBorder="1" applyAlignment="1">
      <alignment horizontal="center" vertical="center"/>
    </xf>
    <xf numFmtId="0" fontId="137" fillId="43" borderId="12" xfId="0" applyFont="1" applyFill="1" applyBorder="1" applyAlignment="1">
      <alignment horizontal="center" vertical="center"/>
    </xf>
    <xf numFmtId="176" fontId="10" fillId="0" borderId="12" xfId="0" applyNumberFormat="1" applyFont="1" applyBorder="1" applyAlignment="1">
      <alignment horizontal="center" vertical="center"/>
    </xf>
    <xf numFmtId="0" fontId="10" fillId="33" borderId="211" xfId="0" applyFont="1" applyFill="1" applyBorder="1" applyAlignment="1">
      <alignment horizontal="center" vertical="center"/>
    </xf>
    <xf numFmtId="0" fontId="10" fillId="50" borderId="12" xfId="0" applyFont="1" applyFill="1" applyBorder="1" applyAlignment="1">
      <alignment horizontal="center" vertical="center"/>
    </xf>
    <xf numFmtId="176" fontId="332" fillId="82" borderId="211" xfId="0" applyNumberFormat="1" applyFont="1" applyFill="1" applyBorder="1" applyAlignment="1">
      <alignment horizontal="center" vertical="center"/>
    </xf>
    <xf numFmtId="0" fontId="332" fillId="82" borderId="211" xfId="0" applyFont="1" applyFill="1" applyBorder="1" applyAlignment="1">
      <alignment horizontal="center" vertical="center"/>
    </xf>
    <xf numFmtId="176" fontId="8" fillId="55" borderId="211" xfId="0" applyNumberFormat="1" applyFont="1" applyFill="1" applyBorder="1" applyAlignment="1">
      <alignment horizontal="center" vertical="center"/>
    </xf>
    <xf numFmtId="0" fontId="8" fillId="55" borderId="211" xfId="0" applyFont="1" applyFill="1" applyBorder="1" applyAlignment="1">
      <alignment horizontal="center" vertical="center"/>
    </xf>
    <xf numFmtId="176" fontId="8" fillId="84" borderId="211" xfId="0" applyNumberFormat="1" applyFont="1" applyFill="1" applyBorder="1" applyAlignment="1">
      <alignment horizontal="center" vertical="center"/>
    </xf>
    <xf numFmtId="0" fontId="8" fillId="84" borderId="211" xfId="0" applyFont="1" applyFill="1" applyBorder="1" applyAlignment="1">
      <alignment horizontal="center" vertical="center"/>
    </xf>
    <xf numFmtId="0" fontId="322" fillId="46" borderId="12" xfId="0" applyFont="1" applyFill="1" applyBorder="1" applyAlignment="1">
      <alignment horizontal="center" vertical="center"/>
    </xf>
    <xf numFmtId="176" fontId="322" fillId="46" borderId="12" xfId="0" applyNumberFormat="1" applyFont="1" applyFill="1" applyBorder="1" applyAlignment="1">
      <alignment horizontal="center" vertical="center"/>
    </xf>
    <xf numFmtId="0" fontId="322" fillId="31" borderId="12" xfId="0" applyFont="1" applyFill="1" applyBorder="1" applyAlignment="1">
      <alignment horizontal="center" vertical="center"/>
    </xf>
    <xf numFmtId="176" fontId="322" fillId="31" borderId="12" xfId="0" applyNumberFormat="1" applyFont="1" applyFill="1" applyBorder="1" applyAlignment="1">
      <alignment horizontal="center" vertical="center"/>
    </xf>
    <xf numFmtId="166" fontId="8" fillId="35" borderId="12" xfId="0" applyNumberFormat="1" applyFont="1" applyFill="1" applyBorder="1" applyAlignment="1">
      <alignment horizontal="center" vertical="center"/>
    </xf>
    <xf numFmtId="0" fontId="8" fillId="35" borderId="12" xfId="0" applyFont="1" applyFill="1" applyBorder="1" applyAlignment="1">
      <alignment horizontal="center" vertical="center"/>
    </xf>
    <xf numFmtId="0" fontId="38" fillId="35" borderId="12" xfId="0" applyFont="1" applyFill="1" applyBorder="1" applyAlignment="1">
      <alignment horizontal="center" vertical="center"/>
    </xf>
    <xf numFmtId="176" fontId="355" fillId="41" borderId="211" xfId="0" applyNumberFormat="1" applyFont="1" applyFill="1" applyBorder="1" applyAlignment="1">
      <alignment horizontal="center" vertical="center"/>
    </xf>
    <xf numFmtId="0" fontId="321" fillId="49" borderId="211" xfId="0" applyFont="1" applyFill="1" applyBorder="1" applyAlignment="1">
      <alignment horizontal="center" vertical="center"/>
    </xf>
    <xf numFmtId="176" fontId="321" fillId="49" borderId="211" xfId="0" applyNumberFormat="1" applyFont="1" applyFill="1" applyBorder="1" applyAlignment="1">
      <alignment horizontal="center" vertical="center"/>
    </xf>
    <xf numFmtId="0" fontId="321" fillId="0" borderId="12" xfId="0" applyFont="1" applyBorder="1" applyAlignment="1">
      <alignment horizontal="center" vertical="center"/>
    </xf>
    <xf numFmtId="0" fontId="337" fillId="0" borderId="0" xfId="0" applyFont="1" applyAlignment="1">
      <alignment vertical="center"/>
    </xf>
    <xf numFmtId="0" fontId="322" fillId="0" borderId="0" xfId="0" applyFont="1" applyAlignment="1">
      <alignment horizontal="center" wrapText="1"/>
    </xf>
    <xf numFmtId="0" fontId="322" fillId="0" borderId="0" xfId="0" applyFont="1"/>
    <xf numFmtId="0" fontId="138" fillId="0" borderId="0" xfId="0" applyFont="1" applyAlignment="1">
      <alignment horizontal="center" vertical="center"/>
    </xf>
    <xf numFmtId="0" fontId="210" fillId="0" borderId="0" xfId="0" applyFont="1" applyAlignment="1">
      <alignment horizontal="center" vertical="center"/>
    </xf>
    <xf numFmtId="0" fontId="318" fillId="41" borderId="0" xfId="0" applyFont="1" applyFill="1" applyAlignment="1">
      <alignment vertical="center"/>
    </xf>
    <xf numFmtId="0" fontId="350" fillId="41" borderId="0" xfId="0" applyFont="1" applyFill="1" applyAlignment="1">
      <alignment horizontal="center" vertical="center"/>
    </xf>
    <xf numFmtId="0" fontId="321" fillId="36" borderId="0" xfId="0" applyFont="1" applyFill="1" applyAlignment="1">
      <alignment horizontal="center" vertical="center"/>
    </xf>
    <xf numFmtId="0" fontId="322" fillId="41" borderId="0" xfId="0" applyFont="1" applyFill="1" applyAlignment="1">
      <alignment horizontal="center" vertical="center" wrapText="1"/>
    </xf>
    <xf numFmtId="0" fontId="322" fillId="50" borderId="0" xfId="0" applyFont="1" applyFill="1"/>
    <xf numFmtId="0" fontId="323" fillId="50" borderId="0" xfId="0" applyFont="1" applyFill="1" applyAlignment="1">
      <alignment vertical="center"/>
    </xf>
    <xf numFmtId="166" fontId="88" fillId="0" borderId="12" xfId="0" applyNumberFormat="1" applyFont="1" applyBorder="1" applyAlignment="1">
      <alignment horizontal="center"/>
    </xf>
    <xf numFmtId="176" fontId="321" fillId="0" borderId="211" xfId="0" applyNumberFormat="1" applyFont="1" applyBorder="1" applyAlignment="1">
      <alignment horizontal="center"/>
    </xf>
    <xf numFmtId="0" fontId="350" fillId="31" borderId="12" xfId="0" applyFont="1" applyFill="1" applyBorder="1" applyAlignment="1">
      <alignment horizontal="center" vertical="center"/>
    </xf>
    <xf numFmtId="0" fontId="321" fillId="50" borderId="211" xfId="0" applyFont="1" applyFill="1" applyBorder="1" applyAlignment="1">
      <alignment horizontal="center" vertical="center"/>
    </xf>
    <xf numFmtId="0" fontId="322" fillId="4" borderId="0" xfId="0" applyFont="1" applyFill="1" applyAlignment="1">
      <alignment horizontal="center"/>
    </xf>
    <xf numFmtId="0" fontId="321" fillId="50" borderId="82" xfId="0" applyFont="1" applyFill="1" applyBorder="1" applyAlignment="1">
      <alignment horizontal="center"/>
    </xf>
    <xf numFmtId="0" fontId="0" fillId="50" borderId="12" xfId="0" applyFill="1" applyBorder="1"/>
    <xf numFmtId="0" fontId="321" fillId="50" borderId="12" xfId="0" applyFont="1" applyFill="1" applyBorder="1" applyAlignment="1">
      <alignment horizontal="center"/>
    </xf>
    <xf numFmtId="1" fontId="325" fillId="50" borderId="12" xfId="0" applyNumberFormat="1" applyFont="1" applyFill="1" applyBorder="1" applyAlignment="1">
      <alignment horizontal="center" vertical="center"/>
    </xf>
    <xf numFmtId="0" fontId="233" fillId="4" borderId="234" xfId="0" applyFont="1" applyFill="1" applyBorder="1"/>
    <xf numFmtId="176" fontId="322" fillId="4" borderId="0" xfId="0" applyNumberFormat="1" applyFont="1" applyFill="1" applyAlignment="1">
      <alignment horizontal="center" vertical="center"/>
    </xf>
    <xf numFmtId="0" fontId="409" fillId="2" borderId="0" xfId="0" applyFont="1" applyFill="1" applyAlignment="1">
      <alignment horizontal="center"/>
    </xf>
    <xf numFmtId="0" fontId="409" fillId="2" borderId="0" xfId="0" applyFont="1" applyFill="1" applyAlignment="1">
      <alignment horizontal="center" vertical="center"/>
    </xf>
    <xf numFmtId="0" fontId="409" fillId="41" borderId="0" xfId="0" applyFont="1" applyFill="1" applyAlignment="1">
      <alignment horizontal="center"/>
    </xf>
    <xf numFmtId="0" fontId="409" fillId="41" borderId="0" xfId="0" applyFont="1" applyFill="1" applyAlignment="1">
      <alignment horizontal="center" vertical="center"/>
    </xf>
    <xf numFmtId="0" fontId="1" fillId="0" borderId="7" xfId="0" applyFont="1" applyBorder="1" applyAlignment="1" applyProtection="1">
      <alignment horizontal="center" vertical="center"/>
      <protection hidden="1"/>
    </xf>
    <xf numFmtId="0" fontId="1" fillId="0" borderId="118" xfId="0" applyFont="1" applyBorder="1" applyAlignment="1" applyProtection="1">
      <alignment horizontal="center" vertical="center"/>
      <protection hidden="1"/>
    </xf>
    <xf numFmtId="0" fontId="26" fillId="2" borderId="0" xfId="0" applyFont="1" applyFill="1" applyAlignment="1" applyProtection="1">
      <alignment vertical="center"/>
      <protection hidden="1"/>
    </xf>
    <xf numFmtId="0" fontId="434" fillId="58" borderId="0" xfId="0" applyFont="1" applyFill="1" applyAlignment="1" applyProtection="1">
      <alignment vertical="center"/>
      <protection hidden="1"/>
    </xf>
    <xf numFmtId="0" fontId="0" fillId="58" borderId="0" xfId="0" applyFill="1" applyProtection="1">
      <protection hidden="1"/>
    </xf>
    <xf numFmtId="0" fontId="434" fillId="58" borderId="0" xfId="0" applyFont="1" applyFill="1" applyAlignment="1" applyProtection="1">
      <alignment horizontal="center" vertical="center"/>
      <protection hidden="1"/>
    </xf>
    <xf numFmtId="0" fontId="0" fillId="49" borderId="185" xfId="0" applyFill="1" applyBorder="1" applyProtection="1">
      <protection hidden="1"/>
    </xf>
    <xf numFmtId="0" fontId="0" fillId="49" borderId="0" xfId="0" applyFill="1" applyProtection="1">
      <protection hidden="1"/>
    </xf>
    <xf numFmtId="0" fontId="0" fillId="49" borderId="260" xfId="0" applyFill="1" applyBorder="1" applyProtection="1">
      <protection hidden="1"/>
    </xf>
    <xf numFmtId="0" fontId="0" fillId="49" borderId="262" xfId="0" applyFill="1" applyBorder="1" applyProtection="1">
      <protection hidden="1"/>
    </xf>
    <xf numFmtId="0" fontId="0" fillId="49" borderId="297" xfId="0" applyFill="1" applyBorder="1" applyProtection="1">
      <protection hidden="1"/>
    </xf>
    <xf numFmtId="0" fontId="0" fillId="49" borderId="187" xfId="0" applyFill="1" applyBorder="1" applyProtection="1">
      <protection hidden="1"/>
    </xf>
    <xf numFmtId="0" fontId="0" fillId="49" borderId="234" xfId="0" applyFill="1" applyBorder="1" applyProtection="1">
      <protection hidden="1"/>
    </xf>
    <xf numFmtId="0" fontId="0" fillId="45" borderId="0" xfId="0" applyFill="1" applyProtection="1">
      <protection hidden="1"/>
    </xf>
    <xf numFmtId="0" fontId="0" fillId="49" borderId="261" xfId="0" applyFill="1" applyBorder="1" applyProtection="1">
      <protection hidden="1"/>
    </xf>
    <xf numFmtId="0" fontId="429" fillId="49" borderId="0" xfId="0" applyFont="1" applyFill="1" applyAlignment="1" applyProtection="1">
      <alignment vertical="center" wrapText="1"/>
      <protection hidden="1"/>
    </xf>
    <xf numFmtId="0" fontId="429" fillId="49" borderId="297" xfId="0" applyFont="1" applyFill="1" applyBorder="1" applyAlignment="1" applyProtection="1">
      <alignment vertical="center" wrapText="1"/>
      <protection hidden="1"/>
    </xf>
    <xf numFmtId="0" fontId="423" fillId="31" borderId="0" xfId="0" applyFont="1" applyFill="1" applyAlignment="1" applyProtection="1">
      <alignment vertical="center"/>
      <protection hidden="1"/>
    </xf>
    <xf numFmtId="0" fontId="421" fillId="49" borderId="185" xfId="0" applyFont="1" applyFill="1" applyBorder="1" applyProtection="1">
      <protection hidden="1"/>
    </xf>
    <xf numFmtId="0" fontId="421" fillId="49" borderId="0" xfId="0" applyFont="1" applyFill="1" applyProtection="1">
      <protection hidden="1"/>
    </xf>
    <xf numFmtId="0" fontId="0" fillId="49" borderId="186" xfId="0" applyFill="1" applyBorder="1" applyProtection="1">
      <protection hidden="1"/>
    </xf>
    <xf numFmtId="0" fontId="421" fillId="45" borderId="0" xfId="0" applyFont="1" applyFill="1" applyAlignment="1" applyProtection="1">
      <alignment horizontal="left" vertical="center"/>
      <protection hidden="1"/>
    </xf>
    <xf numFmtId="0" fontId="0" fillId="40" borderId="0" xfId="0" applyFill="1" applyProtection="1">
      <protection hidden="1"/>
    </xf>
    <xf numFmtId="0" fontId="421" fillId="40" borderId="0" xfId="0" applyFont="1" applyFill="1" applyAlignment="1" applyProtection="1">
      <alignment horizontal="left" vertical="center"/>
      <protection hidden="1"/>
    </xf>
    <xf numFmtId="0" fontId="0" fillId="31" borderId="0" xfId="0" applyFill="1" applyProtection="1">
      <protection hidden="1"/>
    </xf>
    <xf numFmtId="0" fontId="423" fillId="49" borderId="0" xfId="0" applyFont="1" applyFill="1" applyAlignment="1" applyProtection="1">
      <alignment vertical="center"/>
      <protection hidden="1"/>
    </xf>
    <xf numFmtId="0" fontId="421" fillId="49" borderId="0" xfId="0" applyFont="1" applyFill="1" applyAlignment="1" applyProtection="1">
      <alignment vertical="center"/>
      <protection hidden="1"/>
    </xf>
    <xf numFmtId="0" fontId="421" fillId="49" borderId="185" xfId="0" applyFont="1" applyFill="1" applyBorder="1" applyAlignment="1" applyProtection="1">
      <alignment horizontal="center" vertical="center"/>
      <protection hidden="1"/>
    </xf>
    <xf numFmtId="0" fontId="421" fillId="49" borderId="0" xfId="0" applyFont="1" applyFill="1" applyAlignment="1" applyProtection="1">
      <alignment horizontal="center" vertical="center"/>
      <protection hidden="1"/>
    </xf>
    <xf numFmtId="0" fontId="421" fillId="49" borderId="0" xfId="0" applyFont="1" applyFill="1" applyAlignment="1" applyProtection="1">
      <alignment horizontal="left" vertical="center"/>
      <protection hidden="1"/>
    </xf>
    <xf numFmtId="0" fontId="421" fillId="49" borderId="297" xfId="0" applyFont="1" applyFill="1" applyBorder="1" applyAlignment="1" applyProtection="1">
      <alignment vertical="center"/>
      <protection hidden="1"/>
    </xf>
    <xf numFmtId="0" fontId="423" fillId="49" borderId="185" xfId="0" applyFont="1" applyFill="1" applyBorder="1" applyAlignment="1" applyProtection="1">
      <alignment vertical="center"/>
      <protection hidden="1"/>
    </xf>
    <xf numFmtId="0" fontId="112" fillId="49" borderId="0" xfId="0" applyFont="1" applyFill="1" applyAlignment="1" applyProtection="1">
      <alignment horizontal="center" vertical="center"/>
      <protection hidden="1"/>
    </xf>
    <xf numFmtId="0" fontId="421" fillId="49" borderId="0" xfId="0" applyFont="1" applyFill="1" applyAlignment="1" applyProtection="1">
      <alignment horizontal="center"/>
      <protection hidden="1"/>
    </xf>
    <xf numFmtId="0" fontId="420" fillId="49" borderId="0" xfId="0" applyFont="1" applyFill="1" applyProtection="1">
      <protection hidden="1"/>
    </xf>
    <xf numFmtId="0" fontId="420" fillId="49" borderId="187" xfId="0" applyFont="1" applyFill="1" applyBorder="1" applyProtection="1">
      <protection hidden="1"/>
    </xf>
    <xf numFmtId="0" fontId="437" fillId="39" borderId="0" xfId="0" applyFont="1" applyFill="1" applyAlignment="1">
      <alignment vertical="center"/>
    </xf>
    <xf numFmtId="0" fontId="429" fillId="40" borderId="0" xfId="0" applyFont="1" applyFill="1"/>
    <xf numFmtId="0" fontId="321" fillId="0" borderId="321" xfId="0" applyFont="1" applyBorder="1" applyAlignment="1">
      <alignment horizontal="center" vertical="center"/>
    </xf>
    <xf numFmtId="0" fontId="423" fillId="39" borderId="0" xfId="0" applyFont="1" applyFill="1" applyAlignment="1">
      <alignment horizontal="center" vertical="center"/>
    </xf>
    <xf numFmtId="0" fontId="423" fillId="33" borderId="0" xfId="0" applyFont="1" applyFill="1" applyAlignment="1">
      <alignment horizontal="center" vertical="center"/>
    </xf>
    <xf numFmtId="0" fontId="423" fillId="45" borderId="0" xfId="0" applyFont="1" applyFill="1" applyAlignment="1">
      <alignment horizontal="center" vertical="center"/>
    </xf>
    <xf numFmtId="0" fontId="423" fillId="41" borderId="0" xfId="0" applyFont="1" applyFill="1" applyAlignment="1">
      <alignment horizontal="center" vertical="center"/>
    </xf>
    <xf numFmtId="0" fontId="322" fillId="45" borderId="321" xfId="0" applyFont="1" applyFill="1" applyBorder="1" applyAlignment="1">
      <alignment horizontal="center" vertical="center"/>
    </xf>
    <xf numFmtId="0" fontId="322" fillId="41" borderId="321" xfId="0" applyFont="1" applyFill="1" applyBorder="1" applyAlignment="1">
      <alignment horizontal="center" vertical="center"/>
    </xf>
    <xf numFmtId="0" fontId="423" fillId="85" borderId="0" xfId="0" applyFont="1" applyFill="1" applyAlignment="1">
      <alignment horizontal="center" vertical="center"/>
    </xf>
    <xf numFmtId="0" fontId="233" fillId="56" borderId="259" xfId="0" applyFont="1" applyFill="1" applyBorder="1" applyAlignment="1">
      <alignment horizontal="center" vertical="center"/>
    </xf>
    <xf numFmtId="0" fontId="423" fillId="86" borderId="0" xfId="0" applyFont="1" applyFill="1" applyAlignment="1">
      <alignment horizontal="center" vertical="center"/>
    </xf>
    <xf numFmtId="0" fontId="424" fillId="82" borderId="0" xfId="0" applyFont="1" applyFill="1" applyAlignment="1">
      <alignment horizontal="center" vertical="center"/>
    </xf>
    <xf numFmtId="0" fontId="0" fillId="87" borderId="0" xfId="0" applyFill="1"/>
    <xf numFmtId="0" fontId="233" fillId="42" borderId="81" xfId="0" applyFont="1" applyFill="1" applyBorder="1" applyAlignment="1">
      <alignment horizontal="center" vertical="center"/>
    </xf>
    <xf numFmtId="0" fontId="440" fillId="34" borderId="321" xfId="0" applyFont="1" applyFill="1" applyBorder="1" applyAlignment="1">
      <alignment horizontal="center" vertical="center"/>
    </xf>
    <xf numFmtId="0" fontId="10" fillId="51" borderId="321" xfId="0" applyFont="1" applyFill="1" applyBorder="1" applyAlignment="1">
      <alignment horizontal="center" vertical="center"/>
    </xf>
    <xf numFmtId="0" fontId="423" fillId="51" borderId="0" xfId="0" applyFont="1" applyFill="1" applyAlignment="1">
      <alignment horizontal="center" vertical="center"/>
    </xf>
    <xf numFmtId="0" fontId="10" fillId="85" borderId="321" xfId="0" applyFont="1" applyFill="1" applyBorder="1" applyAlignment="1">
      <alignment horizontal="center" vertical="center"/>
    </xf>
    <xf numFmtId="0" fontId="322" fillId="86" borderId="321" xfId="0" applyFont="1" applyFill="1" applyBorder="1" applyAlignment="1">
      <alignment horizontal="center" vertical="center"/>
    </xf>
    <xf numFmtId="0" fontId="439" fillId="31" borderId="322" xfId="0" applyFont="1" applyFill="1" applyBorder="1" applyAlignment="1">
      <alignment horizontal="center" vertical="center"/>
    </xf>
    <xf numFmtId="0" fontId="350" fillId="33" borderId="0" xfId="0" applyFont="1" applyFill="1" applyAlignment="1">
      <alignment horizontal="center" vertical="center"/>
    </xf>
    <xf numFmtId="0" fontId="429" fillId="0" borderId="321" xfId="0" applyFont="1" applyBorder="1" applyAlignment="1">
      <alignment horizontal="center" vertical="center"/>
    </xf>
    <xf numFmtId="0" fontId="429" fillId="0" borderId="0" xfId="0" applyFont="1" applyAlignment="1">
      <alignment vertical="center"/>
    </xf>
    <xf numFmtId="0" fontId="0" fillId="39" borderId="321" xfId="0" applyFill="1" applyBorder="1" applyAlignment="1">
      <alignment horizontal="center" vertical="center"/>
    </xf>
    <xf numFmtId="0" fontId="0" fillId="39" borderId="81" xfId="0" applyFill="1" applyBorder="1" applyAlignment="1">
      <alignment horizontal="center" vertical="center"/>
    </xf>
    <xf numFmtId="0" fontId="10" fillId="81" borderId="298" xfId="0" applyFont="1" applyFill="1" applyBorder="1" applyAlignment="1">
      <alignment horizontal="center" vertical="center"/>
    </xf>
    <xf numFmtId="0" fontId="322" fillId="31" borderId="321" xfId="0" applyFont="1" applyFill="1" applyBorder="1" applyAlignment="1">
      <alignment horizontal="center" vertical="center"/>
    </xf>
    <xf numFmtId="0" fontId="10" fillId="86" borderId="321" xfId="0" applyFont="1" applyFill="1" applyBorder="1" applyAlignment="1">
      <alignment horizontal="center" vertical="center"/>
    </xf>
    <xf numFmtId="0" fontId="322" fillId="33" borderId="259" xfId="0" applyFont="1" applyFill="1" applyBorder="1" applyAlignment="1">
      <alignment horizontal="center" vertical="center"/>
    </xf>
    <xf numFmtId="0" fontId="328" fillId="40" borderId="0" xfId="0" applyFont="1" applyFill="1" applyAlignment="1">
      <alignment horizontal="center" vertical="center"/>
    </xf>
    <xf numFmtId="0" fontId="429" fillId="0" borderId="0" xfId="0" applyFont="1" applyAlignment="1">
      <alignment horizontal="center" vertical="center"/>
    </xf>
    <xf numFmtId="0" fontId="88" fillId="0" borderId="321" xfId="0" applyFont="1" applyBorder="1" applyAlignment="1">
      <alignment horizontal="center" vertical="center"/>
    </xf>
    <xf numFmtId="0" fontId="0" fillId="0" borderId="321" xfId="0" applyBorder="1" applyAlignment="1">
      <alignment horizontal="center" vertical="center"/>
    </xf>
    <xf numFmtId="0" fontId="421" fillId="0" borderId="0" xfId="0" applyFont="1"/>
    <xf numFmtId="0" fontId="421" fillId="33" borderId="0" xfId="0" applyFont="1" applyFill="1"/>
    <xf numFmtId="0" fontId="421" fillId="66" borderId="0" xfId="0" applyFont="1" applyFill="1"/>
    <xf numFmtId="0" fontId="421" fillId="50" borderId="323" xfId="0" applyFont="1" applyFill="1" applyBorder="1"/>
    <xf numFmtId="0" fontId="421" fillId="50" borderId="324" xfId="0" applyFont="1" applyFill="1" applyBorder="1"/>
    <xf numFmtId="0" fontId="421" fillId="50" borderId="325" xfId="0" applyFont="1" applyFill="1" applyBorder="1"/>
    <xf numFmtId="0" fontId="421" fillId="66" borderId="220" xfId="0" applyFont="1" applyFill="1" applyBorder="1"/>
    <xf numFmtId="0" fontId="421" fillId="66" borderId="219" xfId="0" applyFont="1" applyFill="1" applyBorder="1"/>
    <xf numFmtId="0" fontId="421" fillId="66" borderId="221" xfId="0" applyFont="1" applyFill="1" applyBorder="1"/>
    <xf numFmtId="0" fontId="421" fillId="66" borderId="222" xfId="0" applyFont="1" applyFill="1" applyBorder="1"/>
    <xf numFmtId="0" fontId="421" fillId="66" borderId="223" xfId="0" applyFont="1" applyFill="1" applyBorder="1"/>
    <xf numFmtId="0" fontId="0" fillId="50" borderId="323" xfId="0" applyFill="1" applyBorder="1"/>
    <xf numFmtId="0" fontId="0" fillId="50" borderId="324" xfId="0" applyFill="1" applyBorder="1"/>
    <xf numFmtId="0" fontId="421" fillId="66" borderId="226" xfId="0" applyFont="1" applyFill="1" applyBorder="1"/>
    <xf numFmtId="0" fontId="421" fillId="66" borderId="224" xfId="0" applyFont="1" applyFill="1" applyBorder="1"/>
    <xf numFmtId="0" fontId="421" fillId="66" borderId="225" xfId="0" applyFont="1" applyFill="1" applyBorder="1"/>
    <xf numFmtId="0" fontId="0" fillId="50" borderId="325" xfId="0" applyFill="1" applyBorder="1"/>
    <xf numFmtId="0" fontId="428" fillId="31" borderId="324" xfId="0" applyFont="1" applyFill="1" applyBorder="1" applyAlignment="1">
      <alignment horizontal="center" vertical="center"/>
    </xf>
    <xf numFmtId="0" fontId="421" fillId="33" borderId="326" xfId="0" applyFont="1" applyFill="1" applyBorder="1"/>
    <xf numFmtId="0" fontId="8" fillId="17" borderId="12" xfId="0" applyFont="1" applyFill="1" applyBorder="1" applyAlignment="1">
      <alignment horizontal="left" vertical="center" wrapText="1"/>
    </xf>
    <xf numFmtId="0" fontId="1" fillId="0" borderId="0" xfId="0" applyFont="1" applyAlignment="1">
      <alignment horizontal="center" vertical="center"/>
    </xf>
    <xf numFmtId="0" fontId="117" fillId="0" borderId="0" xfId="0" applyFont="1" applyAlignment="1">
      <alignment horizontal="center" vertical="center"/>
    </xf>
    <xf numFmtId="0" fontId="45" fillId="49" borderId="12" xfId="0" applyFont="1" applyFill="1" applyBorder="1" applyAlignment="1">
      <alignment vertical="center"/>
    </xf>
    <xf numFmtId="0" fontId="328" fillId="49" borderId="321" xfId="0" applyFont="1" applyFill="1" applyBorder="1" applyAlignment="1">
      <alignment horizontal="center" vertical="center"/>
    </xf>
    <xf numFmtId="0" fontId="328" fillId="49" borderId="321" xfId="0" applyFont="1" applyFill="1" applyBorder="1" applyAlignment="1">
      <alignment vertical="center"/>
    </xf>
    <xf numFmtId="0" fontId="118" fillId="0" borderId="0" xfId="0" applyFont="1" applyAlignment="1">
      <alignment horizontal="center" vertical="center"/>
    </xf>
    <xf numFmtId="0" fontId="116" fillId="0" borderId="0" xfId="0" applyFont="1" applyAlignment="1">
      <alignment horizontal="center" vertical="center"/>
    </xf>
    <xf numFmtId="0" fontId="259" fillId="0" borderId="0" xfId="0" applyFont="1" applyAlignment="1">
      <alignment horizontal="center" vertical="center"/>
    </xf>
    <xf numFmtId="0" fontId="321" fillId="49" borderId="321" xfId="0" applyFont="1" applyFill="1" applyBorder="1" applyAlignment="1">
      <alignment horizontal="center"/>
    </xf>
    <xf numFmtId="0" fontId="321" fillId="49" borderId="321" xfId="0" applyFont="1" applyFill="1" applyBorder="1" applyAlignment="1">
      <alignment horizontal="center" vertical="center"/>
    </xf>
    <xf numFmtId="0" fontId="321" fillId="49" borderId="321" xfId="0" applyFont="1" applyFill="1" applyBorder="1" applyAlignment="1">
      <alignment horizontal="left" vertical="center"/>
    </xf>
    <xf numFmtId="0" fontId="1" fillId="0" borderId="335" xfId="0" applyFont="1" applyBorder="1" applyAlignment="1">
      <alignment horizontal="center"/>
    </xf>
    <xf numFmtId="0" fontId="70" fillId="0" borderId="335" xfId="0" applyFont="1" applyBorder="1" applyAlignment="1">
      <alignment horizontal="center"/>
    </xf>
    <xf numFmtId="0" fontId="70" fillId="0" borderId="335" xfId="0" applyFont="1" applyBorder="1" applyAlignment="1">
      <alignment horizontal="left"/>
    </xf>
    <xf numFmtId="3" fontId="70" fillId="0" borderId="335" xfId="0" applyNumberFormat="1" applyFont="1" applyBorder="1" applyAlignment="1">
      <alignment horizontal="center"/>
    </xf>
    <xf numFmtId="0" fontId="173" fillId="33" borderId="0" xfId="0" applyFont="1" applyFill="1"/>
    <xf numFmtId="3" fontId="188" fillId="41" borderId="0" xfId="0" applyNumberFormat="1" applyFont="1" applyFill="1" applyAlignment="1" applyProtection="1">
      <alignment horizontal="left" vertical="center"/>
      <protection hidden="1"/>
    </xf>
    <xf numFmtId="3" fontId="188" fillId="41" borderId="0" xfId="0" applyNumberFormat="1" applyFont="1" applyFill="1" applyAlignment="1" applyProtection="1">
      <alignment horizontal="right" vertical="center"/>
      <protection hidden="1"/>
    </xf>
    <xf numFmtId="164" fontId="172" fillId="41" borderId="0" xfId="0" applyNumberFormat="1" applyFont="1" applyFill="1" applyAlignment="1" applyProtection="1">
      <alignment horizontal="right"/>
      <protection hidden="1"/>
    </xf>
    <xf numFmtId="1" fontId="188" fillId="41" borderId="0" xfId="0" applyNumberFormat="1" applyFont="1" applyFill="1" applyProtection="1">
      <protection hidden="1"/>
    </xf>
    <xf numFmtId="0" fontId="188" fillId="41" borderId="0" xfId="0" applyFont="1" applyFill="1" applyProtection="1">
      <protection hidden="1"/>
    </xf>
    <xf numFmtId="0" fontId="172" fillId="41" borderId="0" xfId="0" applyFont="1" applyFill="1" applyProtection="1">
      <protection hidden="1"/>
    </xf>
    <xf numFmtId="3" fontId="172" fillId="41" borderId="0" xfId="0" applyNumberFormat="1" applyFont="1" applyFill="1" applyAlignment="1" applyProtection="1">
      <alignment horizontal="right"/>
      <protection hidden="1"/>
    </xf>
    <xf numFmtId="1" fontId="172" fillId="41" borderId="0" xfId="0" applyNumberFormat="1" applyFont="1" applyFill="1" applyProtection="1">
      <protection hidden="1"/>
    </xf>
    <xf numFmtId="0" fontId="173" fillId="41" borderId="0" xfId="0" applyFont="1" applyFill="1"/>
    <xf numFmtId="3" fontId="21" fillId="41" borderId="0" xfId="0" applyNumberFormat="1" applyFont="1" applyFill="1" applyAlignment="1" applyProtection="1">
      <alignment horizontal="left" vertical="center"/>
      <protection hidden="1"/>
    </xf>
    <xf numFmtId="3" fontId="21" fillId="41" borderId="0" xfId="0" applyNumberFormat="1" applyFont="1" applyFill="1" applyAlignment="1" applyProtection="1">
      <alignment horizontal="right" vertical="center"/>
      <protection hidden="1"/>
    </xf>
    <xf numFmtId="164" fontId="2" fillId="41" borderId="0" xfId="0" applyNumberFormat="1" applyFont="1" applyFill="1" applyAlignment="1" applyProtection="1">
      <alignment horizontal="right"/>
      <protection hidden="1"/>
    </xf>
    <xf numFmtId="1" fontId="21" fillId="41" borderId="0" xfId="0" applyNumberFormat="1" applyFont="1" applyFill="1" applyProtection="1">
      <protection hidden="1"/>
    </xf>
    <xf numFmtId="0" fontId="21" fillId="41" borderId="0" xfId="0" applyFont="1" applyFill="1" applyProtection="1">
      <protection hidden="1"/>
    </xf>
    <xf numFmtId="3" fontId="2" fillId="41" borderId="0" xfId="0" applyNumberFormat="1" applyFont="1" applyFill="1" applyAlignment="1" applyProtection="1">
      <alignment horizontal="right"/>
      <protection hidden="1"/>
    </xf>
    <xf numFmtId="1" fontId="2" fillId="41" borderId="0" xfId="0" applyNumberFormat="1" applyFont="1" applyFill="1" applyProtection="1">
      <protection hidden="1"/>
    </xf>
    <xf numFmtId="0" fontId="38" fillId="41" borderId="0" xfId="0" applyFont="1" applyFill="1"/>
    <xf numFmtId="3" fontId="70" fillId="41" borderId="0" xfId="0" applyNumberFormat="1" applyFont="1" applyFill="1" applyProtection="1">
      <protection hidden="1"/>
    </xf>
    <xf numFmtId="3" fontId="70" fillId="41" borderId="0" xfId="0" applyNumberFormat="1" applyFont="1" applyFill="1" applyAlignment="1" applyProtection="1">
      <alignment horizontal="right"/>
      <protection hidden="1"/>
    </xf>
    <xf numFmtId="9" fontId="70" fillId="41" borderId="0" xfId="0" applyNumberFormat="1" applyFont="1" applyFill="1" applyAlignment="1" applyProtection="1">
      <alignment horizontal="right"/>
      <protection hidden="1"/>
    </xf>
    <xf numFmtId="49" fontId="181" fillId="41" borderId="0" xfId="0" applyNumberFormat="1" applyFont="1" applyFill="1" applyAlignment="1" applyProtection="1">
      <alignment horizontal="right"/>
      <protection hidden="1"/>
    </xf>
    <xf numFmtId="3" fontId="188" fillId="41" borderId="0" xfId="0" applyNumberFormat="1" applyFont="1" applyFill="1" applyAlignment="1" applyProtection="1">
      <alignment vertical="center"/>
      <protection hidden="1"/>
    </xf>
    <xf numFmtId="10" fontId="181" fillId="41" borderId="0" xfId="0" applyNumberFormat="1" applyFont="1" applyFill="1" applyAlignment="1" applyProtection="1">
      <alignment horizontal="right"/>
      <protection hidden="1"/>
    </xf>
    <xf numFmtId="0" fontId="133" fillId="0" borderId="0" xfId="0" applyFont="1" applyAlignment="1">
      <alignment horizontal="center" vertical="center"/>
    </xf>
    <xf numFmtId="0" fontId="260" fillId="0" borderId="0" xfId="0" applyFont="1" applyAlignment="1">
      <alignment horizontal="center" vertical="center"/>
    </xf>
    <xf numFmtId="0" fontId="260" fillId="0" borderId="0" xfId="0" applyFont="1" applyAlignment="1">
      <alignment horizontal="left" vertical="center"/>
    </xf>
    <xf numFmtId="3" fontId="260" fillId="0" borderId="0" xfId="0" applyNumberFormat="1" applyFont="1" applyAlignment="1">
      <alignment horizontal="center" vertical="center"/>
    </xf>
    <xf numFmtId="0" fontId="412" fillId="49" borderId="12" xfId="0" applyFont="1" applyFill="1" applyBorder="1" applyAlignment="1">
      <alignment horizontal="center" vertical="center"/>
    </xf>
    <xf numFmtId="0" fontId="413" fillId="49" borderId="12" xfId="0" applyFont="1" applyFill="1" applyBorder="1" applyAlignment="1">
      <alignment horizontal="center" vertical="center"/>
    </xf>
    <xf numFmtId="0" fontId="412" fillId="49" borderId="321" xfId="0" applyFont="1" applyFill="1" applyBorder="1" applyAlignment="1">
      <alignment horizontal="center"/>
    </xf>
    <xf numFmtId="0" fontId="413" fillId="49" borderId="321" xfId="0" applyFont="1" applyFill="1" applyBorder="1" applyAlignment="1">
      <alignment horizontal="center" vertical="center"/>
    </xf>
    <xf numFmtId="0" fontId="412" fillId="49" borderId="321" xfId="0" applyFont="1" applyFill="1" applyBorder="1" applyAlignment="1">
      <alignment horizontal="center" vertical="center"/>
    </xf>
    <xf numFmtId="179" fontId="429" fillId="0" borderId="321" xfId="0" applyNumberFormat="1" applyFont="1" applyBorder="1" applyAlignment="1">
      <alignment horizontal="center" vertical="center"/>
    </xf>
    <xf numFmtId="0" fontId="429" fillId="0" borderId="321" xfId="0" applyFont="1" applyBorder="1" applyAlignment="1">
      <alignment horizontal="left" vertical="center"/>
    </xf>
    <xf numFmtId="1" fontId="429" fillId="0" borderId="321" xfId="0" applyNumberFormat="1" applyFont="1" applyBorder="1" applyAlignment="1">
      <alignment horizontal="center" vertical="center"/>
    </xf>
    <xf numFmtId="3" fontId="429" fillId="0" borderId="321" xfId="0" applyNumberFormat="1" applyFont="1" applyBorder="1" applyAlignment="1">
      <alignment horizontal="center" vertical="center"/>
    </xf>
    <xf numFmtId="1" fontId="335" fillId="0" borderId="321" xfId="0" applyNumberFormat="1" applyFont="1" applyBorder="1" applyAlignment="1">
      <alignment horizontal="center" vertical="center"/>
    </xf>
    <xf numFmtId="0" fontId="450" fillId="0" borderId="321" xfId="0" applyFont="1" applyBorder="1" applyAlignment="1">
      <alignment horizontal="center" vertical="center"/>
    </xf>
    <xf numFmtId="3" fontId="335" fillId="0" borderId="321" xfId="0" applyNumberFormat="1" applyFont="1" applyBorder="1" applyAlignment="1">
      <alignment horizontal="center" vertical="center"/>
    </xf>
    <xf numFmtId="3" fontId="118" fillId="0" borderId="321" xfId="0" applyNumberFormat="1" applyFont="1" applyBorder="1" applyAlignment="1">
      <alignment horizontal="center" vertical="center"/>
    </xf>
    <xf numFmtId="0" fontId="259" fillId="0" borderId="321" xfId="0" applyFont="1" applyBorder="1" applyAlignment="1">
      <alignment horizontal="center" vertical="center"/>
    </xf>
    <xf numFmtId="3" fontId="259" fillId="0" borderId="321" xfId="0" applyNumberFormat="1" applyFont="1" applyBorder="1" applyAlignment="1">
      <alignment horizontal="center" vertical="center"/>
    </xf>
    <xf numFmtId="0" fontId="118" fillId="0" borderId="321" xfId="0" applyFont="1" applyBorder="1" applyAlignment="1">
      <alignment horizontal="center" vertical="center"/>
    </xf>
    <xf numFmtId="9" fontId="259" fillId="0" borderId="321" xfId="0" applyNumberFormat="1" applyFont="1" applyBorder="1" applyAlignment="1">
      <alignment horizontal="center" vertical="center"/>
    </xf>
    <xf numFmtId="0" fontId="335" fillId="0" borderId="321" xfId="0" applyFont="1" applyBorder="1" applyAlignment="1">
      <alignment horizontal="center" vertical="center"/>
    </xf>
    <xf numFmtId="0" fontId="325" fillId="0" borderId="321" xfId="0" applyFont="1" applyBorder="1" applyAlignment="1">
      <alignment horizontal="center" vertical="center"/>
    </xf>
    <xf numFmtId="0" fontId="116" fillId="0" borderId="321" xfId="0" applyFont="1" applyBorder="1" applyAlignment="1">
      <alignment horizontal="center" vertical="center"/>
    </xf>
    <xf numFmtId="1" fontId="116" fillId="0" borderId="321" xfId="0" applyNumberFormat="1" applyFont="1" applyBorder="1" applyAlignment="1">
      <alignment horizontal="center" vertical="center"/>
    </xf>
    <xf numFmtId="0" fontId="421" fillId="0" borderId="345" xfId="0" applyFont="1" applyBorder="1" applyAlignment="1" applyProtection="1">
      <alignment horizontal="center" vertical="center"/>
      <protection hidden="1"/>
    </xf>
    <xf numFmtId="0" fontId="0" fillId="0" borderId="336" xfId="0" applyBorder="1" applyAlignment="1">
      <alignment horizontal="center"/>
    </xf>
    <xf numFmtId="9" fontId="0" fillId="0" borderId="336" xfId="0" applyNumberFormat="1" applyBorder="1" applyAlignment="1">
      <alignment horizontal="center"/>
    </xf>
    <xf numFmtId="0" fontId="0" fillId="0" borderId="336" xfId="0" applyBorder="1" applyAlignment="1">
      <alignment horizontal="center" wrapText="1"/>
    </xf>
    <xf numFmtId="0" fontId="0" fillId="0" borderId="336" xfId="0" applyBorder="1"/>
    <xf numFmtId="0" fontId="321" fillId="0" borderId="295" xfId="0" applyFont="1" applyBorder="1" applyAlignment="1" applyProtection="1">
      <alignment horizontal="center" vertical="center"/>
      <protection hidden="1"/>
    </xf>
    <xf numFmtId="0" fontId="321" fillId="0" borderId="295" xfId="0" applyFont="1" applyBorder="1" applyAlignment="1" applyProtection="1">
      <alignment vertical="center"/>
      <protection hidden="1"/>
    </xf>
    <xf numFmtId="0" fontId="2" fillId="12" borderId="187" xfId="0" applyFont="1" applyFill="1" applyBorder="1" applyAlignment="1">
      <alignment vertical="center"/>
    </xf>
    <xf numFmtId="0" fontId="233" fillId="41" borderId="0" xfId="0" applyFont="1" applyFill="1" applyAlignment="1">
      <alignment vertical="center"/>
    </xf>
    <xf numFmtId="0" fontId="2" fillId="41" borderId="0" xfId="0" applyFont="1" applyFill="1"/>
    <xf numFmtId="0" fontId="0" fillId="41" borderId="0" xfId="0" applyFill="1" applyAlignment="1">
      <alignment horizontal="center"/>
    </xf>
    <xf numFmtId="0" fontId="145" fillId="41" borderId="0" xfId="0" applyFont="1" applyFill="1"/>
    <xf numFmtId="0" fontId="0" fillId="41" borderId="0" xfId="0" applyFill="1" applyAlignment="1">
      <alignment vertical="center"/>
    </xf>
    <xf numFmtId="0" fontId="142" fillId="41" borderId="0" xfId="0" applyFont="1" applyFill="1" applyAlignment="1">
      <alignment vertical="center"/>
    </xf>
    <xf numFmtId="0" fontId="145" fillId="41" borderId="0" xfId="0" applyFont="1" applyFill="1" applyAlignment="1">
      <alignment vertical="center"/>
    </xf>
    <xf numFmtId="0" fontId="2" fillId="12" borderId="185" xfId="0" applyFont="1" applyFill="1" applyBorder="1" applyAlignment="1">
      <alignment vertical="center"/>
    </xf>
    <xf numFmtId="0" fontId="2" fillId="12" borderId="4" xfId="0" applyFont="1" applyFill="1" applyBorder="1" applyAlignment="1">
      <alignment vertical="center"/>
    </xf>
    <xf numFmtId="0" fontId="2" fillId="12" borderId="186" xfId="0" applyFont="1" applyFill="1" applyBorder="1" applyAlignment="1">
      <alignment vertical="center"/>
    </xf>
    <xf numFmtId="0" fontId="2" fillId="12" borderId="188" xfId="0" applyFont="1" applyFill="1" applyBorder="1" applyAlignment="1">
      <alignment vertical="center"/>
    </xf>
    <xf numFmtId="0" fontId="0" fillId="41" borderId="0" xfId="0" applyFill="1" applyAlignment="1">
      <alignment horizontal="center" vertical="center"/>
    </xf>
    <xf numFmtId="0" fontId="261" fillId="41" borderId="0" xfId="0" applyFont="1" applyFill="1" applyAlignment="1">
      <alignment vertical="center"/>
    </xf>
    <xf numFmtId="0" fontId="0" fillId="41" borderId="0" xfId="0" applyFill="1" applyAlignment="1" applyProtection="1">
      <alignment vertical="center"/>
      <protection locked="0"/>
    </xf>
    <xf numFmtId="169" fontId="47" fillId="0" borderId="256" xfId="0" applyNumberFormat="1" applyFont="1" applyBorder="1" applyAlignment="1" applyProtection="1">
      <alignment horizontal="center" vertical="center"/>
      <protection hidden="1"/>
    </xf>
    <xf numFmtId="0" fontId="0" fillId="7" borderId="0" xfId="0" applyFill="1" applyProtection="1">
      <protection locked="0" hidden="1"/>
    </xf>
    <xf numFmtId="0" fontId="421" fillId="31" borderId="0" xfId="0" applyFont="1" applyFill="1" applyProtection="1">
      <protection locked="0" hidden="1"/>
    </xf>
    <xf numFmtId="0" fontId="420" fillId="49" borderId="0" xfId="0" applyFont="1" applyFill="1" applyProtection="1">
      <protection locked="0" hidden="1"/>
    </xf>
    <xf numFmtId="164" fontId="262" fillId="41" borderId="0" xfId="0" applyNumberFormat="1" applyFont="1" applyFill="1" applyAlignment="1" applyProtection="1">
      <alignment vertical="center"/>
      <protection locked="0" hidden="1"/>
    </xf>
    <xf numFmtId="0" fontId="336" fillId="0" borderId="0" xfId="0" applyFont="1" applyAlignment="1">
      <alignment vertical="center"/>
    </xf>
    <xf numFmtId="0" fontId="321" fillId="0" borderId="321" xfId="0" applyFont="1" applyBorder="1" applyAlignment="1">
      <alignment horizontal="center"/>
    </xf>
    <xf numFmtId="166" fontId="261" fillId="0" borderId="321" xfId="0" applyNumberFormat="1" applyFont="1" applyBorder="1" applyAlignment="1">
      <alignment horizontal="center"/>
    </xf>
    <xf numFmtId="0" fontId="88" fillId="0" borderId="295" xfId="0" applyFont="1" applyBorder="1" applyAlignment="1">
      <alignment horizontal="center"/>
    </xf>
    <xf numFmtId="0" fontId="336" fillId="33" borderId="0" xfId="0" applyFont="1" applyFill="1" applyAlignment="1">
      <alignment vertical="center"/>
    </xf>
    <xf numFmtId="166" fontId="328" fillId="59" borderId="0" xfId="0" applyNumberFormat="1" applyFont="1" applyFill="1" applyAlignment="1">
      <alignment horizontal="center" vertical="center"/>
    </xf>
    <xf numFmtId="0" fontId="328" fillId="59" borderId="0" xfId="0" applyFont="1" applyFill="1" applyAlignment="1">
      <alignment horizontal="center" vertical="center"/>
    </xf>
    <xf numFmtId="176" fontId="328" fillId="59" borderId="0" xfId="0" applyNumberFormat="1" applyFont="1" applyFill="1" applyAlignment="1">
      <alignment horizontal="center" vertical="center"/>
    </xf>
    <xf numFmtId="0" fontId="0" fillId="58" borderId="0" xfId="0" applyFill="1"/>
    <xf numFmtId="176" fontId="328" fillId="58" borderId="0" xfId="0" applyNumberFormat="1" applyFont="1" applyFill="1" applyAlignment="1">
      <alignment horizontal="center" vertical="center"/>
    </xf>
    <xf numFmtId="0" fontId="328" fillId="33" borderId="0" xfId="0" applyFont="1" applyFill="1" applyAlignment="1">
      <alignment horizontal="center" vertical="center"/>
    </xf>
    <xf numFmtId="166" fontId="328" fillId="33" borderId="0" xfId="0" applyNumberFormat="1" applyFont="1" applyFill="1" applyAlignment="1">
      <alignment horizontal="center" vertical="center"/>
    </xf>
    <xf numFmtId="176" fontId="328" fillId="33" borderId="0" xfId="0" applyNumberFormat="1" applyFont="1" applyFill="1" applyAlignment="1">
      <alignment horizontal="center" vertical="center"/>
    </xf>
    <xf numFmtId="0" fontId="453" fillId="37" borderId="0" xfId="0" applyFont="1" applyFill="1"/>
    <xf numFmtId="0" fontId="3" fillId="0" borderId="0" xfId="0" applyFont="1" applyAlignment="1">
      <alignment vertical="center"/>
    </xf>
    <xf numFmtId="0" fontId="336" fillId="35" borderId="0" xfId="0" applyFont="1" applyFill="1" applyAlignment="1">
      <alignment vertical="center"/>
    </xf>
    <xf numFmtId="0" fontId="233" fillId="0" borderId="12" xfId="0" applyFont="1" applyBorder="1" applyAlignment="1">
      <alignment horizontal="center" vertical="center" wrapText="1"/>
    </xf>
    <xf numFmtId="0" fontId="321" fillId="50" borderId="321" xfId="0" applyFont="1" applyFill="1" applyBorder="1" applyAlignment="1">
      <alignment horizontal="center"/>
    </xf>
    <xf numFmtId="166" fontId="261" fillId="50" borderId="321" xfId="0" applyNumberFormat="1" applyFont="1" applyFill="1" applyBorder="1" applyAlignment="1">
      <alignment horizontal="center"/>
    </xf>
    <xf numFmtId="0" fontId="10" fillId="0" borderId="321" xfId="0" applyFont="1" applyBorder="1" applyAlignment="1">
      <alignment horizontal="center" vertical="center"/>
    </xf>
    <xf numFmtId="9" fontId="321" fillId="0" borderId="321" xfId="0" applyNumberFormat="1" applyFont="1" applyBorder="1" applyAlignment="1">
      <alignment horizontal="center" vertical="center"/>
    </xf>
    <xf numFmtId="0" fontId="336" fillId="37" borderId="0" xfId="0" applyFont="1" applyFill="1" applyAlignment="1">
      <alignment vertical="center"/>
    </xf>
    <xf numFmtId="0" fontId="336" fillId="40" borderId="0" xfId="0" applyFont="1" applyFill="1" applyAlignment="1">
      <alignment vertical="center"/>
    </xf>
    <xf numFmtId="0" fontId="336" fillId="42" borderId="0" xfId="0" applyFont="1" applyFill="1" applyAlignment="1">
      <alignment vertical="center"/>
    </xf>
    <xf numFmtId="0" fontId="218" fillId="45" borderId="0" xfId="0" applyFont="1" applyFill="1"/>
    <xf numFmtId="0" fontId="336" fillId="45" borderId="0" xfId="0" applyFont="1" applyFill="1" applyAlignment="1">
      <alignment vertical="center"/>
    </xf>
    <xf numFmtId="9" fontId="233" fillId="18" borderId="261" xfId="0" applyNumberFormat="1" applyFont="1" applyFill="1" applyBorder="1" applyAlignment="1">
      <alignment horizontal="center"/>
    </xf>
    <xf numFmtId="0" fontId="233" fillId="18" borderId="209" xfId="0" applyFont="1" applyFill="1" applyBorder="1" applyAlignment="1">
      <alignment horizontal="center"/>
    </xf>
    <xf numFmtId="0" fontId="233" fillId="40" borderId="210" xfId="0" applyFont="1" applyFill="1" applyBorder="1"/>
    <xf numFmtId="0" fontId="233" fillId="42" borderId="185" xfId="0" applyFont="1" applyFill="1" applyBorder="1" applyAlignment="1">
      <alignment horizontal="center"/>
    </xf>
    <xf numFmtId="0" fontId="233" fillId="42" borderId="0" xfId="0" applyFont="1" applyFill="1" applyAlignment="1">
      <alignment horizontal="center"/>
    </xf>
    <xf numFmtId="0" fontId="233" fillId="42" borderId="353" xfId="0" applyFont="1" applyFill="1" applyBorder="1"/>
    <xf numFmtId="9" fontId="218" fillId="33" borderId="185" xfId="0" applyNumberFormat="1" applyFont="1" applyFill="1" applyBorder="1" applyAlignment="1">
      <alignment horizontal="center"/>
    </xf>
    <xf numFmtId="0" fontId="322" fillId="33" borderId="0" xfId="0" applyFont="1" applyFill="1" applyAlignment="1">
      <alignment horizontal="center"/>
    </xf>
    <xf numFmtId="0" fontId="218" fillId="33" borderId="353" xfId="0" applyFont="1" applyFill="1" applyBorder="1" applyAlignment="1">
      <alignment horizontal="center" vertical="center"/>
    </xf>
    <xf numFmtId="0" fontId="233" fillId="16" borderId="185" xfId="0" applyFont="1" applyFill="1" applyBorder="1" applyAlignment="1">
      <alignment horizontal="center" vertical="center"/>
    </xf>
    <xf numFmtId="0" fontId="233" fillId="45" borderId="353" xfId="0" applyFont="1" applyFill="1" applyBorder="1"/>
    <xf numFmtId="0" fontId="233" fillId="37" borderId="185" xfId="0" applyFont="1" applyFill="1" applyBorder="1" applyAlignment="1">
      <alignment horizontal="center" vertical="center"/>
    </xf>
    <xf numFmtId="166" fontId="233" fillId="37" borderId="0" xfId="0" applyNumberFormat="1" applyFont="1" applyFill="1" applyAlignment="1">
      <alignment horizontal="center" vertical="center"/>
    </xf>
    <xf numFmtId="0" fontId="233" fillId="37" borderId="353" xfId="0" applyFont="1" applyFill="1" applyBorder="1" applyAlignment="1">
      <alignment horizontal="center" vertical="center"/>
    </xf>
    <xf numFmtId="0" fontId="336" fillId="35" borderId="186" xfId="0" applyFont="1" applyFill="1" applyBorder="1" applyAlignment="1">
      <alignment vertical="center"/>
    </xf>
    <xf numFmtId="166" fontId="233" fillId="8" borderId="352" xfId="0" applyNumberFormat="1" applyFont="1" applyFill="1" applyBorder="1" applyAlignment="1">
      <alignment horizontal="center" vertical="center"/>
    </xf>
    <xf numFmtId="0" fontId="8" fillId="35" borderId="354" xfId="0" applyFont="1" applyFill="1" applyBorder="1" applyAlignment="1">
      <alignment horizontal="center" vertical="center"/>
    </xf>
    <xf numFmtId="0" fontId="8" fillId="42" borderId="0" xfId="0" applyFont="1" applyFill="1" applyAlignment="1">
      <alignment horizontal="center" vertical="center"/>
    </xf>
    <xf numFmtId="0" fontId="332" fillId="40" borderId="0" xfId="0" applyFont="1" applyFill="1" applyAlignment="1">
      <alignment horizontal="center" vertical="center"/>
    </xf>
    <xf numFmtId="0" fontId="332" fillId="42" borderId="0" xfId="0" applyFont="1" applyFill="1" applyAlignment="1">
      <alignment horizontal="center" vertical="center"/>
    </xf>
    <xf numFmtId="0" fontId="332" fillId="45" borderId="0" xfId="0" applyFont="1" applyFill="1" applyAlignment="1">
      <alignment horizontal="center" vertical="center"/>
    </xf>
    <xf numFmtId="9" fontId="10" fillId="40" borderId="0" xfId="0" applyNumberFormat="1" applyFont="1" applyFill="1" applyAlignment="1">
      <alignment horizontal="center" vertical="center"/>
    </xf>
    <xf numFmtId="9" fontId="336" fillId="33" borderId="0" xfId="0" applyNumberFormat="1" applyFont="1" applyFill="1" applyAlignment="1">
      <alignment horizontal="center" vertical="center"/>
    </xf>
    <xf numFmtId="9" fontId="10" fillId="0" borderId="321" xfId="0" applyNumberFormat="1" applyFont="1" applyBorder="1" applyAlignment="1">
      <alignment horizontal="center" vertical="center"/>
    </xf>
    <xf numFmtId="17" fontId="328" fillId="0" borderId="0" xfId="0" applyNumberFormat="1" applyFont="1" applyAlignment="1">
      <alignment horizontal="center" vertical="center"/>
    </xf>
    <xf numFmtId="17" fontId="328" fillId="37" borderId="321" xfId="0" applyNumberFormat="1" applyFont="1" applyFill="1" applyBorder="1" applyAlignment="1">
      <alignment horizontal="center" vertical="center"/>
    </xf>
    <xf numFmtId="0" fontId="0" fillId="35" borderId="12" xfId="0" applyFill="1" applyBorder="1" applyAlignment="1">
      <alignment horizontal="center" vertical="center"/>
    </xf>
    <xf numFmtId="0" fontId="144" fillId="35" borderId="12" xfId="0" applyFont="1" applyFill="1" applyBorder="1" applyAlignment="1">
      <alignment horizontal="center" vertical="center"/>
    </xf>
    <xf numFmtId="166" fontId="247" fillId="87" borderId="12" xfId="0" applyNumberFormat="1" applyFont="1" applyFill="1" applyBorder="1" applyAlignment="1">
      <alignment horizontal="center" vertical="center"/>
    </xf>
    <xf numFmtId="0" fontId="247" fillId="87" borderId="12" xfId="0" applyFont="1" applyFill="1" applyBorder="1" applyAlignment="1">
      <alignment horizontal="center" vertical="center"/>
    </xf>
    <xf numFmtId="0" fontId="0" fillId="36" borderId="12" xfId="0" applyFill="1" applyBorder="1" applyAlignment="1">
      <alignment horizontal="center" vertical="center"/>
    </xf>
    <xf numFmtId="0" fontId="144" fillId="36" borderId="12" xfId="0" applyFont="1" applyFill="1" applyBorder="1" applyAlignment="1">
      <alignment horizontal="center" vertical="center"/>
    </xf>
    <xf numFmtId="9" fontId="321" fillId="50" borderId="12" xfId="0" applyNumberFormat="1" applyFont="1" applyFill="1" applyBorder="1" applyAlignment="1">
      <alignment horizontal="center" vertical="center" wrapText="1"/>
    </xf>
    <xf numFmtId="0" fontId="135" fillId="0" borderId="321" xfId="0" applyFont="1" applyBorder="1" applyAlignment="1" applyProtection="1">
      <alignment horizontal="center"/>
      <protection hidden="1"/>
    </xf>
    <xf numFmtId="1" fontId="233" fillId="0" borderId="321" xfId="0" applyNumberFormat="1" applyFont="1" applyBorder="1" applyAlignment="1" applyProtection="1">
      <alignment horizontal="center" vertical="center"/>
      <protection hidden="1"/>
    </xf>
    <xf numFmtId="166" fontId="280" fillId="31" borderId="0" xfId="0" applyNumberFormat="1" applyFont="1" applyFill="1"/>
    <xf numFmtId="168" fontId="170" fillId="88" borderId="0" xfId="0" applyNumberFormat="1" applyFont="1" applyFill="1" applyAlignment="1" applyProtection="1">
      <alignment vertical="top" wrapText="1"/>
      <protection hidden="1"/>
    </xf>
    <xf numFmtId="0" fontId="213" fillId="31" borderId="0" xfId="0" applyFont="1" applyFill="1" applyAlignment="1">
      <alignment vertical="center"/>
    </xf>
    <xf numFmtId="168" fontId="170" fillId="88" borderId="0" xfId="0" applyNumberFormat="1" applyFont="1" applyFill="1" applyAlignment="1" applyProtection="1">
      <alignment horizontal="left" vertical="top" wrapText="1"/>
      <protection hidden="1"/>
    </xf>
    <xf numFmtId="0" fontId="169" fillId="31" borderId="0" xfId="0" applyFont="1" applyFill="1"/>
    <xf numFmtId="0" fontId="252" fillId="31" borderId="0" xfId="0" applyFont="1" applyFill="1" applyAlignment="1">
      <alignment vertical="center"/>
    </xf>
    <xf numFmtId="0" fontId="251" fillId="31" borderId="0" xfId="0" applyFont="1" applyFill="1" applyAlignment="1">
      <alignment vertical="center"/>
    </xf>
    <xf numFmtId="0" fontId="196" fillId="31" borderId="1" xfId="0" applyFont="1" applyFill="1" applyBorder="1" applyAlignment="1">
      <alignment horizontal="center"/>
    </xf>
    <xf numFmtId="0" fontId="196" fillId="31" borderId="0" xfId="0" applyFont="1" applyFill="1" applyAlignment="1">
      <alignment horizontal="center"/>
    </xf>
    <xf numFmtId="0" fontId="197" fillId="31" borderId="0" xfId="0" applyFont="1" applyFill="1" applyAlignment="1">
      <alignment vertical="center"/>
    </xf>
    <xf numFmtId="9" fontId="321" fillId="0" borderId="12" xfId="0" applyNumberFormat="1" applyFont="1" applyBorder="1" applyAlignment="1">
      <alignment horizontal="center"/>
    </xf>
    <xf numFmtId="9" fontId="144" fillId="0" borderId="12" xfId="0" applyNumberFormat="1" applyFont="1" applyBorder="1" applyAlignment="1">
      <alignment horizontal="center"/>
    </xf>
    <xf numFmtId="9" fontId="88" fillId="0" borderId="12" xfId="0" applyNumberFormat="1" applyFont="1" applyBorder="1" applyAlignment="1">
      <alignment horizontal="center"/>
    </xf>
    <xf numFmtId="0" fontId="328" fillId="58" borderId="0" xfId="0" applyFont="1" applyFill="1" applyAlignment="1">
      <alignment horizontal="center" vertical="center"/>
    </xf>
    <xf numFmtId="0" fontId="233" fillId="58" borderId="0" xfId="0" applyFont="1" applyFill="1" applyAlignment="1">
      <alignment horizontal="center" vertical="center"/>
    </xf>
    <xf numFmtId="166" fontId="346" fillId="55" borderId="0" xfId="0" applyNumberFormat="1" applyFont="1" applyFill="1" applyAlignment="1" applyProtection="1">
      <alignment vertical="center"/>
      <protection hidden="1"/>
    </xf>
    <xf numFmtId="166" fontId="336" fillId="55" borderId="0" xfId="0" applyNumberFormat="1" applyFont="1" applyFill="1" applyProtection="1">
      <protection hidden="1"/>
    </xf>
    <xf numFmtId="0" fontId="8" fillId="55" borderId="0" xfId="0" applyFont="1" applyFill="1" applyProtection="1">
      <protection hidden="1"/>
    </xf>
    <xf numFmtId="166" fontId="8" fillId="55" borderId="0" xfId="0" applyNumberFormat="1" applyFont="1" applyFill="1" applyProtection="1">
      <protection hidden="1"/>
    </xf>
    <xf numFmtId="0" fontId="4" fillId="55" borderId="185" xfId="0" applyFont="1" applyFill="1" applyBorder="1" applyAlignment="1" applyProtection="1">
      <alignment vertical="center"/>
      <protection hidden="1"/>
    </xf>
    <xf numFmtId="0" fontId="4" fillId="55" borderId="0" xfId="0" applyFont="1" applyFill="1" applyAlignment="1" applyProtection="1">
      <alignment vertical="center"/>
      <protection hidden="1"/>
    </xf>
    <xf numFmtId="0" fontId="325" fillId="55" borderId="185" xfId="0" applyFont="1" applyFill="1" applyBorder="1" applyAlignment="1" applyProtection="1">
      <alignment vertical="center"/>
      <protection hidden="1"/>
    </xf>
    <xf numFmtId="0" fontId="325" fillId="55" borderId="0" xfId="0" applyFont="1" applyFill="1" applyAlignment="1" applyProtection="1">
      <alignment vertical="center"/>
      <protection hidden="1"/>
    </xf>
    <xf numFmtId="166" fontId="10" fillId="55" borderId="0" xfId="0" applyNumberFormat="1" applyFont="1" applyFill="1" applyAlignment="1" applyProtection="1">
      <alignment vertical="center"/>
      <protection hidden="1"/>
    </xf>
    <xf numFmtId="166" fontId="336" fillId="55" borderId="0" xfId="0" applyNumberFormat="1" applyFont="1" applyFill="1" applyAlignment="1" applyProtection="1">
      <alignment vertical="top"/>
      <protection hidden="1"/>
    </xf>
    <xf numFmtId="17" fontId="233" fillId="11" borderId="0" xfId="0" applyNumberFormat="1" applyFont="1" applyFill="1" applyAlignment="1">
      <alignment horizontal="center" vertical="center"/>
    </xf>
    <xf numFmtId="9" fontId="233" fillId="11" borderId="0" xfId="0" applyNumberFormat="1" applyFont="1" applyFill="1" applyAlignment="1">
      <alignment horizontal="center" vertical="center"/>
    </xf>
    <xf numFmtId="0" fontId="0" fillId="37" borderId="0" xfId="0" applyFill="1" applyAlignment="1">
      <alignment horizontal="center"/>
    </xf>
    <xf numFmtId="0" fontId="0" fillId="35" borderId="0" xfId="0" applyFill="1" applyAlignment="1">
      <alignment horizontal="center"/>
    </xf>
    <xf numFmtId="0" fontId="0" fillId="89" borderId="0" xfId="0" applyFill="1"/>
    <xf numFmtId="0" fontId="0" fillId="89" borderId="0" xfId="0" applyFill="1" applyAlignment="1">
      <alignment horizontal="center"/>
    </xf>
    <xf numFmtId="0" fontId="0" fillId="58" borderId="0" xfId="0" applyFill="1" applyAlignment="1">
      <alignment horizontal="center"/>
    </xf>
    <xf numFmtId="0" fontId="0" fillId="59" borderId="0" xfId="0" applyFill="1" applyAlignment="1">
      <alignment horizontal="center"/>
    </xf>
    <xf numFmtId="3" fontId="0" fillId="59" borderId="0" xfId="0" applyNumberFormat="1" applyFill="1" applyAlignment="1">
      <alignment horizontal="center"/>
    </xf>
    <xf numFmtId="0" fontId="415" fillId="41" borderId="0" xfId="0" applyFont="1" applyFill="1" applyAlignment="1">
      <alignment vertical="center"/>
    </xf>
    <xf numFmtId="0" fontId="277" fillId="4" borderId="108" xfId="0" applyFont="1" applyFill="1" applyBorder="1" applyAlignment="1">
      <alignment vertical="center"/>
    </xf>
    <xf numFmtId="0" fontId="277" fillId="4" borderId="109" xfId="0" applyFont="1" applyFill="1" applyBorder="1" applyAlignment="1">
      <alignment vertical="center"/>
    </xf>
    <xf numFmtId="0" fontId="126" fillId="4" borderId="107" xfId="0" applyFont="1" applyFill="1" applyBorder="1" applyAlignment="1">
      <alignment vertical="center"/>
    </xf>
    <xf numFmtId="0" fontId="169" fillId="7" borderId="355" xfId="0" applyFont="1" applyFill="1" applyBorder="1"/>
    <xf numFmtId="0" fontId="126" fillId="4" borderId="108" xfId="0" applyFont="1" applyFill="1" applyBorder="1" applyAlignment="1">
      <alignment horizontal="center" vertical="center"/>
    </xf>
    <xf numFmtId="0" fontId="322" fillId="33" borderId="185" xfId="0" applyFont="1" applyFill="1" applyBorder="1" applyAlignment="1">
      <alignment horizontal="center" vertical="center" wrapText="1"/>
    </xf>
    <xf numFmtId="0" fontId="277" fillId="4" borderId="76" xfId="0" applyFont="1" applyFill="1" applyBorder="1" applyAlignment="1">
      <alignment vertical="center"/>
    </xf>
    <xf numFmtId="0" fontId="0" fillId="55" borderId="359" xfId="0" applyFill="1" applyBorder="1" applyProtection="1">
      <protection locked="0"/>
    </xf>
    <xf numFmtId="0" fontId="0" fillId="55" borderId="360" xfId="0" applyFill="1" applyBorder="1" applyProtection="1">
      <protection locked="0"/>
    </xf>
    <xf numFmtId="0" fontId="169" fillId="90" borderId="362" xfId="0" applyFont="1" applyFill="1" applyBorder="1"/>
    <xf numFmtId="0" fontId="169" fillId="90" borderId="363" xfId="0" applyFont="1" applyFill="1" applyBorder="1"/>
    <xf numFmtId="0" fontId="455" fillId="42" borderId="354" xfId="0" applyFont="1" applyFill="1" applyBorder="1" applyAlignment="1">
      <alignment horizontal="center"/>
    </xf>
    <xf numFmtId="0" fontId="455" fillId="42" borderId="73" xfId="0" applyFont="1" applyFill="1" applyBorder="1" applyAlignment="1">
      <alignment horizontal="center"/>
    </xf>
    <xf numFmtId="0" fontId="347" fillId="42" borderId="367" xfId="0" applyFont="1" applyFill="1" applyBorder="1" applyAlignment="1">
      <alignment horizontal="center" vertical="center" wrapText="1"/>
    </xf>
    <xf numFmtId="0" fontId="455" fillId="42" borderId="369" xfId="0" applyFont="1" applyFill="1" applyBorder="1" applyAlignment="1">
      <alignment horizontal="center" vertical="center"/>
    </xf>
    <xf numFmtId="0" fontId="455" fillId="42" borderId="371" xfId="0" applyFont="1" applyFill="1" applyBorder="1"/>
    <xf numFmtId="0" fontId="455" fillId="42" borderId="373" xfId="0" applyFont="1" applyFill="1" applyBorder="1"/>
    <xf numFmtId="0" fontId="347" fillId="42" borderId="369" xfId="0" applyFont="1" applyFill="1" applyBorder="1" applyAlignment="1">
      <alignment horizontal="center"/>
    </xf>
    <xf numFmtId="0" fontId="455" fillId="42" borderId="374" xfId="0" applyFont="1" applyFill="1" applyBorder="1"/>
    <xf numFmtId="0" fontId="169" fillId="33" borderId="361" xfId="0" applyFont="1" applyFill="1" applyBorder="1"/>
    <xf numFmtId="0" fontId="8" fillId="39" borderId="0" xfId="0" applyFont="1" applyFill="1" applyAlignment="1">
      <alignment horizontal="center"/>
    </xf>
    <xf numFmtId="0" fontId="419" fillId="33" borderId="0" xfId="0" applyFont="1" applyFill="1" applyAlignment="1">
      <alignment horizontal="center" vertical="center"/>
    </xf>
    <xf numFmtId="0" fontId="47" fillId="90" borderId="361" xfId="0" applyFont="1" applyFill="1" applyBorder="1" applyAlignment="1">
      <alignment horizontal="center" vertical="center"/>
    </xf>
    <xf numFmtId="0" fontId="88" fillId="33" borderId="362" xfId="0" applyFont="1" applyFill="1" applyBorder="1" applyAlignment="1">
      <alignment vertical="center"/>
    </xf>
    <xf numFmtId="0" fontId="3" fillId="39" borderId="375" xfId="0" applyFont="1" applyFill="1" applyBorder="1" applyAlignment="1">
      <alignment horizontal="center" vertical="center"/>
    </xf>
    <xf numFmtId="0" fontId="8" fillId="39" borderId="304" xfId="0" applyFont="1" applyFill="1" applyBorder="1"/>
    <xf numFmtId="0" fontId="456" fillId="50" borderId="387" xfId="0" applyFont="1" applyFill="1" applyBorder="1" applyAlignment="1">
      <alignment horizontal="center" vertical="center" wrapText="1"/>
    </xf>
    <xf numFmtId="0" fontId="47" fillId="50" borderId="361" xfId="0" applyFont="1" applyFill="1" applyBorder="1" applyAlignment="1">
      <alignment horizontal="center"/>
    </xf>
    <xf numFmtId="0" fontId="47" fillId="90" borderId="364" xfId="0" applyFont="1" applyFill="1" applyBorder="1" applyAlignment="1">
      <alignment horizontal="center" vertical="center"/>
    </xf>
    <xf numFmtId="0" fontId="338" fillId="31" borderId="0" xfId="0" applyFont="1" applyFill="1" applyAlignment="1">
      <alignment horizontal="center" vertical="center"/>
    </xf>
    <xf numFmtId="0" fontId="203" fillId="62" borderId="0" xfId="0" applyFont="1" applyFill="1" applyAlignment="1">
      <alignment horizontal="left" wrapText="1"/>
    </xf>
    <xf numFmtId="0" fontId="338" fillId="62" borderId="219" xfId="0" applyFont="1" applyFill="1" applyBorder="1" applyAlignment="1">
      <alignment vertical="center"/>
    </xf>
    <xf numFmtId="0" fontId="338" fillId="62" borderId="0" xfId="0" applyFont="1" applyFill="1" applyAlignment="1">
      <alignment vertical="center"/>
    </xf>
    <xf numFmtId="0" fontId="213" fillId="62" borderId="0" xfId="0" applyFont="1" applyFill="1"/>
    <xf numFmtId="0" fontId="45" fillId="39" borderId="211" xfId="0" applyFont="1" applyFill="1" applyBorder="1" applyAlignment="1">
      <alignment horizontal="center" vertical="center"/>
    </xf>
    <xf numFmtId="0" fontId="45" fillId="39" borderId="401" xfId="0" applyFont="1" applyFill="1" applyBorder="1" applyAlignment="1">
      <alignment horizontal="center" vertical="center"/>
    </xf>
    <xf numFmtId="0" fontId="45" fillId="7" borderId="211" xfId="0" applyFont="1" applyFill="1" applyBorder="1" applyAlignment="1">
      <alignment horizontal="center" vertical="center"/>
    </xf>
    <xf numFmtId="0" fontId="332" fillId="31" borderId="406" xfId="0" applyFont="1" applyFill="1" applyBorder="1" applyAlignment="1">
      <alignment horizontal="center" vertical="center"/>
    </xf>
    <xf numFmtId="0" fontId="336" fillId="33" borderId="405" xfId="0" applyFont="1" applyFill="1" applyBorder="1" applyAlignment="1">
      <alignment horizontal="center" vertical="center"/>
    </xf>
    <xf numFmtId="0" fontId="45" fillId="39" borderId="298" xfId="0" applyFont="1" applyFill="1" applyBorder="1" applyAlignment="1">
      <alignment horizontal="center" vertical="center"/>
    </xf>
    <xf numFmtId="0" fontId="45" fillId="7" borderId="401" xfId="0" applyFont="1" applyFill="1" applyBorder="1" applyAlignment="1">
      <alignment horizontal="center" vertical="center"/>
    </xf>
    <xf numFmtId="0" fontId="332" fillId="31" borderId="417" xfId="0" applyFont="1" applyFill="1" applyBorder="1" applyAlignment="1">
      <alignment horizontal="center" vertical="center"/>
    </xf>
    <xf numFmtId="0" fontId="332" fillId="33" borderId="364" xfId="0" applyFont="1" applyFill="1" applyBorder="1" applyAlignment="1">
      <alignment horizontal="center" vertical="center"/>
    </xf>
    <xf numFmtId="0" fontId="332" fillId="31" borderId="419" xfId="0" applyFont="1" applyFill="1" applyBorder="1" applyAlignment="1">
      <alignment horizontal="center" vertical="center"/>
    </xf>
    <xf numFmtId="0" fontId="332" fillId="33" borderId="420" xfId="0" applyFont="1" applyFill="1" applyBorder="1" applyAlignment="1">
      <alignment horizontal="center" vertical="center"/>
    </xf>
    <xf numFmtId="0" fontId="169" fillId="62" borderId="0" xfId="0" applyFont="1" applyFill="1"/>
    <xf numFmtId="0" fontId="277" fillId="62" borderId="0" xfId="0" applyFont="1" applyFill="1"/>
    <xf numFmtId="0" fontId="202" fillId="62" borderId="0" xfId="0" applyFont="1" applyFill="1" applyAlignment="1">
      <alignment vertical="center" wrapText="1"/>
    </xf>
    <xf numFmtId="0" fontId="288" fillId="62" borderId="0" xfId="0" applyFont="1" applyFill="1" applyAlignment="1">
      <alignment vertical="center"/>
    </xf>
    <xf numFmtId="0" fontId="205" fillId="62" borderId="0" xfId="0" applyFont="1" applyFill="1"/>
    <xf numFmtId="0" fontId="204" fillId="62" borderId="0" xfId="0" applyFont="1" applyFill="1"/>
    <xf numFmtId="0" fontId="119" fillId="42" borderId="0" xfId="0" applyFont="1" applyFill="1" applyAlignment="1">
      <alignment vertical="center"/>
    </xf>
    <xf numFmtId="0" fontId="119" fillId="63" borderId="0" xfId="0" applyFont="1" applyFill="1" applyAlignment="1">
      <alignment vertical="center"/>
    </xf>
    <xf numFmtId="0" fontId="415" fillId="63" borderId="0" xfId="0" applyFont="1" applyFill="1" applyAlignment="1">
      <alignment vertical="center"/>
    </xf>
    <xf numFmtId="0" fontId="277" fillId="63" borderId="0" xfId="0" applyFont="1" applyFill="1"/>
    <xf numFmtId="0" fontId="0" fillId="63" borderId="0" xfId="0" applyFill="1" applyAlignment="1">
      <alignment horizontal="center"/>
    </xf>
    <xf numFmtId="0" fontId="202" fillId="63" borderId="0" xfId="0" applyFont="1" applyFill="1" applyAlignment="1">
      <alignment horizontal="center" vertical="center" wrapText="1"/>
    </xf>
    <xf numFmtId="0" fontId="288" fillId="63" borderId="0" xfId="0" applyFont="1" applyFill="1" applyAlignment="1">
      <alignment vertical="center"/>
    </xf>
    <xf numFmtId="0" fontId="338" fillId="63" borderId="0" xfId="0" applyFont="1" applyFill="1" applyAlignment="1">
      <alignment vertical="center"/>
    </xf>
    <xf numFmtId="0" fontId="213" fillId="63" borderId="0" xfId="0" applyFont="1" applyFill="1"/>
    <xf numFmtId="0" fontId="228" fillId="33" borderId="88" xfId="0" applyFont="1" applyFill="1" applyBorder="1" applyAlignment="1">
      <alignment vertical="center"/>
    </xf>
    <xf numFmtId="0" fontId="228" fillId="33" borderId="76" xfId="0" applyFont="1" applyFill="1" applyBorder="1" applyAlignment="1">
      <alignment vertical="center"/>
    </xf>
    <xf numFmtId="0" fontId="228" fillId="33" borderId="84" xfId="0" applyFont="1" applyFill="1" applyBorder="1" applyAlignment="1">
      <alignment vertical="center"/>
    </xf>
    <xf numFmtId="0" fontId="228" fillId="33" borderId="77" xfId="0" applyFont="1" applyFill="1" applyBorder="1" applyAlignment="1">
      <alignment vertical="center"/>
    </xf>
    <xf numFmtId="0" fontId="228" fillId="33" borderId="0" xfId="0" applyFont="1" applyFill="1" applyAlignment="1">
      <alignment vertical="center"/>
    </xf>
    <xf numFmtId="0" fontId="228" fillId="33" borderId="75" xfId="0" applyFont="1" applyFill="1" applyBorder="1" applyAlignment="1">
      <alignment vertical="center"/>
    </xf>
    <xf numFmtId="0" fontId="236" fillId="33" borderId="77" xfId="0" applyFont="1" applyFill="1" applyBorder="1" applyAlignment="1">
      <alignment vertical="center"/>
    </xf>
    <xf numFmtId="0" fontId="236" fillId="33" borderId="0" xfId="0" applyFont="1" applyFill="1" applyAlignment="1">
      <alignment vertical="center"/>
    </xf>
    <xf numFmtId="0" fontId="236" fillId="33" borderId="75" xfId="0" applyFont="1" applyFill="1" applyBorder="1" applyAlignment="1">
      <alignment vertical="center"/>
    </xf>
    <xf numFmtId="0" fontId="0" fillId="33" borderId="435" xfId="0" applyFill="1" applyBorder="1"/>
    <xf numFmtId="0" fontId="0" fillId="33" borderId="355" xfId="0" applyFill="1" applyBorder="1" applyAlignment="1">
      <alignment horizontal="center"/>
    </xf>
    <xf numFmtId="0" fontId="0" fillId="33" borderId="436" xfId="0" applyFill="1" applyBorder="1" applyAlignment="1">
      <alignment horizontal="center"/>
    </xf>
    <xf numFmtId="0" fontId="0" fillId="41" borderId="433" xfId="0" applyFill="1" applyBorder="1"/>
    <xf numFmtId="0" fontId="0" fillId="41" borderId="434" xfId="0" applyFill="1" applyBorder="1" applyAlignment="1">
      <alignment horizontal="center"/>
    </xf>
    <xf numFmtId="0" fontId="202" fillId="41" borderId="433" xfId="0" applyFont="1" applyFill="1" applyBorder="1" applyAlignment="1">
      <alignment vertical="center" wrapText="1"/>
    </xf>
    <xf numFmtId="0" fontId="288" fillId="41" borderId="433" xfId="0" applyFont="1" applyFill="1" applyBorder="1" applyAlignment="1">
      <alignment vertical="center"/>
    </xf>
    <xf numFmtId="0" fontId="288" fillId="41" borderId="0" xfId="0" applyFont="1" applyFill="1" applyAlignment="1">
      <alignment vertical="center"/>
    </xf>
    <xf numFmtId="0" fontId="288" fillId="41" borderId="434" xfId="0" applyFont="1" applyFill="1" applyBorder="1" applyAlignment="1">
      <alignment vertical="center"/>
    </xf>
    <xf numFmtId="0" fontId="0" fillId="41" borderId="434" xfId="0" applyFill="1" applyBorder="1"/>
    <xf numFmtId="0" fontId="237" fillId="61" borderId="0" xfId="0" applyFont="1" applyFill="1"/>
    <xf numFmtId="0" fontId="237" fillId="61" borderId="6" xfId="0" applyFont="1" applyFill="1" applyBorder="1"/>
    <xf numFmtId="0" fontId="237" fillId="61" borderId="4" xfId="0" applyFont="1" applyFill="1" applyBorder="1"/>
    <xf numFmtId="0" fontId="229" fillId="61" borderId="6" xfId="0" applyFont="1" applyFill="1" applyBorder="1"/>
    <xf numFmtId="0" fontId="229" fillId="61" borderId="0" xfId="0" applyFont="1" applyFill="1"/>
    <xf numFmtId="0" fontId="229" fillId="61" borderId="4" xfId="0" applyFont="1" applyFill="1" applyBorder="1"/>
    <xf numFmtId="0" fontId="229" fillId="61" borderId="7" xfId="0" applyFont="1" applyFill="1" applyBorder="1"/>
    <xf numFmtId="0" fontId="229" fillId="61" borderId="39" xfId="0" applyFont="1" applyFill="1" applyBorder="1"/>
    <xf numFmtId="0" fontId="229" fillId="61" borderId="5" xfId="0" applyFont="1" applyFill="1" applyBorder="1"/>
    <xf numFmtId="0" fontId="50" fillId="31" borderId="0" xfId="0" applyFont="1" applyFill="1" applyAlignment="1">
      <alignment horizontal="center" vertical="center" wrapText="1"/>
    </xf>
    <xf numFmtId="0" fontId="213" fillId="42" borderId="0" xfId="0" applyFont="1" applyFill="1" applyAlignment="1">
      <alignment vertical="center"/>
    </xf>
    <xf numFmtId="0" fontId="261" fillId="42" borderId="0" xfId="0" applyFont="1" applyFill="1" applyAlignment="1">
      <alignment horizontal="center" vertical="center" wrapText="1"/>
    </xf>
    <xf numFmtId="0" fontId="213" fillId="62" borderId="0" xfId="0" applyFont="1" applyFill="1" applyAlignment="1">
      <alignment vertical="center"/>
    </xf>
    <xf numFmtId="0" fontId="119" fillId="31" borderId="0" xfId="0" applyFont="1" applyFill="1" applyAlignment="1">
      <alignment vertical="center"/>
    </xf>
    <xf numFmtId="0" fontId="201" fillId="31" borderId="0" xfId="1" applyFont="1" applyFill="1" applyBorder="1" applyAlignment="1" applyProtection="1">
      <alignment vertical="center"/>
      <protection hidden="1"/>
    </xf>
    <xf numFmtId="0" fontId="225" fillId="31" borderId="0" xfId="1" applyFont="1" applyFill="1" applyBorder="1" applyAlignment="1" applyProtection="1">
      <alignment vertical="center"/>
      <protection hidden="1"/>
    </xf>
    <xf numFmtId="0" fontId="225" fillId="31" borderId="0" xfId="0" applyFont="1" applyFill="1" applyAlignment="1">
      <alignment vertical="center" wrapText="1"/>
    </xf>
    <xf numFmtId="0" fontId="220" fillId="31" borderId="0" xfId="0" applyFont="1" applyFill="1" applyAlignment="1">
      <alignment horizontal="left" vertical="center" wrapText="1"/>
    </xf>
    <xf numFmtId="0" fontId="221" fillId="31" borderId="0" xfId="0" applyFont="1" applyFill="1" applyAlignment="1">
      <alignment vertical="center" wrapText="1"/>
    </xf>
    <xf numFmtId="0" fontId="179" fillId="31" borderId="0" xfId="0" applyFont="1" applyFill="1"/>
    <xf numFmtId="0" fontId="415" fillId="31" borderId="0" xfId="0" applyFont="1" applyFill="1" applyAlignment="1">
      <alignment vertical="center"/>
    </xf>
    <xf numFmtId="0" fontId="277" fillId="31" borderId="0" xfId="0" applyFont="1" applyFill="1"/>
    <xf numFmtId="0" fontId="0" fillId="31" borderId="0" xfId="0" applyFill="1" applyAlignment="1">
      <alignment horizontal="center"/>
    </xf>
    <xf numFmtId="0" fontId="202" fillId="31" borderId="0" xfId="0" applyFont="1" applyFill="1" applyAlignment="1">
      <alignment horizontal="center" vertical="center" wrapText="1"/>
    </xf>
    <xf numFmtId="0" fontId="202" fillId="31" borderId="0" xfId="0" applyFont="1" applyFill="1" applyAlignment="1">
      <alignment vertical="center" wrapText="1"/>
    </xf>
    <xf numFmtId="0" fontId="288" fillId="31" borderId="0" xfId="0" applyFont="1" applyFill="1" applyAlignment="1">
      <alignment vertical="center"/>
    </xf>
    <xf numFmtId="0" fontId="338" fillId="31" borderId="0" xfId="0" applyFont="1" applyFill="1" applyAlignment="1">
      <alignment vertical="center"/>
    </xf>
    <xf numFmtId="0" fontId="213" fillId="31" borderId="0" xfId="0" applyFont="1" applyFill="1"/>
    <xf numFmtId="17" fontId="219" fillId="31" borderId="0" xfId="0" applyNumberFormat="1" applyFont="1" applyFill="1" applyAlignment="1" applyProtection="1">
      <alignment horizontal="center" vertical="center"/>
      <protection hidden="1"/>
    </xf>
    <xf numFmtId="0" fontId="220" fillId="31" borderId="0" xfId="0" applyFont="1" applyFill="1" applyAlignment="1">
      <alignment vertical="center" wrapText="1"/>
    </xf>
    <xf numFmtId="0" fontId="223" fillId="31" borderId="0" xfId="0" applyFont="1" applyFill="1" applyAlignment="1">
      <alignment horizontal="left" vertical="center" wrapText="1"/>
    </xf>
    <xf numFmtId="17" fontId="222" fillId="31" borderId="0" xfId="0" applyNumberFormat="1" applyFont="1" applyFill="1" applyAlignment="1" applyProtection="1">
      <alignment horizontal="center" vertical="center"/>
      <protection hidden="1"/>
    </xf>
    <xf numFmtId="0" fontId="223" fillId="31" borderId="0" xfId="0" applyFont="1" applyFill="1" applyAlignment="1">
      <alignment horizontal="left" vertical="top" wrapText="1"/>
    </xf>
    <xf numFmtId="0" fontId="224" fillId="31" borderId="0" xfId="0" applyFont="1" applyFill="1" applyAlignment="1" applyProtection="1">
      <alignment vertical="center" wrapText="1"/>
      <protection hidden="1"/>
    </xf>
    <xf numFmtId="0" fontId="247" fillId="31" borderId="0" xfId="0" applyFont="1" applyFill="1" applyAlignment="1">
      <alignment wrapText="1"/>
    </xf>
    <xf numFmtId="0" fontId="247" fillId="63" borderId="444" xfId="0" applyFont="1" applyFill="1" applyBorder="1" applyAlignment="1">
      <alignment wrapText="1"/>
    </xf>
    <xf numFmtId="0" fontId="169" fillId="42" borderId="0" xfId="0" applyFont="1" applyFill="1"/>
    <xf numFmtId="0" fontId="261" fillId="42" borderId="445" xfId="0" applyFont="1" applyFill="1" applyBorder="1" applyAlignment="1">
      <alignment horizontal="center" vertical="center" wrapText="1"/>
    </xf>
    <xf numFmtId="0" fontId="169" fillId="42" borderId="445" xfId="0" applyFont="1" applyFill="1" applyBorder="1"/>
    <xf numFmtId="0" fontId="119" fillId="42" borderId="445" xfId="0" applyFont="1" applyFill="1" applyBorder="1" applyAlignment="1">
      <alignment vertical="center"/>
    </xf>
    <xf numFmtId="0" fontId="119" fillId="42" borderId="446" xfId="0" applyFont="1" applyFill="1" applyBorder="1" applyAlignment="1">
      <alignment vertical="center"/>
    </xf>
    <xf numFmtId="0" fontId="213" fillId="31" borderId="0" xfId="0" applyFont="1" applyFill="1" applyAlignment="1">
      <alignment horizontal="center" vertical="center"/>
    </xf>
    <xf numFmtId="0" fontId="176" fillId="33" borderId="0" xfId="0" applyFont="1" applyFill="1"/>
    <xf numFmtId="0" fontId="264" fillId="33" borderId="0" xfId="0" applyFont="1" applyFill="1"/>
    <xf numFmtId="164" fontId="144" fillId="33" borderId="89" xfId="0" applyNumberFormat="1" applyFont="1" applyFill="1" applyBorder="1" applyAlignment="1">
      <alignment vertical="center"/>
    </xf>
    <xf numFmtId="164" fontId="144" fillId="33" borderId="90" xfId="0" applyNumberFormat="1" applyFont="1" applyFill="1" applyBorder="1" applyAlignment="1">
      <alignment vertical="center"/>
    </xf>
    <xf numFmtId="3" fontId="144" fillId="33" borderId="90" xfId="0" applyNumberFormat="1" applyFont="1" applyFill="1" applyBorder="1" applyAlignment="1">
      <alignment vertical="center"/>
    </xf>
    <xf numFmtId="0" fontId="144" fillId="33" borderId="90" xfId="0" applyFont="1" applyFill="1" applyBorder="1" applyAlignment="1">
      <alignment vertical="center"/>
    </xf>
    <xf numFmtId="1" fontId="144" fillId="33" borderId="90" xfId="0" applyNumberFormat="1" applyFont="1" applyFill="1" applyBorder="1"/>
    <xf numFmtId="3" fontId="0" fillId="33" borderId="90" xfId="0" applyNumberFormat="1" applyFill="1" applyBorder="1" applyAlignment="1">
      <alignment horizontal="right" vertical="center"/>
    </xf>
    <xf numFmtId="0" fontId="0" fillId="33" borderId="91" xfId="0" applyFill="1" applyBorder="1" applyAlignment="1">
      <alignment horizontal="right" vertical="center"/>
    </xf>
    <xf numFmtId="0" fontId="144" fillId="33" borderId="92" xfId="0" applyFont="1" applyFill="1" applyBorder="1" applyAlignment="1">
      <alignment horizontal="center" vertical="center"/>
    </xf>
    <xf numFmtId="0" fontId="144" fillId="33" borderId="93" xfId="0" applyFont="1" applyFill="1" applyBorder="1" applyAlignment="1">
      <alignment horizontal="center" vertical="center"/>
    </xf>
    <xf numFmtId="0" fontId="144" fillId="33" borderId="94" xfId="0" applyFont="1" applyFill="1" applyBorder="1" applyAlignment="1">
      <alignment horizontal="center" vertical="center"/>
    </xf>
    <xf numFmtId="180" fontId="0" fillId="0" borderId="0" xfId="0" applyNumberFormat="1"/>
    <xf numFmtId="0" fontId="198" fillId="33" borderId="0" xfId="0" applyFont="1" applyFill="1" applyAlignment="1" applyProtection="1">
      <alignment horizontal="center" vertical="center"/>
      <protection hidden="1"/>
    </xf>
    <xf numFmtId="0" fontId="0" fillId="39" borderId="226" xfId="0" applyFill="1" applyBorder="1"/>
    <xf numFmtId="0" fontId="4" fillId="66" borderId="0" xfId="0" applyFont="1" applyFill="1" applyProtection="1">
      <protection hidden="1"/>
    </xf>
    <xf numFmtId="0" fontId="4" fillId="66" borderId="219" xfId="0" applyFont="1" applyFill="1" applyBorder="1" applyProtection="1">
      <protection hidden="1"/>
    </xf>
    <xf numFmtId="0" fontId="0" fillId="33" borderId="429" xfId="0" applyFill="1" applyBorder="1" applyAlignment="1">
      <alignment horizontal="center"/>
    </xf>
    <xf numFmtId="0" fontId="0" fillId="33" borderId="434" xfId="0" applyFill="1" applyBorder="1" applyAlignment="1">
      <alignment horizontal="center"/>
    </xf>
    <xf numFmtId="0" fontId="139" fillId="66" borderId="77" xfId="0" applyFont="1" applyFill="1" applyBorder="1"/>
    <xf numFmtId="0" fontId="139" fillId="66" borderId="75" xfId="0" applyFont="1" applyFill="1" applyBorder="1"/>
    <xf numFmtId="0" fontId="266" fillId="66" borderId="223" xfId="0" applyFont="1" applyFill="1" applyBorder="1" applyProtection="1">
      <protection hidden="1"/>
    </xf>
    <xf numFmtId="0" fontId="169" fillId="91" borderId="467" xfId="0" applyFont="1" applyFill="1" applyBorder="1"/>
    <xf numFmtId="0" fontId="204" fillId="91" borderId="222" xfId="0" applyFont="1" applyFill="1" applyBorder="1" applyAlignment="1">
      <alignment horizontal="center"/>
    </xf>
    <xf numFmtId="0" fontId="253" fillId="91" borderId="222" xfId="0" applyFont="1" applyFill="1" applyBorder="1" applyAlignment="1" applyProtection="1">
      <alignment vertical="center"/>
      <protection hidden="1"/>
    </xf>
    <xf numFmtId="0" fontId="265" fillId="91" borderId="222" xfId="0" applyFont="1" applyFill="1" applyBorder="1" applyProtection="1">
      <protection hidden="1"/>
    </xf>
    <xf numFmtId="0" fontId="4" fillId="91" borderId="218" xfId="0" applyFont="1" applyFill="1" applyBorder="1" applyProtection="1">
      <protection hidden="1"/>
    </xf>
    <xf numFmtId="0" fontId="266" fillId="33" borderId="468" xfId="0" applyFont="1" applyFill="1" applyBorder="1" applyProtection="1">
      <protection hidden="1"/>
    </xf>
    <xf numFmtId="0" fontId="266" fillId="33" borderId="326" xfId="0" applyFont="1" applyFill="1" applyBorder="1" applyProtection="1">
      <protection hidden="1"/>
    </xf>
    <xf numFmtId="0" fontId="0" fillId="31" borderId="124" xfId="0" applyFill="1" applyBorder="1" applyAlignment="1">
      <alignment horizontal="center"/>
    </xf>
    <xf numFmtId="0" fontId="198" fillId="31" borderId="0" xfId="0" applyFont="1" applyFill="1" applyAlignment="1" applyProtection="1">
      <alignment horizontal="center" vertical="center"/>
      <protection hidden="1"/>
    </xf>
    <xf numFmtId="166" fontId="211" fillId="33" borderId="77" xfId="0" applyNumberFormat="1" applyFont="1" applyFill="1" applyBorder="1" applyAlignment="1">
      <alignment horizontal="center"/>
    </xf>
    <xf numFmtId="166" fontId="211" fillId="33" borderId="0" xfId="0" applyNumberFormat="1" applyFont="1" applyFill="1" applyAlignment="1">
      <alignment horizontal="center"/>
    </xf>
    <xf numFmtId="0" fontId="215" fillId="33" borderId="75" xfId="0" applyFont="1" applyFill="1" applyBorder="1" applyAlignment="1">
      <alignment horizontal="center" vertical="center"/>
    </xf>
    <xf numFmtId="0" fontId="228" fillId="31" borderId="0" xfId="0" applyFont="1" applyFill="1"/>
    <xf numFmtId="0" fontId="228" fillId="31" borderId="0" xfId="0" applyFont="1" applyFill="1" applyAlignment="1">
      <alignment vertical="center"/>
    </xf>
    <xf numFmtId="0" fontId="251" fillId="61" borderId="318" xfId="0" applyFont="1" applyFill="1" applyBorder="1" applyAlignment="1">
      <alignment vertical="center" wrapText="1"/>
    </xf>
    <xf numFmtId="0" fontId="251" fillId="61" borderId="319" xfId="0" applyFont="1" applyFill="1" applyBorder="1" applyAlignment="1">
      <alignment vertical="center" wrapText="1"/>
    </xf>
    <xf numFmtId="0" fontId="251" fillId="61" borderId="320" xfId="0" applyFont="1" applyFill="1" applyBorder="1" applyAlignment="1">
      <alignment vertical="center" wrapText="1"/>
    </xf>
    <xf numFmtId="0" fontId="168" fillId="50" borderId="0" xfId="0" applyFont="1" applyFill="1"/>
    <xf numFmtId="0" fontId="169" fillId="50" borderId="0" xfId="0" applyFont="1" applyFill="1"/>
    <xf numFmtId="0" fontId="176" fillId="50" borderId="0" xfId="0" applyFont="1" applyFill="1"/>
    <xf numFmtId="1" fontId="176" fillId="50" borderId="0" xfId="0" applyNumberFormat="1" applyFont="1" applyFill="1" applyAlignment="1">
      <alignment horizontal="center"/>
    </xf>
    <xf numFmtId="0" fontId="258" fillId="50" borderId="0" xfId="0" applyFont="1" applyFill="1" applyAlignment="1" applyProtection="1">
      <alignment vertical="center"/>
      <protection hidden="1"/>
    </xf>
    <xf numFmtId="0" fontId="156" fillId="33" borderId="428" xfId="0" applyFont="1" applyFill="1" applyBorder="1" applyAlignment="1">
      <alignment vertical="center"/>
    </xf>
    <xf numFmtId="0" fontId="156" fillId="33" borderId="0" xfId="0" applyFont="1" applyFill="1" applyAlignment="1">
      <alignment vertical="center"/>
    </xf>
    <xf numFmtId="0" fontId="0" fillId="33" borderId="430" xfId="0" applyFill="1" applyBorder="1"/>
    <xf numFmtId="0" fontId="0" fillId="33" borderId="431" xfId="0" applyFill="1" applyBorder="1"/>
    <xf numFmtId="0" fontId="0" fillId="33" borderId="432" xfId="0" applyFill="1" applyBorder="1"/>
    <xf numFmtId="0" fontId="214" fillId="4" borderId="433" xfId="0" applyFont="1" applyFill="1" applyBorder="1"/>
    <xf numFmtId="0" fontId="214" fillId="4" borderId="0" xfId="0" applyFont="1" applyFill="1"/>
    <xf numFmtId="0" fontId="214" fillId="4" borderId="434" xfId="0" applyFont="1" applyFill="1" applyBorder="1"/>
    <xf numFmtId="0" fontId="454" fillId="4" borderId="433" xfId="0" applyFont="1" applyFill="1" applyBorder="1" applyAlignment="1">
      <alignment vertical="center"/>
    </xf>
    <xf numFmtId="0" fontId="454" fillId="4" borderId="0" xfId="0" applyFont="1" applyFill="1" applyAlignment="1">
      <alignment vertical="center"/>
    </xf>
    <xf numFmtId="0" fontId="454" fillId="4" borderId="434" xfId="0" applyFont="1" applyFill="1" applyBorder="1" applyAlignment="1">
      <alignment vertical="center"/>
    </xf>
    <xf numFmtId="0" fontId="214" fillId="4" borderId="430" xfId="0" applyFont="1" applyFill="1" applyBorder="1" applyAlignment="1">
      <alignment horizontal="center" vertical="center"/>
    </xf>
    <xf numFmtId="0" fontId="214" fillId="4" borderId="431" xfId="0" applyFont="1" applyFill="1" applyBorder="1" applyAlignment="1">
      <alignment horizontal="center" vertical="center"/>
    </xf>
    <xf numFmtId="0" fontId="214" fillId="4" borderId="432" xfId="0" applyFont="1" applyFill="1" applyBorder="1"/>
    <xf numFmtId="0" fontId="415" fillId="41" borderId="427" xfId="0" applyFont="1" applyFill="1" applyBorder="1" applyAlignment="1">
      <alignment vertical="center"/>
    </xf>
    <xf numFmtId="0" fontId="415" fillId="41" borderId="428" xfId="0" applyFont="1" applyFill="1" applyBorder="1" applyAlignment="1">
      <alignment vertical="center"/>
    </xf>
    <xf numFmtId="0" fontId="415" fillId="41" borderId="429" xfId="0" applyFont="1" applyFill="1" applyBorder="1" applyAlignment="1">
      <alignment vertical="center"/>
    </xf>
    <xf numFmtId="0" fontId="415" fillId="41" borderId="430" xfId="0" applyFont="1" applyFill="1" applyBorder="1" applyAlignment="1">
      <alignment vertical="center"/>
    </xf>
    <xf numFmtId="0" fontId="415" fillId="41" borderId="431" xfId="0" applyFont="1" applyFill="1" applyBorder="1" applyAlignment="1">
      <alignment vertical="center"/>
    </xf>
    <xf numFmtId="0" fontId="415" fillId="41" borderId="432" xfId="0" applyFont="1" applyFill="1" applyBorder="1" applyAlignment="1">
      <alignment vertical="center"/>
    </xf>
    <xf numFmtId="0" fontId="202" fillId="33" borderId="0" xfId="0" applyFont="1" applyFill="1" applyAlignment="1">
      <alignment vertical="center" wrapText="1"/>
    </xf>
    <xf numFmtId="0" fontId="288" fillId="33" borderId="0" xfId="0" applyFont="1" applyFill="1" applyAlignment="1">
      <alignment vertical="center"/>
    </xf>
    <xf numFmtId="0" fontId="203" fillId="33" borderId="0" xfId="0" applyFont="1" applyFill="1" applyAlignment="1">
      <alignment horizontal="center"/>
    </xf>
    <xf numFmtId="0" fontId="213" fillId="33" borderId="0" xfId="0" applyFont="1" applyFill="1"/>
    <xf numFmtId="0" fontId="205" fillId="33" borderId="0" xfId="0" applyFont="1" applyFill="1"/>
    <xf numFmtId="0" fontId="204" fillId="33" borderId="0" xfId="0" applyFont="1" applyFill="1"/>
    <xf numFmtId="0" fontId="233" fillId="0" borderId="22" xfId="0" applyFont="1" applyBorder="1" applyAlignment="1">
      <alignment horizontal="center" vertical="center"/>
    </xf>
    <xf numFmtId="0" fontId="144" fillId="0" borderId="12" xfId="0" applyFont="1" applyBorder="1" applyAlignment="1">
      <alignment horizontal="center"/>
    </xf>
    <xf numFmtId="0" fontId="44" fillId="18" borderId="321" xfId="0" applyFont="1" applyFill="1" applyBorder="1" applyAlignment="1">
      <alignment horizontal="center" vertical="center"/>
    </xf>
    <xf numFmtId="0" fontId="233" fillId="7" borderId="321" xfId="0" applyFont="1" applyFill="1" applyBorder="1" applyAlignment="1">
      <alignment horizontal="center" vertical="center"/>
    </xf>
    <xf numFmtId="0" fontId="218" fillId="4" borderId="321" xfId="0" applyFont="1" applyFill="1" applyBorder="1" applyAlignment="1">
      <alignment horizontal="center"/>
    </xf>
    <xf numFmtId="166" fontId="233" fillId="8" borderId="321" xfId="0" applyNumberFormat="1" applyFont="1" applyFill="1" applyBorder="1" applyAlignment="1">
      <alignment horizontal="center" vertical="center"/>
    </xf>
    <xf numFmtId="0" fontId="233" fillId="11" borderId="321" xfId="0" applyFont="1" applyFill="1" applyBorder="1" applyAlignment="1">
      <alignment horizontal="center" vertical="center"/>
    </xf>
    <xf numFmtId="166" fontId="218" fillId="16" borderId="321" xfId="0" applyNumberFormat="1" applyFont="1" applyFill="1" applyBorder="1" applyAlignment="1">
      <alignment horizontal="center" vertical="center"/>
    </xf>
    <xf numFmtId="166" fontId="218" fillId="6" borderId="321" xfId="0" applyNumberFormat="1" applyFont="1" applyFill="1" applyBorder="1" applyAlignment="1">
      <alignment horizontal="center" vertical="center"/>
    </xf>
    <xf numFmtId="0" fontId="233" fillId="16" borderId="321" xfId="0" applyFont="1" applyFill="1" applyBorder="1" applyAlignment="1">
      <alignment horizontal="center" vertical="center"/>
    </xf>
    <xf numFmtId="0" fontId="218" fillId="2" borderId="321" xfId="0" applyFont="1" applyFill="1" applyBorder="1" applyAlignment="1">
      <alignment horizontal="center" vertical="center"/>
    </xf>
    <xf numFmtId="0" fontId="261" fillId="0" borderId="321" xfId="0" applyFont="1" applyBorder="1" applyAlignment="1">
      <alignment horizontal="center"/>
    </xf>
    <xf numFmtId="0" fontId="280" fillId="50" borderId="12" xfId="0" applyFont="1" applyFill="1" applyBorder="1" applyAlignment="1">
      <alignment horizontal="center"/>
    </xf>
    <xf numFmtId="0" fontId="280" fillId="0" borderId="260" xfId="0" applyFont="1" applyBorder="1" applyAlignment="1">
      <alignment horizontal="center"/>
    </xf>
    <xf numFmtId="166" fontId="261" fillId="0" borderId="260" xfId="0" applyNumberFormat="1" applyFont="1" applyBorder="1" applyAlignment="1">
      <alignment horizontal="center"/>
    </xf>
    <xf numFmtId="0" fontId="280" fillId="0" borderId="0" xfId="0" applyFont="1" applyAlignment="1">
      <alignment horizontal="center"/>
    </xf>
    <xf numFmtId="0" fontId="280" fillId="0" borderId="260" xfId="0" applyFont="1" applyBorder="1"/>
    <xf numFmtId="0" fontId="280" fillId="0" borderId="0" xfId="0" applyFont="1"/>
    <xf numFmtId="166" fontId="261" fillId="0" borderId="261" xfId="0" applyNumberFormat="1" applyFont="1" applyBorder="1" applyAlignment="1">
      <alignment horizontal="center"/>
    </xf>
    <xf numFmtId="0" fontId="261" fillId="0" borderId="260" xfId="0" applyFont="1" applyBorder="1" applyAlignment="1">
      <alignment horizontal="center"/>
    </xf>
    <xf numFmtId="0" fontId="88" fillId="0" borderId="260" xfId="0" applyFont="1" applyBorder="1" applyAlignment="1">
      <alignment horizontal="center"/>
    </xf>
    <xf numFmtId="0" fontId="88" fillId="0" borderId="260" xfId="0" applyFont="1" applyBorder="1" applyAlignment="1">
      <alignment horizontal="center" vertical="center"/>
    </xf>
    <xf numFmtId="0" fontId="88" fillId="0" borderId="0" xfId="0" applyFont="1" applyAlignment="1">
      <alignment horizontal="center"/>
    </xf>
    <xf numFmtId="0" fontId="88" fillId="0" borderId="0" xfId="0" applyFont="1" applyAlignment="1">
      <alignment horizontal="center" vertical="center"/>
    </xf>
    <xf numFmtId="0" fontId="233" fillId="0" borderId="260" xfId="0" applyFont="1" applyBorder="1" applyAlignment="1">
      <alignment horizontal="center" vertical="center"/>
    </xf>
    <xf numFmtId="9" fontId="321" fillId="0" borderId="260" xfId="0" applyNumberFormat="1" applyFont="1" applyBorder="1" applyAlignment="1">
      <alignment horizontal="center"/>
    </xf>
    <xf numFmtId="0" fontId="233" fillId="0" borderId="260" xfId="0" applyFont="1" applyBorder="1" applyAlignment="1">
      <alignment horizontal="center"/>
    </xf>
    <xf numFmtId="9" fontId="233" fillId="0" borderId="260" xfId="0" applyNumberFormat="1" applyFont="1" applyBorder="1" applyAlignment="1">
      <alignment horizontal="center"/>
    </xf>
    <xf numFmtId="9" fontId="321" fillId="0" borderId="0" xfId="0" applyNumberFormat="1" applyFont="1" applyAlignment="1">
      <alignment horizontal="center"/>
    </xf>
    <xf numFmtId="9" fontId="233" fillId="0" borderId="0" xfId="0" applyNumberFormat="1" applyFont="1" applyAlignment="1">
      <alignment horizontal="center"/>
    </xf>
    <xf numFmtId="0" fontId="233" fillId="49" borderId="12" xfId="0" applyFont="1" applyFill="1" applyBorder="1" applyAlignment="1">
      <alignment horizontal="center"/>
    </xf>
    <xf numFmtId="0" fontId="266" fillId="2" borderId="321" xfId="0" applyFont="1" applyFill="1" applyBorder="1" applyAlignment="1">
      <alignment horizontal="center"/>
    </xf>
    <xf numFmtId="0" fontId="233" fillId="36" borderId="12" xfId="0" applyFont="1" applyFill="1" applyBorder="1" applyAlignment="1">
      <alignment horizontal="center"/>
    </xf>
    <xf numFmtId="0" fontId="142" fillId="18" borderId="261" xfId="0" applyFont="1" applyFill="1" applyBorder="1"/>
    <xf numFmtId="0" fontId="142" fillId="7" borderId="1" xfId="0" applyFont="1" applyFill="1" applyBorder="1"/>
    <xf numFmtId="0" fontId="142" fillId="4" borderId="1" xfId="0" applyFont="1" applyFill="1" applyBorder="1"/>
    <xf numFmtId="0" fontId="142" fillId="16" borderId="1" xfId="0" applyFont="1" applyFill="1" applyBorder="1"/>
    <xf numFmtId="0" fontId="142" fillId="8" borderId="1" xfId="0" applyFont="1" applyFill="1" applyBorder="1"/>
    <xf numFmtId="0" fontId="142" fillId="2" borderId="1" xfId="0" applyFont="1" applyFill="1" applyBorder="1"/>
    <xf numFmtId="0" fontId="126" fillId="2" borderId="0" xfId="0" applyFont="1" applyFill="1" applyAlignment="1">
      <alignment vertical="center"/>
    </xf>
    <xf numFmtId="166" fontId="218" fillId="2" borderId="469" xfId="0" applyNumberFormat="1" applyFont="1" applyFill="1" applyBorder="1" applyAlignment="1">
      <alignment horizontal="center" vertical="center"/>
    </xf>
    <xf numFmtId="0" fontId="142" fillId="11" borderId="1" xfId="0" applyFont="1" applyFill="1" applyBorder="1"/>
    <xf numFmtId="166" fontId="218" fillId="16" borderId="469" xfId="0" applyNumberFormat="1" applyFont="1" applyFill="1" applyBorder="1" applyAlignment="1">
      <alignment horizontal="center" vertical="center"/>
    </xf>
    <xf numFmtId="0" fontId="233" fillId="18" borderId="321" xfId="0" applyFont="1" applyFill="1" applyBorder="1" applyAlignment="1">
      <alignment horizontal="center"/>
    </xf>
    <xf numFmtId="0" fontId="233" fillId="7" borderId="321" xfId="0" applyFont="1" applyFill="1" applyBorder="1" applyAlignment="1">
      <alignment horizontal="center"/>
    </xf>
    <xf numFmtId="0" fontId="233" fillId="8" borderId="321" xfId="0" applyFont="1" applyFill="1" applyBorder="1" applyAlignment="1">
      <alignment horizontal="center" vertical="center"/>
    </xf>
    <xf numFmtId="0" fontId="23" fillId="2" borderId="321" xfId="0" applyFont="1" applyFill="1" applyBorder="1" applyAlignment="1">
      <alignment horizontal="center" vertical="center"/>
    </xf>
    <xf numFmtId="0" fontId="218" fillId="16" borderId="321" xfId="0" applyFont="1" applyFill="1" applyBorder="1" applyAlignment="1">
      <alignment horizontal="center" vertical="center"/>
    </xf>
    <xf numFmtId="9" fontId="144" fillId="0" borderId="260" xfId="0" applyNumberFormat="1" applyFont="1" applyBorder="1" applyAlignment="1">
      <alignment horizontal="center"/>
    </xf>
    <xf numFmtId="0" fontId="316" fillId="0" borderId="260" xfId="0" applyFont="1" applyBorder="1" applyAlignment="1">
      <alignment horizontal="center" vertical="center"/>
    </xf>
    <xf numFmtId="0" fontId="144" fillId="0" borderId="260" xfId="0" applyFont="1" applyBorder="1" applyAlignment="1">
      <alignment horizontal="center"/>
    </xf>
    <xf numFmtId="9" fontId="144" fillId="0" borderId="0" xfId="0" applyNumberFormat="1" applyFont="1" applyAlignment="1">
      <alignment horizontal="center"/>
    </xf>
    <xf numFmtId="0" fontId="316" fillId="0" borderId="0" xfId="0" applyFont="1" applyAlignment="1">
      <alignment horizontal="center" vertical="center"/>
    </xf>
    <xf numFmtId="0" fontId="144" fillId="0" borderId="0" xfId="0" applyFont="1" applyAlignment="1">
      <alignment horizontal="center"/>
    </xf>
    <xf numFmtId="9" fontId="316" fillId="0" borderId="12" xfId="0" applyNumberFormat="1" applyFont="1" applyBorder="1" applyAlignment="1">
      <alignment horizontal="center" vertical="center"/>
    </xf>
    <xf numFmtId="0" fontId="323" fillId="32" borderId="298" xfId="0" applyFont="1" applyFill="1" applyBorder="1" applyAlignment="1">
      <alignment horizontal="center" vertical="center"/>
    </xf>
    <xf numFmtId="0" fontId="318" fillId="33" borderId="0" xfId="0" applyFont="1" applyFill="1"/>
    <xf numFmtId="0" fontId="140" fillId="50" borderId="260" xfId="0" applyFont="1" applyFill="1" applyBorder="1" applyAlignment="1">
      <alignment horizontal="center"/>
    </xf>
    <xf numFmtId="0" fontId="140" fillId="50" borderId="0" xfId="0" applyFont="1" applyFill="1" applyAlignment="1">
      <alignment horizontal="center"/>
    </xf>
    <xf numFmtId="0" fontId="328" fillId="34" borderId="0" xfId="0" applyFont="1" applyFill="1"/>
    <xf numFmtId="0" fontId="328" fillId="0" borderId="0" xfId="0" applyFont="1" applyAlignment="1">
      <alignment horizontal="center"/>
    </xf>
    <xf numFmtId="0" fontId="10" fillId="7" borderId="321" xfId="0" applyFont="1" applyFill="1" applyBorder="1" applyAlignment="1">
      <alignment horizontal="center" vertical="center"/>
    </xf>
    <xf numFmtId="0" fontId="142" fillId="32" borderId="0" xfId="0" applyFont="1" applyFill="1"/>
    <xf numFmtId="0" fontId="142" fillId="87" borderId="0" xfId="0" applyFont="1" applyFill="1"/>
    <xf numFmtId="0" fontId="247" fillId="87" borderId="0" xfId="0" applyFont="1" applyFill="1" applyAlignment="1">
      <alignment horizontal="center" vertical="center"/>
    </xf>
    <xf numFmtId="166" fontId="247" fillId="87" borderId="0" xfId="0" applyNumberFormat="1" applyFont="1" applyFill="1" applyAlignment="1">
      <alignment horizontal="center" vertical="center"/>
    </xf>
    <xf numFmtId="0" fontId="261" fillId="87" borderId="0" xfId="0" applyFont="1" applyFill="1" applyAlignment="1">
      <alignment horizontal="center" vertical="center"/>
    </xf>
    <xf numFmtId="0" fontId="142" fillId="77" borderId="0" xfId="0" applyFont="1" applyFill="1"/>
    <xf numFmtId="0" fontId="144" fillId="77" borderId="0" xfId="0" applyFont="1" applyFill="1" applyAlignment="1">
      <alignment horizontal="center" vertical="center"/>
    </xf>
    <xf numFmtId="0" fontId="0" fillId="77" borderId="0" xfId="0" applyFill="1" applyAlignment="1">
      <alignment horizontal="center" vertical="center"/>
    </xf>
    <xf numFmtId="0" fontId="233" fillId="77" borderId="0" xfId="0" applyFont="1" applyFill="1" applyAlignment="1">
      <alignment horizontal="center"/>
    </xf>
    <xf numFmtId="166" fontId="261" fillId="77" borderId="0" xfId="0" applyNumberFormat="1" applyFont="1" applyFill="1" applyAlignment="1">
      <alignment horizontal="center"/>
    </xf>
    <xf numFmtId="0" fontId="144" fillId="32" borderId="0" xfId="0" applyFont="1" applyFill="1" applyAlignment="1">
      <alignment horizontal="center" vertical="center"/>
    </xf>
    <xf numFmtId="0" fontId="233" fillId="32" borderId="0" xfId="0" applyFont="1" applyFill="1" applyAlignment="1">
      <alignment horizontal="center"/>
    </xf>
    <xf numFmtId="166" fontId="261" fillId="32" borderId="0" xfId="0" applyNumberFormat="1" applyFont="1" applyFill="1" applyAlignment="1">
      <alignment horizontal="center"/>
    </xf>
    <xf numFmtId="0" fontId="88" fillId="18" borderId="321" xfId="0" applyFont="1" applyFill="1" applyBorder="1" applyAlignment="1">
      <alignment horizontal="center" vertical="center"/>
    </xf>
    <xf numFmtId="0" fontId="88" fillId="7" borderId="321" xfId="0" applyFont="1" applyFill="1" applyBorder="1" applyAlignment="1">
      <alignment horizontal="center" vertical="center"/>
    </xf>
    <xf numFmtId="0" fontId="126" fillId="4" borderId="321" xfId="0" applyFont="1" applyFill="1" applyBorder="1" applyAlignment="1">
      <alignment horizontal="center" vertical="center"/>
    </xf>
    <xf numFmtId="0" fontId="328" fillId="44" borderId="321" xfId="0" applyFont="1" applyFill="1" applyBorder="1" applyAlignment="1">
      <alignment horizontal="center" vertical="center"/>
    </xf>
    <xf numFmtId="0" fontId="126" fillId="16" borderId="0" xfId="0" applyFont="1" applyFill="1" applyAlignment="1">
      <alignment horizontal="center" vertical="center"/>
    </xf>
    <xf numFmtId="0" fontId="88" fillId="87" borderId="0" xfId="0" applyFont="1" applyFill="1" applyAlignment="1">
      <alignment horizontal="center"/>
    </xf>
    <xf numFmtId="0" fontId="88" fillId="6" borderId="0" xfId="0" applyFont="1" applyFill="1" applyAlignment="1">
      <alignment horizontal="center" vertical="center"/>
    </xf>
    <xf numFmtId="0" fontId="88" fillId="32" borderId="0" xfId="0" applyFont="1" applyFill="1"/>
    <xf numFmtId="0" fontId="126" fillId="0" borderId="0" xfId="0" applyFont="1" applyAlignment="1">
      <alignment vertical="center"/>
    </xf>
    <xf numFmtId="0" fontId="328" fillId="44" borderId="470" xfId="0" applyFont="1" applyFill="1" applyBorder="1" applyAlignment="1">
      <alignment horizontal="center" vertical="center"/>
    </xf>
    <xf numFmtId="0" fontId="88" fillId="87" borderId="470" xfId="0" applyFont="1" applyFill="1" applyBorder="1" applyAlignment="1">
      <alignment horizontal="center" vertical="center"/>
    </xf>
    <xf numFmtId="0" fontId="88" fillId="32" borderId="354" xfId="0" applyFont="1" applyFill="1" applyBorder="1"/>
    <xf numFmtId="0" fontId="0" fillId="7" borderId="321" xfId="0" applyFill="1" applyBorder="1"/>
    <xf numFmtId="0" fontId="328" fillId="7" borderId="321" xfId="0" applyFont="1" applyFill="1" applyBorder="1" applyAlignment="1">
      <alignment horizontal="center" vertical="center"/>
    </xf>
    <xf numFmtId="0" fontId="233" fillId="22" borderId="321" xfId="0" applyFont="1" applyFill="1" applyBorder="1" applyAlignment="1">
      <alignment horizontal="center" vertical="center"/>
    </xf>
    <xf numFmtId="0" fontId="126" fillId="69" borderId="321" xfId="0" applyFont="1" applyFill="1" applyBorder="1" applyAlignment="1">
      <alignment vertical="center"/>
    </xf>
    <xf numFmtId="0" fontId="328" fillId="69" borderId="321" xfId="0" applyFont="1" applyFill="1" applyBorder="1"/>
    <xf numFmtId="0" fontId="328" fillId="0" borderId="321" xfId="0" applyFont="1" applyBorder="1" applyAlignment="1">
      <alignment horizontal="center"/>
    </xf>
    <xf numFmtId="0" fontId="322" fillId="2" borderId="0" xfId="0" applyFont="1" applyFill="1" applyAlignment="1">
      <alignment horizontal="center" vertical="center"/>
    </xf>
    <xf numFmtId="0" fontId="328" fillId="0" borderId="321" xfId="0" applyFont="1" applyBorder="1" applyAlignment="1">
      <alignment horizontal="center" vertical="center"/>
    </xf>
    <xf numFmtId="0" fontId="328" fillId="37" borderId="0" xfId="0" applyFont="1" applyFill="1" applyAlignment="1">
      <alignment horizontal="center" vertical="center"/>
    </xf>
    <xf numFmtId="0" fontId="328" fillId="56" borderId="321" xfId="0" applyFont="1" applyFill="1" applyBorder="1" applyAlignment="1">
      <alignment horizontal="center"/>
    </xf>
    <xf numFmtId="0" fontId="321" fillId="50" borderId="321" xfId="0" applyFont="1" applyFill="1" applyBorder="1" applyAlignment="1">
      <alignment horizontal="center" vertical="center"/>
    </xf>
    <xf numFmtId="15" fontId="321" fillId="50" borderId="321" xfId="0" applyNumberFormat="1" applyFont="1" applyFill="1" applyBorder="1" applyAlignment="1">
      <alignment horizontal="center" vertical="center"/>
    </xf>
    <xf numFmtId="0" fontId="45" fillId="17" borderId="321" xfId="0" applyFont="1" applyFill="1" applyBorder="1" applyAlignment="1">
      <alignment horizontal="center" vertical="center"/>
    </xf>
    <xf numFmtId="166" fontId="45" fillId="17" borderId="321" xfId="0" applyNumberFormat="1" applyFont="1" applyFill="1" applyBorder="1" applyAlignment="1">
      <alignment horizontal="center" vertical="center"/>
    </xf>
    <xf numFmtId="0" fontId="0" fillId="17" borderId="321" xfId="0" applyFill="1" applyBorder="1" applyAlignment="1">
      <alignment horizontal="center" vertical="center"/>
    </xf>
    <xf numFmtId="166" fontId="23" fillId="4" borderId="0" xfId="0" applyNumberFormat="1" applyFont="1" applyFill="1" applyAlignment="1">
      <alignment horizontal="center" vertical="center"/>
    </xf>
    <xf numFmtId="176" fontId="321" fillId="34" borderId="321" xfId="0" applyNumberFormat="1" applyFont="1" applyFill="1" applyBorder="1" applyAlignment="1">
      <alignment horizontal="center" vertical="center"/>
    </xf>
    <xf numFmtId="0" fontId="88" fillId="77" borderId="0" xfId="0" applyFont="1" applyFill="1" applyAlignment="1">
      <alignment horizontal="center"/>
    </xf>
    <xf numFmtId="0" fontId="322" fillId="2" borderId="401" xfId="0" applyFont="1" applyFill="1" applyBorder="1" applyAlignment="1">
      <alignment horizontal="center" vertical="center"/>
    </xf>
    <xf numFmtId="176" fontId="332" fillId="44" borderId="81" xfId="0" applyNumberFormat="1" applyFont="1" applyFill="1" applyBorder="1" applyAlignment="1">
      <alignment horizontal="center" vertical="center"/>
    </xf>
    <xf numFmtId="0" fontId="322" fillId="16" borderId="81" xfId="0" applyFont="1" applyFill="1" applyBorder="1" applyAlignment="1">
      <alignment horizontal="center" vertical="center"/>
    </xf>
    <xf numFmtId="0" fontId="322" fillId="6" borderId="81" xfId="0" applyFont="1" applyFill="1" applyBorder="1" applyAlignment="1">
      <alignment horizontal="center" vertical="center"/>
    </xf>
    <xf numFmtId="0" fontId="322" fillId="87" borderId="81" xfId="0" applyFont="1" applyFill="1" applyBorder="1" applyAlignment="1">
      <alignment horizontal="center" vertical="center"/>
    </xf>
    <xf numFmtId="0" fontId="322" fillId="77" borderId="81" xfId="0" applyFont="1" applyFill="1" applyBorder="1" applyAlignment="1">
      <alignment horizontal="center" vertical="center"/>
    </xf>
    <xf numFmtId="0" fontId="126" fillId="16" borderId="470" xfId="0" applyFont="1" applyFill="1" applyBorder="1" applyAlignment="1">
      <alignment horizontal="center" vertical="center"/>
    </xf>
    <xf numFmtId="0" fontId="322" fillId="2" borderId="470" xfId="0" applyFont="1" applyFill="1" applyBorder="1" applyAlignment="1">
      <alignment horizontal="center" vertical="center"/>
    </xf>
    <xf numFmtId="176" fontId="328" fillId="44" borderId="321" xfId="0" applyNumberFormat="1" applyFont="1" applyFill="1" applyBorder="1" applyAlignment="1">
      <alignment horizontal="center" vertical="center"/>
    </xf>
    <xf numFmtId="0" fontId="126" fillId="35" borderId="321" xfId="0" applyFont="1" applyFill="1" applyBorder="1" applyAlignment="1">
      <alignment horizontal="center" vertical="center"/>
    </xf>
    <xf numFmtId="166" fontId="126" fillId="35" borderId="321" xfId="0" applyNumberFormat="1" applyFont="1" applyFill="1" applyBorder="1" applyAlignment="1">
      <alignment horizontal="center" vertical="center"/>
    </xf>
    <xf numFmtId="0" fontId="88" fillId="35" borderId="0" xfId="0" applyFont="1" applyFill="1" applyAlignment="1">
      <alignment horizontal="center" vertical="center"/>
    </xf>
    <xf numFmtId="0" fontId="142" fillId="35" borderId="0" xfId="0" applyFont="1" applyFill="1"/>
    <xf numFmtId="0" fontId="142" fillId="58" borderId="0" xfId="0" applyFont="1" applyFill="1"/>
    <xf numFmtId="166" fontId="144" fillId="35" borderId="0" xfId="0" applyNumberFormat="1" applyFont="1" applyFill="1" applyAlignment="1">
      <alignment horizontal="center" vertical="center"/>
    </xf>
    <xf numFmtId="0" fontId="142" fillId="40" borderId="0" xfId="0" applyFont="1" applyFill="1"/>
    <xf numFmtId="0" fontId="233" fillId="35" borderId="470" xfId="0" applyFont="1" applyFill="1" applyBorder="1" applyAlignment="1">
      <alignment horizontal="center" vertical="center"/>
    </xf>
    <xf numFmtId="0" fontId="233" fillId="40" borderId="20" xfId="0" applyFont="1" applyFill="1" applyBorder="1"/>
    <xf numFmtId="0" fontId="233" fillId="40" borderId="352" xfId="0" applyFont="1" applyFill="1" applyBorder="1"/>
    <xf numFmtId="0" fontId="233" fillId="40" borderId="352" xfId="0" applyFont="1" applyFill="1" applyBorder="1" applyAlignment="1">
      <alignment horizontal="center" vertical="center"/>
    </xf>
    <xf numFmtId="0" fontId="142" fillId="40" borderId="354" xfId="0" applyFont="1" applyFill="1" applyBorder="1"/>
    <xf numFmtId="0" fontId="233" fillId="35" borderId="81" xfId="0" applyFont="1" applyFill="1" applyBorder="1" applyAlignment="1">
      <alignment horizontal="center" vertical="center"/>
    </xf>
    <xf numFmtId="0" fontId="88" fillId="58" borderId="470" xfId="0" applyFont="1" applyFill="1" applyBorder="1" applyAlignment="1">
      <alignment horizontal="center" vertical="center"/>
    </xf>
    <xf numFmtId="176" fontId="233" fillId="58" borderId="401" xfId="0" applyNumberFormat="1" applyFont="1" applyFill="1" applyBorder="1" applyAlignment="1">
      <alignment horizontal="center" vertical="center"/>
    </xf>
    <xf numFmtId="166" fontId="247" fillId="4" borderId="0" xfId="0" applyNumberFormat="1" applyFont="1" applyFill="1" applyAlignment="1">
      <alignment horizontal="center" vertical="center"/>
    </xf>
    <xf numFmtId="0" fontId="88" fillId="58" borderId="0" xfId="0" applyFont="1" applyFill="1" applyAlignment="1">
      <alignment horizontal="center" vertical="center"/>
    </xf>
    <xf numFmtId="0" fontId="233" fillId="0" borderId="73" xfId="0" applyFont="1" applyBorder="1" applyAlignment="1">
      <alignment horizontal="center" vertical="center"/>
    </xf>
    <xf numFmtId="0" fontId="88" fillId="35" borderId="0" xfId="0" applyFont="1" applyFill="1" applyAlignment="1">
      <alignment horizontal="center"/>
    </xf>
    <xf numFmtId="176" fontId="233" fillId="35" borderId="471" xfId="0" applyNumberFormat="1" applyFont="1" applyFill="1" applyBorder="1" applyAlignment="1">
      <alignment horizontal="center" vertical="center"/>
    </xf>
    <xf numFmtId="0" fontId="88" fillId="77" borderId="470" xfId="0" applyFont="1" applyFill="1" applyBorder="1" applyAlignment="1">
      <alignment horizontal="center" vertical="center"/>
    </xf>
    <xf numFmtId="166" fontId="322" fillId="31" borderId="473" xfId="0" applyNumberFormat="1" applyFont="1" applyFill="1" applyBorder="1" applyAlignment="1">
      <alignment horizontal="center" vertical="center"/>
    </xf>
    <xf numFmtId="0" fontId="332" fillId="31" borderId="473" xfId="0" applyFont="1" applyFill="1" applyBorder="1" applyAlignment="1">
      <alignment horizontal="center"/>
    </xf>
    <xf numFmtId="0" fontId="328" fillId="37" borderId="0" xfId="0" applyFont="1" applyFill="1"/>
    <xf numFmtId="0" fontId="8" fillId="35" borderId="321" xfId="0" applyFont="1" applyFill="1" applyBorder="1" applyAlignment="1">
      <alignment horizontal="center" vertical="center"/>
    </xf>
    <xf numFmtId="0" fontId="10" fillId="35" borderId="296" xfId="0" applyFont="1" applyFill="1" applyBorder="1" applyAlignment="1">
      <alignment horizontal="center" vertical="center"/>
    </xf>
    <xf numFmtId="0" fontId="10" fillId="35" borderId="321" xfId="0" applyFont="1" applyFill="1" applyBorder="1" applyAlignment="1">
      <alignment horizontal="center" vertical="center"/>
    </xf>
    <xf numFmtId="15" fontId="322" fillId="31" borderId="321" xfId="0" applyNumberFormat="1" applyFont="1" applyFill="1" applyBorder="1" applyAlignment="1">
      <alignment horizontal="center" vertical="center"/>
    </xf>
    <xf numFmtId="0" fontId="318" fillId="50" borderId="213" xfId="0" applyFont="1" applyFill="1" applyBorder="1"/>
    <xf numFmtId="0" fontId="328" fillId="36" borderId="321" xfId="0" applyFont="1" applyFill="1" applyBorder="1" applyAlignment="1">
      <alignment horizontal="center" vertical="center"/>
    </xf>
    <xf numFmtId="0" fontId="332" fillId="36" borderId="296" xfId="0" applyFont="1" applyFill="1" applyBorder="1" applyAlignment="1">
      <alignment horizontal="center" vertical="center"/>
    </xf>
    <xf numFmtId="0" fontId="332" fillId="36" borderId="321" xfId="0" applyFont="1" applyFill="1" applyBorder="1" applyAlignment="1">
      <alignment horizontal="center" vertical="center"/>
    </xf>
    <xf numFmtId="15" fontId="411" fillId="31" borderId="0" xfId="0" applyNumberFormat="1" applyFont="1" applyFill="1" applyAlignment="1">
      <alignment horizontal="center" vertical="center"/>
    </xf>
    <xf numFmtId="15" fontId="322" fillId="50" borderId="0" xfId="0" applyNumberFormat="1" applyFont="1" applyFill="1" applyAlignment="1">
      <alignment horizontal="center" vertical="center"/>
    </xf>
    <xf numFmtId="0" fontId="322" fillId="58" borderId="296" xfId="0" applyFont="1" applyFill="1" applyBorder="1" applyAlignment="1">
      <alignment horizontal="center" vertical="center"/>
    </xf>
    <xf numFmtId="0" fontId="322" fillId="58" borderId="321" xfId="0" applyFont="1" applyFill="1" applyBorder="1" applyAlignment="1">
      <alignment horizontal="center" vertical="center"/>
    </xf>
    <xf numFmtId="15" fontId="322" fillId="31" borderId="401" xfId="0" applyNumberFormat="1" applyFont="1" applyFill="1" applyBorder="1" applyAlignment="1">
      <alignment horizontal="center" vertical="center"/>
    </xf>
    <xf numFmtId="0" fontId="328" fillId="55" borderId="321" xfId="0" applyFont="1" applyFill="1" applyBorder="1" applyAlignment="1">
      <alignment horizontal="center" vertical="center"/>
    </xf>
    <xf numFmtId="0" fontId="460" fillId="31" borderId="321" xfId="0" applyFont="1" applyFill="1" applyBorder="1" applyAlignment="1">
      <alignment horizontal="center" vertical="center"/>
    </xf>
    <xf numFmtId="0" fontId="318" fillId="58" borderId="0" xfId="0" applyFont="1" applyFill="1"/>
    <xf numFmtId="0" fontId="318" fillId="31" borderId="81" xfId="0" applyFont="1" applyFill="1" applyBorder="1" applyAlignment="1">
      <alignment horizontal="center" vertical="center"/>
    </xf>
    <xf numFmtId="0" fontId="332" fillId="58" borderId="296" xfId="0" applyFont="1" applyFill="1" applyBorder="1" applyAlignment="1">
      <alignment horizontal="center" vertical="center"/>
    </xf>
    <xf numFmtId="0" fontId="332" fillId="58" borderId="321" xfId="0" applyFont="1" applyFill="1" applyBorder="1" applyAlignment="1">
      <alignment horizontal="center" vertical="center"/>
    </xf>
    <xf numFmtId="15" fontId="322" fillId="31" borderId="298" xfId="0" applyNumberFormat="1" applyFont="1" applyFill="1" applyBorder="1" applyAlignment="1">
      <alignment horizontal="center" vertical="center"/>
    </xf>
    <xf numFmtId="0" fontId="322" fillId="59" borderId="296" xfId="0" applyFont="1" applyFill="1" applyBorder="1" applyAlignment="1">
      <alignment horizontal="center" vertical="center"/>
    </xf>
    <xf numFmtId="0" fontId="332" fillId="59" borderId="321" xfId="0" applyFont="1" applyFill="1" applyBorder="1" applyAlignment="1">
      <alignment horizontal="center"/>
    </xf>
    <xf numFmtId="0" fontId="322" fillId="59" borderId="321" xfId="0" applyFont="1" applyFill="1" applyBorder="1" applyAlignment="1">
      <alignment horizontal="center" vertical="center"/>
    </xf>
    <xf numFmtId="0" fontId="318" fillId="59" borderId="0" xfId="0" applyFont="1" applyFill="1"/>
    <xf numFmtId="0" fontId="332" fillId="59" borderId="296" xfId="0" applyFont="1" applyFill="1" applyBorder="1" applyAlignment="1">
      <alignment horizontal="center" vertical="center"/>
    </xf>
    <xf numFmtId="0" fontId="332" fillId="59" borderId="321" xfId="0" applyFont="1" applyFill="1" applyBorder="1" applyAlignment="1">
      <alignment horizontal="center" vertical="center"/>
    </xf>
    <xf numFmtId="0" fontId="321" fillId="50" borderId="471" xfId="0" applyFont="1" applyFill="1" applyBorder="1" applyAlignment="1">
      <alignment horizontal="center" vertical="center"/>
    </xf>
    <xf numFmtId="15" fontId="321" fillId="50" borderId="81" xfId="0" applyNumberFormat="1" applyFont="1" applyFill="1" applyBorder="1" applyAlignment="1">
      <alignment horizontal="center" vertical="center"/>
    </xf>
    <xf numFmtId="0" fontId="328" fillId="56" borderId="321" xfId="0" applyFont="1" applyFill="1" applyBorder="1" applyAlignment="1">
      <alignment horizontal="center" vertical="center"/>
    </xf>
    <xf numFmtId="177" fontId="332" fillId="31" borderId="473" xfId="0" applyNumberFormat="1" applyFont="1" applyFill="1" applyBorder="1" applyAlignment="1">
      <alignment horizontal="center" vertical="center"/>
    </xf>
    <xf numFmtId="177" fontId="322" fillId="32" borderId="298" xfId="0" applyNumberFormat="1" applyFont="1" applyFill="1" applyBorder="1" applyAlignment="1">
      <alignment horizontal="center" vertical="center"/>
    </xf>
    <xf numFmtId="0" fontId="321" fillId="40" borderId="298" xfId="0" applyFont="1" applyFill="1" applyBorder="1" applyAlignment="1">
      <alignment horizontal="center" vertical="center"/>
    </xf>
    <xf numFmtId="0" fontId="0" fillId="84" borderId="0" xfId="0" applyFill="1"/>
    <xf numFmtId="0" fontId="321" fillId="87" borderId="321" xfId="0" applyFont="1" applyFill="1" applyBorder="1" applyAlignment="1">
      <alignment horizontal="center" vertical="center"/>
    </xf>
    <xf numFmtId="0" fontId="385" fillId="31" borderId="0" xfId="0" applyFont="1" applyFill="1" applyAlignment="1">
      <alignment horizontal="center" vertical="center"/>
    </xf>
    <xf numFmtId="0" fontId="88" fillId="0" borderId="321" xfId="0" applyFont="1" applyBorder="1" applyAlignment="1">
      <alignment vertical="center"/>
    </xf>
    <xf numFmtId="166" fontId="88" fillId="0" borderId="321" xfId="0" applyNumberFormat="1" applyFont="1" applyBorder="1" applyAlignment="1">
      <alignment horizontal="center" vertical="center"/>
    </xf>
    <xf numFmtId="0" fontId="88" fillId="0" borderId="321" xfId="0" applyFont="1" applyBorder="1" applyAlignment="1">
      <alignment horizontal="center"/>
    </xf>
    <xf numFmtId="166" fontId="87" fillId="0" borderId="321" xfId="0" applyNumberFormat="1" applyFont="1" applyBorder="1" applyAlignment="1">
      <alignment horizontal="center" vertical="center"/>
    </xf>
    <xf numFmtId="0" fontId="88" fillId="12" borderId="321" xfId="0" applyFont="1" applyFill="1" applyBorder="1" applyAlignment="1">
      <alignment horizontal="center" vertical="center"/>
    </xf>
    <xf numFmtId="176" fontId="88" fillId="0" borderId="213" xfId="0" applyNumberFormat="1" applyFont="1" applyBorder="1" applyAlignment="1">
      <alignment vertical="center"/>
    </xf>
    <xf numFmtId="0" fontId="261" fillId="0" borderId="321" xfId="0" applyFont="1" applyBorder="1" applyAlignment="1">
      <alignment horizontal="center" vertical="center"/>
    </xf>
    <xf numFmtId="176" fontId="88" fillId="0" borderId="321" xfId="0" applyNumberFormat="1" applyFont="1" applyBorder="1" applyAlignment="1">
      <alignment horizontal="center" vertical="center"/>
    </xf>
    <xf numFmtId="176" fontId="328" fillId="0" borderId="321" xfId="0" applyNumberFormat="1" applyFont="1" applyBorder="1" applyAlignment="1">
      <alignment horizontal="center" vertical="center"/>
    </xf>
    <xf numFmtId="166" fontId="321" fillId="0" borderId="321" xfId="0" applyNumberFormat="1" applyFont="1" applyBorder="1" applyAlignment="1">
      <alignment horizontal="center" vertical="center"/>
    </xf>
    <xf numFmtId="180" fontId="321" fillId="0" borderId="321" xfId="0" applyNumberFormat="1" applyFont="1" applyBorder="1" applyAlignment="1">
      <alignment horizontal="center" vertical="center"/>
    </xf>
    <xf numFmtId="0" fontId="373" fillId="0" borderId="321" xfId="0" applyFont="1" applyBorder="1"/>
    <xf numFmtId="9" fontId="88" fillId="0" borderId="260" xfId="0" applyNumberFormat="1" applyFont="1" applyBorder="1" applyAlignment="1">
      <alignment horizontal="center"/>
    </xf>
    <xf numFmtId="9" fontId="316" fillId="0" borderId="260" xfId="0" applyNumberFormat="1" applyFont="1" applyBorder="1" applyAlignment="1">
      <alignment horizontal="center"/>
    </xf>
    <xf numFmtId="9" fontId="88" fillId="0" borderId="0" xfId="0" applyNumberFormat="1" applyFont="1" applyAlignment="1">
      <alignment horizontal="center"/>
    </xf>
    <xf numFmtId="9" fontId="316" fillId="0" borderId="0" xfId="0" applyNumberFormat="1" applyFont="1" applyAlignment="1">
      <alignment horizontal="center"/>
    </xf>
    <xf numFmtId="0" fontId="323" fillId="31" borderId="321" xfId="0" applyFont="1" applyFill="1" applyBorder="1" applyAlignment="1">
      <alignment horizontal="center" vertical="center"/>
    </xf>
    <xf numFmtId="0" fontId="88" fillId="49" borderId="321" xfId="0" applyFont="1" applyFill="1" applyBorder="1" applyAlignment="1">
      <alignment horizontal="center" vertical="center"/>
    </xf>
    <xf numFmtId="0" fontId="88" fillId="49" borderId="321" xfId="0" applyFont="1" applyFill="1" applyBorder="1" applyAlignment="1">
      <alignment horizontal="center"/>
    </xf>
    <xf numFmtId="9" fontId="88" fillId="0" borderId="321" xfId="0" applyNumberFormat="1" applyFont="1" applyBorder="1" applyAlignment="1">
      <alignment horizontal="center"/>
    </xf>
    <xf numFmtId="9" fontId="88" fillId="49" borderId="321" xfId="0" applyNumberFormat="1" applyFont="1" applyFill="1" applyBorder="1" applyAlignment="1">
      <alignment horizontal="center"/>
    </xf>
    <xf numFmtId="0" fontId="328" fillId="49" borderId="321" xfId="0" applyFont="1" applyFill="1" applyBorder="1"/>
    <xf numFmtId="0" fontId="143" fillId="0" borderId="12" xfId="0" applyFont="1" applyBorder="1" applyAlignment="1">
      <alignment horizontal="center" vertical="center"/>
    </xf>
    <xf numFmtId="0" fontId="196" fillId="16" borderId="12" xfId="0" applyFont="1" applyFill="1" applyBorder="1" applyAlignment="1">
      <alignment horizontal="center" vertical="center"/>
    </xf>
    <xf numFmtId="1" fontId="328" fillId="0" borderId="12" xfId="0" applyNumberFormat="1" applyFont="1" applyBorder="1" applyAlignment="1">
      <alignment horizontal="center" vertical="center"/>
    </xf>
    <xf numFmtId="0" fontId="328" fillId="0" borderId="12" xfId="0" applyFont="1" applyBorder="1" applyAlignment="1">
      <alignment horizontal="center" vertical="center"/>
    </xf>
    <xf numFmtId="0" fontId="328" fillId="0" borderId="12" xfId="0" applyFont="1" applyBorder="1" applyAlignment="1">
      <alignment horizontal="center" vertical="center" wrapText="1"/>
    </xf>
    <xf numFmtId="0" fontId="143" fillId="7" borderId="12" xfId="0" applyFont="1" applyFill="1" applyBorder="1" applyAlignment="1">
      <alignment horizontal="center" vertical="center"/>
    </xf>
    <xf numFmtId="0" fontId="233" fillId="0" borderId="321" xfId="0" applyFont="1" applyBorder="1" applyAlignment="1">
      <alignment horizontal="center" vertical="center"/>
    </xf>
    <xf numFmtId="0" fontId="44" fillId="7" borderId="12" xfId="0" applyFont="1" applyFill="1" applyBorder="1" applyAlignment="1">
      <alignment horizontal="center" vertical="center"/>
    </xf>
    <xf numFmtId="1" fontId="328" fillId="0" borderId="260" xfId="0" applyNumberFormat="1" applyFont="1" applyBorder="1" applyAlignment="1">
      <alignment horizontal="center" vertical="center"/>
    </xf>
    <xf numFmtId="0" fontId="328" fillId="0" borderId="260" xfId="0" applyFont="1" applyBorder="1" applyAlignment="1">
      <alignment horizontal="center" vertical="center"/>
    </xf>
    <xf numFmtId="1" fontId="328" fillId="0" borderId="0" xfId="0" applyNumberFormat="1" applyFont="1" applyAlignment="1">
      <alignment horizontal="center" vertical="center"/>
    </xf>
    <xf numFmtId="9" fontId="321" fillId="0" borderId="185" xfId="0" applyNumberFormat="1" applyFont="1" applyBorder="1" applyAlignment="1">
      <alignment horizontal="center"/>
    </xf>
    <xf numFmtId="0" fontId="321" fillId="0" borderId="260" xfId="0" applyFont="1" applyBorder="1" applyAlignment="1">
      <alignment horizontal="center"/>
    </xf>
    <xf numFmtId="0" fontId="8" fillId="0" borderId="0" xfId="0" applyFont="1" applyAlignment="1">
      <alignment horizontal="center" vertical="center"/>
    </xf>
    <xf numFmtId="0" fontId="325" fillId="50" borderId="260" xfId="0" applyFont="1" applyFill="1" applyBorder="1" applyAlignment="1">
      <alignment horizontal="center" vertical="center" wrapText="1"/>
    </xf>
    <xf numFmtId="9" fontId="321" fillId="50" borderId="260" xfId="0" applyNumberFormat="1" applyFont="1" applyFill="1" applyBorder="1" applyAlignment="1">
      <alignment horizontal="center" vertical="center" wrapText="1"/>
    </xf>
    <xf numFmtId="9" fontId="321" fillId="50" borderId="0" xfId="0" applyNumberFormat="1" applyFont="1" applyFill="1" applyAlignment="1">
      <alignment horizontal="center" vertical="center" wrapText="1"/>
    </xf>
    <xf numFmtId="0" fontId="321" fillId="0" borderId="410" xfId="0" applyFont="1" applyBorder="1" applyAlignment="1">
      <alignment horizontal="center" vertical="center"/>
    </xf>
    <xf numFmtId="0" fontId="0" fillId="0" borderId="185" xfId="0" applyBorder="1"/>
    <xf numFmtId="180" fontId="233" fillId="3" borderId="0" xfId="0" applyNumberFormat="1" applyFont="1" applyFill="1" applyAlignment="1">
      <alignment horizontal="center" vertical="center"/>
    </xf>
    <xf numFmtId="180" fontId="233" fillId="3" borderId="321" xfId="0" applyNumberFormat="1" applyFont="1" applyFill="1" applyBorder="1" applyAlignment="1">
      <alignment horizontal="center" vertical="center"/>
    </xf>
    <xf numFmtId="180" fontId="233" fillId="18" borderId="0" xfId="0" applyNumberFormat="1" applyFont="1" applyFill="1" applyAlignment="1">
      <alignment horizontal="center"/>
    </xf>
    <xf numFmtId="0" fontId="88" fillId="3" borderId="0" xfId="0" applyFont="1" applyFill="1" applyAlignment="1">
      <alignment vertical="center"/>
    </xf>
    <xf numFmtId="166" fontId="233" fillId="3" borderId="0" xfId="0" applyNumberFormat="1" applyFont="1" applyFill="1" applyAlignment="1">
      <alignment vertical="center"/>
    </xf>
    <xf numFmtId="180" fontId="233" fillId="3" borderId="0" xfId="0" applyNumberFormat="1" applyFont="1" applyFill="1" applyAlignment="1">
      <alignment vertical="center"/>
    </xf>
    <xf numFmtId="0" fontId="88" fillId="3" borderId="0" xfId="0" applyFont="1" applyFill="1" applyAlignment="1">
      <alignment horizontal="center" vertical="center"/>
    </xf>
    <xf numFmtId="0" fontId="88" fillId="3" borderId="0" xfId="0" applyFont="1" applyFill="1"/>
    <xf numFmtId="166" fontId="233" fillId="3" borderId="0" xfId="0" applyNumberFormat="1" applyFont="1" applyFill="1" applyAlignment="1">
      <alignment horizontal="center" vertical="center"/>
    </xf>
    <xf numFmtId="0" fontId="233" fillId="3" borderId="0" xfId="0" applyFont="1" applyFill="1" applyAlignment="1">
      <alignment vertical="center"/>
    </xf>
    <xf numFmtId="0" fontId="323" fillId="0" borderId="0" xfId="0" applyFont="1" applyAlignment="1">
      <alignment horizontal="center" vertical="center"/>
    </xf>
    <xf numFmtId="179" fontId="321" fillId="0" borderId="321" xfId="0" applyNumberFormat="1" applyFont="1" applyBorder="1" applyAlignment="1">
      <alignment horizontal="center"/>
    </xf>
    <xf numFmtId="1" fontId="88" fillId="50" borderId="321" xfId="0" applyNumberFormat="1" applyFont="1" applyFill="1" applyBorder="1" applyAlignment="1">
      <alignment horizontal="center"/>
    </xf>
    <xf numFmtId="0" fontId="8" fillId="74" borderId="321" xfId="0" applyFont="1" applyFill="1" applyBorder="1" applyAlignment="1">
      <alignment horizontal="center" vertical="center"/>
    </xf>
    <xf numFmtId="0" fontId="341" fillId="32" borderId="0" xfId="0" applyFont="1" applyFill="1"/>
    <xf numFmtId="0" fontId="341" fillId="32" borderId="0" xfId="0" applyFont="1" applyFill="1" applyAlignment="1">
      <alignment horizontal="center"/>
    </xf>
    <xf numFmtId="0" fontId="336" fillId="32" borderId="0" xfId="0" applyFont="1" applyFill="1" applyAlignment="1">
      <alignment vertical="center"/>
    </xf>
    <xf numFmtId="0" fontId="341" fillId="31" borderId="0" xfId="0" applyFont="1" applyFill="1"/>
    <xf numFmtId="0" fontId="341" fillId="61" borderId="0" xfId="0" applyFont="1" applyFill="1" applyAlignment="1">
      <alignment horizontal="center"/>
    </xf>
    <xf numFmtId="0" fontId="341" fillId="76" borderId="0" xfId="0" applyFont="1" applyFill="1" applyAlignment="1">
      <alignment horizontal="center"/>
    </xf>
    <xf numFmtId="0" fontId="341" fillId="93" borderId="0" xfId="0" applyFont="1" applyFill="1" applyAlignment="1">
      <alignment horizontal="center"/>
    </xf>
    <xf numFmtId="0" fontId="0" fillId="93" borderId="0" xfId="0" applyFill="1"/>
    <xf numFmtId="0" fontId="10" fillId="0" borderId="0" xfId="0" applyFont="1" applyAlignment="1">
      <alignment horizontal="center" vertical="center"/>
    </xf>
    <xf numFmtId="0" fontId="336" fillId="0" borderId="321" xfId="0" applyFont="1" applyBorder="1" applyAlignment="1">
      <alignment vertical="center"/>
    </xf>
    <xf numFmtId="9" fontId="88" fillId="0" borderId="321" xfId="0" applyNumberFormat="1" applyFont="1" applyBorder="1" applyAlignment="1">
      <alignment horizontal="center" vertical="center"/>
    </xf>
    <xf numFmtId="9" fontId="8" fillId="0" borderId="321" xfId="0" applyNumberFormat="1" applyFont="1" applyBorder="1" applyAlignment="1">
      <alignment horizontal="center" vertical="center"/>
    </xf>
    <xf numFmtId="0" fontId="8" fillId="0" borderId="321" xfId="0" applyFont="1" applyBorder="1" applyAlignment="1">
      <alignment horizontal="center" vertical="center"/>
    </xf>
    <xf numFmtId="0" fontId="44" fillId="18" borderId="410" xfId="0" applyFont="1" applyFill="1" applyBorder="1" applyAlignment="1">
      <alignment horizontal="center" vertical="center"/>
    </xf>
    <xf numFmtId="0" fontId="88" fillId="7" borderId="410" xfId="0" applyFont="1" applyFill="1" applyBorder="1" applyAlignment="1">
      <alignment horizontal="center" vertical="center"/>
    </xf>
    <xf numFmtId="0" fontId="332" fillId="33" borderId="321" xfId="0" applyFont="1" applyFill="1" applyBorder="1" applyAlignment="1">
      <alignment horizontal="center" vertical="center"/>
    </xf>
    <xf numFmtId="0" fontId="218" fillId="61" borderId="321" xfId="0" applyFont="1" applyFill="1" applyBorder="1" applyAlignment="1">
      <alignment horizontal="center" vertical="center"/>
    </xf>
    <xf numFmtId="0" fontId="332" fillId="37" borderId="321" xfId="0" applyFont="1" applyFill="1" applyBorder="1" applyAlignment="1">
      <alignment horizontal="center" vertical="center"/>
    </xf>
    <xf numFmtId="0" fontId="332" fillId="31" borderId="401" xfId="0" applyFont="1" applyFill="1" applyBorder="1" applyAlignment="1">
      <alignment horizontal="center"/>
    </xf>
    <xf numFmtId="0" fontId="332" fillId="61" borderId="321" xfId="0" applyFont="1" applyFill="1" applyBorder="1" applyAlignment="1">
      <alignment horizontal="center"/>
    </xf>
    <xf numFmtId="0" fontId="328" fillId="59" borderId="0" xfId="0" applyFont="1" applyFill="1"/>
    <xf numFmtId="0" fontId="322" fillId="31" borderId="321" xfId="0" applyFont="1" applyFill="1" applyBorder="1" applyAlignment="1">
      <alignment horizontal="center"/>
    </xf>
    <xf numFmtId="17" fontId="332" fillId="61" borderId="321" xfId="0" applyNumberFormat="1" applyFont="1" applyFill="1" applyBorder="1" applyAlignment="1">
      <alignment horizontal="center" vertical="center"/>
    </xf>
    <xf numFmtId="17" fontId="328" fillId="76" borderId="321" xfId="0" applyNumberFormat="1" applyFont="1" applyFill="1" applyBorder="1" applyAlignment="1">
      <alignment horizontal="center" vertical="center"/>
    </xf>
    <xf numFmtId="0" fontId="0" fillId="76" borderId="321" xfId="0" applyFill="1" applyBorder="1"/>
    <xf numFmtId="0" fontId="218" fillId="31" borderId="321" xfId="0" applyFont="1" applyFill="1" applyBorder="1" applyAlignment="1">
      <alignment horizontal="center" vertical="center"/>
    </xf>
    <xf numFmtId="17" fontId="321" fillId="93" borderId="321" xfId="0" applyNumberFormat="1" applyFont="1" applyFill="1" applyBorder="1" applyAlignment="1">
      <alignment horizontal="center" vertical="center"/>
    </xf>
    <xf numFmtId="0" fontId="0" fillId="93" borderId="321" xfId="0" applyFill="1" applyBorder="1"/>
    <xf numFmtId="0" fontId="336" fillId="58" borderId="0" xfId="0" applyFont="1" applyFill="1" applyAlignment="1">
      <alignment vertical="center"/>
    </xf>
    <xf numFmtId="0" fontId="332" fillId="0" borderId="321" xfId="0" applyFont="1" applyBorder="1" applyAlignment="1">
      <alignment vertical="center"/>
    </xf>
    <xf numFmtId="0" fontId="8" fillId="0" borderId="321" xfId="0" applyFont="1" applyBorder="1" applyAlignment="1">
      <alignment vertical="center"/>
    </xf>
    <xf numFmtId="166" fontId="8" fillId="0" borderId="321" xfId="0" applyNumberFormat="1" applyFont="1" applyBorder="1" applyAlignment="1">
      <alignment horizontal="center" vertical="center"/>
    </xf>
    <xf numFmtId="166" fontId="328" fillId="0" borderId="321" xfId="0" applyNumberFormat="1" applyFont="1" applyBorder="1" applyAlignment="1">
      <alignment horizontal="center" vertical="center"/>
    </xf>
    <xf numFmtId="0" fontId="218" fillId="37" borderId="321" xfId="0" applyFont="1" applyFill="1" applyBorder="1" applyAlignment="1">
      <alignment horizontal="center" vertical="center"/>
    </xf>
    <xf numFmtId="0" fontId="336" fillId="37" borderId="321" xfId="0" applyFont="1" applyFill="1" applyBorder="1" applyAlignment="1">
      <alignment vertical="center"/>
    </xf>
    <xf numFmtId="0" fontId="10" fillId="0" borderId="0" xfId="0" applyFont="1" applyAlignment="1">
      <alignment vertical="center"/>
    </xf>
    <xf numFmtId="0" fontId="8" fillId="93" borderId="321" xfId="0" applyFont="1" applyFill="1" applyBorder="1" applyAlignment="1">
      <alignment horizontal="center"/>
    </xf>
    <xf numFmtId="0" fontId="332" fillId="76" borderId="321" xfId="0" applyFont="1" applyFill="1" applyBorder="1" applyAlignment="1">
      <alignment horizontal="center" vertical="center"/>
    </xf>
    <xf numFmtId="0" fontId="233" fillId="18" borderId="262" xfId="0" applyFont="1" applyFill="1" applyBorder="1" applyAlignment="1">
      <alignment vertical="center"/>
    </xf>
    <xf numFmtId="0" fontId="233" fillId="7" borderId="478" xfId="0" applyFont="1" applyFill="1" applyBorder="1" applyAlignment="1">
      <alignment vertical="center"/>
    </xf>
    <xf numFmtId="0" fontId="218" fillId="4" borderId="478" xfId="0" applyFont="1" applyFill="1" applyBorder="1" applyAlignment="1">
      <alignment vertical="center"/>
    </xf>
    <xf numFmtId="0" fontId="218" fillId="4" borderId="321" xfId="0" applyFont="1" applyFill="1" applyBorder="1" applyAlignment="1">
      <alignment horizontal="center" vertical="center"/>
    </xf>
    <xf numFmtId="0" fontId="328" fillId="45" borderId="0" xfId="0" applyFont="1" applyFill="1" applyAlignment="1">
      <alignment horizontal="center" vertical="center"/>
    </xf>
    <xf numFmtId="0" fontId="233" fillId="7" borderId="479" xfId="0" applyFont="1" applyFill="1" applyBorder="1"/>
    <xf numFmtId="0" fontId="218" fillId="4" borderId="479" xfId="0" applyFont="1" applyFill="1" applyBorder="1"/>
    <xf numFmtId="0" fontId="233" fillId="16" borderId="479" xfId="0" applyFont="1" applyFill="1" applyBorder="1"/>
    <xf numFmtId="0" fontId="233" fillId="8" borderId="479" xfId="0" applyFont="1" applyFill="1" applyBorder="1" applyAlignment="1">
      <alignment vertical="center"/>
    </xf>
    <xf numFmtId="0" fontId="321" fillId="18" borderId="410" xfId="0" applyFont="1" applyFill="1" applyBorder="1" applyAlignment="1">
      <alignment vertical="center"/>
    </xf>
    <xf numFmtId="0" fontId="321" fillId="7" borderId="410" xfId="0" applyFont="1" applyFill="1" applyBorder="1" applyAlignment="1">
      <alignment horizontal="center" vertical="center"/>
    </xf>
    <xf numFmtId="0" fontId="322" fillId="4" borderId="213" xfId="0" applyFont="1" applyFill="1" applyBorder="1" applyAlignment="1">
      <alignment horizontal="center" vertical="center"/>
    </xf>
    <xf numFmtId="0" fontId="233" fillId="18" borderId="321" xfId="0" applyFont="1" applyFill="1" applyBorder="1" applyAlignment="1">
      <alignment horizontal="center" vertical="center"/>
    </xf>
    <xf numFmtId="0" fontId="332" fillId="45" borderId="321" xfId="0" applyFont="1" applyFill="1" applyBorder="1" applyAlignment="1">
      <alignment horizontal="center" vertical="center"/>
    </xf>
    <xf numFmtId="17" fontId="233" fillId="8" borderId="321" xfId="0" applyNumberFormat="1" applyFont="1" applyFill="1" applyBorder="1" applyAlignment="1">
      <alignment horizontal="center" vertical="center"/>
    </xf>
    <xf numFmtId="17" fontId="321" fillId="59" borderId="321" xfId="0" applyNumberFormat="1" applyFont="1" applyFill="1" applyBorder="1" applyAlignment="1">
      <alignment horizontal="center" vertical="center"/>
    </xf>
    <xf numFmtId="0" fontId="328" fillId="59" borderId="321" xfId="0" applyFont="1" applyFill="1" applyBorder="1" applyAlignment="1">
      <alignment horizontal="center" vertical="center"/>
    </xf>
    <xf numFmtId="17" fontId="328" fillId="0" borderId="321" xfId="0" applyNumberFormat="1" applyFont="1" applyBorder="1" applyAlignment="1">
      <alignment horizontal="center"/>
    </xf>
    <xf numFmtId="17" fontId="328" fillId="0" borderId="321" xfId="0" applyNumberFormat="1" applyFont="1" applyBorder="1" applyAlignment="1">
      <alignment horizontal="center" vertical="center"/>
    </xf>
    <xf numFmtId="0" fontId="328" fillId="0" borderId="321" xfId="0" applyFont="1" applyBorder="1"/>
    <xf numFmtId="0" fontId="328" fillId="0" borderId="260" xfId="0" applyFont="1" applyBorder="1"/>
    <xf numFmtId="0" fontId="0" fillId="0" borderId="321" xfId="0" applyBorder="1"/>
    <xf numFmtId="0" fontId="332" fillId="59" borderId="0" xfId="0" applyFont="1" applyFill="1" applyAlignment="1">
      <alignment horizontal="center" vertical="center"/>
    </xf>
    <xf numFmtId="0" fontId="233" fillId="57" borderId="12" xfId="0" applyFont="1" applyFill="1" applyBorder="1" applyAlignment="1">
      <alignment horizontal="center" vertical="center"/>
    </xf>
    <xf numFmtId="0" fontId="233" fillId="94" borderId="12" xfId="0" applyFont="1" applyFill="1" applyBorder="1" applyAlignment="1">
      <alignment horizontal="center" vertical="center"/>
    </xf>
    <xf numFmtId="176" fontId="88" fillId="0" borderId="213" xfId="0" applyNumberFormat="1" applyFont="1" applyBorder="1" applyAlignment="1">
      <alignment horizontal="center" vertical="center"/>
    </xf>
    <xf numFmtId="0" fontId="233" fillId="96" borderId="321" xfId="0" applyFont="1" applyFill="1" applyBorder="1" applyAlignment="1">
      <alignment horizontal="center" vertical="center"/>
    </xf>
    <xf numFmtId="0" fontId="233" fillId="96" borderId="0" xfId="0" applyFont="1" applyFill="1" applyAlignment="1">
      <alignment horizontal="center" vertical="center"/>
    </xf>
    <xf numFmtId="0" fontId="328" fillId="96" borderId="321" xfId="0" applyFont="1" applyFill="1" applyBorder="1"/>
    <xf numFmtId="0" fontId="323" fillId="33" borderId="0" xfId="0" applyFont="1" applyFill="1" applyAlignment="1">
      <alignment horizontal="center" vertical="center" wrapText="1"/>
    </xf>
    <xf numFmtId="9" fontId="323" fillId="33" borderId="0" xfId="0" applyNumberFormat="1" applyFont="1" applyFill="1" applyAlignment="1">
      <alignment horizontal="center" vertical="center" wrapText="1"/>
    </xf>
    <xf numFmtId="176" fontId="8" fillId="0" borderId="321" xfId="0" applyNumberFormat="1" applyFont="1" applyBorder="1" applyAlignment="1">
      <alignment horizontal="center" vertical="center"/>
    </xf>
    <xf numFmtId="0" fontId="3" fillId="0" borderId="321" xfId="0" applyFont="1" applyBorder="1" applyAlignment="1">
      <alignment horizontal="center" vertical="center"/>
    </xf>
    <xf numFmtId="0" fontId="322" fillId="0" borderId="0" xfId="0" applyFont="1" applyAlignment="1">
      <alignment vertical="center"/>
    </xf>
    <xf numFmtId="0" fontId="328" fillId="57" borderId="321" xfId="0" applyFont="1" applyFill="1" applyBorder="1" applyAlignment="1">
      <alignment horizontal="center" vertical="center"/>
    </xf>
    <xf numFmtId="17" fontId="328" fillId="49" borderId="321" xfId="0" applyNumberFormat="1" applyFont="1" applyFill="1" applyBorder="1" applyAlignment="1">
      <alignment horizontal="center" vertical="center"/>
    </xf>
    <xf numFmtId="0" fontId="328" fillId="34" borderId="321" xfId="0" applyFont="1" applyFill="1" applyBorder="1" applyAlignment="1">
      <alignment horizontal="center" vertical="center"/>
    </xf>
    <xf numFmtId="177" fontId="322" fillId="31" borderId="0" xfId="0" applyNumberFormat="1" applyFont="1" applyFill="1" applyAlignment="1">
      <alignment horizontal="center" vertical="center"/>
    </xf>
    <xf numFmtId="0" fontId="332" fillId="31" borderId="321" xfId="0" applyFont="1" applyFill="1" applyBorder="1" applyAlignment="1">
      <alignment horizontal="center" vertical="center"/>
    </xf>
    <xf numFmtId="0" fontId="321" fillId="55" borderId="321" xfId="0" applyFont="1" applyFill="1" applyBorder="1" applyAlignment="1">
      <alignment horizontal="center" vertical="center"/>
    </xf>
    <xf numFmtId="0" fontId="321" fillId="50" borderId="260" xfId="0" applyFont="1" applyFill="1" applyBorder="1" applyAlignment="1">
      <alignment horizontal="center" vertical="center" wrapText="1"/>
    </xf>
    <xf numFmtId="176" fontId="321" fillId="0" borderId="260" xfId="0" applyNumberFormat="1" applyFont="1" applyBorder="1" applyAlignment="1">
      <alignment horizontal="center"/>
    </xf>
    <xf numFmtId="3" fontId="181" fillId="2" borderId="0" xfId="0" applyNumberFormat="1" applyFont="1" applyFill="1" applyAlignment="1" applyProtection="1">
      <alignment horizontal="center"/>
      <protection hidden="1"/>
    </xf>
    <xf numFmtId="0" fontId="45" fillId="17" borderId="12" xfId="0" applyFont="1" applyFill="1" applyBorder="1" applyAlignment="1">
      <alignment horizontal="center" vertical="center"/>
    </xf>
    <xf numFmtId="0" fontId="335" fillId="0" borderId="321" xfId="0" applyFont="1" applyBorder="1" applyAlignment="1">
      <alignment vertical="center"/>
    </xf>
    <xf numFmtId="0" fontId="328" fillId="0" borderId="321" xfId="0" applyFont="1" applyBorder="1" applyAlignment="1">
      <alignment vertical="center"/>
    </xf>
    <xf numFmtId="0" fontId="336" fillId="41" borderId="0" xfId="0" applyFont="1" applyFill="1" applyAlignment="1">
      <alignment vertical="center"/>
    </xf>
    <xf numFmtId="0" fontId="322" fillId="41" borderId="0" xfId="0" applyFont="1" applyFill="1" applyAlignment="1">
      <alignment vertical="center"/>
    </xf>
    <xf numFmtId="0" fontId="328" fillId="41" borderId="0" xfId="0" applyFont="1" applyFill="1" applyAlignment="1">
      <alignment vertical="center"/>
    </xf>
    <xf numFmtId="0" fontId="336" fillId="36" borderId="0" xfId="0" applyFont="1" applyFill="1" applyAlignment="1">
      <alignment vertical="center"/>
    </xf>
    <xf numFmtId="0" fontId="328" fillId="36" borderId="0" xfId="0" applyFont="1" applyFill="1" applyAlignment="1">
      <alignment vertical="center"/>
    </xf>
    <xf numFmtId="0" fontId="328" fillId="35" borderId="321" xfId="0" applyFont="1" applyFill="1" applyBorder="1" applyAlignment="1">
      <alignment horizontal="center" vertical="center"/>
    </xf>
    <xf numFmtId="0" fontId="322" fillId="31" borderId="0" xfId="0" applyFont="1" applyFill="1" applyAlignment="1">
      <alignment horizontal="center" vertical="center"/>
    </xf>
    <xf numFmtId="0" fontId="336" fillId="55" borderId="0" xfId="0" applyFont="1" applyFill="1" applyAlignment="1">
      <alignment vertical="center"/>
    </xf>
    <xf numFmtId="0" fontId="321" fillId="35" borderId="321" xfId="0" applyFont="1" applyFill="1" applyBorder="1" applyAlignment="1">
      <alignment horizontal="center" vertical="center"/>
    </xf>
    <xf numFmtId="0" fontId="321" fillId="41" borderId="321" xfId="0" applyFont="1" applyFill="1" applyBorder="1" applyAlignment="1">
      <alignment horizontal="center" vertical="center"/>
    </xf>
    <xf numFmtId="0" fontId="321" fillId="35" borderId="401" xfId="0" applyFont="1" applyFill="1" applyBorder="1" applyAlignment="1">
      <alignment horizontal="center" vertical="center"/>
    </xf>
    <xf numFmtId="0" fontId="335" fillId="55" borderId="321" xfId="0" applyFont="1" applyFill="1" applyBorder="1" applyAlignment="1">
      <alignment horizontal="center" vertical="center"/>
    </xf>
    <xf numFmtId="1" fontId="73" fillId="0" borderId="321" xfId="0" applyNumberFormat="1" applyFont="1" applyBorder="1" applyAlignment="1" applyProtection="1">
      <alignment horizontal="center" vertical="center"/>
      <protection hidden="1"/>
    </xf>
    <xf numFmtId="1" fontId="64" fillId="0" borderId="321" xfId="0" applyNumberFormat="1" applyFont="1" applyBorder="1" applyAlignment="1" applyProtection="1">
      <alignment horizontal="center" vertical="center" wrapText="1"/>
      <protection hidden="1"/>
    </xf>
    <xf numFmtId="0" fontId="88" fillId="0" borderId="0" xfId="0" applyFont="1" applyAlignment="1">
      <alignment vertical="center"/>
    </xf>
    <xf numFmtId="0" fontId="347" fillId="50" borderId="233" xfId="0" applyFont="1" applyFill="1" applyBorder="1" applyAlignment="1" applyProtection="1">
      <alignment horizontal="center" vertical="center"/>
      <protection locked="0" hidden="1"/>
    </xf>
    <xf numFmtId="0" fontId="0" fillId="50" borderId="492" xfId="0" applyFill="1" applyBorder="1"/>
    <xf numFmtId="0" fontId="0" fillId="50" borderId="350" xfId="0" applyFill="1" applyBorder="1"/>
    <xf numFmtId="0" fontId="0" fillId="50" borderId="498" xfId="0" applyFill="1" applyBorder="1"/>
    <xf numFmtId="0" fontId="11" fillId="0" borderId="247" xfId="0" applyFont="1" applyBorder="1" applyAlignment="1" applyProtection="1">
      <alignment vertical="center"/>
      <protection hidden="1"/>
    </xf>
    <xf numFmtId="0" fontId="27" fillId="0" borderId="247" xfId="0" applyFont="1" applyBorder="1" applyAlignment="1" applyProtection="1">
      <alignment vertical="center"/>
      <protection hidden="1"/>
    </xf>
    <xf numFmtId="0" fontId="10" fillId="0" borderId="321" xfId="0" applyFont="1" applyBorder="1" applyAlignment="1" applyProtection="1">
      <alignment horizontal="center" vertical="center"/>
      <protection locked="0"/>
    </xf>
    <xf numFmtId="164" fontId="2" fillId="0" borderId="321" xfId="0" applyNumberFormat="1" applyFont="1" applyBorder="1" applyAlignment="1" applyProtection="1">
      <alignment horizontal="center" vertical="center"/>
      <protection hidden="1"/>
    </xf>
    <xf numFmtId="3" fontId="8" fillId="0" borderId="321" xfId="0" applyNumberFormat="1" applyFont="1" applyBorder="1" applyAlignment="1" applyProtection="1">
      <alignment horizontal="center" vertical="center"/>
      <protection hidden="1"/>
    </xf>
    <xf numFmtId="164" fontId="8" fillId="0" borderId="401" xfId="0" applyNumberFormat="1" applyFont="1" applyBorder="1" applyAlignment="1" applyProtection="1">
      <alignment horizontal="center" vertical="center"/>
      <protection hidden="1"/>
    </xf>
    <xf numFmtId="0" fontId="1" fillId="0" borderId="479" xfId="0" applyFont="1" applyBorder="1" applyAlignment="1" applyProtection="1">
      <alignment vertical="center"/>
      <protection hidden="1"/>
    </xf>
    <xf numFmtId="0" fontId="2" fillId="0" borderId="479" xfId="0" applyFont="1" applyBorder="1" applyAlignment="1" applyProtection="1">
      <alignment vertical="center"/>
      <protection hidden="1"/>
    </xf>
    <xf numFmtId="0" fontId="466" fillId="34" borderId="0" xfId="0" applyFont="1" applyFill="1" applyProtection="1">
      <protection hidden="1"/>
    </xf>
    <xf numFmtId="1" fontId="2" fillId="0" borderId="321" xfId="0" applyNumberFormat="1" applyFont="1" applyBorder="1" applyAlignment="1" applyProtection="1">
      <alignment horizontal="center"/>
      <protection hidden="1"/>
    </xf>
    <xf numFmtId="0" fontId="14" fillId="0" borderId="185" xfId="0" applyFont="1" applyBorder="1" applyAlignment="1" applyProtection="1">
      <alignment vertical="center"/>
      <protection hidden="1"/>
    </xf>
    <xf numFmtId="0" fontId="2" fillId="0" borderId="298" xfId="0" applyFont="1" applyBorder="1" applyAlignment="1" applyProtection="1">
      <alignment horizontal="center" vertical="center"/>
      <protection hidden="1"/>
    </xf>
    <xf numFmtId="1" fontId="2" fillId="0" borderId="401" xfId="0" applyNumberFormat="1" applyFont="1" applyBorder="1" applyAlignment="1" applyProtection="1">
      <alignment horizontal="center"/>
      <protection hidden="1"/>
    </xf>
    <xf numFmtId="0" fontId="14" fillId="0" borderId="321" xfId="0" applyFont="1" applyBorder="1" applyAlignment="1" applyProtection="1">
      <alignment vertical="center"/>
      <protection hidden="1"/>
    </xf>
    <xf numFmtId="164" fontId="2" fillId="50" borderId="4" xfId="0" applyNumberFormat="1" applyFont="1" applyFill="1" applyBorder="1" applyAlignment="1" applyProtection="1">
      <alignment horizontal="center" vertical="center"/>
      <protection hidden="1"/>
    </xf>
    <xf numFmtId="0" fontId="1" fillId="0" borderId="96" xfId="0" applyFont="1" applyBorder="1" applyAlignment="1" applyProtection="1">
      <alignment horizontal="center" vertical="center"/>
      <protection hidden="1"/>
    </xf>
    <xf numFmtId="0" fontId="20" fillId="50" borderId="262" xfId="0" applyFont="1" applyFill="1" applyBorder="1" applyAlignment="1" applyProtection="1">
      <alignment horizontal="right" vertical="center"/>
      <protection hidden="1"/>
    </xf>
    <xf numFmtId="0" fontId="2" fillId="50" borderId="0" xfId="0" applyFont="1" applyFill="1" applyAlignment="1" applyProtection="1">
      <alignment vertical="center"/>
      <protection hidden="1"/>
    </xf>
    <xf numFmtId="0" fontId="14" fillId="50" borderId="0" xfId="0" applyFont="1" applyFill="1" applyAlignment="1" applyProtection="1">
      <alignment vertical="center"/>
      <protection hidden="1"/>
    </xf>
    <xf numFmtId="0" fontId="22" fillId="50" borderId="479" xfId="0" applyFont="1" applyFill="1" applyBorder="1" applyAlignment="1" applyProtection="1">
      <alignment horizontal="center" vertical="center"/>
      <protection hidden="1"/>
    </xf>
    <xf numFmtId="0" fontId="2" fillId="50" borderId="352" xfId="0" applyFont="1" applyFill="1" applyBorder="1" applyAlignment="1" applyProtection="1">
      <alignment horizontal="left" vertical="center"/>
      <protection hidden="1"/>
    </xf>
    <xf numFmtId="0" fontId="2" fillId="50" borderId="352" xfId="0" applyFont="1" applyFill="1" applyBorder="1" applyAlignment="1" applyProtection="1">
      <alignment vertical="center"/>
      <protection hidden="1"/>
    </xf>
    <xf numFmtId="0" fontId="14" fillId="50" borderId="352" xfId="0" applyFont="1" applyFill="1" applyBorder="1" applyAlignment="1" applyProtection="1">
      <alignment vertical="center"/>
      <protection hidden="1"/>
    </xf>
    <xf numFmtId="0" fontId="23" fillId="50" borderId="354" xfId="0" applyFont="1" applyFill="1" applyBorder="1" applyProtection="1">
      <protection hidden="1"/>
    </xf>
    <xf numFmtId="0" fontId="81" fillId="0" borderId="352" xfId="0" applyFont="1" applyBorder="1" applyAlignment="1" applyProtection="1">
      <alignment vertical="top"/>
      <protection hidden="1"/>
    </xf>
    <xf numFmtId="0" fontId="17" fillId="0" borderId="321" xfId="0" applyFont="1" applyBorder="1" applyAlignment="1" applyProtection="1">
      <alignment horizontal="center" vertical="center"/>
      <protection hidden="1"/>
    </xf>
    <xf numFmtId="1" fontId="19" fillId="0" borderId="321" xfId="0" applyNumberFormat="1" applyFont="1" applyBorder="1" applyAlignment="1" applyProtection="1">
      <alignment vertical="center"/>
      <protection hidden="1"/>
    </xf>
    <xf numFmtId="0" fontId="22" fillId="50" borderId="185" xfId="0" applyFont="1" applyFill="1" applyBorder="1" applyAlignment="1" applyProtection="1">
      <alignment vertical="center"/>
      <protection hidden="1"/>
    </xf>
    <xf numFmtId="0" fontId="448" fillId="0" borderId="321" xfId="0" applyFont="1" applyBorder="1" applyAlignment="1" applyProtection="1">
      <alignment horizontal="center" vertical="center"/>
      <protection hidden="1"/>
    </xf>
    <xf numFmtId="0" fontId="21" fillId="0" borderId="321" xfId="0" applyFont="1" applyBorder="1" applyAlignment="1" applyProtection="1">
      <alignment horizontal="center" vertical="center"/>
      <protection hidden="1"/>
    </xf>
    <xf numFmtId="169" fontId="21" fillId="0" borderId="321" xfId="0" applyNumberFormat="1" applyFont="1" applyBorder="1" applyAlignment="1" applyProtection="1">
      <alignment vertical="center"/>
      <protection hidden="1"/>
    </xf>
    <xf numFmtId="169" fontId="21" fillId="0" borderId="321" xfId="0" applyNumberFormat="1" applyFont="1" applyBorder="1" applyAlignment="1" applyProtection="1">
      <alignment horizontal="center" vertical="center"/>
      <protection hidden="1"/>
    </xf>
    <xf numFmtId="0" fontId="21" fillId="0" borderId="401" xfId="0" applyFont="1" applyBorder="1" applyAlignment="1" applyProtection="1">
      <alignment horizontal="center" vertical="center"/>
      <protection hidden="1"/>
    </xf>
    <xf numFmtId="0" fontId="2" fillId="0" borderId="321" xfId="0" applyFont="1" applyBorder="1" applyAlignment="1" applyProtection="1">
      <alignment horizontal="center"/>
      <protection hidden="1"/>
    </xf>
    <xf numFmtId="0" fontId="2" fillId="50" borderId="261" xfId="0" applyFont="1" applyFill="1" applyBorder="1" applyAlignment="1" applyProtection="1">
      <alignment vertical="center"/>
      <protection hidden="1"/>
    </xf>
    <xf numFmtId="0" fontId="21" fillId="50" borderId="321" xfId="0" applyFont="1" applyFill="1" applyBorder="1" applyAlignment="1" applyProtection="1">
      <alignment vertical="center"/>
      <protection hidden="1"/>
    </xf>
    <xf numFmtId="0" fontId="21" fillId="50" borderId="0" xfId="0" applyFont="1" applyFill="1" applyAlignment="1" applyProtection="1">
      <alignment horizontal="center" vertical="center"/>
      <protection hidden="1"/>
    </xf>
    <xf numFmtId="0" fontId="21" fillId="0" borderId="321" xfId="0" applyFont="1" applyBorder="1" applyAlignment="1" applyProtection="1">
      <alignment vertical="center"/>
      <protection hidden="1"/>
    </xf>
    <xf numFmtId="0" fontId="26" fillId="50" borderId="6" xfId="0" applyFont="1" applyFill="1" applyBorder="1" applyAlignment="1" applyProtection="1">
      <alignment vertical="center" wrapText="1"/>
      <protection hidden="1"/>
    </xf>
    <xf numFmtId="0" fontId="26" fillId="50" borderId="0" xfId="0" applyFont="1" applyFill="1" applyAlignment="1" applyProtection="1">
      <alignment vertical="center" wrapText="1"/>
      <protection hidden="1"/>
    </xf>
    <xf numFmtId="0" fontId="26" fillId="50" borderId="4" xfId="0" applyFont="1" applyFill="1" applyBorder="1" applyAlignment="1" applyProtection="1">
      <alignment vertical="center" wrapText="1"/>
      <protection hidden="1"/>
    </xf>
    <xf numFmtId="0" fontId="11" fillId="50" borderId="0" xfId="0" applyFont="1" applyFill="1" applyAlignment="1" applyProtection="1">
      <alignment vertical="center"/>
      <protection hidden="1"/>
    </xf>
    <xf numFmtId="0" fontId="28" fillId="50" borderId="4" xfId="0" applyFont="1" applyFill="1" applyBorder="1" applyAlignment="1" applyProtection="1">
      <alignment vertical="center"/>
      <protection hidden="1"/>
    </xf>
    <xf numFmtId="0" fontId="2" fillId="50" borderId="7" xfId="0" applyFont="1" applyFill="1" applyBorder="1" applyProtection="1">
      <protection hidden="1"/>
    </xf>
    <xf numFmtId="0" fontId="11" fillId="50" borderId="39" xfId="0" applyFont="1" applyFill="1" applyBorder="1" applyAlignment="1" applyProtection="1">
      <alignment vertical="center"/>
      <protection hidden="1"/>
    </xf>
    <xf numFmtId="0" fontId="22" fillId="50" borderId="39" xfId="0" applyFont="1" applyFill="1" applyBorder="1" applyAlignment="1" applyProtection="1">
      <alignment horizontal="left" vertical="center" wrapText="1"/>
      <protection hidden="1"/>
    </xf>
    <xf numFmtId="169" fontId="21" fillId="50" borderId="0" xfId="0" applyNumberFormat="1" applyFont="1" applyFill="1" applyAlignment="1" applyProtection="1">
      <alignment vertical="center"/>
      <protection hidden="1"/>
    </xf>
    <xf numFmtId="0" fontId="1" fillId="50" borderId="0" xfId="0" applyFont="1" applyFill="1" applyProtection="1">
      <protection hidden="1"/>
    </xf>
    <xf numFmtId="0" fontId="25" fillId="12" borderId="500" xfId="0" applyFont="1" applyFill="1" applyBorder="1" applyProtection="1">
      <protection hidden="1"/>
    </xf>
    <xf numFmtId="0" fontId="21" fillId="0" borderId="501" xfId="0" applyFont="1" applyBorder="1" applyAlignment="1" applyProtection="1">
      <alignment horizontal="center" vertical="center"/>
      <protection hidden="1"/>
    </xf>
    <xf numFmtId="169" fontId="21" fillId="0" borderId="501" xfId="0" applyNumberFormat="1" applyFont="1" applyBorder="1" applyAlignment="1" applyProtection="1">
      <alignment vertical="center"/>
      <protection hidden="1"/>
    </xf>
    <xf numFmtId="0" fontId="25" fillId="50" borderId="6" xfId="0" applyFont="1" applyFill="1" applyBorder="1" applyProtection="1">
      <protection hidden="1"/>
    </xf>
    <xf numFmtId="0" fontId="8" fillId="50" borderId="4" xfId="0" applyFont="1" applyFill="1" applyBorder="1" applyAlignment="1" applyProtection="1">
      <alignment horizontal="center" vertical="center"/>
      <protection hidden="1"/>
    </xf>
    <xf numFmtId="0" fontId="1" fillId="50" borderId="501" xfId="0" applyFont="1" applyFill="1" applyBorder="1" applyAlignment="1" applyProtection="1">
      <alignment horizontal="center" vertical="center"/>
      <protection hidden="1"/>
    </xf>
    <xf numFmtId="0" fontId="21" fillId="0" borderId="321" xfId="0" applyFont="1" applyBorder="1" applyAlignment="1" applyProtection="1">
      <alignment vertical="top"/>
      <protection hidden="1"/>
    </xf>
    <xf numFmtId="0" fontId="21" fillId="0" borderId="298" xfId="0" applyFont="1" applyBorder="1" applyAlignment="1" applyProtection="1">
      <alignment vertical="top"/>
      <protection hidden="1"/>
    </xf>
    <xf numFmtId="164" fontId="197" fillId="2" borderId="54" xfId="0" applyNumberFormat="1" applyFont="1" applyFill="1" applyBorder="1" applyAlignment="1" applyProtection="1">
      <alignment horizontal="right" vertical="center"/>
      <protection hidden="1"/>
    </xf>
    <xf numFmtId="164" fontId="197" fillId="2" borderId="0" xfId="0" applyNumberFormat="1" applyFont="1" applyFill="1" applyAlignment="1" applyProtection="1">
      <alignment horizontal="right" vertical="center"/>
      <protection hidden="1"/>
    </xf>
    <xf numFmtId="0" fontId="322" fillId="39" borderId="0" xfId="0" applyFont="1" applyFill="1" applyAlignment="1">
      <alignment horizontal="center" vertical="center"/>
    </xf>
    <xf numFmtId="0" fontId="2" fillId="0" borderId="321" xfId="0" applyFont="1" applyBorder="1" applyAlignment="1" applyProtection="1">
      <alignment horizontal="center" vertical="center"/>
      <protection hidden="1"/>
    </xf>
    <xf numFmtId="0" fontId="2" fillId="0" borderId="0" xfId="0" applyFont="1" applyAlignment="1" applyProtection="1">
      <alignment horizontal="left" vertical="center"/>
      <protection hidden="1"/>
    </xf>
    <xf numFmtId="0" fontId="2" fillId="0" borderId="0" xfId="0" applyFont="1" applyAlignment="1" applyProtection="1">
      <alignment vertical="center"/>
      <protection hidden="1"/>
    </xf>
    <xf numFmtId="0" fontId="21" fillId="0" borderId="0" xfId="0" applyFont="1" applyAlignment="1" applyProtection="1">
      <alignment vertical="center"/>
      <protection hidden="1"/>
    </xf>
    <xf numFmtId="0" fontId="337" fillId="0" borderId="321" xfId="0" applyFont="1" applyBorder="1" applyAlignment="1" applyProtection="1">
      <alignment horizontal="center" vertical="center"/>
      <protection hidden="1"/>
    </xf>
    <xf numFmtId="0" fontId="8" fillId="0" borderId="321" xfId="0" applyFont="1" applyBorder="1" applyAlignment="1" applyProtection="1">
      <alignment horizontal="center" vertical="center"/>
      <protection hidden="1"/>
    </xf>
    <xf numFmtId="164" fontId="2" fillId="0" borderId="0" xfId="0" applyNumberFormat="1" applyFont="1" applyAlignment="1" applyProtection="1">
      <alignment horizontal="center" vertical="center"/>
      <protection hidden="1"/>
    </xf>
    <xf numFmtId="0" fontId="2" fillId="0" borderId="401" xfId="0" applyFont="1" applyBorder="1" applyAlignment="1" applyProtection="1">
      <alignment horizontal="center" vertical="center"/>
      <protection hidden="1"/>
    </xf>
    <xf numFmtId="0" fontId="440" fillId="66" borderId="219" xfId="0" applyFont="1" applyFill="1" applyBorder="1" applyAlignment="1" applyProtection="1">
      <alignment vertical="center"/>
      <protection locked="0" hidden="1"/>
    </xf>
    <xf numFmtId="0" fontId="440" fillId="66" borderId="0" xfId="0" applyFont="1" applyFill="1" applyAlignment="1" applyProtection="1">
      <alignment vertical="center"/>
      <protection locked="0" hidden="1"/>
    </xf>
    <xf numFmtId="0" fontId="0" fillId="39" borderId="76" xfId="0" applyFill="1" applyBorder="1" applyProtection="1">
      <protection hidden="1"/>
    </xf>
    <xf numFmtId="0" fontId="143" fillId="39" borderId="88" xfId="0" applyFont="1" applyFill="1" applyBorder="1" applyAlignment="1" applyProtection="1">
      <alignment horizontal="center" vertical="center"/>
      <protection hidden="1"/>
    </xf>
    <xf numFmtId="0" fontId="0" fillId="39" borderId="84" xfId="0" applyFill="1" applyBorder="1" applyProtection="1">
      <protection hidden="1"/>
    </xf>
    <xf numFmtId="0" fontId="0" fillId="39" borderId="0" xfId="0" applyFill="1" applyProtection="1">
      <protection hidden="1"/>
    </xf>
    <xf numFmtId="0" fontId="0" fillId="39" borderId="0" xfId="0" applyFill="1" applyAlignment="1" applyProtection="1">
      <alignment horizontal="center"/>
      <protection hidden="1"/>
    </xf>
    <xf numFmtId="0" fontId="202" fillId="39" borderId="0" xfId="0" applyFont="1" applyFill="1" applyAlignment="1" applyProtection="1">
      <alignment vertical="center" wrapText="1"/>
      <protection hidden="1"/>
    </xf>
    <xf numFmtId="0" fontId="202" fillId="39" borderId="0" xfId="0" applyFont="1" applyFill="1" applyAlignment="1" applyProtection="1">
      <alignment horizontal="center" vertical="center" wrapText="1"/>
      <protection hidden="1"/>
    </xf>
    <xf numFmtId="0" fontId="288" fillId="39" borderId="0" xfId="0" applyFont="1" applyFill="1" applyAlignment="1" applyProtection="1">
      <alignment vertical="center"/>
      <protection hidden="1"/>
    </xf>
    <xf numFmtId="0" fontId="288" fillId="39" borderId="77" xfId="0" applyFont="1" applyFill="1" applyBorder="1" applyAlignment="1" applyProtection="1">
      <alignment vertical="center"/>
      <protection hidden="1"/>
    </xf>
    <xf numFmtId="0" fontId="288" fillId="39" borderId="75" xfId="0" applyFont="1" applyFill="1" applyBorder="1" applyAlignment="1" applyProtection="1">
      <alignment vertical="center"/>
      <protection hidden="1"/>
    </xf>
    <xf numFmtId="0" fontId="0" fillId="39" borderId="77" xfId="0" applyFill="1" applyBorder="1" applyProtection="1">
      <protection hidden="1"/>
    </xf>
    <xf numFmtId="0" fontId="0" fillId="39" borderId="75" xfId="0" applyFill="1" applyBorder="1" applyProtection="1">
      <protection hidden="1"/>
    </xf>
    <xf numFmtId="0" fontId="0" fillId="39" borderId="0" xfId="0" applyFill="1" applyAlignment="1" applyProtection="1">
      <alignment vertical="center"/>
      <protection hidden="1"/>
    </xf>
    <xf numFmtId="0" fontId="0" fillId="39" borderId="0" xfId="0" applyFill="1" applyAlignment="1" applyProtection="1">
      <alignment horizontal="center" vertical="center"/>
      <protection hidden="1"/>
    </xf>
    <xf numFmtId="0" fontId="213" fillId="39" borderId="0" xfId="0" applyFont="1" applyFill="1" applyProtection="1">
      <protection hidden="1"/>
    </xf>
    <xf numFmtId="0" fontId="213" fillId="39" borderId="222" xfId="0" applyFont="1" applyFill="1" applyBorder="1" applyProtection="1">
      <protection hidden="1"/>
    </xf>
    <xf numFmtId="0" fontId="213" fillId="39" borderId="223" xfId="0" applyFont="1" applyFill="1" applyBorder="1" applyProtection="1">
      <protection hidden="1"/>
    </xf>
    <xf numFmtId="0" fontId="119" fillId="39" borderId="0" xfId="0" applyFont="1" applyFill="1" applyAlignment="1" applyProtection="1">
      <alignment vertical="center"/>
      <protection hidden="1"/>
    </xf>
    <xf numFmtId="0" fontId="119" fillId="39" borderId="222" xfId="0" applyFont="1" applyFill="1" applyBorder="1" applyAlignment="1" applyProtection="1">
      <alignment vertical="center"/>
      <protection hidden="1"/>
    </xf>
    <xf numFmtId="0" fontId="119" fillId="39" borderId="223" xfId="0" applyFont="1" applyFill="1" applyBorder="1" applyAlignment="1" applyProtection="1">
      <alignment vertical="center"/>
      <protection hidden="1"/>
    </xf>
    <xf numFmtId="0" fontId="119" fillId="39" borderId="219" xfId="0" applyFont="1" applyFill="1" applyBorder="1" applyAlignment="1" applyProtection="1">
      <alignment vertical="center"/>
      <protection hidden="1"/>
    </xf>
    <xf numFmtId="0" fontId="254" fillId="39" borderId="0" xfId="0" applyFont="1" applyFill="1" applyProtection="1">
      <protection hidden="1"/>
    </xf>
    <xf numFmtId="0" fontId="328" fillId="90" borderId="227" xfId="0" applyFont="1" applyFill="1" applyBorder="1" applyAlignment="1" applyProtection="1">
      <alignment horizontal="center"/>
      <protection hidden="1"/>
    </xf>
    <xf numFmtId="0" fontId="328" fillId="90" borderId="227" xfId="0" applyFont="1" applyFill="1" applyBorder="1" applyAlignment="1" applyProtection="1">
      <alignment horizontal="center" vertical="center"/>
      <protection locked="0" hidden="1"/>
    </xf>
    <xf numFmtId="0" fontId="328" fillId="90" borderId="227" xfId="0" applyFont="1" applyFill="1" applyBorder="1" applyAlignment="1" applyProtection="1">
      <alignment horizontal="center"/>
      <protection locked="0" hidden="1"/>
    </xf>
    <xf numFmtId="0" fontId="0" fillId="39" borderId="220" xfId="0" applyFill="1" applyBorder="1" applyProtection="1">
      <protection hidden="1"/>
    </xf>
    <xf numFmtId="0" fontId="0" fillId="39" borderId="221" xfId="0" applyFill="1" applyBorder="1" applyProtection="1">
      <protection hidden="1"/>
    </xf>
    <xf numFmtId="0" fontId="0" fillId="39" borderId="222" xfId="0" applyFill="1" applyBorder="1" applyProtection="1">
      <protection hidden="1"/>
    </xf>
    <xf numFmtId="0" fontId="0" fillId="39" borderId="223" xfId="0" applyFill="1" applyBorder="1" applyProtection="1">
      <protection hidden="1"/>
    </xf>
    <xf numFmtId="0" fontId="345" fillId="39" borderId="0" xfId="0" applyFont="1" applyFill="1" applyAlignment="1" applyProtection="1">
      <alignment vertical="center"/>
      <protection hidden="1"/>
    </xf>
    <xf numFmtId="0" fontId="345" fillId="39" borderId="434" xfId="0" applyFont="1" applyFill="1" applyBorder="1" applyAlignment="1" applyProtection="1">
      <alignment vertical="center"/>
      <protection hidden="1"/>
    </xf>
    <xf numFmtId="0" fontId="169" fillId="39" borderId="507" xfId="0" applyFont="1" applyFill="1" applyBorder="1" applyProtection="1">
      <protection hidden="1"/>
    </xf>
    <xf numFmtId="0" fontId="169" fillId="39" borderId="508" xfId="0" applyFont="1" applyFill="1" applyBorder="1" applyProtection="1">
      <protection hidden="1"/>
    </xf>
    <xf numFmtId="0" fontId="169" fillId="39" borderId="509" xfId="0" applyFont="1" applyFill="1" applyBorder="1" applyProtection="1">
      <protection hidden="1"/>
    </xf>
    <xf numFmtId="0" fontId="169" fillId="39" borderId="77" xfId="0" applyFont="1" applyFill="1" applyBorder="1" applyProtection="1">
      <protection hidden="1"/>
    </xf>
    <xf numFmtId="0" fontId="169" fillId="39" borderId="0" xfId="0" applyFont="1" applyFill="1" applyProtection="1">
      <protection hidden="1"/>
    </xf>
    <xf numFmtId="0" fontId="169" fillId="39" borderId="506" xfId="0" applyFont="1" applyFill="1" applyBorder="1" applyProtection="1">
      <protection hidden="1"/>
    </xf>
    <xf numFmtId="0" fontId="45" fillId="39" borderId="77" xfId="0" applyFont="1" applyFill="1" applyBorder="1" applyProtection="1">
      <protection hidden="1"/>
    </xf>
    <xf numFmtId="0" fontId="45" fillId="39" borderId="0" xfId="0" applyFont="1" applyFill="1" applyProtection="1">
      <protection hidden="1"/>
    </xf>
    <xf numFmtId="0" fontId="45" fillId="39" borderId="506" xfId="0" applyFont="1" applyFill="1" applyBorder="1" applyProtection="1">
      <protection hidden="1"/>
    </xf>
    <xf numFmtId="0" fontId="45" fillId="39" borderId="510" xfId="0" applyFont="1" applyFill="1" applyBorder="1" applyProtection="1">
      <protection hidden="1"/>
    </xf>
    <xf numFmtId="0" fontId="45" fillId="39" borderId="352" xfId="0" applyFont="1" applyFill="1" applyBorder="1" applyProtection="1">
      <protection hidden="1"/>
    </xf>
    <xf numFmtId="0" fontId="45" fillId="39" borderId="511" xfId="0" applyFont="1" applyFill="1" applyBorder="1" applyProtection="1">
      <protection hidden="1"/>
    </xf>
    <xf numFmtId="0" fontId="126" fillId="4" borderId="491" xfId="0" applyFont="1" applyFill="1" applyBorder="1" applyAlignment="1">
      <alignment horizontal="center" vertical="center"/>
    </xf>
    <xf numFmtId="0" fontId="126" fillId="45" borderId="491" xfId="0" applyFont="1" applyFill="1" applyBorder="1" applyAlignment="1">
      <alignment horizontal="center" vertical="center" wrapText="1"/>
    </xf>
    <xf numFmtId="0" fontId="468" fillId="47" borderId="298" xfId="0" applyFont="1" applyFill="1" applyBorder="1" applyAlignment="1">
      <alignment horizontal="center" vertical="center"/>
    </xf>
    <xf numFmtId="0" fontId="321" fillId="39" borderId="261" xfId="0" applyFont="1" applyFill="1" applyBorder="1" applyAlignment="1">
      <alignment horizontal="center"/>
    </xf>
    <xf numFmtId="0" fontId="328" fillId="39" borderId="262" xfId="0" applyFont="1" applyFill="1" applyBorder="1" applyAlignment="1">
      <alignment horizontal="center" vertical="center"/>
    </xf>
    <xf numFmtId="0" fontId="10" fillId="37" borderId="321" xfId="0" applyFont="1" applyFill="1" applyBorder="1" applyAlignment="1">
      <alignment horizontal="center" vertical="center"/>
    </xf>
    <xf numFmtId="0" fontId="22" fillId="50" borderId="186" xfId="0" applyFont="1" applyFill="1" applyBorder="1" applyAlignment="1" applyProtection="1">
      <alignment vertical="center"/>
      <protection hidden="1"/>
    </xf>
    <xf numFmtId="164" fontId="2" fillId="50" borderId="505" xfId="0" applyNumberFormat="1" applyFont="1" applyFill="1" applyBorder="1" applyAlignment="1" applyProtection="1">
      <alignment horizontal="center" vertical="center"/>
      <protection hidden="1"/>
    </xf>
    <xf numFmtId="0" fontId="1" fillId="50" borderId="209" xfId="0" applyFont="1" applyFill="1" applyBorder="1" applyAlignment="1" applyProtection="1">
      <alignment vertical="center"/>
      <protection hidden="1"/>
    </xf>
    <xf numFmtId="0" fontId="14" fillId="50" borderId="209" xfId="0" applyFont="1" applyFill="1" applyBorder="1" applyAlignment="1" applyProtection="1">
      <alignment vertical="center"/>
      <protection hidden="1"/>
    </xf>
    <xf numFmtId="0" fontId="2" fillId="50" borderId="186" xfId="0" applyFont="1" applyFill="1" applyBorder="1" applyAlignment="1" applyProtection="1">
      <alignment horizontal="left" vertical="center"/>
      <protection hidden="1"/>
    </xf>
    <xf numFmtId="0" fontId="328" fillId="49" borderId="321" xfId="0" applyFont="1" applyFill="1" applyBorder="1" applyAlignment="1">
      <alignment horizontal="left" vertical="center"/>
    </xf>
    <xf numFmtId="3" fontId="328" fillId="49" borderId="321" xfId="0" applyNumberFormat="1" applyFont="1" applyFill="1" applyBorder="1" applyAlignment="1">
      <alignment horizontal="center" vertical="center"/>
    </xf>
    <xf numFmtId="0" fontId="328" fillId="49" borderId="12" xfId="0" applyFont="1" applyFill="1" applyBorder="1" applyAlignment="1">
      <alignment horizontal="left" vertical="center"/>
    </xf>
    <xf numFmtId="0" fontId="328" fillId="49" borderId="12" xfId="0" applyFont="1" applyFill="1" applyBorder="1" applyAlignment="1">
      <alignment horizontal="left" vertical="center" wrapText="1"/>
    </xf>
    <xf numFmtId="3" fontId="0" fillId="49" borderId="321" xfId="0" applyNumberFormat="1" applyFill="1" applyBorder="1" applyAlignment="1">
      <alignment horizontal="center" vertical="center"/>
    </xf>
    <xf numFmtId="3" fontId="328" fillId="49" borderId="12" xfId="0" applyNumberFormat="1" applyFont="1" applyFill="1" applyBorder="1" applyAlignment="1">
      <alignment horizontal="center" vertical="center"/>
    </xf>
    <xf numFmtId="0" fontId="14" fillId="0" borderId="517" xfId="0" applyFont="1" applyBorder="1" applyAlignment="1" applyProtection="1">
      <alignment vertical="center"/>
      <protection hidden="1"/>
    </xf>
    <xf numFmtId="0" fontId="52" fillId="2" borderId="0" xfId="0" applyFont="1" applyFill="1" applyAlignment="1">
      <alignment vertical="center"/>
    </xf>
    <xf numFmtId="0" fontId="1" fillId="17" borderId="321" xfId="0" applyFont="1" applyFill="1" applyBorder="1" applyAlignment="1">
      <alignment horizontal="left" vertical="center"/>
    </xf>
    <xf numFmtId="0" fontId="70" fillId="0" borderId="321" xfId="0" applyFont="1" applyBorder="1" applyAlignment="1">
      <alignment horizontal="center" vertical="center"/>
    </xf>
    <xf numFmtId="0" fontId="70" fillId="0" borderId="321" xfId="0" applyFont="1" applyBorder="1" applyAlignment="1">
      <alignment vertical="center"/>
    </xf>
    <xf numFmtId="0" fontId="70" fillId="0" borderId="321" xfId="0" applyFont="1" applyBorder="1" applyAlignment="1">
      <alignment horizontal="left" vertical="center" wrapText="1"/>
    </xf>
    <xf numFmtId="0" fontId="70" fillId="0" borderId="321" xfId="0" applyFont="1" applyBorder="1" applyAlignment="1">
      <alignment horizontal="left" vertical="center"/>
    </xf>
    <xf numFmtId="3" fontId="70" fillId="0" borderId="321" xfId="0" applyNumberFormat="1" applyFont="1" applyBorder="1" applyAlignment="1">
      <alignment horizontal="center" vertical="center"/>
    </xf>
    <xf numFmtId="3" fontId="1" fillId="0" borderId="321" xfId="0" applyNumberFormat="1" applyFont="1" applyBorder="1" applyAlignment="1">
      <alignment horizontal="center" vertical="center"/>
    </xf>
    <xf numFmtId="0" fontId="14" fillId="50" borderId="185" xfId="0" applyFont="1" applyFill="1" applyBorder="1" applyAlignment="1" applyProtection="1">
      <alignment vertical="center"/>
      <protection hidden="1"/>
    </xf>
    <xf numFmtId="0" fontId="2" fillId="50" borderId="401" xfId="0" applyFont="1" applyFill="1" applyBorder="1" applyAlignment="1" applyProtection="1">
      <alignment horizontal="center" vertical="center"/>
      <protection hidden="1"/>
    </xf>
    <xf numFmtId="0" fontId="70" fillId="0" borderId="6" xfId="0" applyFont="1" applyBorder="1" applyAlignment="1" applyProtection="1">
      <alignment horizontal="center" vertical="center"/>
      <protection hidden="1"/>
    </xf>
    <xf numFmtId="0" fontId="70" fillId="0" borderId="0" xfId="0" applyFont="1" applyAlignment="1" applyProtection="1">
      <alignment horizontal="left" vertical="center"/>
      <protection hidden="1"/>
    </xf>
    <xf numFmtId="0" fontId="69" fillId="50" borderId="321" xfId="0" applyFont="1" applyFill="1" applyBorder="1" applyAlignment="1" applyProtection="1">
      <alignment horizontal="center" vertical="center"/>
      <protection hidden="1"/>
    </xf>
    <xf numFmtId="0" fontId="1" fillId="50" borderId="260" xfId="0" applyFont="1" applyFill="1" applyBorder="1" applyAlignment="1">
      <alignment horizontal="center" vertical="center"/>
    </xf>
    <xf numFmtId="0" fontId="70" fillId="50" borderId="260" xfId="0" applyFont="1" applyFill="1" applyBorder="1" applyAlignment="1">
      <alignment horizontal="center" vertical="center"/>
    </xf>
    <xf numFmtId="0" fontId="70" fillId="50" borderId="260" xfId="0" applyFont="1" applyFill="1" applyBorder="1" applyAlignment="1">
      <alignment horizontal="left" vertical="center"/>
    </xf>
    <xf numFmtId="3" fontId="70" fillId="50" borderId="260" xfId="0" applyNumberFormat="1" applyFont="1" applyFill="1" applyBorder="1" applyAlignment="1">
      <alignment vertical="center"/>
    </xf>
    <xf numFmtId="0" fontId="2" fillId="0" borderId="519" xfId="0" applyFont="1" applyBorder="1" applyAlignment="1" applyProtection="1">
      <alignment horizontal="center" vertical="center"/>
      <protection hidden="1"/>
    </xf>
    <xf numFmtId="0" fontId="328" fillId="42" borderId="0" xfId="0" applyFont="1" applyFill="1" applyAlignment="1" applyProtection="1">
      <alignment vertical="center"/>
      <protection locked="0" hidden="1"/>
    </xf>
    <xf numFmtId="0" fontId="1" fillId="0" borderId="296" xfId="0" applyFont="1" applyBorder="1" applyAlignment="1" applyProtection="1">
      <alignment horizontal="center" vertical="center"/>
      <protection hidden="1"/>
    </xf>
    <xf numFmtId="3" fontId="2" fillId="0" borderId="321" xfId="0" applyNumberFormat="1" applyFont="1" applyBorder="1" applyAlignment="1" applyProtection="1">
      <alignment horizontal="center" vertical="center"/>
      <protection hidden="1"/>
    </xf>
    <xf numFmtId="0" fontId="2" fillId="0" borderId="321" xfId="0" applyFont="1" applyBorder="1" applyAlignment="1" applyProtection="1">
      <alignment horizontal="left" vertical="center"/>
      <protection hidden="1"/>
    </xf>
    <xf numFmtId="0" fontId="2" fillId="0" borderId="410" xfId="0" applyFont="1" applyBorder="1" applyAlignment="1" applyProtection="1">
      <alignment horizontal="left" vertical="center"/>
      <protection hidden="1"/>
    </xf>
    <xf numFmtId="0" fontId="187" fillId="2" borderId="0" xfId="0" applyFont="1" applyFill="1" applyAlignment="1" applyProtection="1">
      <alignment horizontal="center" vertical="top" wrapText="1"/>
      <protection hidden="1"/>
    </xf>
    <xf numFmtId="0" fontId="21" fillId="0" borderId="321" xfId="0" applyFont="1" applyBorder="1" applyAlignment="1" applyProtection="1">
      <alignment horizontal="left" vertical="center"/>
      <protection hidden="1"/>
    </xf>
    <xf numFmtId="0" fontId="10" fillId="0" borderId="410" xfId="0" applyFont="1" applyBorder="1" applyAlignment="1" applyProtection="1">
      <alignment horizontal="center" vertical="center"/>
      <protection hidden="1"/>
    </xf>
    <xf numFmtId="0" fontId="10" fillId="0" borderId="321" xfId="0" applyFont="1" applyBorder="1" applyAlignment="1" applyProtection="1">
      <alignment horizontal="center" vertical="center"/>
      <protection hidden="1"/>
    </xf>
    <xf numFmtId="0" fontId="8" fillId="0" borderId="296" xfId="0" applyFont="1" applyBorder="1" applyAlignment="1" applyProtection="1">
      <alignment horizontal="center" vertical="center"/>
      <protection hidden="1"/>
    </xf>
    <xf numFmtId="164" fontId="2" fillId="12" borderId="81" xfId="0" applyNumberFormat="1" applyFont="1" applyFill="1" applyBorder="1" applyAlignment="1">
      <alignment horizontal="center" vertical="center"/>
    </xf>
    <xf numFmtId="0" fontId="2" fillId="12" borderId="0" xfId="0" applyFont="1" applyFill="1" applyAlignment="1">
      <alignment horizontal="left" vertical="center"/>
    </xf>
    <xf numFmtId="0" fontId="2" fillId="12" borderId="20" xfId="0" applyFont="1" applyFill="1" applyBorder="1" applyAlignment="1">
      <alignment horizontal="center" vertical="center"/>
    </xf>
    <xf numFmtId="0" fontId="8" fillId="12" borderId="0" xfId="0" applyFont="1" applyFill="1" applyAlignment="1">
      <alignment horizontal="left" vertical="center"/>
    </xf>
    <xf numFmtId="0" fontId="2" fillId="12" borderId="0" xfId="0" applyFont="1" applyFill="1" applyAlignment="1">
      <alignment horizontal="center" vertical="center"/>
    </xf>
    <xf numFmtId="164" fontId="2" fillId="12" borderId="298" xfId="0" applyNumberFormat="1" applyFont="1" applyFill="1" applyBorder="1" applyAlignment="1">
      <alignment horizontal="center" vertical="center"/>
    </xf>
    <xf numFmtId="0" fontId="2" fillId="12" borderId="13" xfId="0" applyFont="1" applyFill="1" applyBorder="1" applyAlignment="1">
      <alignment horizontal="center" vertical="center"/>
    </xf>
    <xf numFmtId="0" fontId="2" fillId="12" borderId="0" xfId="0" applyFont="1" applyFill="1" applyAlignment="1" applyProtection="1">
      <alignment horizontal="left" vertical="center"/>
      <protection locked="0" hidden="1"/>
    </xf>
    <xf numFmtId="0" fontId="2" fillId="12" borderId="1" xfId="0" applyFont="1" applyFill="1" applyBorder="1" applyAlignment="1">
      <alignment horizontal="center" vertical="center"/>
    </xf>
    <xf numFmtId="0" fontId="2" fillId="12" borderId="87" xfId="0" applyFont="1" applyFill="1" applyBorder="1" applyAlignment="1">
      <alignment horizontal="center" vertical="center"/>
    </xf>
    <xf numFmtId="0" fontId="8" fillId="12" borderId="1" xfId="0" applyFont="1" applyFill="1" applyBorder="1" applyAlignment="1">
      <alignment horizontal="left" vertical="center"/>
    </xf>
    <xf numFmtId="164" fontId="197" fillId="41" borderId="0" xfId="0" applyNumberFormat="1" applyFont="1" applyFill="1" applyAlignment="1" applyProtection="1">
      <alignment horizontal="center" vertical="center" wrapText="1"/>
      <protection hidden="1"/>
    </xf>
    <xf numFmtId="0" fontId="8" fillId="0" borderId="183" xfId="0" applyFont="1" applyBorder="1" applyAlignment="1" applyProtection="1">
      <alignment vertical="center"/>
      <protection hidden="1"/>
    </xf>
    <xf numFmtId="0" fontId="8" fillId="0" borderId="321" xfId="0" applyFont="1" applyBorder="1" applyAlignment="1" applyProtection="1">
      <alignment horizontal="center" vertical="center"/>
      <protection locked="0"/>
    </xf>
    <xf numFmtId="0" fontId="10" fillId="0" borderId="321" xfId="0" applyFont="1" applyBorder="1" applyAlignment="1" applyProtection="1">
      <alignment horizontal="center"/>
      <protection hidden="1"/>
    </xf>
    <xf numFmtId="0" fontId="8" fillId="0" borderId="0" xfId="0" applyFont="1" applyAlignment="1" applyProtection="1">
      <alignment horizontal="center" vertical="center"/>
      <protection hidden="1"/>
    </xf>
    <xf numFmtId="0" fontId="88" fillId="0" borderId="321" xfId="0" applyFont="1" applyBorder="1" applyAlignment="1" applyProtection="1">
      <alignment vertical="center"/>
      <protection hidden="1"/>
    </xf>
    <xf numFmtId="0" fontId="87" fillId="0" borderId="410" xfId="0" applyFont="1" applyBorder="1" applyAlignment="1" applyProtection="1">
      <alignment vertical="center"/>
      <protection hidden="1"/>
    </xf>
    <xf numFmtId="0" fontId="87" fillId="0" borderId="183" xfId="0" applyFont="1" applyBorder="1" applyAlignment="1" applyProtection="1">
      <alignment vertical="center"/>
      <protection hidden="1"/>
    </xf>
    <xf numFmtId="0" fontId="87" fillId="0" borderId="296" xfId="0" applyFont="1" applyBorder="1" applyAlignment="1" applyProtection="1">
      <alignment vertical="center"/>
      <protection hidden="1"/>
    </xf>
    <xf numFmtId="0" fontId="45" fillId="0" borderId="321" xfId="0" applyFont="1" applyBorder="1" applyAlignment="1" applyProtection="1">
      <alignment vertical="center"/>
      <protection hidden="1"/>
    </xf>
    <xf numFmtId="0" fontId="88" fillId="0" borderId="321" xfId="0" applyFont="1" applyBorder="1" applyAlignment="1" applyProtection="1">
      <alignment horizontal="left" vertical="center"/>
      <protection hidden="1"/>
    </xf>
    <xf numFmtId="0" fontId="44" fillId="0" borderId="296" xfId="0" applyFont="1" applyBorder="1" applyAlignment="1" applyProtection="1">
      <alignment vertical="center"/>
      <protection hidden="1"/>
    </xf>
    <xf numFmtId="3" fontId="1" fillId="0" borderId="352" xfId="0" applyNumberFormat="1" applyFont="1" applyBorder="1" applyAlignment="1" applyProtection="1">
      <alignment horizontal="right" vertical="center"/>
      <protection hidden="1"/>
    </xf>
    <xf numFmtId="164" fontId="2" fillId="0" borderId="26" xfId="0" applyNumberFormat="1" applyFont="1" applyBorder="1" applyAlignment="1" applyProtection="1">
      <alignment horizontal="center" vertical="center"/>
      <protection hidden="1"/>
    </xf>
    <xf numFmtId="0" fontId="2" fillId="0" borderId="27" xfId="0" applyFont="1" applyBorder="1" applyAlignment="1" applyProtection="1">
      <alignment vertical="center"/>
      <protection hidden="1"/>
    </xf>
    <xf numFmtId="164" fontId="2" fillId="0" borderId="29" xfId="0" applyNumberFormat="1" applyFont="1" applyBorder="1" applyAlignment="1" applyProtection="1">
      <alignment horizontal="center" vertical="center"/>
      <protection hidden="1"/>
    </xf>
    <xf numFmtId="0" fontId="2" fillId="0" borderId="14" xfId="0" applyFont="1" applyBorder="1" applyAlignment="1" applyProtection="1">
      <alignment vertical="center"/>
      <protection hidden="1"/>
    </xf>
    <xf numFmtId="164" fontId="2" fillId="0" borderId="30" xfId="0" applyNumberFormat="1" applyFont="1" applyBorder="1" applyAlignment="1" applyProtection="1">
      <alignment horizontal="center" vertical="center"/>
      <protection hidden="1"/>
    </xf>
    <xf numFmtId="0" fontId="2" fillId="0" borderId="16" xfId="0" applyFont="1" applyBorder="1" applyAlignment="1" applyProtection="1">
      <alignment vertical="center"/>
      <protection hidden="1"/>
    </xf>
    <xf numFmtId="0" fontId="0" fillId="50" borderId="350" xfId="0" applyFill="1" applyBorder="1" applyAlignment="1">
      <alignment horizontal="center" vertical="center"/>
    </xf>
    <xf numFmtId="0" fontId="8" fillId="0" borderId="524" xfId="0" applyFont="1" applyBorder="1" applyAlignment="1" applyProtection="1">
      <alignment horizontal="center" vertical="center" wrapText="1"/>
      <protection hidden="1"/>
    </xf>
    <xf numFmtId="0" fontId="8" fillId="0" borderId="519" xfId="0" applyFont="1" applyBorder="1" applyAlignment="1" applyProtection="1">
      <alignment horizontal="center" vertical="center"/>
      <protection hidden="1"/>
    </xf>
    <xf numFmtId="0" fontId="8" fillId="0" borderId="183" xfId="0" applyFont="1" applyBorder="1" applyAlignment="1" applyProtection="1">
      <alignment horizontal="center" vertical="center"/>
      <protection hidden="1"/>
    </xf>
    <xf numFmtId="0" fontId="3" fillId="0" borderId="522" xfId="0" applyFont="1" applyBorder="1" applyAlignment="1" applyProtection="1">
      <alignment horizontal="center" vertical="center"/>
      <protection hidden="1"/>
    </xf>
    <xf numFmtId="0" fontId="3" fillId="0" borderId="530" xfId="0" applyFont="1" applyBorder="1" applyAlignment="1" applyProtection="1">
      <alignment horizontal="center" vertical="center"/>
      <protection hidden="1"/>
    </xf>
    <xf numFmtId="3" fontId="43" fillId="0" borderId="354" xfId="0" applyNumberFormat="1" applyFont="1" applyBorder="1" applyAlignment="1" applyProtection="1">
      <alignment horizontal="right" vertical="center"/>
      <protection hidden="1"/>
    </xf>
    <xf numFmtId="0" fontId="22" fillId="0" borderId="248" xfId="0" applyFont="1" applyBorder="1" applyAlignment="1" applyProtection="1">
      <alignment vertical="center"/>
      <protection hidden="1"/>
    </xf>
    <xf numFmtId="3" fontId="14" fillId="0" borderId="321" xfId="0" applyNumberFormat="1" applyFont="1" applyBorder="1" applyAlignment="1" applyProtection="1">
      <alignment vertical="center"/>
      <protection hidden="1"/>
    </xf>
    <xf numFmtId="0" fontId="422" fillId="0" borderId="530" xfId="0" applyFont="1" applyBorder="1" applyAlignment="1" applyProtection="1">
      <alignment horizontal="center" vertical="center"/>
      <protection hidden="1"/>
    </xf>
    <xf numFmtId="0" fontId="421" fillId="0" borderId="533" xfId="0" applyFont="1" applyBorder="1" applyAlignment="1" applyProtection="1">
      <alignment horizontal="center" vertical="center"/>
      <protection hidden="1"/>
    </xf>
    <xf numFmtId="0" fontId="421" fillId="0" borderId="534" xfId="0" applyFont="1" applyBorder="1" applyAlignment="1" applyProtection="1">
      <alignment horizontal="center" vertical="center"/>
      <protection hidden="1"/>
    </xf>
    <xf numFmtId="0" fontId="421" fillId="0" borderId="530" xfId="0" applyFont="1" applyBorder="1" applyAlignment="1" applyProtection="1">
      <alignment horizontal="center" vertical="center"/>
      <protection hidden="1"/>
    </xf>
    <xf numFmtId="0" fontId="422" fillId="0" borderId="530" xfId="0" applyFont="1" applyBorder="1" applyAlignment="1" applyProtection="1">
      <alignment horizontal="center"/>
      <protection hidden="1"/>
    </xf>
    <xf numFmtId="0" fontId="421" fillId="0" borderId="530" xfId="0" applyFont="1" applyBorder="1" applyAlignment="1" applyProtection="1">
      <alignment horizontal="center"/>
      <protection hidden="1"/>
    </xf>
    <xf numFmtId="0" fontId="422" fillId="0" borderId="534" xfId="0" applyFont="1" applyBorder="1" applyAlignment="1" applyProtection="1">
      <alignment horizontal="center" vertical="center"/>
      <protection hidden="1"/>
    </xf>
    <xf numFmtId="0" fontId="451" fillId="50" borderId="247" xfId="0" applyFont="1" applyFill="1" applyBorder="1" applyAlignment="1" applyProtection="1">
      <alignment horizontal="center" vertical="center"/>
      <protection hidden="1"/>
    </xf>
    <xf numFmtId="0" fontId="451" fillId="50" borderId="247" xfId="0" applyFont="1" applyFill="1" applyBorder="1" applyAlignment="1" applyProtection="1">
      <alignment horizontal="left" vertical="top" wrapText="1"/>
      <protection hidden="1"/>
    </xf>
    <xf numFmtId="0" fontId="452" fillId="0" borderId="343" xfId="0" applyFont="1" applyBorder="1" applyAlignment="1" applyProtection="1">
      <alignment vertical="top"/>
      <protection hidden="1"/>
    </xf>
    <xf numFmtId="1" fontId="174" fillId="2" borderId="0" xfId="0" applyNumberFormat="1" applyFont="1" applyFill="1" applyProtection="1">
      <protection hidden="1"/>
    </xf>
    <xf numFmtId="164" fontId="2" fillId="0" borderId="199" xfId="0" applyNumberFormat="1" applyFont="1" applyBorder="1" applyAlignment="1" applyProtection="1">
      <alignment horizontal="center" vertical="center"/>
      <protection hidden="1"/>
    </xf>
    <xf numFmtId="0" fontId="3" fillId="12" borderId="4" xfId="0" applyFont="1" applyFill="1" applyBorder="1" applyAlignment="1" applyProtection="1">
      <alignment horizontal="center" vertical="center"/>
      <protection hidden="1"/>
    </xf>
    <xf numFmtId="0" fontId="1" fillId="50" borderId="0" xfId="0" applyFont="1" applyFill="1" applyAlignment="1" applyProtection="1">
      <alignment vertical="center"/>
      <protection hidden="1"/>
    </xf>
    <xf numFmtId="0" fontId="10" fillId="50" borderId="0" xfId="0" applyFont="1" applyFill="1" applyAlignment="1" applyProtection="1">
      <alignment horizontal="left" vertical="center"/>
      <protection hidden="1"/>
    </xf>
    <xf numFmtId="164" fontId="2" fillId="50" borderId="354" xfId="0" applyNumberFormat="1" applyFont="1" applyFill="1" applyBorder="1" applyProtection="1">
      <protection hidden="1"/>
    </xf>
    <xf numFmtId="0" fontId="14" fillId="0" borderId="209" xfId="0" applyFont="1" applyBorder="1" applyAlignment="1" applyProtection="1">
      <alignment vertical="center"/>
      <protection hidden="1"/>
    </xf>
    <xf numFmtId="0" fontId="8" fillId="0" borderId="505" xfId="0" applyFont="1" applyBorder="1" applyAlignment="1" applyProtection="1">
      <alignment horizontal="center" vertical="center"/>
      <protection hidden="1"/>
    </xf>
    <xf numFmtId="0" fontId="2" fillId="0" borderId="547" xfId="0" applyFont="1" applyBorder="1" applyAlignment="1" applyProtection="1">
      <alignment horizontal="center" vertical="center"/>
      <protection hidden="1"/>
    </xf>
    <xf numFmtId="0" fontId="1" fillId="50" borderId="548" xfId="0" applyFont="1" applyFill="1" applyBorder="1" applyAlignment="1" applyProtection="1">
      <alignment horizontal="center" vertical="center"/>
      <protection hidden="1"/>
    </xf>
    <xf numFmtId="0" fontId="14" fillId="0" borderId="549" xfId="0" applyFont="1" applyBorder="1" applyAlignment="1" applyProtection="1">
      <alignment vertical="center"/>
      <protection hidden="1"/>
    </xf>
    <xf numFmtId="0" fontId="3" fillId="12" borderId="512" xfId="0" applyFont="1" applyFill="1" applyBorder="1" applyAlignment="1" applyProtection="1">
      <alignment horizontal="center" vertical="center"/>
      <protection hidden="1"/>
    </xf>
    <xf numFmtId="164" fontId="2" fillId="12" borderId="352" xfId="0" applyNumberFormat="1" applyFont="1" applyFill="1" applyBorder="1" applyAlignment="1">
      <alignment horizontal="center" vertical="center"/>
    </xf>
    <xf numFmtId="0" fontId="2" fillId="12" borderId="209" xfId="0" applyFont="1" applyFill="1" applyBorder="1" applyAlignment="1" applyProtection="1">
      <alignment vertical="center"/>
      <protection locked="0" hidden="1"/>
    </xf>
    <xf numFmtId="0" fontId="8" fillId="12" borderId="520" xfId="0" applyFont="1" applyFill="1" applyBorder="1" applyAlignment="1" applyProtection="1">
      <alignment horizontal="left" vertical="top"/>
      <protection locked="0" hidden="1"/>
    </xf>
    <xf numFmtId="0" fontId="2" fillId="12" borderId="520" xfId="0" applyFont="1" applyFill="1" applyBorder="1" applyAlignment="1" applyProtection="1">
      <alignment horizontal="left" vertical="top"/>
      <protection locked="0" hidden="1"/>
    </xf>
    <xf numFmtId="0" fontId="2" fillId="12" borderId="520" xfId="0" applyFont="1" applyFill="1" applyBorder="1" applyAlignment="1" applyProtection="1">
      <alignment horizontal="left" vertical="center"/>
      <protection locked="0" hidden="1"/>
    </xf>
    <xf numFmtId="0" fontId="2" fillId="12" borderId="352" xfId="0" applyFont="1" applyFill="1" applyBorder="1" applyAlignment="1" applyProtection="1">
      <alignment horizontal="left" vertical="center"/>
      <protection locked="0" hidden="1"/>
    </xf>
    <xf numFmtId="0" fontId="2" fillId="12" borderId="354" xfId="0" applyFont="1" applyFill="1" applyBorder="1" applyAlignment="1" applyProtection="1">
      <alignment horizontal="left" vertical="center"/>
      <protection locked="0" hidden="1"/>
    </xf>
    <xf numFmtId="0" fontId="2" fillId="12" borderId="401" xfId="0" applyFont="1" applyFill="1" applyBorder="1" applyAlignment="1" applyProtection="1">
      <alignment vertical="center"/>
      <protection locked="0" hidden="1"/>
    </xf>
    <xf numFmtId="0" fontId="8" fillId="12" borderId="491" xfId="0" applyFont="1" applyFill="1" applyBorder="1" applyAlignment="1" applyProtection="1">
      <alignment horizontal="left" vertical="center"/>
      <protection locked="0" hidden="1"/>
    </xf>
    <xf numFmtId="0" fontId="8" fillId="12" borderId="519" xfId="0" applyFont="1" applyFill="1" applyBorder="1" applyAlignment="1" applyProtection="1">
      <alignment horizontal="left" vertical="center"/>
      <protection locked="0" hidden="1"/>
    </xf>
    <xf numFmtId="0" fontId="238" fillId="41" borderId="0" xfId="0" applyFont="1" applyFill="1" applyAlignment="1" applyProtection="1">
      <alignment horizontal="center"/>
      <protection hidden="1"/>
    </xf>
    <xf numFmtId="0" fontId="265" fillId="60" borderId="126" xfId="0" applyFont="1" applyFill="1" applyBorder="1" applyAlignment="1" applyProtection="1">
      <alignment horizontal="center" vertical="center"/>
      <protection hidden="1"/>
    </xf>
    <xf numFmtId="0" fontId="2" fillId="0" borderId="512" xfId="0" applyFont="1" applyBorder="1" applyAlignment="1" applyProtection="1">
      <alignment horizontal="center" vertical="center"/>
      <protection hidden="1"/>
    </xf>
    <xf numFmtId="0" fontId="1" fillId="0" borderId="512" xfId="0" applyFont="1" applyBorder="1" applyAlignment="1" applyProtection="1">
      <alignment horizontal="center" vertical="center"/>
      <protection hidden="1"/>
    </xf>
    <xf numFmtId="0" fontId="22" fillId="0" borderId="44" xfId="0" applyFont="1" applyBorder="1" applyAlignment="1" applyProtection="1">
      <alignment horizontal="center" vertical="center"/>
      <protection hidden="1"/>
    </xf>
    <xf numFmtId="0" fontId="22" fillId="0" borderId="46" xfId="0" applyFont="1" applyBorder="1" applyAlignment="1" applyProtection="1">
      <alignment horizontal="center" vertical="center"/>
      <protection hidden="1"/>
    </xf>
    <xf numFmtId="0" fontId="22" fillId="0" borderId="48" xfId="0" applyFont="1" applyBorder="1" applyAlignment="1" applyProtection="1">
      <alignment horizontal="center" vertical="center"/>
      <protection hidden="1"/>
    </xf>
    <xf numFmtId="0" fontId="22" fillId="0" borderId="28" xfId="0" applyFont="1" applyBorder="1" applyAlignment="1" applyProtection="1">
      <alignment horizontal="center" vertical="center"/>
      <protection hidden="1"/>
    </xf>
    <xf numFmtId="0" fontId="10" fillId="12" borderId="0" xfId="0" applyFont="1" applyFill="1" applyAlignment="1" applyProtection="1">
      <alignment horizontal="right" vertical="center"/>
      <protection hidden="1"/>
    </xf>
    <xf numFmtId="0" fontId="112" fillId="12" borderId="0" xfId="0" applyFont="1" applyFill="1" applyAlignment="1" applyProtection="1">
      <alignment horizontal="center" vertical="center"/>
      <protection hidden="1"/>
    </xf>
    <xf numFmtId="0" fontId="2" fillId="12" borderId="0" xfId="0" applyFont="1" applyFill="1" applyAlignment="1" applyProtection="1">
      <alignment horizontal="center" vertical="center"/>
      <protection hidden="1"/>
    </xf>
    <xf numFmtId="0" fontId="2" fillId="12" borderId="4" xfId="0" applyFont="1" applyFill="1" applyBorder="1" applyAlignment="1" applyProtection="1">
      <alignment horizontal="center" vertical="center"/>
      <protection hidden="1"/>
    </xf>
    <xf numFmtId="0" fontId="321" fillId="0" borderId="550" xfId="0" applyFont="1" applyBorder="1" applyAlignment="1">
      <alignment horizontal="center"/>
    </xf>
    <xf numFmtId="166" fontId="332" fillId="31" borderId="0" xfId="0" applyNumberFormat="1" applyFont="1" applyFill="1" applyAlignment="1">
      <alignment horizontal="center" vertical="center"/>
    </xf>
    <xf numFmtId="180" fontId="332" fillId="87" borderId="0" xfId="0" applyNumberFormat="1" applyFont="1" applyFill="1" applyAlignment="1">
      <alignment horizontal="center" vertical="center"/>
    </xf>
    <xf numFmtId="14" fontId="332" fillId="31" borderId="0" xfId="0" applyNumberFormat="1" applyFont="1" applyFill="1" applyAlignment="1">
      <alignment horizontal="center" vertical="center"/>
    </xf>
    <xf numFmtId="14" fontId="196" fillId="4" borderId="0" xfId="0" applyNumberFormat="1" applyFont="1" applyFill="1" applyAlignment="1">
      <alignment horizontal="center" vertical="center"/>
    </xf>
    <xf numFmtId="0" fontId="470" fillId="0" borderId="550" xfId="0" applyFont="1" applyBorder="1" applyAlignment="1">
      <alignment horizontal="center" wrapText="1"/>
    </xf>
    <xf numFmtId="0" fontId="470" fillId="0" borderId="550" xfId="0" applyFont="1" applyBorder="1" applyAlignment="1">
      <alignment horizontal="center" vertical="center" wrapText="1"/>
    </xf>
    <xf numFmtId="17" fontId="337" fillId="0" borderId="550" xfId="0" applyNumberFormat="1" applyFont="1" applyBorder="1" applyAlignment="1">
      <alignment horizontal="center"/>
    </xf>
    <xf numFmtId="17" fontId="337" fillId="0" borderId="550" xfId="0" applyNumberFormat="1" applyFont="1" applyBorder="1" applyAlignment="1">
      <alignment horizontal="center" vertical="center"/>
    </xf>
    <xf numFmtId="0" fontId="337" fillId="0" borderId="550" xfId="0" applyFont="1" applyBorder="1" applyAlignment="1">
      <alignment horizontal="center"/>
    </xf>
    <xf numFmtId="0" fontId="337" fillId="0" borderId="550" xfId="0" applyFont="1" applyBorder="1" applyAlignment="1">
      <alignment horizontal="center" vertical="center"/>
    </xf>
    <xf numFmtId="0" fontId="233" fillId="7" borderId="550" xfId="0" applyFont="1" applyFill="1" applyBorder="1" applyAlignment="1">
      <alignment horizontal="center" vertical="center"/>
    </xf>
    <xf numFmtId="0" fontId="0" fillId="0" borderId="550" xfId="0" applyBorder="1" applyAlignment="1">
      <alignment horizontal="center" vertical="center"/>
    </xf>
    <xf numFmtId="0" fontId="88" fillId="7" borderId="550" xfId="0" applyFont="1" applyFill="1" applyBorder="1" applyAlignment="1">
      <alignment horizontal="center" vertical="center"/>
    </xf>
    <xf numFmtId="0" fontId="318" fillId="45" borderId="0" xfId="0" applyFont="1" applyFill="1" applyAlignment="1">
      <alignment horizontal="center" vertical="center"/>
    </xf>
    <xf numFmtId="0" fontId="240" fillId="6" borderId="437" xfId="0" applyFont="1" applyFill="1" applyBorder="1" applyAlignment="1">
      <alignment vertical="center"/>
    </xf>
    <xf numFmtId="0" fontId="50" fillId="60" borderId="481" xfId="0" applyFont="1" applyFill="1" applyBorder="1" applyAlignment="1" applyProtection="1">
      <alignment horizontal="center"/>
      <protection hidden="1"/>
    </xf>
    <xf numFmtId="0" fontId="50" fillId="60" borderId="108" xfId="0" applyFont="1" applyFill="1" applyBorder="1" applyAlignment="1" applyProtection="1">
      <alignment horizontal="center"/>
      <protection hidden="1"/>
    </xf>
    <xf numFmtId="0" fontId="50" fillId="60" borderId="485" xfId="0" applyFont="1" applyFill="1" applyBorder="1" applyAlignment="1" applyProtection="1">
      <alignment horizontal="center" vertical="center"/>
      <protection hidden="1"/>
    </xf>
    <xf numFmtId="0" fontId="50" fillId="60" borderId="481" xfId="0" applyFont="1" applyFill="1" applyBorder="1" applyAlignment="1" applyProtection="1">
      <alignment horizontal="center" vertical="center"/>
      <protection hidden="1"/>
    </xf>
    <xf numFmtId="0" fontId="50" fillId="60" borderId="554" xfId="0" applyFont="1" applyFill="1" applyBorder="1" applyAlignment="1" applyProtection="1">
      <alignment horizontal="center" vertical="center"/>
      <protection hidden="1"/>
    </xf>
    <xf numFmtId="1" fontId="322" fillId="33" borderId="357" xfId="0" applyNumberFormat="1" applyFont="1" applyFill="1" applyBorder="1" applyAlignment="1">
      <alignment horizontal="center" vertical="center"/>
    </xf>
    <xf numFmtId="0" fontId="265" fillId="60" borderId="481" xfId="0" applyFont="1" applyFill="1" applyBorder="1" applyAlignment="1" applyProtection="1">
      <alignment horizontal="center" vertical="center"/>
      <protection hidden="1"/>
    </xf>
    <xf numFmtId="0" fontId="323" fillId="60" borderId="481" xfId="0" applyFont="1" applyFill="1" applyBorder="1" applyAlignment="1" applyProtection="1">
      <alignment horizontal="center" vertical="center"/>
      <protection hidden="1"/>
    </xf>
    <xf numFmtId="0" fontId="50" fillId="60" borderId="558" xfId="0" applyFont="1" applyFill="1" applyBorder="1" applyAlignment="1" applyProtection="1">
      <alignment horizontal="center"/>
      <protection hidden="1"/>
    </xf>
    <xf numFmtId="0" fontId="50" fillId="60" borderId="558" xfId="0" applyFont="1" applyFill="1" applyBorder="1" applyAlignment="1" applyProtection="1">
      <alignment horizontal="center" vertical="center"/>
      <protection hidden="1"/>
    </xf>
    <xf numFmtId="0" fontId="323" fillId="60" borderId="108" xfId="0" applyFont="1" applyFill="1" applyBorder="1" applyAlignment="1" applyProtection="1">
      <alignment horizontal="center" vertical="center"/>
      <protection hidden="1"/>
    </xf>
    <xf numFmtId="0" fontId="323" fillId="60" borderId="126" xfId="0" applyFont="1" applyFill="1" applyBorder="1" applyAlignment="1" applyProtection="1">
      <alignment horizontal="center"/>
      <protection hidden="1"/>
    </xf>
    <xf numFmtId="0" fontId="50" fillId="60" borderId="108" xfId="0" applyFont="1" applyFill="1" applyBorder="1" applyAlignment="1" applyProtection="1">
      <alignment vertical="center"/>
      <protection hidden="1"/>
    </xf>
    <xf numFmtId="0" fontId="50" fillId="60" borderId="109" xfId="0" applyFont="1" applyFill="1" applyBorder="1" applyAlignment="1" applyProtection="1">
      <alignment vertical="center"/>
      <protection hidden="1"/>
    </xf>
    <xf numFmtId="0" fontId="50" fillId="60" borderId="108" xfId="0" applyFont="1" applyFill="1" applyBorder="1" applyAlignment="1" applyProtection="1">
      <alignment horizontal="center" vertical="center"/>
      <protection hidden="1"/>
    </xf>
    <xf numFmtId="0" fontId="50" fillId="60" borderId="236" xfId="0" applyFont="1" applyFill="1" applyBorder="1" applyAlignment="1" applyProtection="1">
      <alignment horizontal="center" vertical="center"/>
      <protection hidden="1"/>
    </xf>
    <xf numFmtId="181" fontId="50" fillId="60" borderId="236" xfId="0" applyNumberFormat="1" applyFont="1" applyFill="1" applyBorder="1" applyAlignment="1" applyProtection="1">
      <alignment horizontal="center" vertical="center"/>
      <protection hidden="1"/>
    </xf>
    <xf numFmtId="0" fontId="323" fillId="60" borderId="321" xfId="0" applyFont="1" applyFill="1" applyBorder="1" applyAlignment="1" applyProtection="1">
      <alignment horizontal="center" vertical="center"/>
      <protection hidden="1"/>
    </xf>
    <xf numFmtId="0" fontId="265" fillId="60" borderId="558" xfId="0" applyFont="1" applyFill="1" applyBorder="1" applyAlignment="1" applyProtection="1">
      <alignment horizontal="center" vertical="center"/>
      <protection hidden="1"/>
    </xf>
    <xf numFmtId="0" fontId="323" fillId="60" borderId="558" xfId="0" applyFont="1" applyFill="1" applyBorder="1" applyAlignment="1" applyProtection="1">
      <alignment horizontal="center" vertical="center"/>
      <protection hidden="1"/>
    </xf>
    <xf numFmtId="0" fontId="265" fillId="60" borderId="108" xfId="0" applyFont="1" applyFill="1" applyBorder="1" applyAlignment="1" applyProtection="1">
      <alignment horizontal="center" vertical="center"/>
      <protection hidden="1"/>
    </xf>
    <xf numFmtId="1" fontId="324" fillId="33" borderId="126" xfId="0" applyNumberFormat="1" applyFont="1" applyFill="1" applyBorder="1" applyAlignment="1">
      <alignment horizontal="center"/>
    </xf>
    <xf numFmtId="1" fontId="324" fillId="33" borderId="126" xfId="0" applyNumberFormat="1" applyFont="1" applyFill="1" applyBorder="1" applyAlignment="1">
      <alignment horizontal="center" vertical="center"/>
    </xf>
    <xf numFmtId="0" fontId="323" fillId="60" borderId="108" xfId="0" applyFont="1" applyFill="1" applyBorder="1" applyAlignment="1" applyProtection="1">
      <alignment horizontal="center"/>
      <protection hidden="1"/>
    </xf>
    <xf numFmtId="0" fontId="323" fillId="60" borderId="558" xfId="0" applyFont="1" applyFill="1" applyBorder="1" applyAlignment="1" applyProtection="1">
      <alignment horizontal="center"/>
      <protection hidden="1"/>
    </xf>
    <xf numFmtId="0" fontId="324" fillId="60" borderId="558" xfId="0" applyFont="1" applyFill="1" applyBorder="1" applyAlignment="1" applyProtection="1">
      <alignment horizontal="center"/>
      <protection hidden="1"/>
    </xf>
    <xf numFmtId="0" fontId="265" fillId="60" borderId="107" xfId="0" applyFont="1" applyFill="1" applyBorder="1" applyAlignment="1" applyProtection="1">
      <alignment horizontal="center" vertical="center"/>
      <protection hidden="1"/>
    </xf>
    <xf numFmtId="0" fontId="323" fillId="60" borderId="107" xfId="0" applyFont="1" applyFill="1" applyBorder="1" applyAlignment="1" applyProtection="1">
      <alignment horizontal="center"/>
      <protection hidden="1"/>
    </xf>
    <xf numFmtId="0" fontId="323" fillId="60" borderId="481" xfId="0" applyFont="1" applyFill="1" applyBorder="1" applyAlignment="1" applyProtection="1">
      <alignment horizontal="center"/>
      <protection hidden="1"/>
    </xf>
    <xf numFmtId="0" fontId="213" fillId="42" borderId="445" xfId="0" applyFont="1" applyFill="1" applyBorder="1" applyAlignment="1">
      <alignment vertical="center"/>
    </xf>
    <xf numFmtId="0" fontId="265" fillId="33" borderId="0" xfId="0" applyFont="1" applyFill="1" applyAlignment="1" applyProtection="1">
      <alignment horizontal="center"/>
      <protection hidden="1"/>
    </xf>
    <xf numFmtId="0" fontId="322" fillId="33" borderId="254" xfId="0" applyFont="1" applyFill="1" applyBorder="1" applyAlignment="1">
      <alignment horizontal="center"/>
    </xf>
    <xf numFmtId="0" fontId="323" fillId="60" borderId="560" xfId="0" applyFont="1" applyFill="1" applyBorder="1" applyAlignment="1" applyProtection="1">
      <alignment horizontal="center" vertical="center"/>
      <protection hidden="1"/>
    </xf>
    <xf numFmtId="0" fontId="323" fillId="60" borderId="484" xfId="0" applyFont="1" applyFill="1" applyBorder="1" applyAlignment="1" applyProtection="1">
      <alignment horizontal="center" vertical="center"/>
      <protection hidden="1"/>
    </xf>
    <xf numFmtId="0" fontId="323" fillId="40" borderId="561" xfId="0" applyFont="1" applyFill="1" applyBorder="1" applyAlignment="1">
      <alignment horizontal="center"/>
    </xf>
    <xf numFmtId="0" fontId="0" fillId="33" borderId="442" xfId="0" applyFill="1" applyBorder="1"/>
    <xf numFmtId="0" fontId="0" fillId="63" borderId="442" xfId="0" applyFill="1" applyBorder="1"/>
    <xf numFmtId="0" fontId="247" fillId="33" borderId="442" xfId="0" applyFont="1" applyFill="1" applyBorder="1" applyAlignment="1">
      <alignment wrapText="1"/>
    </xf>
    <xf numFmtId="0" fontId="247" fillId="33" borderId="443" xfId="0" applyFont="1" applyFill="1" applyBorder="1" applyAlignment="1">
      <alignment wrapText="1"/>
    </xf>
    <xf numFmtId="0" fontId="323" fillId="60" borderId="566" xfId="0" applyFont="1" applyFill="1" applyBorder="1" applyAlignment="1" applyProtection="1">
      <alignment horizontal="center" vertical="center"/>
      <protection hidden="1"/>
    </xf>
    <xf numFmtId="0" fontId="323" fillId="60" borderId="76" xfId="0" applyFont="1" applyFill="1" applyBorder="1" applyAlignment="1" applyProtection="1">
      <alignment horizontal="center" vertical="center"/>
      <protection hidden="1"/>
    </xf>
    <xf numFmtId="0" fontId="323" fillId="60" borderId="126" xfId="0" applyFont="1" applyFill="1" applyBorder="1" applyAlignment="1" applyProtection="1">
      <alignment horizontal="center" vertical="center"/>
      <protection hidden="1"/>
    </xf>
    <xf numFmtId="0" fontId="50" fillId="60" borderId="126" xfId="0" applyFont="1" applyFill="1" applyBorder="1" applyAlignment="1" applyProtection="1">
      <alignment horizontal="center" vertical="center"/>
      <protection hidden="1"/>
    </xf>
    <xf numFmtId="0" fontId="50" fillId="60" borderId="126" xfId="0" applyFont="1" applyFill="1" applyBorder="1" applyAlignment="1" applyProtection="1">
      <alignment horizontal="center"/>
      <protection hidden="1"/>
    </xf>
    <xf numFmtId="0" fontId="323" fillId="60" borderId="565" xfId="0" applyFont="1" applyFill="1" applyBorder="1" applyAlignment="1" applyProtection="1">
      <alignment horizontal="center" vertical="center"/>
      <protection hidden="1"/>
    </xf>
    <xf numFmtId="0" fontId="265" fillId="33" borderId="0" xfId="0" applyFont="1" applyFill="1" applyProtection="1">
      <protection hidden="1"/>
    </xf>
    <xf numFmtId="0" fontId="265" fillId="33" borderId="445" xfId="0" applyFont="1" applyFill="1" applyBorder="1" applyProtection="1">
      <protection hidden="1"/>
    </xf>
    <xf numFmtId="0" fontId="332" fillId="31" borderId="568" xfId="0" applyFont="1" applyFill="1" applyBorder="1" applyAlignment="1">
      <alignment horizontal="center" vertical="center"/>
    </xf>
    <xf numFmtId="0" fontId="332" fillId="33" borderId="569" xfId="0" applyFont="1" applyFill="1" applyBorder="1" applyAlignment="1">
      <alignment horizontal="center" vertical="center"/>
    </xf>
    <xf numFmtId="0" fontId="332" fillId="31" borderId="572" xfId="0" applyFont="1" applyFill="1" applyBorder="1" applyAlignment="1">
      <alignment horizontal="center" vertical="center"/>
    </xf>
    <xf numFmtId="0" fontId="332" fillId="33" borderId="483" xfId="0" applyFont="1" applyFill="1" applyBorder="1" applyAlignment="1">
      <alignment horizontal="center" vertical="center"/>
    </xf>
    <xf numFmtId="0" fontId="332" fillId="31" borderId="574" xfId="0" applyFont="1" applyFill="1" applyBorder="1" applyAlignment="1">
      <alignment horizontal="center" vertical="center"/>
    </xf>
    <xf numFmtId="0" fontId="332" fillId="33" borderId="575" xfId="0" applyFont="1" applyFill="1" applyBorder="1" applyAlignment="1">
      <alignment horizontal="center" vertical="center"/>
    </xf>
    <xf numFmtId="0" fontId="336" fillId="42" borderId="88" xfId="0" applyFont="1" applyFill="1" applyBorder="1" applyAlignment="1" applyProtection="1">
      <alignment vertical="center"/>
      <protection locked="0" hidden="1"/>
    </xf>
    <xf numFmtId="0" fontId="336" fillId="42" borderId="76" xfId="0" applyFont="1" applyFill="1" applyBorder="1" applyAlignment="1" applyProtection="1">
      <alignment vertical="center"/>
      <protection locked="0" hidden="1"/>
    </xf>
    <xf numFmtId="0" fontId="336" fillId="42" borderId="84" xfId="0" applyFont="1" applyFill="1" applyBorder="1" applyAlignment="1" applyProtection="1">
      <alignment vertical="center"/>
      <protection locked="0" hidden="1"/>
    </xf>
    <xf numFmtId="0" fontId="336" fillId="42" borderId="77" xfId="0" applyFont="1" applyFill="1" applyBorder="1" applyAlignment="1" applyProtection="1">
      <alignment vertical="center"/>
      <protection locked="0" hidden="1"/>
    </xf>
    <xf numFmtId="0" fontId="336" fillId="42" borderId="0" xfId="0" applyFont="1" applyFill="1" applyAlignment="1" applyProtection="1">
      <alignment vertical="center"/>
      <protection locked="0" hidden="1"/>
    </xf>
    <xf numFmtId="0" fontId="336" fillId="42" borderId="75" xfId="0" applyFont="1" applyFill="1" applyBorder="1" applyAlignment="1" applyProtection="1">
      <alignment vertical="center"/>
      <protection locked="0" hidden="1"/>
    </xf>
    <xf numFmtId="0" fontId="336" fillId="42" borderId="424" xfId="0" applyFont="1" applyFill="1" applyBorder="1" applyAlignment="1" applyProtection="1">
      <alignment vertical="center"/>
      <protection locked="0" hidden="1"/>
    </xf>
    <xf numFmtId="0" fontId="336" fillId="42" borderId="355" xfId="0" applyFont="1" applyFill="1" applyBorder="1" applyAlignment="1" applyProtection="1">
      <alignment vertical="center"/>
      <protection locked="0" hidden="1"/>
    </xf>
    <xf numFmtId="0" fontId="336" fillId="42" borderId="358" xfId="0" applyFont="1" applyFill="1" applyBorder="1" applyAlignment="1" applyProtection="1">
      <alignment vertical="center"/>
      <protection locked="0" hidden="1"/>
    </xf>
    <xf numFmtId="0" fontId="261" fillId="42" borderId="0" xfId="0" applyFont="1" applyFill="1" applyAlignment="1" applyProtection="1">
      <alignment vertical="center"/>
      <protection hidden="1"/>
    </xf>
    <xf numFmtId="0" fontId="261" fillId="42" borderId="0" xfId="0" applyFont="1" applyFill="1" applyAlignment="1" applyProtection="1">
      <alignment vertical="center" wrapText="1"/>
      <protection locked="0" hidden="1"/>
    </xf>
    <xf numFmtId="0" fontId="261" fillId="42" borderId="434" xfId="0" applyFont="1" applyFill="1" applyBorder="1" applyAlignment="1" applyProtection="1">
      <alignment vertical="center" wrapText="1"/>
      <protection locked="0" hidden="1"/>
    </xf>
    <xf numFmtId="0" fontId="261" fillId="33" borderId="220" xfId="0" applyFont="1" applyFill="1" applyBorder="1" applyAlignment="1">
      <alignment horizontal="right" vertical="center" wrapText="1"/>
    </xf>
    <xf numFmtId="0" fontId="261" fillId="33" borderId="219" xfId="0" applyFont="1" applyFill="1" applyBorder="1" applyAlignment="1">
      <alignment horizontal="right" vertical="center" wrapText="1"/>
    </xf>
    <xf numFmtId="0" fontId="169" fillId="33" borderId="219" xfId="0" applyFont="1" applyFill="1" applyBorder="1"/>
    <xf numFmtId="0" fontId="261" fillId="42" borderId="427" xfId="0" applyFont="1" applyFill="1" applyBorder="1" applyAlignment="1" applyProtection="1">
      <alignment vertical="center" wrapText="1"/>
      <protection locked="0" hidden="1"/>
    </xf>
    <xf numFmtId="0" fontId="261" fillId="42" borderId="428" xfId="0" applyFont="1" applyFill="1" applyBorder="1" applyAlignment="1" applyProtection="1">
      <alignment vertical="center" wrapText="1"/>
      <protection locked="0" hidden="1"/>
    </xf>
    <xf numFmtId="0" fontId="261" fillId="42" borderId="429" xfId="0" applyFont="1" applyFill="1" applyBorder="1" applyAlignment="1" applyProtection="1">
      <alignment vertical="center" wrapText="1"/>
      <protection locked="0" hidden="1"/>
    </xf>
    <xf numFmtId="0" fontId="261" fillId="42" borderId="433" xfId="0" applyFont="1" applyFill="1" applyBorder="1" applyAlignment="1" applyProtection="1">
      <alignment vertical="center" wrapText="1"/>
      <protection locked="0" hidden="1"/>
    </xf>
    <xf numFmtId="0" fontId="261" fillId="42" borderId="430" xfId="0" applyFont="1" applyFill="1" applyBorder="1" applyAlignment="1" applyProtection="1">
      <alignment vertical="center" wrapText="1"/>
      <protection locked="0" hidden="1"/>
    </xf>
    <xf numFmtId="0" fontId="261" fillId="42" borderId="431" xfId="0" applyFont="1" applyFill="1" applyBorder="1" applyAlignment="1" applyProtection="1">
      <alignment vertical="center" wrapText="1"/>
      <protection locked="0" hidden="1"/>
    </xf>
    <xf numFmtId="0" fontId="261" fillId="42" borderId="432" xfId="0" applyFont="1" applyFill="1" applyBorder="1" applyAlignment="1" applyProtection="1">
      <alignment vertical="center" wrapText="1"/>
      <protection locked="0" hidden="1"/>
    </xf>
    <xf numFmtId="0" fontId="323" fillId="60" borderId="582" xfId="0" applyFont="1" applyFill="1" applyBorder="1" applyAlignment="1" applyProtection="1">
      <alignment horizontal="center" vertical="center"/>
      <protection hidden="1"/>
    </xf>
    <xf numFmtId="1" fontId="322" fillId="33" borderId="583" xfId="0" applyNumberFormat="1" applyFont="1" applyFill="1" applyBorder="1" applyAlignment="1" applyProtection="1">
      <alignment horizontal="center" vertical="center"/>
      <protection hidden="1"/>
    </xf>
    <xf numFmtId="0" fontId="50" fillId="60" borderId="582" xfId="0" applyFont="1" applyFill="1" applyBorder="1" applyAlignment="1" applyProtection="1">
      <alignment horizontal="center" vertical="center"/>
      <protection hidden="1"/>
    </xf>
    <xf numFmtId="0" fontId="322" fillId="33" borderId="583" xfId="0" applyFont="1" applyFill="1" applyBorder="1" applyAlignment="1" applyProtection="1">
      <alignment horizontal="center" vertical="center"/>
      <protection hidden="1"/>
    </xf>
    <xf numFmtId="0" fontId="50" fillId="60" borderId="584" xfId="0" applyFont="1" applyFill="1" applyBorder="1" applyAlignment="1" applyProtection="1">
      <alignment horizontal="center" vertical="center"/>
      <protection hidden="1"/>
    </xf>
    <xf numFmtId="0" fontId="50" fillId="60" borderId="585" xfId="0" applyFont="1" applyFill="1" applyBorder="1" applyAlignment="1" applyProtection="1">
      <alignment horizontal="center" vertical="center"/>
      <protection hidden="1"/>
    </xf>
    <xf numFmtId="0" fontId="50" fillId="60" borderId="586" xfId="0" applyFont="1" applyFill="1" applyBorder="1" applyAlignment="1" applyProtection="1">
      <alignment horizontal="center" vertical="center"/>
      <protection hidden="1"/>
    </xf>
    <xf numFmtId="0" fontId="50" fillId="60" borderId="587" xfId="0" applyFont="1" applyFill="1" applyBorder="1" applyAlignment="1" applyProtection="1">
      <alignment horizontal="center" vertical="center"/>
      <protection hidden="1"/>
    </xf>
    <xf numFmtId="181" fontId="50" fillId="60" borderId="587" xfId="0" applyNumberFormat="1" applyFont="1" applyFill="1" applyBorder="1" applyAlignment="1" applyProtection="1">
      <alignment horizontal="center" vertical="center"/>
      <protection hidden="1"/>
    </xf>
    <xf numFmtId="0" fontId="323" fillId="60" borderId="586" xfId="0" applyFont="1" applyFill="1" applyBorder="1" applyAlignment="1" applyProtection="1">
      <alignment horizontal="center" vertical="center"/>
      <protection hidden="1"/>
    </xf>
    <xf numFmtId="0" fontId="50" fillId="60" borderId="586" xfId="0" applyFont="1" applyFill="1" applyBorder="1" applyAlignment="1" applyProtection="1">
      <alignment horizontal="center"/>
      <protection hidden="1"/>
    </xf>
    <xf numFmtId="0" fontId="265" fillId="60" borderId="582" xfId="0" applyFont="1" applyFill="1" applyBorder="1" applyAlignment="1" applyProtection="1">
      <alignment horizontal="center" vertical="center"/>
      <protection hidden="1"/>
    </xf>
    <xf numFmtId="1" fontId="327" fillId="33" borderId="583" xfId="0" applyNumberFormat="1" applyFont="1" applyFill="1" applyBorder="1" applyAlignment="1" applyProtection="1">
      <alignment horizontal="center" vertical="center"/>
      <protection hidden="1"/>
    </xf>
    <xf numFmtId="0" fontId="323" fillId="60" borderId="586" xfId="0" applyFont="1" applyFill="1" applyBorder="1" applyAlignment="1" applyProtection="1">
      <alignment horizontal="center"/>
      <protection hidden="1"/>
    </xf>
    <xf numFmtId="0" fontId="324" fillId="60" borderId="586" xfId="0" applyFont="1" applyFill="1" applyBorder="1" applyAlignment="1" applyProtection="1">
      <alignment horizontal="center"/>
      <protection hidden="1"/>
    </xf>
    <xf numFmtId="0" fontId="265" fillId="60" borderId="586" xfId="0" applyFont="1" applyFill="1" applyBorder="1" applyAlignment="1" applyProtection="1">
      <alignment horizontal="center" vertical="center"/>
      <protection hidden="1"/>
    </xf>
    <xf numFmtId="0" fontId="323" fillId="60" borderId="591" xfId="0" applyFont="1" applyFill="1" applyBorder="1" applyAlignment="1" applyProtection="1">
      <alignment horizontal="center" vertical="center"/>
      <protection hidden="1"/>
    </xf>
    <xf numFmtId="0" fontId="323" fillId="40" borderId="593" xfId="0" applyFont="1" applyFill="1" applyBorder="1" applyAlignment="1" applyProtection="1">
      <alignment horizontal="center"/>
      <protection hidden="1"/>
    </xf>
    <xf numFmtId="0" fontId="455" fillId="42" borderId="354" xfId="0" applyFont="1" applyFill="1" applyBorder="1" applyAlignment="1" applyProtection="1">
      <alignment horizontal="center"/>
      <protection hidden="1"/>
    </xf>
    <xf numFmtId="0" fontId="455" fillId="42" borderId="73" xfId="0" applyFont="1" applyFill="1" applyBorder="1" applyAlignment="1" applyProtection="1">
      <alignment horizontal="center"/>
      <protection hidden="1"/>
    </xf>
    <xf numFmtId="0" fontId="455" fillId="42" borderId="375" xfId="0" applyFont="1" applyFill="1" applyBorder="1" applyAlignment="1" applyProtection="1">
      <alignment horizontal="center"/>
      <protection hidden="1"/>
    </xf>
    <xf numFmtId="0" fontId="7" fillId="12" borderId="0" xfId="0" applyFont="1" applyFill="1" applyAlignment="1" applyProtection="1">
      <alignment horizontal="center" vertical="center"/>
      <protection locked="0" hidden="1"/>
    </xf>
    <xf numFmtId="0" fontId="7" fillId="12" borderId="0" xfId="0" applyFont="1" applyFill="1" applyAlignment="1" applyProtection="1">
      <alignment vertical="center"/>
      <protection locked="0" hidden="1"/>
    </xf>
    <xf numFmtId="0" fontId="0" fillId="12" borderId="543" xfId="0" applyFill="1" applyBorder="1" applyAlignment="1" applyProtection="1">
      <alignment vertical="center"/>
      <protection hidden="1"/>
    </xf>
    <xf numFmtId="0" fontId="0" fillId="12" borderId="544" xfId="0" applyFill="1" applyBorder="1" applyAlignment="1" applyProtection="1">
      <alignment vertical="center"/>
      <protection hidden="1"/>
    </xf>
    <xf numFmtId="0" fontId="0" fillId="12" borderId="544" xfId="0" applyFill="1" applyBorder="1" applyProtection="1">
      <protection hidden="1"/>
    </xf>
    <xf numFmtId="0" fontId="0" fillId="12" borderId="545" xfId="0" applyFill="1" applyBorder="1" applyProtection="1">
      <protection hidden="1"/>
    </xf>
    <xf numFmtId="0" fontId="0" fillId="50" borderId="4" xfId="0" applyFill="1" applyBorder="1"/>
    <xf numFmtId="0" fontId="2" fillId="39" borderId="0" xfId="0" applyFont="1" applyFill="1" applyAlignment="1" applyProtection="1">
      <alignment vertical="center"/>
      <protection hidden="1"/>
    </xf>
    <xf numFmtId="0" fontId="2" fillId="39" borderId="0" xfId="0" applyFont="1" applyFill="1" applyAlignment="1" applyProtection="1">
      <alignment horizontal="center" vertical="center"/>
      <protection hidden="1"/>
    </xf>
    <xf numFmtId="0" fontId="20" fillId="0" borderId="544" xfId="0" applyFont="1" applyBorder="1" applyProtection="1">
      <protection hidden="1"/>
    </xf>
    <xf numFmtId="0" fontId="48" fillId="0" borderId="544" xfId="0" applyFont="1" applyBorder="1" applyAlignment="1" applyProtection="1">
      <alignment vertical="center"/>
      <protection hidden="1"/>
    </xf>
    <xf numFmtId="164" fontId="2" fillId="0" borderId="545" xfId="0" applyNumberFormat="1" applyFont="1" applyBorder="1" applyProtection="1">
      <protection hidden="1"/>
    </xf>
    <xf numFmtId="0" fontId="88" fillId="0" borderId="550" xfId="0" applyFont="1" applyBorder="1" applyAlignment="1" applyProtection="1">
      <alignment vertical="center"/>
      <protection hidden="1"/>
    </xf>
    <xf numFmtId="0" fontId="24" fillId="0" borderId="599" xfId="0" applyFont="1" applyBorder="1" applyAlignment="1" applyProtection="1">
      <alignment horizontal="center" vertical="center"/>
      <protection hidden="1"/>
    </xf>
    <xf numFmtId="0" fontId="24" fillId="0" borderId="596" xfId="0" applyFont="1" applyBorder="1" applyAlignment="1" applyProtection="1">
      <alignment horizontal="left" vertical="center"/>
      <protection hidden="1"/>
    </xf>
    <xf numFmtId="0" fontId="20" fillId="0" borderId="596" xfId="0" applyFont="1" applyBorder="1" applyAlignment="1" applyProtection="1">
      <alignment vertical="center"/>
      <protection hidden="1"/>
    </xf>
    <xf numFmtId="0" fontId="46" fillId="0" borderId="596" xfId="0" applyFont="1" applyBorder="1" applyAlignment="1" applyProtection="1">
      <alignment vertical="center"/>
      <protection hidden="1"/>
    </xf>
    <xf numFmtId="164" fontId="70" fillId="0" borderId="600" xfId="0" applyNumberFormat="1" applyFont="1" applyBorder="1" applyAlignment="1" applyProtection="1">
      <alignment vertical="center"/>
      <protection hidden="1"/>
    </xf>
    <xf numFmtId="0" fontId="20" fillId="0" borderId="352" xfId="0" applyFont="1" applyBorder="1" applyProtection="1">
      <protection hidden="1"/>
    </xf>
    <xf numFmtId="0" fontId="22" fillId="0" borderId="601" xfId="0" applyFont="1" applyBorder="1" applyAlignment="1" applyProtection="1">
      <alignment horizontal="center" vertical="center"/>
      <protection hidden="1"/>
    </xf>
    <xf numFmtId="0" fontId="22" fillId="0" borderId="602" xfId="0" applyFont="1" applyBorder="1" applyAlignment="1" applyProtection="1">
      <alignment horizontal="center" vertical="center"/>
      <protection hidden="1"/>
    </xf>
    <xf numFmtId="0" fontId="22" fillId="0" borderId="603" xfId="0" applyFont="1" applyBorder="1" applyAlignment="1" applyProtection="1">
      <alignment horizontal="center" vertical="center"/>
      <protection hidden="1"/>
    </xf>
    <xf numFmtId="0" fontId="20" fillId="0" borderId="63" xfId="0" applyFont="1" applyBorder="1" applyAlignment="1" applyProtection="1">
      <alignment vertical="center"/>
      <protection hidden="1"/>
    </xf>
    <xf numFmtId="1" fontId="27" fillId="0" borderId="63" xfId="0" applyNumberFormat="1" applyFont="1" applyBorder="1" applyAlignment="1" applyProtection="1">
      <alignment horizontal="center" vertical="center"/>
      <protection hidden="1"/>
    </xf>
    <xf numFmtId="1" fontId="27" fillId="0" borderId="64" xfId="0" applyNumberFormat="1" applyFont="1" applyBorder="1" applyAlignment="1" applyProtection="1">
      <alignment horizontal="center" vertical="center"/>
      <protection hidden="1"/>
    </xf>
    <xf numFmtId="171" fontId="20" fillId="0" borderId="63" xfId="0" applyNumberFormat="1" applyFont="1" applyBorder="1" applyAlignment="1" applyProtection="1">
      <alignment horizontal="center" vertical="center"/>
      <protection hidden="1"/>
    </xf>
    <xf numFmtId="0" fontId="20" fillId="0" borderId="65" xfId="0" applyFont="1" applyBorder="1" applyAlignment="1" applyProtection="1">
      <alignment vertical="center"/>
      <protection hidden="1"/>
    </xf>
    <xf numFmtId="0" fontId="20" fillId="0" borderId="11" xfId="0" applyFont="1" applyBorder="1" applyAlignment="1" applyProtection="1">
      <alignment vertical="center"/>
      <protection hidden="1"/>
    </xf>
    <xf numFmtId="1" fontId="27" fillId="0" borderId="66" xfId="0" applyNumberFormat="1" applyFont="1" applyBorder="1" applyAlignment="1" applyProtection="1">
      <alignment horizontal="center" vertical="center"/>
      <protection hidden="1"/>
    </xf>
    <xf numFmtId="1" fontId="27" fillId="0" borderId="67" xfId="0" applyNumberFormat="1" applyFont="1" applyBorder="1" applyAlignment="1" applyProtection="1">
      <alignment horizontal="center" vertical="center"/>
      <protection hidden="1"/>
    </xf>
    <xf numFmtId="171" fontId="20" fillId="0" borderId="65" xfId="0" applyNumberFormat="1" applyFont="1" applyBorder="1" applyAlignment="1" applyProtection="1">
      <alignment horizontal="center" vertical="center"/>
      <protection hidden="1"/>
    </xf>
    <xf numFmtId="171" fontId="20" fillId="0" borderId="11" xfId="0" applyNumberFormat="1" applyFont="1" applyBorder="1" applyAlignment="1" applyProtection="1">
      <alignment horizontal="center" vertical="center"/>
      <protection hidden="1"/>
    </xf>
    <xf numFmtId="1" fontId="27" fillId="0" borderId="11" xfId="0" applyNumberFormat="1" applyFont="1" applyBorder="1" applyAlignment="1" applyProtection="1">
      <alignment horizontal="center" vertical="center"/>
      <protection hidden="1"/>
    </xf>
    <xf numFmtId="0" fontId="20" fillId="0" borderId="70" xfId="0" applyFont="1" applyBorder="1" applyAlignment="1" applyProtection="1">
      <alignment vertical="center"/>
      <protection hidden="1"/>
    </xf>
    <xf numFmtId="0" fontId="20" fillId="0" borderId="68" xfId="0" applyFont="1" applyBorder="1" applyAlignment="1" applyProtection="1">
      <alignment vertical="center"/>
      <protection hidden="1"/>
    </xf>
    <xf numFmtId="0" fontId="20" fillId="0" borderId="69" xfId="0" applyFont="1" applyBorder="1" applyAlignment="1" applyProtection="1">
      <alignment vertical="center"/>
      <protection hidden="1"/>
    </xf>
    <xf numFmtId="1" fontId="27" fillId="0" borderId="70" xfId="0" applyNumberFormat="1" applyFont="1" applyBorder="1" applyAlignment="1" applyProtection="1">
      <alignment horizontal="center" vertical="center"/>
      <protection hidden="1"/>
    </xf>
    <xf numFmtId="1" fontId="27" fillId="0" borderId="69" xfId="0" applyNumberFormat="1" applyFont="1" applyBorder="1" applyAlignment="1" applyProtection="1">
      <alignment horizontal="center" vertical="center"/>
      <protection hidden="1"/>
    </xf>
    <xf numFmtId="171" fontId="20" fillId="0" borderId="70" xfId="0" applyNumberFormat="1" applyFont="1" applyBorder="1" applyAlignment="1" applyProtection="1">
      <alignment horizontal="center" vertical="center"/>
      <protection hidden="1"/>
    </xf>
    <xf numFmtId="0" fontId="20" fillId="0" borderId="71" xfId="0" applyFont="1" applyBorder="1" applyAlignment="1" applyProtection="1">
      <alignment vertical="center"/>
      <protection hidden="1"/>
    </xf>
    <xf numFmtId="1" fontId="27" fillId="0" borderId="71" xfId="0" applyNumberFormat="1" applyFont="1" applyBorder="1" applyAlignment="1" applyProtection="1">
      <alignment horizontal="center" vertical="center"/>
      <protection hidden="1"/>
    </xf>
    <xf numFmtId="1" fontId="27" fillId="0" borderId="72" xfId="0" applyNumberFormat="1" applyFont="1" applyBorder="1" applyAlignment="1" applyProtection="1">
      <alignment horizontal="center" vertical="center"/>
      <protection hidden="1"/>
    </xf>
    <xf numFmtId="171" fontId="20" fillId="0" borderId="71" xfId="0" applyNumberFormat="1" applyFont="1" applyBorder="1" applyAlignment="1" applyProtection="1">
      <alignment horizontal="center" vertical="center"/>
      <protection hidden="1"/>
    </xf>
    <xf numFmtId="0" fontId="20" fillId="0" borderId="605" xfId="0" applyFont="1" applyBorder="1" applyAlignment="1" applyProtection="1">
      <alignment vertical="center"/>
      <protection hidden="1"/>
    </xf>
    <xf numFmtId="0" fontId="51" fillId="0" borderId="607" xfId="0" applyFont="1" applyBorder="1" applyAlignment="1" applyProtection="1">
      <alignment vertical="center"/>
      <protection hidden="1"/>
    </xf>
    <xf numFmtId="0" fontId="51" fillId="0" borderId="524" xfId="0" applyFont="1" applyBorder="1" applyAlignment="1" applyProtection="1">
      <alignment vertical="center"/>
      <protection hidden="1"/>
    </xf>
    <xf numFmtId="0" fontId="20" fillId="0" borderId="607" xfId="0" applyFont="1" applyBorder="1" applyAlignment="1" applyProtection="1">
      <alignment horizontal="center" vertical="center"/>
      <protection hidden="1"/>
    </xf>
    <xf numFmtId="0" fontId="20" fillId="0" borderId="606" xfId="0" applyFont="1" applyBorder="1" applyAlignment="1" applyProtection="1">
      <alignment horizontal="center" vertical="center"/>
      <protection hidden="1"/>
    </xf>
    <xf numFmtId="0" fontId="451" fillId="50" borderId="536" xfId="0" applyFont="1" applyFill="1" applyBorder="1" applyAlignment="1" applyProtection="1">
      <alignment horizontal="center" vertical="center"/>
      <protection locked="0" hidden="1"/>
    </xf>
    <xf numFmtId="0" fontId="451" fillId="50" borderId="537" xfId="0" applyFont="1" applyFill="1" applyBorder="1" applyAlignment="1" applyProtection="1">
      <alignment horizontal="center" vertical="center"/>
      <protection locked="0" hidden="1"/>
    </xf>
    <xf numFmtId="0" fontId="422" fillId="50" borderId="538" xfId="0" applyFont="1" applyFill="1" applyBorder="1" applyAlignment="1" applyProtection="1">
      <alignment horizontal="center" vertical="center"/>
      <protection locked="0" hidden="1"/>
    </xf>
    <xf numFmtId="0" fontId="452" fillId="50" borderId="539" xfId="0" applyFont="1" applyFill="1" applyBorder="1" applyAlignment="1" applyProtection="1">
      <alignment vertical="top"/>
      <protection locked="0" hidden="1"/>
    </xf>
    <xf numFmtId="0" fontId="451" fillId="50" borderId="540" xfId="0" applyFont="1" applyFill="1" applyBorder="1" applyAlignment="1" applyProtection="1">
      <alignment horizontal="left" vertical="top" wrapText="1"/>
      <protection locked="0" hidden="1"/>
    </xf>
    <xf numFmtId="0" fontId="451" fillId="50" borderId="541" xfId="0" applyFont="1" applyFill="1" applyBorder="1" applyAlignment="1" applyProtection="1">
      <alignment horizontal="left" vertical="top" wrapText="1"/>
      <protection locked="0" hidden="1"/>
    </xf>
    <xf numFmtId="164" fontId="197" fillId="41" borderId="0" xfId="0" applyNumberFormat="1" applyFont="1" applyFill="1" applyAlignment="1" applyProtection="1">
      <alignment vertical="center"/>
      <protection locked="0" hidden="1"/>
    </xf>
    <xf numFmtId="1" fontId="2" fillId="0" borderId="190" xfId="0" applyNumberFormat="1" applyFont="1" applyBorder="1" applyAlignment="1" applyProtection="1">
      <alignment horizontal="center" vertical="center"/>
      <protection hidden="1"/>
    </xf>
    <xf numFmtId="166" fontId="211" fillId="2" borderId="77" xfId="0" applyNumberFormat="1" applyFont="1" applyFill="1" applyBorder="1" applyAlignment="1">
      <alignment horizontal="right"/>
    </xf>
    <xf numFmtId="166" fontId="211" fillId="2" borderId="0" xfId="0" applyNumberFormat="1" applyFont="1" applyFill="1" applyAlignment="1">
      <alignment horizontal="right"/>
    </xf>
    <xf numFmtId="0" fontId="328" fillId="90" borderId="227" xfId="0" applyFont="1" applyFill="1" applyBorder="1" applyAlignment="1" applyProtection="1">
      <alignment horizontal="center" vertical="center"/>
      <protection hidden="1"/>
    </xf>
    <xf numFmtId="0" fontId="261" fillId="7" borderId="428" xfId="0" applyFont="1" applyFill="1" applyBorder="1" applyAlignment="1" applyProtection="1">
      <alignment vertical="center"/>
      <protection locked="0" hidden="1"/>
    </xf>
    <xf numFmtId="0" fontId="328" fillId="50" borderId="227" xfId="0" applyFont="1" applyFill="1" applyBorder="1" applyAlignment="1" applyProtection="1">
      <alignment horizontal="center" vertical="center"/>
      <protection locked="0" hidden="1"/>
    </xf>
    <xf numFmtId="0" fontId="328" fillId="50" borderId="227" xfId="0" applyFont="1" applyFill="1" applyBorder="1" applyAlignment="1" applyProtection="1">
      <alignment horizontal="center" vertical="center"/>
      <protection hidden="1"/>
    </xf>
    <xf numFmtId="0" fontId="248" fillId="31" borderId="0" xfId="0" applyFont="1" applyFill="1" applyAlignment="1">
      <alignment vertical="center"/>
    </xf>
    <xf numFmtId="0" fontId="325" fillId="35" borderId="227" xfId="0" applyFont="1" applyFill="1" applyBorder="1" applyAlignment="1" applyProtection="1">
      <alignment horizontal="center" vertical="center"/>
      <protection hidden="1"/>
    </xf>
    <xf numFmtId="0" fontId="325" fillId="35" borderId="258" xfId="0" applyFont="1" applyFill="1" applyBorder="1" applyAlignment="1" applyProtection="1">
      <alignment horizontal="center" vertical="center"/>
      <protection hidden="1"/>
    </xf>
    <xf numFmtId="0" fontId="45" fillId="39" borderId="318" xfId="0" applyFont="1" applyFill="1" applyBorder="1" applyAlignment="1" applyProtection="1">
      <alignment horizontal="left" vertical="center"/>
      <protection locked="0" hidden="1"/>
    </xf>
    <xf numFmtId="0" fontId="45" fillId="39" borderId="319" xfId="0" applyFont="1" applyFill="1" applyBorder="1" applyAlignment="1" applyProtection="1">
      <alignment horizontal="left" vertical="center"/>
      <protection locked="0" hidden="1"/>
    </xf>
    <xf numFmtId="0" fontId="45" fillId="39" borderId="320" xfId="0" applyFont="1" applyFill="1" applyBorder="1" applyAlignment="1" applyProtection="1">
      <alignment horizontal="left" vertical="center"/>
      <protection locked="0" hidden="1"/>
    </xf>
    <xf numFmtId="0" fontId="21" fillId="39" borderId="0" xfId="0" applyFont="1" applyFill="1" applyAlignment="1" applyProtection="1">
      <alignment vertical="center"/>
      <protection hidden="1"/>
    </xf>
    <xf numFmtId="0" fontId="323" fillId="98" borderId="227" xfId="0" applyFont="1" applyFill="1" applyBorder="1" applyAlignment="1" applyProtection="1">
      <alignment horizontal="center" vertical="center"/>
      <protection hidden="1"/>
    </xf>
    <xf numFmtId="0" fontId="323" fillId="98" borderId="258" xfId="0" applyFont="1" applyFill="1" applyBorder="1" applyAlignment="1" applyProtection="1">
      <alignment horizontal="center" vertical="center"/>
      <protection hidden="1"/>
    </xf>
    <xf numFmtId="0" fontId="8" fillId="50" borderId="227" xfId="0" applyFont="1" applyFill="1" applyBorder="1" applyAlignment="1" applyProtection="1">
      <alignment horizontal="center" vertical="center"/>
      <protection locked="0" hidden="1"/>
    </xf>
    <xf numFmtId="0" fontId="8" fillId="50" borderId="227" xfId="0" applyFont="1" applyFill="1" applyBorder="1" applyAlignment="1" applyProtection="1">
      <alignment horizontal="center" vertical="center"/>
      <protection hidden="1"/>
    </xf>
    <xf numFmtId="0" fontId="261" fillId="39" borderId="214" xfId="0" applyFont="1" applyFill="1" applyBorder="1" applyAlignment="1">
      <alignment vertical="center"/>
    </xf>
    <xf numFmtId="0" fontId="261" fillId="39" borderId="218" xfId="0" applyFont="1" applyFill="1" applyBorder="1" applyAlignment="1">
      <alignment vertical="center"/>
    </xf>
    <xf numFmtId="0" fontId="261" fillId="39" borderId="215" xfId="0" applyFont="1" applyFill="1" applyBorder="1" applyAlignment="1">
      <alignment vertical="center"/>
    </xf>
    <xf numFmtId="0" fontId="321" fillId="35" borderId="0" xfId="0" applyFont="1" applyFill="1" applyAlignment="1">
      <alignment horizontal="center" vertical="center"/>
    </xf>
    <xf numFmtId="0" fontId="328" fillId="39" borderId="226" xfId="0" applyFont="1" applyFill="1" applyBorder="1" applyAlignment="1" applyProtection="1">
      <alignment horizontal="center" vertical="center"/>
      <protection locked="0" hidden="1"/>
    </xf>
    <xf numFmtId="0" fontId="233" fillId="0" borderId="352" xfId="0" applyFont="1" applyBorder="1" applyAlignment="1">
      <alignment wrapText="1"/>
    </xf>
    <xf numFmtId="0" fontId="233" fillId="35" borderId="0" xfId="0" applyFont="1" applyFill="1" applyAlignment="1">
      <alignment horizontal="center" vertical="center"/>
    </xf>
    <xf numFmtId="0" fontId="213" fillId="66" borderId="108" xfId="0" applyFont="1" applyFill="1" applyBorder="1"/>
    <xf numFmtId="0" fontId="213" fillId="66" borderId="108" xfId="0" applyFont="1" applyFill="1" applyBorder="1" applyAlignment="1">
      <alignment vertical="center"/>
    </xf>
    <xf numFmtId="0" fontId="213" fillId="62" borderId="355" xfId="0" applyFont="1" applyFill="1" applyBorder="1" applyAlignment="1">
      <alignment vertical="center"/>
    </xf>
    <xf numFmtId="0" fontId="169" fillId="62" borderId="24" xfId="0" applyFont="1" applyFill="1" applyBorder="1" applyAlignment="1">
      <alignment horizontal="center"/>
    </xf>
    <xf numFmtId="0" fontId="169" fillId="9" borderId="77" xfId="0" applyFont="1" applyFill="1" applyBorder="1" applyAlignment="1">
      <alignment horizontal="center"/>
    </xf>
    <xf numFmtId="0" fontId="169" fillId="62" borderId="77" xfId="0" applyFont="1" applyFill="1" applyBorder="1" applyAlignment="1">
      <alignment horizontal="center"/>
    </xf>
    <xf numFmtId="0" fontId="251" fillId="46" borderId="615" xfId="0" applyFont="1" applyFill="1" applyBorder="1" applyAlignment="1">
      <alignment vertical="center" wrapText="1"/>
    </xf>
    <xf numFmtId="0" fontId="251" fillId="46" borderId="616" xfId="0" applyFont="1" applyFill="1" applyBorder="1" applyAlignment="1">
      <alignment vertical="center" wrapText="1"/>
    </xf>
    <xf numFmtId="0" fontId="251" fillId="46" borderId="617" xfId="0" applyFont="1" applyFill="1" applyBorder="1" applyAlignment="1">
      <alignment vertical="center" wrapText="1"/>
    </xf>
    <xf numFmtId="0" fontId="251" fillId="37" borderId="0" xfId="0" applyFont="1" applyFill="1" applyAlignment="1">
      <alignment vertical="center" wrapText="1"/>
    </xf>
    <xf numFmtId="0" fontId="251" fillId="37" borderId="433" xfId="0" applyFont="1" applyFill="1" applyBorder="1" applyAlignment="1">
      <alignment vertical="center" wrapText="1"/>
    </xf>
    <xf numFmtId="0" fontId="251" fillId="37" borderId="434" xfId="0" applyFont="1" applyFill="1" applyBorder="1" applyAlignment="1">
      <alignment vertical="center" wrapText="1"/>
    </xf>
    <xf numFmtId="0" fontId="336" fillId="31" borderId="0" xfId="0" applyFont="1" applyFill="1" applyAlignment="1">
      <alignment vertical="center"/>
    </xf>
    <xf numFmtId="0" fontId="332" fillId="42" borderId="0" xfId="0" applyFont="1" applyFill="1" applyAlignment="1" applyProtection="1">
      <alignment horizontal="center" vertical="center"/>
      <protection locked="0" hidden="1"/>
    </xf>
    <xf numFmtId="0" fontId="45" fillId="42" borderId="0" xfId="0" applyFont="1" applyFill="1" applyAlignment="1" applyProtection="1">
      <alignment vertical="center" wrapText="1"/>
      <protection locked="0" hidden="1"/>
    </xf>
    <xf numFmtId="0" fontId="4" fillId="42" borderId="222" xfId="0" applyFont="1" applyFill="1" applyBorder="1" applyAlignment="1" applyProtection="1">
      <alignment vertical="center"/>
      <protection locked="0" hidden="1"/>
    </xf>
    <xf numFmtId="0" fontId="4" fillId="42" borderId="0" xfId="0" applyFont="1" applyFill="1" applyAlignment="1" applyProtection="1">
      <alignment vertical="center"/>
      <protection locked="0" hidden="1"/>
    </xf>
    <xf numFmtId="0" fontId="4" fillId="42" borderId="223" xfId="0" applyFont="1" applyFill="1" applyBorder="1" applyAlignment="1" applyProtection="1">
      <alignment vertical="center"/>
      <protection locked="0" hidden="1"/>
    </xf>
    <xf numFmtId="0" fontId="47" fillId="42" borderId="222" xfId="0" applyFont="1" applyFill="1" applyBorder="1" applyAlignment="1" applyProtection="1">
      <alignment vertical="center" wrapText="1"/>
      <protection locked="0" hidden="1"/>
    </xf>
    <xf numFmtId="0" fontId="47" fillId="42" borderId="0" xfId="0" applyFont="1" applyFill="1" applyAlignment="1" applyProtection="1">
      <alignment vertical="center" wrapText="1"/>
      <protection locked="0" hidden="1"/>
    </xf>
    <xf numFmtId="0" fontId="47" fillId="42" borderId="223" xfId="0" applyFont="1" applyFill="1" applyBorder="1" applyAlignment="1" applyProtection="1">
      <alignment vertical="center" wrapText="1"/>
      <protection locked="0" hidden="1"/>
    </xf>
    <xf numFmtId="0" fontId="47" fillId="42" borderId="222" xfId="0" applyFont="1" applyFill="1" applyBorder="1" applyAlignment="1" applyProtection="1">
      <alignment horizontal="left" vertical="center" wrapText="1"/>
      <protection locked="0" hidden="1"/>
    </xf>
    <xf numFmtId="0" fontId="47" fillId="42" borderId="0" xfId="0" applyFont="1" applyFill="1" applyAlignment="1" applyProtection="1">
      <alignment horizontal="left" vertical="center" wrapText="1"/>
      <protection locked="0" hidden="1"/>
    </xf>
    <xf numFmtId="0" fontId="47" fillId="42" borderId="223" xfId="0" applyFont="1" applyFill="1" applyBorder="1" applyAlignment="1" applyProtection="1">
      <alignment horizontal="left" vertical="center" wrapText="1"/>
      <protection locked="0" hidden="1"/>
    </xf>
    <xf numFmtId="0" fontId="261" fillId="42" borderId="222" xfId="0" applyFont="1" applyFill="1" applyBorder="1" applyAlignment="1" applyProtection="1">
      <alignment vertical="center"/>
      <protection locked="0" hidden="1"/>
    </xf>
    <xf numFmtId="0" fontId="261" fillId="42" borderId="0" xfId="0" applyFont="1" applyFill="1" applyAlignment="1" applyProtection="1">
      <alignment vertical="center"/>
      <protection locked="0" hidden="1"/>
    </xf>
    <xf numFmtId="0" fontId="261" fillId="42" borderId="223" xfId="0" applyFont="1" applyFill="1" applyBorder="1" applyAlignment="1" applyProtection="1">
      <alignment vertical="center"/>
      <protection locked="0" hidden="1"/>
    </xf>
    <xf numFmtId="0" fontId="261" fillId="42" borderId="222" xfId="0" applyFont="1" applyFill="1" applyBorder="1" applyAlignment="1" applyProtection="1">
      <alignment vertical="center" wrapText="1"/>
      <protection locked="0" hidden="1"/>
    </xf>
    <xf numFmtId="0" fontId="261" fillId="42" borderId="223" xfId="0" applyFont="1" applyFill="1" applyBorder="1" applyAlignment="1" applyProtection="1">
      <alignment vertical="center" wrapText="1"/>
      <protection locked="0" hidden="1"/>
    </xf>
    <xf numFmtId="0" fontId="261" fillId="42" borderId="222" xfId="0" applyFont="1" applyFill="1" applyBorder="1" applyAlignment="1" applyProtection="1">
      <alignment horizontal="right" vertical="center" wrapText="1"/>
      <protection locked="0" hidden="1"/>
    </xf>
    <xf numFmtId="0" fontId="261" fillId="42" borderId="0" xfId="0" applyFont="1" applyFill="1" applyAlignment="1" applyProtection="1">
      <alignment horizontal="right" vertical="center" wrapText="1"/>
      <protection locked="0" hidden="1"/>
    </xf>
    <xf numFmtId="0" fontId="261" fillId="42" borderId="223" xfId="0" applyFont="1" applyFill="1" applyBorder="1" applyAlignment="1" applyProtection="1">
      <alignment horizontal="right" vertical="center" wrapText="1"/>
      <protection locked="0" hidden="1"/>
    </xf>
    <xf numFmtId="0" fontId="38" fillId="12" borderId="0" xfId="0" applyFont="1" applyFill="1" applyProtection="1">
      <protection locked="0" hidden="1"/>
    </xf>
    <xf numFmtId="0" fontId="75" fillId="12" borderId="0" xfId="0" applyFont="1" applyFill="1" applyAlignment="1" applyProtection="1">
      <alignment horizontal="right" vertical="center"/>
      <protection locked="0" hidden="1"/>
    </xf>
    <xf numFmtId="0" fontId="76" fillId="12" borderId="0" xfId="0" applyFont="1" applyFill="1" applyProtection="1">
      <protection locked="0" hidden="1"/>
    </xf>
    <xf numFmtId="0" fontId="77" fillId="12" borderId="0" xfId="0" applyFont="1" applyFill="1" applyAlignment="1" applyProtection="1">
      <alignment vertical="center"/>
      <protection locked="0" hidden="1"/>
    </xf>
    <xf numFmtId="0" fontId="29" fillId="12" borderId="0" xfId="3" applyFont="1" applyFill="1" applyBorder="1" applyAlignment="1" applyProtection="1">
      <alignment vertical="center"/>
      <protection locked="0" hidden="1"/>
    </xf>
    <xf numFmtId="0" fontId="76" fillId="12" borderId="0" xfId="3" applyFont="1" applyFill="1" applyBorder="1" applyAlignment="1" applyProtection="1">
      <alignment vertical="center"/>
      <protection locked="0" hidden="1"/>
    </xf>
    <xf numFmtId="0" fontId="362" fillId="33" borderId="0" xfId="0" applyFont="1" applyFill="1" applyAlignment="1">
      <alignment horizontal="center" vertical="center"/>
    </xf>
    <xf numFmtId="0" fontId="362" fillId="33" borderId="0" xfId="0" applyFont="1" applyFill="1" applyAlignment="1">
      <alignment horizontal="center"/>
    </xf>
    <xf numFmtId="0" fontId="0" fillId="33" borderId="0" xfId="0" applyFill="1" applyAlignment="1">
      <alignment horizontal="center"/>
    </xf>
    <xf numFmtId="0" fontId="38" fillId="33" borderId="0" xfId="0" applyFont="1" applyFill="1" applyAlignment="1" applyProtection="1">
      <alignment horizontal="center" vertical="center"/>
      <protection hidden="1"/>
    </xf>
    <xf numFmtId="164" fontId="197" fillId="33" borderId="0" xfId="0" applyNumberFormat="1" applyFont="1" applyFill="1" applyAlignment="1" applyProtection="1">
      <alignment horizontal="center" vertical="center"/>
      <protection hidden="1"/>
    </xf>
    <xf numFmtId="164" fontId="199" fillId="33" borderId="0" xfId="0" applyNumberFormat="1" applyFont="1" applyFill="1" applyAlignment="1" applyProtection="1">
      <alignment horizontal="center" vertical="top"/>
      <protection hidden="1"/>
    </xf>
    <xf numFmtId="164" fontId="2" fillId="33" borderId="0" xfId="0" applyNumberFormat="1" applyFont="1" applyFill="1" applyAlignment="1" applyProtection="1">
      <alignment horizontal="center" vertical="center"/>
      <protection hidden="1"/>
    </xf>
    <xf numFmtId="0" fontId="140" fillId="33" borderId="0" xfId="0" applyFont="1" applyFill="1"/>
    <xf numFmtId="0" fontId="21" fillId="50" borderId="0" xfId="0" applyFont="1" applyFill="1" applyAlignment="1" applyProtection="1">
      <alignment vertical="center"/>
      <protection locked="0" hidden="1"/>
    </xf>
    <xf numFmtId="0" fontId="26" fillId="50" borderId="0" xfId="0" applyFont="1" applyFill="1" applyAlignment="1" applyProtection="1">
      <alignment vertical="center" wrapText="1"/>
      <protection locked="0" hidden="1"/>
    </xf>
    <xf numFmtId="0" fontId="11" fillId="50" borderId="0" xfId="0" applyFont="1" applyFill="1" applyAlignment="1" applyProtection="1">
      <alignment vertical="center"/>
      <protection locked="0" hidden="1"/>
    </xf>
    <xf numFmtId="0" fontId="11" fillId="50" borderId="39" xfId="0" applyFont="1" applyFill="1" applyBorder="1" applyAlignment="1" applyProtection="1">
      <alignment vertical="center"/>
      <protection locked="0" hidden="1"/>
    </xf>
    <xf numFmtId="0" fontId="22" fillId="50" borderId="39" xfId="0" applyFont="1" applyFill="1" applyBorder="1" applyAlignment="1" applyProtection="1">
      <alignment horizontal="left" vertical="center" wrapText="1"/>
      <protection locked="0" hidden="1"/>
    </xf>
    <xf numFmtId="0" fontId="15" fillId="2" borderId="0" xfId="0" applyFont="1" applyFill="1" applyAlignment="1" applyProtection="1">
      <alignment horizontal="center"/>
      <protection locked="0" hidden="1"/>
    </xf>
    <xf numFmtId="0" fontId="81" fillId="2" borderId="0" xfId="0" applyFont="1" applyFill="1" applyAlignment="1" applyProtection="1">
      <alignment horizontal="center" vertical="top"/>
      <protection locked="0" hidden="1"/>
    </xf>
    <xf numFmtId="164" fontId="18" fillId="2" borderId="0" xfId="0" applyNumberFormat="1" applyFont="1" applyFill="1" applyAlignment="1" applyProtection="1">
      <alignment horizontal="center" vertical="center"/>
      <protection locked="0" hidden="1"/>
    </xf>
    <xf numFmtId="164" fontId="18" fillId="2" borderId="0" xfId="0" applyNumberFormat="1" applyFont="1" applyFill="1" applyAlignment="1" applyProtection="1">
      <alignment vertical="center"/>
      <protection locked="0" hidden="1"/>
    </xf>
    <xf numFmtId="1" fontId="19" fillId="2" borderId="0" xfId="0" applyNumberFormat="1" applyFont="1" applyFill="1" applyAlignment="1" applyProtection="1">
      <alignment horizontal="center" vertical="center"/>
      <protection locked="0" hidden="1"/>
    </xf>
    <xf numFmtId="0" fontId="38" fillId="2" borderId="0" xfId="0" applyFont="1" applyFill="1" applyAlignment="1" applyProtection="1">
      <alignment horizontal="center" vertical="center"/>
      <protection locked="0" hidden="1"/>
    </xf>
    <xf numFmtId="164" fontId="2" fillId="2" borderId="0" xfId="0" applyNumberFormat="1" applyFont="1" applyFill="1" applyAlignment="1" applyProtection="1">
      <alignment horizontal="center" vertical="center"/>
      <protection locked="0" hidden="1"/>
    </xf>
    <xf numFmtId="164" fontId="1" fillId="2" borderId="0" xfId="0" applyNumberFormat="1" applyFont="1" applyFill="1" applyAlignment="1" applyProtection="1">
      <alignment horizontal="center" vertical="center"/>
      <protection locked="0" hidden="1"/>
    </xf>
    <xf numFmtId="0" fontId="2" fillId="2" borderId="0" xfId="0" applyFont="1" applyFill="1" applyAlignment="1" applyProtection="1">
      <alignment horizontal="center" vertical="center"/>
      <protection locked="0" hidden="1"/>
    </xf>
    <xf numFmtId="164" fontId="21" fillId="2" borderId="0" xfId="0" applyNumberFormat="1" applyFont="1" applyFill="1" applyAlignment="1" applyProtection="1">
      <alignment horizontal="center" vertical="center"/>
      <protection locked="0" hidden="1"/>
    </xf>
    <xf numFmtId="164" fontId="70" fillId="2" borderId="0" xfId="0" applyNumberFormat="1" applyFont="1" applyFill="1" applyAlignment="1" applyProtection="1">
      <alignment horizontal="right" vertical="center"/>
      <protection locked="0" hidden="1"/>
    </xf>
    <xf numFmtId="3" fontId="21" fillId="2" borderId="0" xfId="0" applyNumberFormat="1" applyFont="1" applyFill="1" applyAlignment="1" applyProtection="1">
      <alignment vertical="center"/>
      <protection locked="0" hidden="1"/>
    </xf>
    <xf numFmtId="0" fontId="14" fillId="2" borderId="0" xfId="0" applyFont="1" applyFill="1" applyAlignment="1" applyProtection="1">
      <alignment horizontal="right" vertical="center"/>
      <protection locked="0" hidden="1"/>
    </xf>
    <xf numFmtId="3" fontId="14" fillId="2" borderId="0" xfId="0" applyNumberFormat="1" applyFont="1" applyFill="1" applyAlignment="1" applyProtection="1">
      <alignment horizontal="right" vertical="center"/>
      <protection locked="0" hidden="1"/>
    </xf>
    <xf numFmtId="0" fontId="1" fillId="2" borderId="0" xfId="0" applyFont="1" applyFill="1" applyProtection="1">
      <protection locked="0" hidden="1"/>
    </xf>
    <xf numFmtId="0" fontId="9" fillId="2" borderId="0" xfId="0" applyFont="1" applyFill="1" applyProtection="1">
      <protection locked="0" hidden="1"/>
    </xf>
    <xf numFmtId="0" fontId="2" fillId="2" borderId="0" xfId="0" applyFont="1" applyFill="1" applyAlignment="1" applyProtection="1">
      <alignment vertical="center"/>
      <protection locked="0" hidden="1"/>
    </xf>
    <xf numFmtId="3" fontId="2" fillId="2" borderId="0" xfId="0" applyNumberFormat="1" applyFont="1" applyFill="1" applyAlignment="1" applyProtection="1">
      <alignment vertical="center"/>
      <protection locked="0" hidden="1"/>
    </xf>
    <xf numFmtId="0" fontId="6" fillId="2" borderId="0" xfId="0" applyFont="1" applyFill="1" applyProtection="1">
      <protection locked="0" hidden="1"/>
    </xf>
    <xf numFmtId="164" fontId="21" fillId="2" borderId="0" xfId="0" applyNumberFormat="1" applyFont="1" applyFill="1" applyAlignment="1" applyProtection="1">
      <alignment vertical="center"/>
      <protection locked="0" hidden="1"/>
    </xf>
    <xf numFmtId="0" fontId="25" fillId="2" borderId="0" xfId="0" applyFont="1" applyFill="1" applyAlignment="1" applyProtection="1">
      <alignment horizontal="center"/>
      <protection locked="0" hidden="1"/>
    </xf>
    <xf numFmtId="0" fontId="26" fillId="2" borderId="0" xfId="0" applyFont="1" applyFill="1" applyAlignment="1" applyProtection="1">
      <alignment horizontal="left" vertical="center" wrapText="1"/>
      <protection locked="0" hidden="1"/>
    </xf>
    <xf numFmtId="0" fontId="28" fillId="2" borderId="0" xfId="0" applyFont="1" applyFill="1" applyAlignment="1" applyProtection="1">
      <alignment horizontal="center" vertical="center" wrapText="1"/>
      <protection locked="0" hidden="1"/>
    </xf>
    <xf numFmtId="0" fontId="94" fillId="2" borderId="0" xfId="0" applyFont="1" applyFill="1" applyProtection="1">
      <protection locked="0" hidden="1"/>
    </xf>
    <xf numFmtId="0" fontId="90" fillId="2" borderId="0" xfId="0" applyFont="1" applyFill="1" applyProtection="1">
      <protection locked="0" hidden="1"/>
    </xf>
    <xf numFmtId="0" fontId="34" fillId="2" borderId="0" xfId="0" applyFont="1" applyFill="1" applyProtection="1">
      <protection locked="0" hidden="1"/>
    </xf>
    <xf numFmtId="0" fontId="0" fillId="2" borderId="0" xfId="0" applyFill="1" applyProtection="1">
      <protection locked="0" hidden="1"/>
    </xf>
    <xf numFmtId="0" fontId="98" fillId="2" borderId="0" xfId="0" applyFont="1" applyFill="1" applyAlignment="1" applyProtection="1">
      <alignment horizontal="center"/>
      <protection locked="0" hidden="1"/>
    </xf>
    <xf numFmtId="0" fontId="94" fillId="2" borderId="0" xfId="0" applyFont="1" applyFill="1" applyAlignment="1" applyProtection="1">
      <alignment horizontal="center"/>
      <protection locked="0" hidden="1"/>
    </xf>
    <xf numFmtId="0" fontId="90" fillId="2" borderId="0" xfId="0" applyFont="1" applyFill="1" applyAlignment="1" applyProtection="1">
      <alignment horizontal="center"/>
      <protection locked="0" hidden="1"/>
    </xf>
    <xf numFmtId="0" fontId="99" fillId="2" borderId="0" xfId="0" applyFont="1" applyFill="1" applyAlignment="1" applyProtection="1">
      <alignment horizontal="center"/>
      <protection locked="0" hidden="1"/>
    </xf>
    <xf numFmtId="1" fontId="93" fillId="2" borderId="0" xfId="0" applyNumberFormat="1" applyFont="1" applyFill="1" applyProtection="1">
      <protection locked="0" hidden="1"/>
    </xf>
    <xf numFmtId="164" fontId="34" fillId="2" borderId="0" xfId="0" applyNumberFormat="1" applyFont="1" applyFill="1" applyProtection="1">
      <protection locked="0" hidden="1"/>
    </xf>
    <xf numFmtId="164" fontId="94" fillId="2" borderId="0" xfId="0" applyNumberFormat="1" applyFont="1" applyFill="1" applyAlignment="1" applyProtection="1">
      <alignment horizontal="center"/>
      <protection locked="0" hidden="1"/>
    </xf>
    <xf numFmtId="0" fontId="97" fillId="2" borderId="0" xfId="0" applyFont="1" applyFill="1" applyAlignment="1" applyProtection="1">
      <alignment horizontal="right"/>
      <protection locked="0" hidden="1"/>
    </xf>
    <xf numFmtId="0" fontId="102" fillId="2" borderId="0" xfId="0" applyFont="1" applyFill="1" applyProtection="1">
      <protection locked="0" hidden="1"/>
    </xf>
    <xf numFmtId="1" fontId="104" fillId="2" borderId="0" xfId="0" applyNumberFormat="1" applyFont="1" applyFill="1" applyAlignment="1" applyProtection="1">
      <alignment horizontal="left"/>
      <protection locked="0" hidden="1"/>
    </xf>
    <xf numFmtId="0" fontId="105" fillId="2" borderId="0" xfId="0" applyFont="1" applyFill="1" applyAlignment="1" applyProtection="1">
      <alignment horizontal="left"/>
      <protection locked="0" hidden="1"/>
    </xf>
    <xf numFmtId="0" fontId="97" fillId="2" borderId="0" xfId="0" applyFont="1" applyFill="1" applyProtection="1">
      <protection locked="0" hidden="1"/>
    </xf>
    <xf numFmtId="0" fontId="106" fillId="2" borderId="0" xfId="0" applyFont="1" applyFill="1" applyAlignment="1" applyProtection="1">
      <alignment horizontal="left"/>
      <protection locked="0" hidden="1"/>
    </xf>
    <xf numFmtId="0" fontId="107" fillId="2" borderId="0" xfId="0" applyFont="1" applyFill="1" applyAlignment="1" applyProtection="1">
      <alignment horizontal="center"/>
      <protection locked="0" hidden="1"/>
    </xf>
    <xf numFmtId="0" fontId="108" fillId="2" borderId="0" xfId="0" applyFont="1" applyFill="1" applyProtection="1">
      <protection locked="0" hidden="1"/>
    </xf>
    <xf numFmtId="0" fontId="90" fillId="2" borderId="0" xfId="0" applyFont="1" applyFill="1" applyAlignment="1" applyProtection="1">
      <alignment horizontal="left"/>
      <protection locked="0" hidden="1"/>
    </xf>
    <xf numFmtId="164" fontId="105" fillId="2" borderId="0" xfId="0" applyNumberFormat="1" applyFont="1" applyFill="1" applyAlignment="1" applyProtection="1">
      <alignment horizontal="right"/>
      <protection locked="0" hidden="1"/>
    </xf>
    <xf numFmtId="0" fontId="109" fillId="2" borderId="0" xfId="0" applyFont="1" applyFill="1" applyProtection="1">
      <protection locked="0" hidden="1"/>
    </xf>
    <xf numFmtId="164" fontId="109" fillId="2" borderId="0" xfId="0" applyNumberFormat="1" applyFont="1" applyFill="1" applyProtection="1">
      <protection locked="0" hidden="1"/>
    </xf>
    <xf numFmtId="0" fontId="99" fillId="2" borderId="0" xfId="0" applyFont="1" applyFill="1" applyAlignment="1" applyProtection="1">
      <alignment horizontal="left"/>
      <protection locked="0" hidden="1"/>
    </xf>
    <xf numFmtId="0" fontId="110" fillId="2" borderId="0" xfId="0" applyFont="1" applyFill="1" applyAlignment="1" applyProtection="1">
      <alignment horizontal="left"/>
      <protection locked="0" hidden="1"/>
    </xf>
    <xf numFmtId="0" fontId="97" fillId="2" borderId="0" xfId="0" applyFont="1" applyFill="1" applyAlignment="1" applyProtection="1">
      <alignment horizontal="left"/>
      <protection locked="0" hidden="1"/>
    </xf>
    <xf numFmtId="0" fontId="99" fillId="2" borderId="0" xfId="0" applyFont="1" applyFill="1" applyProtection="1">
      <protection locked="0" hidden="1"/>
    </xf>
    <xf numFmtId="0" fontId="110" fillId="2" borderId="0" xfId="0" applyFont="1" applyFill="1" applyProtection="1">
      <protection locked="0" hidden="1"/>
    </xf>
    <xf numFmtId="0" fontId="94" fillId="2" borderId="0" xfId="0" applyFont="1" applyFill="1" applyAlignment="1" applyProtection="1">
      <alignment horizontal="left"/>
      <protection locked="0" hidden="1"/>
    </xf>
    <xf numFmtId="0" fontId="105" fillId="2" borderId="0" xfId="0" applyFont="1" applyFill="1" applyProtection="1">
      <protection locked="0" hidden="1"/>
    </xf>
    <xf numFmtId="0" fontId="2" fillId="41" borderId="0" xfId="0" applyFont="1" applyFill="1" applyProtection="1">
      <protection locked="0" hidden="1"/>
    </xf>
    <xf numFmtId="0" fontId="0" fillId="41" borderId="0" xfId="0" applyFill="1" applyProtection="1">
      <protection locked="0" hidden="1"/>
    </xf>
    <xf numFmtId="0" fontId="142" fillId="41" borderId="0" xfId="0" applyFont="1" applyFill="1" applyAlignment="1" applyProtection="1">
      <alignment vertical="center"/>
      <protection locked="0" hidden="1"/>
    </xf>
    <xf numFmtId="0" fontId="233" fillId="41" borderId="0" xfId="0" applyFont="1" applyFill="1" applyAlignment="1" applyProtection="1">
      <alignment vertical="center"/>
      <protection locked="0" hidden="1"/>
    </xf>
    <xf numFmtId="164" fontId="2" fillId="41" borderId="0" xfId="0" applyNumberFormat="1" applyFont="1" applyFill="1" applyAlignment="1" applyProtection="1">
      <alignment horizontal="center" vertical="center"/>
      <protection locked="0" hidden="1"/>
    </xf>
    <xf numFmtId="164" fontId="1" fillId="41" borderId="0" xfId="0" applyNumberFormat="1" applyFont="1" applyFill="1" applyAlignment="1" applyProtection="1">
      <alignment horizontal="center" vertical="center"/>
      <protection locked="0" hidden="1"/>
    </xf>
    <xf numFmtId="0" fontId="2" fillId="41" borderId="0" xfId="0" applyFont="1" applyFill="1" applyAlignment="1" applyProtection="1">
      <alignment horizontal="center" vertical="center"/>
      <protection locked="0" hidden="1"/>
    </xf>
    <xf numFmtId="0" fontId="15" fillId="41" borderId="0" xfId="0" applyFont="1" applyFill="1" applyAlignment="1" applyProtection="1">
      <alignment horizontal="center"/>
      <protection locked="0" hidden="1"/>
    </xf>
    <xf numFmtId="0" fontId="81" fillId="41" borderId="0" xfId="0" applyFont="1" applyFill="1" applyAlignment="1" applyProtection="1">
      <alignment horizontal="center" vertical="top"/>
      <protection locked="0" hidden="1"/>
    </xf>
    <xf numFmtId="164" fontId="18" fillId="41" borderId="0" xfId="0" applyNumberFormat="1" applyFont="1" applyFill="1" applyAlignment="1" applyProtection="1">
      <alignment horizontal="center" vertical="center"/>
      <protection locked="0" hidden="1"/>
    </xf>
    <xf numFmtId="164" fontId="18" fillId="41" borderId="0" xfId="0" applyNumberFormat="1" applyFont="1" applyFill="1" applyAlignment="1" applyProtection="1">
      <alignment vertical="center"/>
      <protection locked="0" hidden="1"/>
    </xf>
    <xf numFmtId="1" fontId="19" fillId="41" borderId="0" xfId="0" applyNumberFormat="1" applyFont="1" applyFill="1" applyAlignment="1" applyProtection="1">
      <alignment horizontal="center" vertical="center"/>
      <protection locked="0" hidden="1"/>
    </xf>
    <xf numFmtId="0" fontId="38" fillId="41" borderId="0" xfId="0" applyFont="1" applyFill="1" applyAlignment="1" applyProtection="1">
      <alignment horizontal="center" vertical="center"/>
      <protection locked="0" hidden="1"/>
    </xf>
    <xf numFmtId="0" fontId="321" fillId="37" borderId="0" xfId="0" applyFont="1" applyFill="1" applyAlignment="1">
      <alignment horizontal="center" vertical="center"/>
    </xf>
    <xf numFmtId="0" fontId="233" fillId="4" borderId="598" xfId="0" applyFont="1" applyFill="1" applyBorder="1"/>
    <xf numFmtId="0" fontId="322" fillId="4" borderId="0" xfId="0" applyFont="1" applyFill="1" applyAlignment="1">
      <alignment horizontal="center" vertical="center"/>
    </xf>
    <xf numFmtId="0" fontId="322" fillId="44" borderId="0" xfId="0" applyFont="1" applyFill="1" applyAlignment="1">
      <alignment horizontal="center" vertical="center" wrapText="1"/>
    </xf>
    <xf numFmtId="0" fontId="344" fillId="37" borderId="0" xfId="0" applyFont="1" applyFill="1" applyAlignment="1">
      <alignment horizontal="center" vertical="center"/>
    </xf>
    <xf numFmtId="0" fontId="416" fillId="16" borderId="0" xfId="0" applyFont="1" applyFill="1" applyAlignment="1">
      <alignment vertical="center"/>
    </xf>
    <xf numFmtId="0" fontId="322" fillId="2" borderId="0" xfId="0" applyFont="1" applyFill="1" applyAlignment="1">
      <alignment vertical="center"/>
    </xf>
    <xf numFmtId="0" fontId="321" fillId="83" borderId="0" xfId="0" applyFont="1" applyFill="1" applyAlignment="1">
      <alignment vertical="center"/>
    </xf>
    <xf numFmtId="0" fontId="411" fillId="46" borderId="0" xfId="0" applyFont="1" applyFill="1" applyAlignment="1">
      <alignment horizontal="center" vertical="center"/>
    </xf>
    <xf numFmtId="166" fontId="247" fillId="0" borderId="0" xfId="0" applyNumberFormat="1" applyFont="1" applyAlignment="1">
      <alignment horizontal="center" vertical="center"/>
    </xf>
    <xf numFmtId="176" fontId="10" fillId="0" borderId="0" xfId="0" applyNumberFormat="1" applyFont="1" applyAlignment="1">
      <alignment horizontal="center" vertical="center"/>
    </xf>
    <xf numFmtId="176" fontId="332" fillId="0" borderId="0" xfId="0" applyNumberFormat="1" applyFont="1" applyAlignment="1">
      <alignment horizontal="center" vertical="center"/>
    </xf>
    <xf numFmtId="176" fontId="8" fillId="0" borderId="0" xfId="0" applyNumberFormat="1" applyFont="1" applyAlignment="1">
      <alignment horizontal="center" vertical="center"/>
    </xf>
    <xf numFmtId="0" fontId="417" fillId="7" borderId="0" xfId="0" applyFont="1" applyFill="1"/>
    <xf numFmtId="0" fontId="4" fillId="37" borderId="0" xfId="0" applyFont="1" applyFill="1" applyAlignment="1">
      <alignment vertical="center"/>
    </xf>
    <xf numFmtId="0" fontId="325" fillId="83" borderId="0" xfId="0" applyFont="1" applyFill="1" applyAlignment="1">
      <alignment vertical="center"/>
    </xf>
    <xf numFmtId="0" fontId="321" fillId="83" borderId="0" xfId="0" applyFont="1" applyFill="1" applyAlignment="1">
      <alignment horizontal="center" vertical="center"/>
    </xf>
    <xf numFmtId="0" fontId="344" fillId="83" borderId="0" xfId="0" applyFont="1" applyFill="1" applyAlignment="1">
      <alignment horizontal="center" vertical="center"/>
    </xf>
    <xf numFmtId="166" fontId="321" fillId="0" borderId="211" xfId="0" applyNumberFormat="1" applyFont="1" applyBorder="1" applyAlignment="1">
      <alignment horizontal="center"/>
    </xf>
    <xf numFmtId="0" fontId="328" fillId="0" borderId="550" xfId="0" applyFont="1" applyBorder="1"/>
    <xf numFmtId="0" fontId="88" fillId="6" borderId="470" xfId="0" applyFont="1" applyFill="1" applyBorder="1" applyAlignment="1">
      <alignment horizontal="center" vertical="center"/>
    </xf>
    <xf numFmtId="0" fontId="328" fillId="0" borderId="550" xfId="0" applyFont="1" applyBorder="1" applyAlignment="1">
      <alignment horizontal="center" vertical="center"/>
    </xf>
    <xf numFmtId="0" fontId="328" fillId="87" borderId="0" xfId="0" applyFont="1" applyFill="1"/>
    <xf numFmtId="0" fontId="233" fillId="99" borderId="18" xfId="0" applyFont="1" applyFill="1" applyBorder="1"/>
    <xf numFmtId="0" fontId="233" fillId="99" borderId="260" xfId="0" applyFont="1" applyFill="1" applyBorder="1"/>
    <xf numFmtId="0" fontId="233" fillId="99" borderId="262" xfId="0" applyFont="1" applyFill="1" applyBorder="1"/>
    <xf numFmtId="0" fontId="142" fillId="99" borderId="185" xfId="0" applyFont="1" applyFill="1" applyBorder="1"/>
    <xf numFmtId="0" fontId="142" fillId="22" borderId="619" xfId="0" applyFont="1" applyFill="1" applyBorder="1"/>
    <xf numFmtId="0" fontId="322" fillId="6" borderId="0" xfId="0" applyFont="1" applyFill="1" applyAlignment="1">
      <alignment horizontal="center" vertical="center"/>
    </xf>
    <xf numFmtId="0" fontId="88" fillId="17" borderId="12" xfId="0" applyFont="1" applyFill="1" applyBorder="1" applyAlignment="1">
      <alignment horizontal="center" vertical="center"/>
    </xf>
    <xf numFmtId="0" fontId="373" fillId="17" borderId="12" xfId="0" applyFont="1" applyFill="1" applyBorder="1" applyAlignment="1">
      <alignment horizontal="center" vertical="center"/>
    </xf>
    <xf numFmtId="176" fontId="322" fillId="6" borderId="321" xfId="0" applyNumberFormat="1" applyFont="1" applyFill="1" applyBorder="1" applyAlignment="1">
      <alignment horizontal="center" vertical="center"/>
    </xf>
    <xf numFmtId="0" fontId="328" fillId="0" borderId="550" xfId="0" applyFont="1" applyBorder="1" applyAlignment="1">
      <alignment horizontal="center"/>
    </xf>
    <xf numFmtId="166" fontId="328" fillId="0" borderId="550" xfId="0" applyNumberFormat="1" applyFont="1" applyBorder="1" applyAlignment="1">
      <alignment horizontal="center" vertical="center"/>
    </xf>
    <xf numFmtId="176" fontId="328" fillId="0" borderId="550" xfId="0" applyNumberFormat="1" applyFont="1" applyBorder="1" applyAlignment="1">
      <alignment horizontal="center" vertical="center"/>
    </xf>
    <xf numFmtId="166" fontId="321" fillId="0" borderId="550" xfId="0" applyNumberFormat="1" applyFont="1" applyBorder="1" applyAlignment="1">
      <alignment horizontal="center" vertical="center"/>
    </xf>
    <xf numFmtId="0" fontId="44" fillId="8" borderId="0" xfId="0" applyFont="1" applyFill="1" applyAlignment="1">
      <alignment horizontal="center" vertical="center"/>
    </xf>
    <xf numFmtId="0" fontId="322" fillId="98" borderId="211" xfId="0" applyFont="1" applyFill="1" applyBorder="1" applyAlignment="1">
      <alignment horizontal="center" vertical="center"/>
    </xf>
    <xf numFmtId="0" fontId="323" fillId="43" borderId="226" xfId="0" applyFont="1" applyFill="1" applyBorder="1" applyAlignment="1" applyProtection="1">
      <alignment horizontal="center" vertical="center"/>
      <protection hidden="1"/>
    </xf>
    <xf numFmtId="0" fontId="233" fillId="34" borderId="12" xfId="0" applyFont="1" applyFill="1" applyBorder="1" applyAlignment="1">
      <alignment horizontal="center"/>
    </xf>
    <xf numFmtId="0" fontId="233" fillId="56" borderId="12" xfId="0" applyFont="1" applyFill="1" applyBorder="1" applyAlignment="1">
      <alignment horizontal="center"/>
    </xf>
    <xf numFmtId="0" fontId="233" fillId="56" borderId="12" xfId="0" applyFont="1" applyFill="1" applyBorder="1" applyAlignment="1">
      <alignment horizontal="center" vertical="center"/>
    </xf>
    <xf numFmtId="0" fontId="0" fillId="55" borderId="0" xfId="0" applyFill="1"/>
    <xf numFmtId="0" fontId="233" fillId="0" borderId="260" xfId="0" applyFont="1" applyBorder="1"/>
    <xf numFmtId="0" fontId="88" fillId="16" borderId="0" xfId="0" applyFont="1" applyFill="1" applyAlignment="1">
      <alignment horizontal="center" vertical="center"/>
    </xf>
    <xf numFmtId="0" fontId="218" fillId="16" borderId="550" xfId="0" applyFont="1" applyFill="1" applyBorder="1" applyAlignment="1">
      <alignment horizontal="center" vertical="center"/>
    </xf>
    <xf numFmtId="176" fontId="322" fillId="6" borderId="550" xfId="0" applyNumberFormat="1" applyFont="1" applyFill="1" applyBorder="1" applyAlignment="1">
      <alignment horizontal="center" vertical="center"/>
    </xf>
    <xf numFmtId="0" fontId="169" fillId="9" borderId="76" xfId="0" applyFont="1" applyFill="1" applyBorder="1" applyAlignment="1">
      <alignment horizontal="center"/>
    </xf>
    <xf numFmtId="0" fontId="169" fillId="3" borderId="76" xfId="0" applyFont="1" applyFill="1" applyBorder="1" applyAlignment="1">
      <alignment horizontal="center"/>
    </xf>
    <xf numFmtId="166" fontId="352" fillId="33" borderId="77" xfId="0" applyNumberFormat="1" applyFont="1" applyFill="1" applyBorder="1" applyAlignment="1">
      <alignment vertical="center"/>
    </xf>
    <xf numFmtId="166" fontId="352" fillId="33" borderId="0" xfId="0" applyNumberFormat="1" applyFont="1" applyFill="1" applyAlignment="1">
      <alignment vertical="center"/>
    </xf>
    <xf numFmtId="166" fontId="352" fillId="33" borderId="75" xfId="0" applyNumberFormat="1" applyFont="1" applyFill="1" applyBorder="1" applyAlignment="1">
      <alignment vertical="center"/>
    </xf>
    <xf numFmtId="0" fontId="215" fillId="33" borderId="75" xfId="0" applyFont="1" applyFill="1" applyBorder="1" applyAlignment="1">
      <alignment horizontal="center"/>
    </xf>
    <xf numFmtId="0" fontId="328" fillId="55" borderId="0" xfId="0" applyFont="1" applyFill="1" applyAlignment="1">
      <alignment horizontal="center" vertical="center"/>
    </xf>
    <xf numFmtId="0" fontId="251" fillId="37" borderId="430" xfId="0" applyFont="1" applyFill="1" applyBorder="1" applyAlignment="1">
      <alignment vertical="center" wrapText="1"/>
    </xf>
    <xf numFmtId="0" fontId="251" fillId="37" borderId="431" xfId="0" applyFont="1" applyFill="1" applyBorder="1" applyAlignment="1">
      <alignment vertical="center" wrapText="1"/>
    </xf>
    <xf numFmtId="0" fontId="251" fillId="37" borderId="432" xfId="0" applyFont="1" applyFill="1" applyBorder="1" applyAlignment="1">
      <alignment vertical="center" wrapText="1"/>
    </xf>
    <xf numFmtId="0" fontId="322" fillId="0" borderId="185" xfId="0" applyFont="1" applyBorder="1"/>
    <xf numFmtId="0" fontId="88" fillId="50" borderId="12" xfId="0" applyFont="1" applyFill="1" applyBorder="1" applyAlignment="1">
      <alignment horizontal="center"/>
    </xf>
    <xf numFmtId="0" fontId="321" fillId="50" borderId="410" xfId="0" applyFont="1" applyFill="1" applyBorder="1" applyAlignment="1">
      <alignment horizontal="center" vertical="center"/>
    </xf>
    <xf numFmtId="0" fontId="88" fillId="50" borderId="295" xfId="0" applyFont="1" applyFill="1" applyBorder="1" applyAlignment="1">
      <alignment horizontal="center"/>
    </xf>
    <xf numFmtId="0" fontId="218" fillId="4" borderId="550" xfId="0" applyFont="1" applyFill="1" applyBorder="1" applyAlignment="1">
      <alignment horizontal="center" vertical="center"/>
    </xf>
    <xf numFmtId="0" fontId="218" fillId="4" borderId="0" xfId="0" applyFont="1" applyFill="1" applyAlignment="1">
      <alignment vertical="center"/>
    </xf>
    <xf numFmtId="166" fontId="321" fillId="0" borderId="260" xfId="0" applyNumberFormat="1" applyFont="1" applyBorder="1" applyAlignment="1">
      <alignment horizontal="center"/>
    </xf>
    <xf numFmtId="166" fontId="321" fillId="0" borderId="0" xfId="0" applyNumberFormat="1" applyFont="1" applyAlignment="1">
      <alignment horizontal="center"/>
    </xf>
    <xf numFmtId="1" fontId="1" fillId="0" borderId="4" xfId="0" applyNumberFormat="1" applyFont="1" applyBorder="1" applyAlignment="1" applyProtection="1">
      <alignment horizontal="center" vertical="center"/>
      <protection hidden="1"/>
    </xf>
    <xf numFmtId="0" fontId="172" fillId="2" borderId="622" xfId="0" applyFont="1" applyFill="1" applyBorder="1" applyProtection="1">
      <protection hidden="1"/>
    </xf>
    <xf numFmtId="1" fontId="2" fillId="0" borderId="4" xfId="0" applyNumberFormat="1" applyFont="1" applyBorder="1" applyAlignment="1" applyProtection="1">
      <alignment horizontal="center" vertical="center"/>
      <protection hidden="1"/>
    </xf>
    <xf numFmtId="0" fontId="1" fillId="0" borderId="623" xfId="0" applyFont="1" applyBorder="1" applyAlignment="1" applyProtection="1">
      <alignment horizontal="center" vertical="center"/>
      <protection hidden="1"/>
    </xf>
    <xf numFmtId="0" fontId="1" fillId="0" borderId="546" xfId="0" applyFont="1" applyBorder="1" applyAlignment="1" applyProtection="1">
      <alignment horizontal="center" vertical="center"/>
      <protection hidden="1"/>
    </xf>
    <xf numFmtId="0" fontId="336" fillId="81" borderId="0" xfId="0" applyFont="1" applyFill="1" applyAlignment="1">
      <alignment vertical="center"/>
    </xf>
    <xf numFmtId="166" fontId="88" fillId="0" borderId="12" xfId="0" applyNumberFormat="1" applyFont="1" applyBorder="1" applyAlignment="1">
      <alignment horizontal="center" vertical="center"/>
    </xf>
    <xf numFmtId="0" fontId="321" fillId="0" borderId="550" xfId="0" applyFont="1" applyBorder="1" applyAlignment="1">
      <alignment horizontal="center" vertical="center"/>
    </xf>
    <xf numFmtId="0" fontId="321" fillId="41" borderId="566" xfId="0" applyFont="1" applyFill="1" applyBorder="1" applyAlignment="1">
      <alignment horizontal="center" vertical="center"/>
    </xf>
    <xf numFmtId="0" fontId="321" fillId="35" borderId="550" xfId="0" applyFont="1" applyFill="1" applyBorder="1" applyAlignment="1">
      <alignment horizontal="center" vertical="center"/>
    </xf>
    <xf numFmtId="0" fontId="328" fillId="35" borderId="550" xfId="0" applyFont="1" applyFill="1" applyBorder="1" applyAlignment="1">
      <alignment horizontal="center" vertical="center"/>
    </xf>
    <xf numFmtId="0" fontId="412" fillId="39" borderId="0" xfId="0" applyFont="1" applyFill="1" applyAlignment="1" applyProtection="1">
      <alignment vertical="center" wrapText="1"/>
      <protection locked="0" hidden="1"/>
    </xf>
    <xf numFmtId="0" fontId="47" fillId="39" borderId="0" xfId="0" applyFont="1" applyFill="1" applyAlignment="1">
      <alignment vertical="center"/>
    </xf>
    <xf numFmtId="0" fontId="338" fillId="33" borderId="0" xfId="0" applyFont="1" applyFill="1" applyAlignment="1" applyProtection="1">
      <alignment vertical="center"/>
      <protection hidden="1"/>
    </xf>
    <xf numFmtId="0" fontId="47" fillId="39" borderId="77" xfId="0" applyFont="1" applyFill="1" applyBorder="1" applyAlignment="1">
      <alignment vertical="center"/>
    </xf>
    <xf numFmtId="0" fontId="47" fillId="39" borderId="75" xfId="0" applyFont="1" applyFill="1" applyBorder="1" applyAlignment="1">
      <alignment vertical="center"/>
    </xf>
    <xf numFmtId="0" fontId="419" fillId="55" borderId="0" xfId="0" applyFont="1" applyFill="1" applyAlignment="1">
      <alignment vertical="center"/>
    </xf>
    <xf numFmtId="176" fontId="328" fillId="31" borderId="0" xfId="0" applyNumberFormat="1" applyFont="1" applyFill="1" applyAlignment="1">
      <alignment vertical="center" wrapText="1"/>
    </xf>
    <xf numFmtId="0" fontId="335" fillId="31" borderId="0" xfId="0" applyFont="1" applyFill="1" applyAlignment="1">
      <alignment vertical="center"/>
    </xf>
    <xf numFmtId="0" fontId="350" fillId="31" borderId="0" xfId="0" applyFont="1" applyFill="1" applyAlignment="1">
      <alignment vertical="center"/>
    </xf>
    <xf numFmtId="0" fontId="323" fillId="31" borderId="0" xfId="0" applyFont="1" applyFill="1" applyAlignment="1">
      <alignment horizontal="center" vertical="center"/>
    </xf>
    <xf numFmtId="0" fontId="347" fillId="39" borderId="222" xfId="0" applyFont="1" applyFill="1" applyBorder="1" applyAlignment="1" applyProtection="1">
      <alignment horizontal="center"/>
      <protection hidden="1"/>
    </xf>
    <xf numFmtId="0" fontId="347" fillId="39" borderId="0" xfId="0" applyFont="1" applyFill="1" applyAlignment="1" applyProtection="1">
      <alignment horizontal="center"/>
      <protection hidden="1"/>
    </xf>
    <xf numFmtId="0" fontId="347" fillId="39" borderId="0" xfId="0" applyFont="1" applyFill="1" applyAlignment="1" applyProtection="1">
      <alignment horizontal="center" vertical="center"/>
      <protection hidden="1"/>
    </xf>
    <xf numFmtId="0" fontId="347" fillId="39" borderId="223" xfId="0" applyFont="1" applyFill="1" applyBorder="1" applyAlignment="1" applyProtection="1">
      <alignment horizontal="center"/>
      <protection hidden="1"/>
    </xf>
    <xf numFmtId="0" fontId="261" fillId="39" borderId="123" xfId="0" applyFont="1" applyFill="1" applyBorder="1" applyAlignment="1">
      <alignment vertical="center" wrapText="1"/>
    </xf>
    <xf numFmtId="0" fontId="261" fillId="39" borderId="0" xfId="0" applyFont="1" applyFill="1" applyAlignment="1">
      <alignment vertical="center" wrapText="1"/>
    </xf>
    <xf numFmtId="0" fontId="261" fillId="39" borderId="124" xfId="0" applyFont="1" applyFill="1" applyBorder="1" applyAlignment="1">
      <alignment vertical="center" wrapText="1"/>
    </xf>
    <xf numFmtId="0" fontId="327" fillId="55" borderId="227" xfId="0" applyFont="1" applyFill="1" applyBorder="1" applyAlignment="1" applyProtection="1">
      <alignment horizontal="center" vertical="center" wrapText="1"/>
      <protection hidden="1"/>
    </xf>
    <xf numFmtId="0" fontId="419" fillId="55" borderId="227" xfId="0" applyFont="1" applyFill="1" applyBorder="1" applyAlignment="1" applyProtection="1">
      <alignment horizontal="center" vertical="center"/>
      <protection hidden="1"/>
    </xf>
    <xf numFmtId="0" fontId="321" fillId="50" borderId="629" xfId="0" applyFont="1" applyFill="1" applyBorder="1" applyAlignment="1" applyProtection="1">
      <alignment horizontal="center" vertical="center" wrapText="1"/>
      <protection locked="0" hidden="1"/>
    </xf>
    <xf numFmtId="0" fontId="321" fillId="50" borderId="629" xfId="0" applyFont="1" applyFill="1" applyBorder="1" applyAlignment="1" applyProtection="1">
      <alignment horizontal="center" vertical="center" wrapText="1"/>
      <protection hidden="1"/>
    </xf>
    <xf numFmtId="0" fontId="327" fillId="55" borderId="427" xfId="0" applyFont="1" applyFill="1" applyBorder="1" applyAlignment="1" applyProtection="1">
      <alignment horizontal="center" vertical="center" wrapText="1"/>
      <protection hidden="1"/>
    </xf>
    <xf numFmtId="0" fontId="323" fillId="31" borderId="428" xfId="0" applyFont="1" applyFill="1" applyBorder="1" applyAlignment="1" applyProtection="1">
      <alignment vertical="center" wrapText="1"/>
      <protection hidden="1"/>
    </xf>
    <xf numFmtId="0" fontId="323" fillId="31" borderId="429" xfId="0" applyFont="1" applyFill="1" applyBorder="1" applyAlignment="1" applyProtection="1">
      <alignment vertical="center" wrapText="1"/>
      <protection hidden="1"/>
    </xf>
    <xf numFmtId="0" fontId="327" fillId="39" borderId="0" xfId="0" applyFont="1" applyFill="1" applyAlignment="1" applyProtection="1">
      <alignment vertical="center"/>
      <protection hidden="1"/>
    </xf>
    <xf numFmtId="0" fontId="327" fillId="39" borderId="427" xfId="0" applyFont="1" applyFill="1" applyBorder="1" applyAlignment="1" applyProtection="1">
      <alignment vertical="center"/>
      <protection hidden="1"/>
    </xf>
    <xf numFmtId="0" fontId="327" fillId="39" borderId="428" xfId="0" applyFont="1" applyFill="1" applyBorder="1" applyAlignment="1" applyProtection="1">
      <alignment vertical="center"/>
      <protection hidden="1"/>
    </xf>
    <xf numFmtId="0" fontId="327" fillId="39" borderId="429" xfId="0" applyFont="1" applyFill="1" applyBorder="1" applyAlignment="1" applyProtection="1">
      <alignment vertical="center"/>
      <protection hidden="1"/>
    </xf>
    <xf numFmtId="0" fontId="327" fillId="39" borderId="433" xfId="0" applyFont="1" applyFill="1" applyBorder="1" applyAlignment="1" applyProtection="1">
      <alignment vertical="center"/>
      <protection hidden="1"/>
    </xf>
    <xf numFmtId="0" fontId="327" fillId="39" borderId="434" xfId="0" applyFont="1" applyFill="1" applyBorder="1" applyAlignment="1" applyProtection="1">
      <alignment vertical="center"/>
      <protection hidden="1"/>
    </xf>
    <xf numFmtId="0" fontId="327" fillId="39" borderId="430" xfId="0" applyFont="1" applyFill="1" applyBorder="1" applyAlignment="1" applyProtection="1">
      <alignment vertical="center"/>
      <protection hidden="1"/>
    </xf>
    <xf numFmtId="0" fontId="327" fillId="39" borderId="431" xfId="0" applyFont="1" applyFill="1" applyBorder="1" applyAlignment="1" applyProtection="1">
      <alignment vertical="center"/>
      <protection hidden="1"/>
    </xf>
    <xf numFmtId="0" fontId="327" fillId="39" borderId="432" xfId="0" applyFont="1" applyFill="1" applyBorder="1" applyAlignment="1" applyProtection="1">
      <alignment vertical="center"/>
      <protection hidden="1"/>
    </xf>
    <xf numFmtId="0" fontId="169" fillId="7" borderId="424" xfId="0" applyFont="1" applyFill="1" applyBorder="1" applyAlignment="1" applyProtection="1">
      <alignment vertical="center"/>
      <protection hidden="1"/>
    </xf>
    <xf numFmtId="0" fontId="169" fillId="7" borderId="355" xfId="0" applyFont="1" applyFill="1" applyBorder="1" applyAlignment="1" applyProtection="1">
      <alignment vertical="center"/>
      <protection hidden="1"/>
    </xf>
    <xf numFmtId="0" fontId="169" fillId="7" borderId="358" xfId="0" applyFont="1" applyFill="1" applyBorder="1" applyAlignment="1" applyProtection="1">
      <alignment vertical="center"/>
      <protection hidden="1"/>
    </xf>
    <xf numFmtId="0" fontId="3" fillId="0" borderId="0" xfId="0" applyFont="1" applyAlignment="1">
      <alignment horizontal="center" vertical="center"/>
    </xf>
    <xf numFmtId="0" fontId="262" fillId="0" borderId="0" xfId="0" applyFont="1" applyAlignment="1">
      <alignment horizontal="center" vertical="center"/>
    </xf>
    <xf numFmtId="0" fontId="262" fillId="0" borderId="0" xfId="0" applyFont="1" applyAlignment="1">
      <alignment horizontal="center" vertical="center" wrapText="1"/>
    </xf>
    <xf numFmtId="0" fontId="229" fillId="0" borderId="0" xfId="0" applyFont="1" applyAlignment="1">
      <alignment horizontal="center" vertical="center"/>
    </xf>
    <xf numFmtId="0" fontId="228" fillId="0" borderId="0" xfId="0" applyFont="1" applyAlignment="1">
      <alignment horizontal="center" vertical="center"/>
    </xf>
    <xf numFmtId="0" fontId="281" fillId="0" borderId="0" xfId="0" applyFont="1" applyAlignment="1">
      <alignment horizontal="center" vertical="center"/>
    </xf>
    <xf numFmtId="0" fontId="338" fillId="0" borderId="0" xfId="0" applyFont="1" applyAlignment="1">
      <alignment vertical="center"/>
    </xf>
    <xf numFmtId="0" fontId="321" fillId="39" borderId="550" xfId="0" applyFont="1" applyFill="1" applyBorder="1" applyAlignment="1">
      <alignment horizontal="center" vertical="center"/>
    </xf>
    <xf numFmtId="0" fontId="88" fillId="4" borderId="598" xfId="0" applyFont="1" applyFill="1" applyBorder="1"/>
    <xf numFmtId="0" fontId="322" fillId="4" borderId="598" xfId="0" applyFont="1" applyFill="1" applyBorder="1" applyAlignment="1">
      <alignment horizontal="center" vertical="center"/>
    </xf>
    <xf numFmtId="0" fontId="88" fillId="8" borderId="0" xfId="0" applyFont="1" applyFill="1"/>
    <xf numFmtId="0" fontId="88" fillId="2" borderId="0" xfId="0" applyFont="1" applyFill="1"/>
    <xf numFmtId="0" fontId="88" fillId="11" borderId="0" xfId="0" applyFont="1" applyFill="1"/>
    <xf numFmtId="0" fontId="322" fillId="44" borderId="552" xfId="0" applyFont="1" applyFill="1" applyBorder="1" applyAlignment="1">
      <alignment horizontal="center" vertical="center" wrapText="1"/>
    </xf>
    <xf numFmtId="0" fontId="322" fillId="44" borderId="552" xfId="0" applyFont="1" applyFill="1" applyBorder="1" applyAlignment="1">
      <alignment horizontal="center" vertical="center"/>
    </xf>
    <xf numFmtId="0" fontId="10" fillId="37" borderId="550" xfId="0" applyFont="1" applyFill="1" applyBorder="1" applyAlignment="1">
      <alignment horizontal="center" vertical="center"/>
    </xf>
    <xf numFmtId="0" fontId="88" fillId="6" borderId="0" xfId="0" applyFont="1" applyFill="1"/>
    <xf numFmtId="0" fontId="411" fillId="2" borderId="550" xfId="0" applyFont="1" applyFill="1" applyBorder="1" applyAlignment="1">
      <alignment horizontal="center" vertical="center"/>
    </xf>
    <xf numFmtId="0" fontId="411" fillId="41" borderId="550" xfId="0" applyFont="1" applyFill="1" applyBorder="1" applyAlignment="1">
      <alignment horizontal="center" vertical="center"/>
    </xf>
    <xf numFmtId="0" fontId="321" fillId="37" borderId="550" xfId="0" applyFont="1" applyFill="1" applyBorder="1" applyAlignment="1">
      <alignment horizontal="center" vertical="center"/>
    </xf>
    <xf numFmtId="0" fontId="344" fillId="37" borderId="550" xfId="0" applyFont="1" applyFill="1" applyBorder="1" applyAlignment="1">
      <alignment horizontal="center" vertical="center"/>
    </xf>
    <xf numFmtId="0" fontId="39" fillId="0" borderId="0" xfId="0" applyFont="1" applyAlignment="1">
      <alignment horizontal="center" vertical="center"/>
    </xf>
    <xf numFmtId="176" fontId="332" fillId="41" borderId="550" xfId="0" applyNumberFormat="1" applyFont="1" applyFill="1" applyBorder="1" applyAlignment="1">
      <alignment horizontal="center" vertical="center"/>
    </xf>
    <xf numFmtId="0" fontId="332" fillId="41" borderId="550" xfId="0" applyFont="1" applyFill="1" applyBorder="1" applyAlignment="1">
      <alignment horizontal="center" vertical="center"/>
    </xf>
    <xf numFmtId="166" fontId="247" fillId="15" borderId="550" xfId="0" applyNumberFormat="1" applyFont="1" applyFill="1" applyBorder="1" applyAlignment="1">
      <alignment horizontal="center" vertical="center"/>
    </xf>
    <xf numFmtId="0" fontId="247" fillId="15" borderId="550" xfId="0" applyFont="1" applyFill="1" applyBorder="1" applyAlignment="1">
      <alignment horizontal="center" vertical="center"/>
    </xf>
    <xf numFmtId="0" fontId="39" fillId="15" borderId="550" xfId="0" applyFont="1" applyFill="1" applyBorder="1" applyAlignment="1">
      <alignment horizontal="center" vertical="center"/>
    </xf>
    <xf numFmtId="176" fontId="328" fillId="35" borderId="550" xfId="0" applyNumberFormat="1" applyFont="1" applyFill="1" applyBorder="1" applyAlignment="1">
      <alignment horizontal="center" vertical="center"/>
    </xf>
    <xf numFmtId="176" fontId="87" fillId="5" borderId="550" xfId="0" applyNumberFormat="1" applyFont="1" applyFill="1" applyBorder="1" applyAlignment="1">
      <alignment horizontal="center" vertical="center"/>
    </xf>
    <xf numFmtId="0" fontId="322" fillId="33" borderId="550" xfId="0" applyFont="1" applyFill="1" applyBorder="1" applyAlignment="1">
      <alignment horizontal="center" vertical="center"/>
    </xf>
    <xf numFmtId="176" fontId="321" fillId="0" borderId="550" xfId="0" applyNumberFormat="1" applyFont="1" applyBorder="1" applyAlignment="1">
      <alignment horizontal="center"/>
    </xf>
    <xf numFmtId="0" fontId="328" fillId="87" borderId="0" xfId="0" applyFont="1" applyFill="1" applyAlignment="1">
      <alignment horizontal="center" vertical="center"/>
    </xf>
    <xf numFmtId="0" fontId="88" fillId="39" borderId="0" xfId="0" applyFont="1" applyFill="1"/>
    <xf numFmtId="0" fontId="88" fillId="33" borderId="598" xfId="0" applyFont="1" applyFill="1" applyBorder="1"/>
    <xf numFmtId="0" fontId="88" fillId="45" borderId="260" xfId="0" applyFont="1" applyFill="1" applyBorder="1"/>
    <xf numFmtId="0" fontId="88" fillId="35" borderId="0" xfId="0" applyFont="1" applyFill="1"/>
    <xf numFmtId="0" fontId="88" fillId="41" borderId="0" xfId="0" applyFont="1" applyFill="1"/>
    <xf numFmtId="0" fontId="88" fillId="44" borderId="0" xfId="0" applyFont="1" applyFill="1"/>
    <xf numFmtId="0" fontId="88" fillId="46" borderId="0" xfId="0" applyFont="1" applyFill="1"/>
    <xf numFmtId="166" fontId="88" fillId="0" borderId="550" xfId="0" applyNumberFormat="1" applyFont="1" applyBorder="1" applyAlignment="1">
      <alignment horizontal="center"/>
    </xf>
    <xf numFmtId="0" fontId="261" fillId="7" borderId="0" xfId="0" applyFont="1" applyFill="1"/>
    <xf numFmtId="0" fontId="323" fillId="16" borderId="260" xfId="0" applyFont="1" applyFill="1" applyBorder="1" applyAlignment="1">
      <alignment vertical="center"/>
    </xf>
    <xf numFmtId="0" fontId="322" fillId="4" borderId="598" xfId="0" applyFont="1" applyFill="1" applyBorder="1" applyAlignment="1">
      <alignment vertical="center"/>
    </xf>
    <xf numFmtId="0" fontId="322" fillId="4" borderId="187" xfId="0" applyFont="1" applyFill="1" applyBorder="1" applyAlignment="1">
      <alignment vertical="center"/>
    </xf>
    <xf numFmtId="0" fontId="322" fillId="4" borderId="354" xfId="0" applyFont="1" applyFill="1" applyBorder="1" applyAlignment="1">
      <alignment vertical="center"/>
    </xf>
    <xf numFmtId="0" fontId="323" fillId="45" borderId="260" xfId="0" applyFont="1" applyFill="1" applyBorder="1" applyAlignment="1">
      <alignment vertical="center"/>
    </xf>
    <xf numFmtId="0" fontId="3" fillId="37" borderId="0" xfId="0" applyFont="1" applyFill="1" applyAlignment="1">
      <alignment vertical="center"/>
    </xf>
    <xf numFmtId="0" fontId="335" fillId="83" borderId="0" xfId="0" applyFont="1" applyFill="1" applyAlignment="1">
      <alignment vertical="center"/>
    </xf>
    <xf numFmtId="0" fontId="327" fillId="55" borderId="482" xfId="0" applyFont="1" applyFill="1" applyBorder="1" applyAlignment="1" applyProtection="1">
      <alignment horizontal="center" vertical="center" wrapText="1"/>
      <protection hidden="1"/>
    </xf>
    <xf numFmtId="0" fontId="327" fillId="55" borderId="625" xfId="0" applyFont="1" applyFill="1" applyBorder="1" applyAlignment="1" applyProtection="1">
      <alignment horizontal="center" vertical="center" wrapText="1"/>
      <protection hidden="1"/>
    </xf>
    <xf numFmtId="0" fontId="323" fillId="81" borderId="0" xfId="0" applyFont="1" applyFill="1" applyAlignment="1">
      <alignment vertical="center"/>
    </xf>
    <xf numFmtId="0" fontId="323" fillId="81" borderId="0" xfId="0" applyFont="1" applyFill="1" applyAlignment="1">
      <alignment horizontal="left" vertical="center" wrapText="1"/>
    </xf>
    <xf numFmtId="176" fontId="322" fillId="81" borderId="0" xfId="0" applyNumberFormat="1" applyFont="1" applyFill="1" applyAlignment="1">
      <alignment horizontal="center" vertical="center"/>
    </xf>
    <xf numFmtId="0" fontId="88" fillId="81" borderId="0" xfId="0" applyFont="1" applyFill="1"/>
    <xf numFmtId="0" fontId="323" fillId="32" borderId="0" xfId="0" applyFont="1" applyFill="1" applyAlignment="1">
      <alignment vertical="center"/>
    </xf>
    <xf numFmtId="176" fontId="322" fillId="32" borderId="0" xfId="0" applyNumberFormat="1" applyFont="1" applyFill="1" applyAlignment="1">
      <alignment horizontal="center" vertical="center"/>
    </xf>
    <xf numFmtId="0" fontId="323" fillId="33" borderId="0" xfId="0" applyFont="1" applyFill="1" applyAlignment="1">
      <alignment vertical="center"/>
    </xf>
    <xf numFmtId="176" fontId="322" fillId="33" borderId="0" xfId="0" applyNumberFormat="1" applyFont="1" applyFill="1" applyAlignment="1">
      <alignment horizontal="center" vertical="center"/>
    </xf>
    <xf numFmtId="0" fontId="332" fillId="33" borderId="550" xfId="0" applyFont="1" applyFill="1" applyBorder="1" applyAlignment="1">
      <alignment horizontal="center" vertical="center"/>
    </xf>
    <xf numFmtId="0" fontId="88" fillId="77" borderId="0" xfId="0" applyFont="1" applyFill="1"/>
    <xf numFmtId="0" fontId="10" fillId="77" borderId="0" xfId="0" applyFont="1" applyFill="1"/>
    <xf numFmtId="0" fontId="322" fillId="32" borderId="631" xfId="0" applyFont="1" applyFill="1" applyBorder="1" applyAlignment="1">
      <alignment horizontal="center" vertical="center"/>
    </xf>
    <xf numFmtId="0" fontId="322" fillId="32" borderId="550" xfId="0" applyFont="1" applyFill="1" applyBorder="1" applyAlignment="1">
      <alignment horizontal="center" vertical="center"/>
    </xf>
    <xf numFmtId="0" fontId="88" fillId="8" borderId="550" xfId="0" applyFont="1" applyFill="1" applyBorder="1" applyAlignment="1">
      <alignment horizontal="center" vertical="center"/>
    </xf>
    <xf numFmtId="0" fontId="88" fillId="77" borderId="0" xfId="0" applyFont="1" applyFill="1" applyAlignment="1">
      <alignment horizontal="center" vertical="center"/>
    </xf>
    <xf numFmtId="0" fontId="328" fillId="72" borderId="0" xfId="0" applyFont="1" applyFill="1" applyAlignment="1">
      <alignment horizontal="center" vertical="center"/>
    </xf>
    <xf numFmtId="0" fontId="332" fillId="72" borderId="0" xfId="0" applyFont="1" applyFill="1" applyAlignment="1">
      <alignment horizontal="center" vertical="center"/>
    </xf>
    <xf numFmtId="176" fontId="332" fillId="31" borderId="0" xfId="0" applyNumberFormat="1" applyFont="1" applyFill="1" applyAlignment="1">
      <alignment horizontal="center" vertical="center"/>
    </xf>
    <xf numFmtId="17" fontId="88" fillId="77" borderId="0" xfId="0" applyNumberFormat="1" applyFont="1" applyFill="1" applyAlignment="1">
      <alignment horizontal="center" vertical="center"/>
    </xf>
    <xf numFmtId="166" fontId="88" fillId="0" borderId="0" xfId="0" applyNumberFormat="1" applyFont="1" applyAlignment="1">
      <alignment horizontal="center" vertical="center"/>
    </xf>
    <xf numFmtId="17" fontId="321" fillId="50" borderId="321" xfId="0" applyNumberFormat="1" applyFont="1" applyFill="1" applyBorder="1" applyAlignment="1">
      <alignment horizontal="center" vertical="center"/>
    </xf>
    <xf numFmtId="0" fontId="321" fillId="83" borderId="550" xfId="0" applyFont="1" applyFill="1" applyBorder="1" applyAlignment="1">
      <alignment horizontal="center" vertical="center"/>
    </xf>
    <xf numFmtId="0" fontId="344" fillId="83" borderId="550" xfId="0" applyFont="1" applyFill="1" applyBorder="1" applyAlignment="1">
      <alignment horizontal="center" vertical="center"/>
    </xf>
    <xf numFmtId="0" fontId="233" fillId="0" borderId="550" xfId="0" applyFont="1" applyBorder="1" applyAlignment="1">
      <alignment horizontal="center"/>
    </xf>
    <xf numFmtId="0" fontId="233" fillId="0" borderId="550" xfId="0" applyFont="1" applyBorder="1" applyAlignment="1">
      <alignment horizontal="center" vertical="center"/>
    </xf>
    <xf numFmtId="0" fontId="0" fillId="0" borderId="550" xfId="0" applyBorder="1" applyAlignment="1">
      <alignment horizontal="center"/>
    </xf>
    <xf numFmtId="0" fontId="233" fillId="15" borderId="260" xfId="0" applyFont="1" applyFill="1" applyBorder="1"/>
    <xf numFmtId="0" fontId="142" fillId="22" borderId="260" xfId="0" applyFont="1" applyFill="1" applyBorder="1"/>
    <xf numFmtId="0" fontId="233" fillId="22" borderId="550" xfId="0" applyFont="1" applyFill="1" applyBorder="1" applyAlignment="1">
      <alignment horizontal="center" vertical="center"/>
    </xf>
    <xf numFmtId="0" fontId="142" fillId="22" borderId="187" xfId="0" applyFont="1" applyFill="1" applyBorder="1"/>
    <xf numFmtId="0" fontId="321" fillId="50" borderId="550" xfId="0" applyFont="1" applyFill="1" applyBorder="1" applyAlignment="1">
      <alignment horizontal="center" vertical="center" wrapText="1"/>
    </xf>
    <xf numFmtId="0" fontId="10" fillId="0" borderId="550" xfId="0" applyFont="1" applyBorder="1" applyAlignment="1">
      <alignment horizontal="center" vertical="center"/>
    </xf>
    <xf numFmtId="0" fontId="336" fillId="0" borderId="550" xfId="0" applyFont="1" applyBorder="1" applyAlignment="1">
      <alignment vertical="center"/>
    </xf>
    <xf numFmtId="0" fontId="88" fillId="0" borderId="550" xfId="0" applyFont="1" applyBorder="1" applyAlignment="1">
      <alignment horizontal="center" vertical="center"/>
    </xf>
    <xf numFmtId="166" fontId="88" fillId="0" borderId="550" xfId="0" applyNumberFormat="1" applyFont="1" applyBorder="1" applyAlignment="1">
      <alignment horizontal="center" vertical="center"/>
    </xf>
    <xf numFmtId="0" fontId="88" fillId="0" borderId="566" xfId="0" applyFont="1" applyBorder="1" applyAlignment="1">
      <alignment horizontal="center" vertical="center"/>
    </xf>
    <xf numFmtId="0" fontId="327" fillId="55" borderId="318" xfId="0" applyFont="1" applyFill="1" applyBorder="1" applyAlignment="1" applyProtection="1">
      <alignment horizontal="center" vertical="center" wrapText="1"/>
      <protection hidden="1"/>
    </xf>
    <xf numFmtId="0" fontId="323" fillId="31" borderId="319" xfId="0" applyFont="1" applyFill="1" applyBorder="1" applyAlignment="1" applyProtection="1">
      <alignment vertical="center" wrapText="1"/>
      <protection hidden="1"/>
    </xf>
    <xf numFmtId="0" fontId="323" fillId="31" borderId="320" xfId="0" applyFont="1" applyFill="1" applyBorder="1" applyAlignment="1" applyProtection="1">
      <alignment vertical="center" wrapText="1"/>
      <protection hidden="1"/>
    </xf>
    <xf numFmtId="0" fontId="419" fillId="39" borderId="77" xfId="0" applyFont="1" applyFill="1" applyBorder="1" applyAlignment="1">
      <alignment vertical="center"/>
    </xf>
    <xf numFmtId="0" fontId="419" fillId="39" borderId="0" xfId="0" applyFont="1" applyFill="1" applyAlignment="1">
      <alignment vertical="center"/>
    </xf>
    <xf numFmtId="0" fontId="419" fillId="39" borderId="75" xfId="0" applyFont="1" applyFill="1" applyBorder="1" applyAlignment="1">
      <alignment vertical="center"/>
    </xf>
    <xf numFmtId="0" fontId="261" fillId="55" borderId="123" xfId="0" applyFont="1" applyFill="1" applyBorder="1" applyAlignment="1">
      <alignment vertical="center" wrapText="1"/>
    </xf>
    <xf numFmtId="0" fontId="261" fillId="55" borderId="0" xfId="0" applyFont="1" applyFill="1" applyAlignment="1">
      <alignment vertical="center" wrapText="1"/>
    </xf>
    <xf numFmtId="0" fontId="261" fillId="55" borderId="124" xfId="0" applyFont="1" applyFill="1" applyBorder="1" applyAlignment="1">
      <alignment vertical="center" wrapText="1"/>
    </xf>
    <xf numFmtId="0" fontId="321" fillId="50" borderId="633" xfId="0" applyFont="1" applyFill="1" applyBorder="1" applyAlignment="1" applyProtection="1">
      <alignment horizontal="center" vertical="center" wrapText="1"/>
      <protection locked="0" hidden="1"/>
    </xf>
    <xf numFmtId="0" fontId="321" fillId="50" borderId="633" xfId="0" applyFont="1" applyFill="1" applyBorder="1" applyAlignment="1" applyProtection="1">
      <alignment horizontal="center" vertical="center" wrapText="1"/>
      <protection hidden="1"/>
    </xf>
    <xf numFmtId="0" fontId="261" fillId="55" borderId="481" xfId="0" applyFont="1" applyFill="1" applyBorder="1" applyAlignment="1">
      <alignment vertical="center" wrapText="1"/>
    </xf>
    <xf numFmtId="0" fontId="261" fillId="55" borderId="108" xfId="0" applyFont="1" applyFill="1" applyBorder="1" applyAlignment="1">
      <alignment vertical="center" wrapText="1"/>
    </xf>
    <xf numFmtId="0" fontId="261" fillId="55" borderId="559" xfId="0" applyFont="1" applyFill="1" applyBorder="1" applyAlignment="1">
      <alignment vertical="center" wrapText="1"/>
    </xf>
    <xf numFmtId="0" fontId="328" fillId="37" borderId="550" xfId="0" applyFont="1" applyFill="1" applyBorder="1" applyAlignment="1">
      <alignment horizontal="center" vertical="center"/>
    </xf>
    <xf numFmtId="0" fontId="328" fillId="34" borderId="550" xfId="0" applyFont="1" applyFill="1" applyBorder="1" applyAlignment="1">
      <alignment horizontal="center" vertical="center"/>
    </xf>
    <xf numFmtId="0" fontId="266" fillId="66" borderId="0" xfId="0" applyFont="1" applyFill="1" applyProtection="1">
      <protection hidden="1"/>
    </xf>
    <xf numFmtId="0" fontId="217" fillId="66" borderId="0" xfId="0" applyFont="1" applyFill="1" applyAlignment="1">
      <alignment vertical="center"/>
    </xf>
    <xf numFmtId="0" fontId="217" fillId="66" borderId="223" xfId="0" applyFont="1" applyFill="1" applyBorder="1" applyAlignment="1">
      <alignment vertical="center"/>
    </xf>
    <xf numFmtId="0" fontId="266" fillId="39" borderId="223" xfId="0" applyFont="1" applyFill="1" applyBorder="1" applyProtection="1">
      <protection hidden="1"/>
    </xf>
    <xf numFmtId="0" fontId="217" fillId="33" borderId="326" xfId="0" applyFont="1" applyFill="1" applyBorder="1" applyAlignment="1">
      <alignment vertical="center"/>
    </xf>
    <xf numFmtId="0" fontId="266" fillId="33" borderId="624" xfId="0" applyFont="1" applyFill="1" applyBorder="1" applyProtection="1">
      <protection hidden="1"/>
    </xf>
    <xf numFmtId="0" fontId="265" fillId="33" borderId="642" xfId="0" applyFont="1" applyFill="1" applyBorder="1" applyAlignment="1" applyProtection="1">
      <alignment vertical="center"/>
      <protection hidden="1"/>
    </xf>
    <xf numFmtId="0" fontId="266" fillId="33" borderId="642" xfId="0" applyFont="1" applyFill="1" applyBorder="1" applyProtection="1">
      <protection hidden="1"/>
    </xf>
    <xf numFmtId="0" fontId="4" fillId="33" borderId="642" xfId="0" applyFont="1" applyFill="1" applyBorder="1" applyProtection="1">
      <protection hidden="1"/>
    </xf>
    <xf numFmtId="0" fontId="440" fillId="33" borderId="642" xfId="0" applyFont="1" applyFill="1" applyBorder="1" applyAlignment="1" applyProtection="1">
      <alignment vertical="center"/>
      <protection locked="0" hidden="1"/>
    </xf>
    <xf numFmtId="0" fontId="4" fillId="91" borderId="219" xfId="0" applyFont="1" applyFill="1" applyBorder="1" applyProtection="1">
      <protection hidden="1"/>
    </xf>
    <xf numFmtId="0" fontId="459" fillId="33" borderId="0" xfId="0" applyFont="1" applyFill="1" applyAlignment="1">
      <alignment vertical="center" wrapText="1"/>
    </xf>
    <xf numFmtId="1" fontId="325" fillId="34" borderId="12" xfId="0" applyNumberFormat="1" applyFont="1" applyFill="1" applyBorder="1" applyAlignment="1">
      <alignment horizontal="center" vertical="center"/>
    </xf>
    <xf numFmtId="1" fontId="321" fillId="34" borderId="178" xfId="0" applyNumberFormat="1" applyFont="1" applyFill="1" applyBorder="1" applyAlignment="1">
      <alignment horizontal="center" vertical="center"/>
    </xf>
    <xf numFmtId="0" fontId="323" fillId="31" borderId="298" xfId="0" applyFont="1" applyFill="1" applyBorder="1" applyAlignment="1">
      <alignment horizontal="center" vertical="center"/>
    </xf>
    <xf numFmtId="0" fontId="45" fillId="0" borderId="0" xfId="0" applyFont="1" applyAlignment="1">
      <alignment horizontal="center" vertical="center"/>
    </xf>
    <xf numFmtId="0" fontId="321" fillId="34" borderId="321" xfId="0" applyFont="1" applyFill="1" applyBorder="1" applyAlignment="1">
      <alignment horizontal="center" vertical="center"/>
    </xf>
    <xf numFmtId="1" fontId="321" fillId="34" borderId="12" xfId="0" applyNumberFormat="1" applyFont="1" applyFill="1" applyBorder="1" applyAlignment="1">
      <alignment horizontal="center" vertical="center"/>
    </xf>
    <xf numFmtId="0" fontId="88" fillId="50" borderId="0" xfId="0" applyFont="1" applyFill="1" applyAlignment="1">
      <alignment vertical="center"/>
    </xf>
    <xf numFmtId="0" fontId="349" fillId="34" borderId="211" xfId="0" applyFont="1" applyFill="1" applyBorder="1" applyAlignment="1">
      <alignment horizontal="left" vertical="center" wrapText="1"/>
    </xf>
    <xf numFmtId="0" fontId="321" fillId="34" borderId="211" xfId="0" applyFont="1" applyFill="1" applyBorder="1" applyAlignment="1">
      <alignment horizontal="center" vertical="center"/>
    </xf>
    <xf numFmtId="0" fontId="88" fillId="34" borderId="550" xfId="0" applyFont="1" applyFill="1" applyBorder="1" applyAlignment="1">
      <alignment vertical="center"/>
    </xf>
    <xf numFmtId="1" fontId="325" fillId="50" borderId="0" xfId="0" applyNumberFormat="1" applyFont="1" applyFill="1" applyAlignment="1">
      <alignment horizontal="center" vertical="center"/>
    </xf>
    <xf numFmtId="0" fontId="325" fillId="0" borderId="0" xfId="0" applyFont="1" applyAlignment="1">
      <alignment horizontal="center" vertical="center"/>
    </xf>
    <xf numFmtId="0" fontId="325" fillId="50" borderId="0" xfId="0" applyFont="1" applyFill="1" applyAlignment="1">
      <alignment horizontal="center" vertical="center"/>
    </xf>
    <xf numFmtId="0" fontId="88" fillId="50" borderId="401" xfId="0" applyFont="1" applyFill="1" applyBorder="1" applyAlignment="1">
      <alignment horizontal="center" vertical="center"/>
    </xf>
    <xf numFmtId="1" fontId="325" fillId="50" borderId="401" xfId="0" applyNumberFormat="1" applyFont="1" applyFill="1" applyBorder="1" applyAlignment="1">
      <alignment horizontal="center" vertical="center"/>
    </xf>
    <xf numFmtId="0" fontId="321" fillId="50" borderId="401" xfId="0" applyFont="1" applyFill="1" applyBorder="1" applyAlignment="1">
      <alignment horizontal="center" vertical="center"/>
    </xf>
    <xf numFmtId="0" fontId="325" fillId="50" borderId="651" xfId="0" applyFont="1" applyFill="1" applyBorder="1" applyAlignment="1">
      <alignment horizontal="center" vertical="center"/>
    </xf>
    <xf numFmtId="0" fontId="321" fillId="0" borderId="550" xfId="0" applyFont="1" applyBorder="1"/>
    <xf numFmtId="0" fontId="321" fillId="0" borderId="401" xfId="0" applyFont="1" applyBorder="1"/>
    <xf numFmtId="0" fontId="337" fillId="0" borderId="550" xfId="0" applyFont="1" applyBorder="1" applyAlignment="1">
      <alignment horizontal="left" vertical="center" wrapText="1"/>
    </xf>
    <xf numFmtId="0" fontId="325" fillId="34" borderId="12" xfId="0" applyFont="1" applyFill="1" applyBorder="1" applyAlignment="1">
      <alignment horizontal="center" vertical="center"/>
    </xf>
    <xf numFmtId="0" fontId="321" fillId="34" borderId="550" xfId="0" applyFont="1" applyFill="1" applyBorder="1"/>
    <xf numFmtId="0" fontId="43" fillId="0" borderId="652" xfId="0" applyFont="1" applyBorder="1" applyAlignment="1" applyProtection="1">
      <alignment horizontal="center" vertical="center"/>
      <protection hidden="1"/>
    </xf>
    <xf numFmtId="1" fontId="70" fillId="0" borderId="653" xfId="0" applyNumberFormat="1" applyFont="1" applyBorder="1" applyAlignment="1" applyProtection="1">
      <alignment horizontal="center" vertical="center"/>
      <protection hidden="1"/>
    </xf>
    <xf numFmtId="1" fontId="70" fillId="0" borderId="550" xfId="0" applyNumberFormat="1" applyFont="1" applyBorder="1" applyAlignment="1" applyProtection="1">
      <alignment horizontal="center" vertical="center"/>
      <protection hidden="1"/>
    </xf>
    <xf numFmtId="0" fontId="69" fillId="0" borderId="531" xfId="0" applyFont="1" applyBorder="1" applyAlignment="1" applyProtection="1">
      <alignment horizontal="center"/>
      <protection hidden="1"/>
    </xf>
    <xf numFmtId="0" fontId="321" fillId="50" borderId="483" xfId="0" applyFont="1" applyFill="1" applyBorder="1" applyAlignment="1" applyProtection="1">
      <alignment horizontal="center" vertical="center" wrapText="1"/>
      <protection locked="0" hidden="1"/>
    </xf>
    <xf numFmtId="0" fontId="318" fillId="32" borderId="0" xfId="0" applyFont="1" applyFill="1"/>
    <xf numFmtId="0" fontId="171" fillId="33" borderId="244" xfId="0" applyFont="1" applyFill="1" applyBorder="1" applyAlignment="1" applyProtection="1">
      <alignment horizontal="center"/>
      <protection hidden="1"/>
    </xf>
    <xf numFmtId="0" fontId="171" fillId="33" borderId="246" xfId="0" applyFont="1" applyFill="1" applyBorder="1" applyAlignment="1" applyProtection="1">
      <alignment horizontal="center"/>
      <protection hidden="1"/>
    </xf>
    <xf numFmtId="0" fontId="256" fillId="33" borderId="244" xfId="0" applyFont="1" applyFill="1" applyBorder="1" applyAlignment="1" applyProtection="1">
      <alignment horizontal="center"/>
      <protection hidden="1"/>
    </xf>
    <xf numFmtId="0" fontId="171" fillId="4" borderId="241" xfId="0" applyFont="1" applyFill="1" applyBorder="1" applyAlignment="1" applyProtection="1">
      <alignment horizontal="center"/>
      <protection hidden="1"/>
    </xf>
    <xf numFmtId="0" fontId="0" fillId="4" borderId="242" xfId="0" applyFill="1" applyBorder="1" applyProtection="1">
      <protection hidden="1"/>
    </xf>
    <xf numFmtId="0" fontId="0" fillId="4" borderId="243" xfId="0" applyFill="1" applyBorder="1" applyProtection="1">
      <protection hidden="1"/>
    </xf>
    <xf numFmtId="0" fontId="171" fillId="4" borderId="244" xfId="0" applyFont="1" applyFill="1" applyBorder="1" applyAlignment="1" applyProtection="1">
      <alignment horizontal="center"/>
      <protection hidden="1"/>
    </xf>
    <xf numFmtId="0" fontId="0" fillId="4" borderId="245" xfId="0" applyFill="1" applyBorder="1" applyProtection="1">
      <protection hidden="1"/>
    </xf>
    <xf numFmtId="0" fontId="256" fillId="4" borderId="244" xfId="0" applyFont="1" applyFill="1" applyBorder="1" applyAlignment="1" applyProtection="1">
      <alignment horizontal="center"/>
      <protection hidden="1"/>
    </xf>
    <xf numFmtId="0" fontId="56" fillId="4" borderId="0" xfId="0" applyFont="1" applyFill="1" applyAlignment="1" applyProtection="1">
      <alignment horizontal="center" vertical="center" wrapText="1"/>
      <protection hidden="1"/>
    </xf>
    <xf numFmtId="0" fontId="14" fillId="4" borderId="0" xfId="0" applyFont="1" applyFill="1" applyAlignment="1" applyProtection="1">
      <alignment vertical="center" wrapText="1"/>
      <protection hidden="1"/>
    </xf>
    <xf numFmtId="0" fontId="23" fillId="4" borderId="0" xfId="0" applyFont="1" applyFill="1" applyProtection="1">
      <protection hidden="1"/>
    </xf>
    <xf numFmtId="0" fontId="59" fillId="4" borderId="245" xfId="0" applyFont="1" applyFill="1" applyBorder="1" applyAlignment="1" applyProtection="1">
      <alignment vertical="center" wrapText="1"/>
      <protection hidden="1"/>
    </xf>
    <xf numFmtId="0" fontId="197" fillId="4" borderId="244" xfId="0" applyFont="1" applyFill="1" applyBorder="1" applyAlignment="1" applyProtection="1">
      <alignment horizontal="center" vertical="center"/>
      <protection hidden="1"/>
    </xf>
    <xf numFmtId="0" fontId="23" fillId="33" borderId="242" xfId="0" applyFont="1" applyFill="1" applyBorder="1" applyProtection="1">
      <protection locked="0" hidden="1"/>
    </xf>
    <xf numFmtId="0" fontId="41" fillId="33" borderId="242" xfId="0" applyFont="1" applyFill="1" applyBorder="1" applyProtection="1">
      <protection locked="0" hidden="1"/>
    </xf>
    <xf numFmtId="0" fontId="23" fillId="33" borderId="0" xfId="0" applyFont="1" applyFill="1" applyProtection="1">
      <protection locked="0" hidden="1"/>
    </xf>
    <xf numFmtId="0" fontId="23" fillId="33" borderId="247" xfId="0" applyFont="1" applyFill="1" applyBorder="1" applyProtection="1">
      <protection locked="0" hidden="1"/>
    </xf>
    <xf numFmtId="0" fontId="10" fillId="50" borderId="649" xfId="0" applyFont="1" applyFill="1" applyBorder="1" applyAlignment="1" applyProtection="1">
      <alignment horizontal="center" vertical="center"/>
      <protection locked="0" hidden="1"/>
    </xf>
    <xf numFmtId="0" fontId="156" fillId="33" borderId="427" xfId="0" applyFont="1" applyFill="1" applyBorder="1" applyAlignment="1">
      <alignment vertical="center"/>
    </xf>
    <xf numFmtId="0" fontId="156" fillId="33" borderId="429" xfId="0" applyFont="1" applyFill="1" applyBorder="1" applyAlignment="1">
      <alignment vertical="center"/>
    </xf>
    <xf numFmtId="0" fontId="156" fillId="33" borderId="433" xfId="0" applyFont="1" applyFill="1" applyBorder="1" applyAlignment="1">
      <alignment vertical="center"/>
    </xf>
    <xf numFmtId="0" fontId="156" fillId="33" borderId="434" xfId="0" applyFont="1" applyFill="1" applyBorder="1" applyAlignment="1">
      <alignment vertical="center"/>
    </xf>
    <xf numFmtId="0" fontId="156" fillId="33" borderId="430" xfId="0" applyFont="1" applyFill="1" applyBorder="1" applyAlignment="1">
      <alignment vertical="center"/>
    </xf>
    <xf numFmtId="0" fontId="156" fillId="33" borderId="431" xfId="0" applyFont="1" applyFill="1" applyBorder="1" applyAlignment="1">
      <alignment vertical="center"/>
    </xf>
    <xf numFmtId="0" fontId="156" fillId="33" borderId="432" xfId="0" applyFont="1" applyFill="1" applyBorder="1" applyAlignment="1">
      <alignment vertical="center"/>
    </xf>
    <xf numFmtId="0" fontId="440" fillId="31" borderId="214" xfId="0" applyFont="1" applyFill="1" applyBorder="1" applyAlignment="1">
      <alignment vertical="center"/>
    </xf>
    <xf numFmtId="0" fontId="440" fillId="31" borderId="218" xfId="0" applyFont="1" applyFill="1" applyBorder="1" applyAlignment="1">
      <alignment vertical="center"/>
    </xf>
    <xf numFmtId="0" fontId="440" fillId="31" borderId="215" xfId="0" applyFont="1" applyFill="1" applyBorder="1" applyAlignment="1">
      <alignment vertical="center"/>
    </xf>
    <xf numFmtId="0" fontId="261" fillId="31" borderId="658" xfId="0" applyFont="1" applyFill="1" applyBorder="1" applyAlignment="1">
      <alignment vertical="center" wrapText="1"/>
    </xf>
    <xf numFmtId="0" fontId="261" fillId="31" borderId="659" xfId="0" applyFont="1" applyFill="1" applyBorder="1" applyAlignment="1">
      <alignment vertical="center" wrapText="1"/>
    </xf>
    <xf numFmtId="0" fontId="261" fillId="31" borderId="660" xfId="0" applyFont="1" applyFill="1" applyBorder="1" applyAlignment="1">
      <alignment vertical="center" wrapText="1"/>
    </xf>
    <xf numFmtId="0" fontId="327" fillId="31" borderId="318" xfId="0" applyFont="1" applyFill="1" applyBorder="1" applyAlignment="1" applyProtection="1">
      <alignment vertical="center" wrapText="1"/>
      <protection hidden="1"/>
    </xf>
    <xf numFmtId="0" fontId="327" fillId="31" borderId="319" xfId="0" applyFont="1" applyFill="1" applyBorder="1" applyAlignment="1" applyProtection="1">
      <alignment vertical="center" wrapText="1"/>
      <protection hidden="1"/>
    </xf>
    <xf numFmtId="0" fontId="327" fillId="31" borderId="320" xfId="0" applyFont="1" applyFill="1" applyBorder="1" applyAlignment="1" applyProtection="1">
      <alignment vertical="center" wrapText="1"/>
      <protection hidden="1"/>
    </xf>
    <xf numFmtId="0" fontId="36" fillId="31" borderId="318" xfId="0" applyFont="1" applyFill="1" applyBorder="1" applyAlignment="1">
      <alignment vertical="center"/>
    </xf>
    <xf numFmtId="0" fontId="36" fillId="31" borderId="319" xfId="0" applyFont="1" applyFill="1" applyBorder="1" applyAlignment="1">
      <alignment vertical="center"/>
    </xf>
    <xf numFmtId="0" fontId="36" fillId="31" borderId="320" xfId="0" applyFont="1" applyFill="1" applyBorder="1" applyAlignment="1">
      <alignment vertical="center"/>
    </xf>
    <xf numFmtId="1" fontId="70" fillId="50" borderId="550" xfId="0" applyNumberFormat="1" applyFont="1" applyFill="1" applyBorder="1" applyAlignment="1" applyProtection="1">
      <alignment horizontal="center" vertical="center"/>
      <protection hidden="1"/>
    </xf>
    <xf numFmtId="0" fontId="2" fillId="0" borderId="552" xfId="0" applyFont="1" applyBorder="1" applyAlignment="1" applyProtection="1">
      <alignment horizontal="center" vertical="center"/>
      <protection hidden="1"/>
    </xf>
    <xf numFmtId="176" fontId="332" fillId="32" borderId="0" xfId="0" applyNumberFormat="1" applyFont="1" applyFill="1" applyAlignment="1">
      <alignment horizontal="center" vertical="center"/>
    </xf>
    <xf numFmtId="0" fontId="328" fillId="0" borderId="550" xfId="0" applyFont="1" applyBorder="1" applyAlignment="1">
      <alignment vertical="center"/>
    </xf>
    <xf numFmtId="0" fontId="387" fillId="33" borderId="662" xfId="0" applyFont="1" applyFill="1" applyBorder="1" applyAlignment="1">
      <alignment wrapText="1"/>
    </xf>
    <xf numFmtId="0" fontId="262" fillId="4" borderId="663" xfId="0" applyFont="1" applyFill="1" applyBorder="1" applyAlignment="1">
      <alignment horizontal="center" vertical="center"/>
    </xf>
    <xf numFmtId="0" fontId="323" fillId="31" borderId="642" xfId="0" applyFont="1" applyFill="1" applyBorder="1" applyAlignment="1">
      <alignment horizontal="center" vertical="center"/>
    </xf>
    <xf numFmtId="0" fontId="507" fillId="31" borderId="642" xfId="0" applyFont="1" applyFill="1" applyBorder="1" applyAlignment="1">
      <alignment horizontal="center" vertical="center"/>
    </xf>
    <xf numFmtId="0" fontId="322" fillId="31" borderId="642" xfId="0" applyFont="1" applyFill="1" applyBorder="1" applyAlignment="1">
      <alignment horizontal="center" vertical="center" wrapText="1"/>
    </xf>
    <xf numFmtId="0" fontId="507" fillId="31" borderId="642" xfId="0" applyFont="1" applyFill="1" applyBorder="1" applyAlignment="1">
      <alignment vertical="center" wrapText="1"/>
    </xf>
    <xf numFmtId="0" fontId="508" fillId="31" borderId="642" xfId="0" applyFont="1" applyFill="1" applyBorder="1" applyAlignment="1">
      <alignment wrapText="1"/>
    </xf>
    <xf numFmtId="0" fontId="509" fillId="31" borderId="642" xfId="0" applyFont="1" applyFill="1" applyBorder="1"/>
    <xf numFmtId="0" fontId="510" fillId="31" borderId="642" xfId="0" applyFont="1" applyFill="1" applyBorder="1"/>
    <xf numFmtId="0" fontId="321" fillId="33" borderId="0" xfId="0" applyFont="1" applyFill="1" applyProtection="1">
      <protection locked="0"/>
    </xf>
    <xf numFmtId="0" fontId="218" fillId="33" borderId="0" xfId="0" applyFont="1" applyFill="1" applyAlignment="1">
      <alignment horizontal="center"/>
    </xf>
    <xf numFmtId="0" fontId="218" fillId="33" borderId="0" xfId="0" applyFont="1" applyFill="1"/>
    <xf numFmtId="0" fontId="247" fillId="33" borderId="0" xfId="0" applyFont="1" applyFill="1"/>
    <xf numFmtId="0" fontId="55" fillId="33" borderId="0" xfId="0" applyFont="1" applyFill="1"/>
    <xf numFmtId="0" fontId="0" fillId="101" borderId="0" xfId="0" applyFill="1"/>
    <xf numFmtId="0" fontId="168" fillId="33" borderId="0" xfId="0" applyFont="1" applyFill="1"/>
    <xf numFmtId="0" fontId="258" fillId="33" borderId="0" xfId="0" applyFont="1" applyFill="1" applyAlignment="1" applyProtection="1">
      <alignment vertical="center"/>
      <protection hidden="1"/>
    </xf>
    <xf numFmtId="0" fontId="255" fillId="33" borderId="0" xfId="0" applyFont="1" applyFill="1" applyAlignment="1">
      <alignment horizontal="center"/>
    </xf>
    <xf numFmtId="0" fontId="321" fillId="101" borderId="0" xfId="0" applyFont="1" applyFill="1" applyProtection="1">
      <protection locked="0"/>
    </xf>
    <xf numFmtId="0" fontId="323" fillId="32" borderId="642" xfId="0" applyFont="1" applyFill="1" applyBorder="1" applyAlignment="1">
      <alignment horizontal="center" vertical="center"/>
    </xf>
    <xf numFmtId="0" fontId="507" fillId="32" borderId="642" xfId="0" applyFont="1" applyFill="1" applyBorder="1" applyAlignment="1">
      <alignment horizontal="center" vertical="center"/>
    </xf>
    <xf numFmtId="0" fontId="322" fillId="32" borderId="642" xfId="0" applyFont="1" applyFill="1" applyBorder="1" applyAlignment="1">
      <alignment horizontal="center" vertical="center" wrapText="1"/>
    </xf>
    <xf numFmtId="0" fontId="507" fillId="32" borderId="642" xfId="0" applyFont="1" applyFill="1" applyBorder="1" applyAlignment="1">
      <alignment vertical="center" wrapText="1"/>
    </xf>
    <xf numFmtId="0" fontId="508" fillId="32" borderId="642" xfId="0" applyFont="1" applyFill="1" applyBorder="1" applyAlignment="1">
      <alignment wrapText="1"/>
    </xf>
    <xf numFmtId="0" fontId="509" fillId="32" borderId="642" xfId="0" applyFont="1" applyFill="1" applyBorder="1"/>
    <xf numFmtId="0" fontId="510" fillId="32" borderId="642" xfId="0" applyFont="1" applyFill="1" applyBorder="1"/>
    <xf numFmtId="0" fontId="322" fillId="33" borderId="255" xfId="0" applyFont="1" applyFill="1" applyBorder="1" applyAlignment="1">
      <alignment horizontal="center"/>
    </xf>
    <xf numFmtId="0" fontId="328" fillId="35" borderId="550" xfId="0" applyFont="1" applyFill="1" applyBorder="1" applyAlignment="1">
      <alignment horizontal="center" vertical="center" wrapText="1"/>
    </xf>
    <xf numFmtId="0" fontId="328" fillId="38" borderId="550" xfId="0" applyFont="1" applyFill="1" applyBorder="1" applyAlignment="1">
      <alignment horizontal="center" vertical="center"/>
    </xf>
    <xf numFmtId="0" fontId="322" fillId="55" borderId="551" xfId="0" applyFont="1" applyFill="1" applyBorder="1" applyAlignment="1">
      <alignment horizontal="center" vertical="center"/>
    </xf>
    <xf numFmtId="0" fontId="328" fillId="38" borderId="550" xfId="0" applyFont="1" applyFill="1" applyBorder="1" applyAlignment="1">
      <alignment horizontal="center" vertical="center" wrapText="1"/>
    </xf>
    <xf numFmtId="0" fontId="321" fillId="55" borderId="262" xfId="0" applyFont="1" applyFill="1" applyBorder="1" applyAlignment="1">
      <alignment horizontal="center" vertical="center"/>
    </xf>
    <xf numFmtId="0" fontId="322" fillId="55" borderId="0" xfId="0" applyFont="1" applyFill="1" applyAlignment="1">
      <alignment vertical="center"/>
    </xf>
    <xf numFmtId="0" fontId="0" fillId="33" borderId="642" xfId="0" applyFill="1" applyBorder="1" applyAlignment="1">
      <alignment horizontal="center"/>
    </xf>
    <xf numFmtId="0" fontId="459" fillId="33" borderId="642" xfId="0" applyFont="1" applyFill="1" applyBorder="1" applyAlignment="1">
      <alignment vertical="center" wrapText="1"/>
    </xf>
    <xf numFmtId="0" fontId="198" fillId="33" borderId="482" xfId="0" applyFont="1" applyFill="1" applyBorder="1" applyAlignment="1" applyProtection="1">
      <alignment horizontal="center" vertical="center"/>
      <protection hidden="1"/>
    </xf>
    <xf numFmtId="0" fontId="321" fillId="39" borderId="0" xfId="0" applyFont="1" applyFill="1" applyAlignment="1" applyProtection="1">
      <alignment vertical="center"/>
      <protection locked="0" hidden="1"/>
    </xf>
    <xf numFmtId="0" fontId="198" fillId="33" borderId="624" xfId="0" applyFont="1" applyFill="1" applyBorder="1" applyAlignment="1" applyProtection="1">
      <alignment horizontal="center" vertical="center"/>
      <protection hidden="1"/>
    </xf>
    <xf numFmtId="0" fontId="198" fillId="33" borderId="642" xfId="0" applyFont="1" applyFill="1" applyBorder="1" applyAlignment="1" applyProtection="1">
      <alignment horizontal="center" vertical="center"/>
      <protection hidden="1"/>
    </xf>
    <xf numFmtId="0" fontId="336" fillId="39" borderId="0" xfId="0" applyFont="1" applyFill="1" applyAlignment="1" applyProtection="1">
      <alignment vertical="center"/>
      <protection locked="0" hidden="1"/>
    </xf>
    <xf numFmtId="0" fontId="345" fillId="39" borderId="319" xfId="0" applyFont="1" applyFill="1" applyBorder="1" applyAlignment="1" applyProtection="1">
      <alignment vertical="center"/>
      <protection hidden="1"/>
    </xf>
    <xf numFmtId="0" fontId="321" fillId="50" borderId="429" xfId="0" applyFont="1" applyFill="1" applyBorder="1" applyAlignment="1" applyProtection="1">
      <alignment horizontal="center" vertical="center"/>
      <protection locked="0" hidden="1"/>
    </xf>
    <xf numFmtId="0" fontId="335" fillId="38" borderId="624" xfId="0" applyFont="1" applyFill="1" applyBorder="1" applyAlignment="1" applyProtection="1">
      <alignment horizontal="center" vertical="center" wrapText="1"/>
      <protection hidden="1"/>
    </xf>
    <xf numFmtId="0" fontId="328" fillId="37" borderId="550" xfId="0" applyFont="1" applyFill="1" applyBorder="1" applyAlignment="1">
      <alignment horizontal="center" vertical="center" wrapText="1"/>
    </xf>
    <xf numFmtId="0" fontId="321" fillId="36" borderId="550" xfId="0" applyFont="1" applyFill="1" applyBorder="1" applyAlignment="1">
      <alignment horizontal="center" vertical="center"/>
    </xf>
    <xf numFmtId="0" fontId="337" fillId="50" borderId="550" xfId="0" applyFont="1" applyFill="1" applyBorder="1" applyAlignment="1">
      <alignment horizontal="left" vertical="top" wrapText="1"/>
    </xf>
    <xf numFmtId="0" fontId="321" fillId="50" borderId="550" xfId="0" applyFont="1" applyFill="1" applyBorder="1"/>
    <xf numFmtId="0" fontId="321" fillId="50" borderId="550" xfId="0" applyFont="1" applyFill="1" applyBorder="1" applyAlignment="1">
      <alignment horizontal="center" vertical="center"/>
    </xf>
    <xf numFmtId="0" fontId="337" fillId="50" borderId="550" xfId="0" applyFont="1" applyFill="1" applyBorder="1" applyAlignment="1">
      <alignment horizontal="left" vertical="center" wrapText="1"/>
    </xf>
    <xf numFmtId="0" fontId="321" fillId="50" borderId="12" xfId="0" applyFont="1" applyFill="1" applyBorder="1"/>
    <xf numFmtId="1" fontId="321" fillId="50" borderId="178" xfId="0" applyNumberFormat="1" applyFont="1" applyFill="1" applyBorder="1" applyAlignment="1">
      <alignment horizontal="center" vertical="center"/>
    </xf>
    <xf numFmtId="0" fontId="337" fillId="50" borderId="12" xfId="0" applyFont="1" applyFill="1" applyBorder="1" applyAlignment="1">
      <alignment horizontal="left" vertical="center" wrapText="1"/>
    </xf>
    <xf numFmtId="1" fontId="325" fillId="50" borderId="321" xfId="0" applyNumberFormat="1" applyFont="1" applyFill="1" applyBorder="1" applyAlignment="1">
      <alignment horizontal="center" vertical="center"/>
    </xf>
    <xf numFmtId="1" fontId="321" fillId="50" borderId="321" xfId="0" applyNumberFormat="1" applyFont="1" applyFill="1" applyBorder="1" applyAlignment="1">
      <alignment horizontal="center" vertical="center"/>
    </xf>
    <xf numFmtId="0" fontId="335" fillId="39" borderId="0" xfId="0" applyFont="1" applyFill="1" applyAlignment="1" applyProtection="1">
      <alignment horizontal="center" vertical="center" wrapText="1"/>
      <protection locked="0" hidden="1"/>
    </xf>
    <xf numFmtId="3" fontId="70" fillId="0" borderId="550" xfId="0" applyNumberFormat="1" applyFont="1" applyBorder="1" applyAlignment="1">
      <alignment horizontal="center" vertical="center"/>
    </xf>
    <xf numFmtId="0" fontId="349" fillId="0" borderId="550" xfId="0" applyFont="1" applyBorder="1" applyAlignment="1">
      <alignment horizontal="center" vertical="center"/>
    </xf>
    <xf numFmtId="0" fontId="467" fillId="39" borderId="427" xfId="0" applyFont="1" applyFill="1" applyBorder="1" applyAlignment="1" applyProtection="1">
      <alignment vertical="center" wrapText="1"/>
      <protection locked="0" hidden="1"/>
    </xf>
    <xf numFmtId="0" fontId="467" fillId="39" borderId="428" xfId="0" applyFont="1" applyFill="1" applyBorder="1" applyAlignment="1" applyProtection="1">
      <alignment vertical="center" wrapText="1"/>
      <protection locked="0" hidden="1"/>
    </xf>
    <xf numFmtId="0" fontId="467" fillId="39" borderId="429" xfId="0" applyFont="1" applyFill="1" applyBorder="1" applyAlignment="1" applyProtection="1">
      <alignment vertical="center" wrapText="1"/>
      <protection locked="0" hidden="1"/>
    </xf>
    <xf numFmtId="0" fontId="349" fillId="39" borderId="428" xfId="0" applyFont="1" applyFill="1" applyBorder="1" applyAlignment="1" applyProtection="1">
      <alignment horizontal="center" vertical="center" wrapText="1"/>
      <protection locked="0" hidden="1"/>
    </xf>
    <xf numFmtId="168" fontId="168" fillId="88" borderId="0" xfId="0" applyNumberFormat="1" applyFont="1" applyFill="1" applyAlignment="1" applyProtection="1">
      <alignment horizontal="center" vertical="center" wrapText="1"/>
      <protection hidden="1"/>
    </xf>
    <xf numFmtId="168" fontId="56" fillId="88" borderId="0" xfId="0" applyNumberFormat="1" applyFont="1" applyFill="1" applyAlignment="1" applyProtection="1">
      <alignment horizontal="center" vertical="center" wrapText="1"/>
      <protection hidden="1"/>
    </xf>
    <xf numFmtId="0" fontId="216" fillId="31" borderId="0" xfId="0" applyFont="1" applyFill="1" applyAlignment="1">
      <alignment horizontal="center" vertical="center" wrapText="1"/>
    </xf>
    <xf numFmtId="0" fontId="216" fillId="31" borderId="0" xfId="0" applyFont="1" applyFill="1" applyAlignment="1">
      <alignment horizontal="center"/>
    </xf>
    <xf numFmtId="0" fontId="23" fillId="12" borderId="246" xfId="0" applyFont="1" applyFill="1" applyBorder="1" applyProtection="1">
      <protection hidden="1"/>
    </xf>
    <xf numFmtId="0" fontId="23" fillId="12" borderId="247" xfId="0" applyFont="1" applyFill="1" applyBorder="1" applyProtection="1">
      <protection hidden="1"/>
    </xf>
    <xf numFmtId="0" fontId="23" fillId="12" borderId="247" xfId="0" applyFont="1" applyFill="1" applyBorder="1" applyProtection="1">
      <protection locked="0" hidden="1"/>
    </xf>
    <xf numFmtId="0" fontId="23" fillId="12" borderId="248" xfId="0" applyFont="1" applyFill="1" applyBorder="1" applyProtection="1">
      <protection hidden="1"/>
    </xf>
    <xf numFmtId="0" fontId="2" fillId="33" borderId="655" xfId="0" applyFont="1" applyFill="1" applyBorder="1" applyAlignment="1" applyProtection="1">
      <alignment horizontal="center"/>
      <protection hidden="1"/>
    </xf>
    <xf numFmtId="0" fontId="29" fillId="33" borderId="655" xfId="3" applyFont="1" applyFill="1" applyBorder="1" applyAlignment="1" applyProtection="1">
      <alignment vertical="center"/>
      <protection hidden="1"/>
    </xf>
    <xf numFmtId="0" fontId="38" fillId="33" borderId="655" xfId="0" applyFont="1" applyFill="1" applyBorder="1" applyProtection="1">
      <protection hidden="1"/>
    </xf>
    <xf numFmtId="0" fontId="2" fillId="33" borderId="655" xfId="0" applyFont="1" applyFill="1" applyBorder="1" applyProtection="1">
      <protection hidden="1"/>
    </xf>
    <xf numFmtId="0" fontId="1" fillId="33" borderId="245" xfId="0" applyFont="1" applyFill="1" applyBorder="1" applyProtection="1">
      <protection hidden="1"/>
    </xf>
    <xf numFmtId="0" fontId="2" fillId="33" borderId="245" xfId="0" applyFont="1" applyFill="1" applyBorder="1" applyProtection="1">
      <protection hidden="1"/>
    </xf>
    <xf numFmtId="0" fontId="2" fillId="33" borderId="248" xfId="0" applyFont="1" applyFill="1" applyBorder="1" applyProtection="1">
      <protection hidden="1"/>
    </xf>
    <xf numFmtId="0" fontId="154" fillId="33" borderId="0" xfId="0" applyFont="1" applyFill="1"/>
    <xf numFmtId="0" fontId="154" fillId="33" borderId="0" xfId="0" applyFont="1" applyFill="1" applyAlignment="1">
      <alignment vertical="center"/>
    </xf>
    <xf numFmtId="0" fontId="277" fillId="31" borderId="0" xfId="0" applyFont="1" applyFill="1" applyAlignment="1">
      <alignment vertical="center" wrapText="1"/>
    </xf>
    <xf numFmtId="0" fontId="346" fillId="31" borderId="0" xfId="0" applyFont="1" applyFill="1" applyAlignment="1">
      <alignment vertical="center"/>
    </xf>
    <xf numFmtId="0" fontId="336" fillId="33" borderId="624" xfId="0" applyFont="1" applyFill="1" applyBorder="1" applyAlignment="1">
      <alignment horizontal="center" vertical="center"/>
    </xf>
    <xf numFmtId="0" fontId="336" fillId="33" borderId="642" xfId="0" applyFont="1" applyFill="1" applyBorder="1" applyAlignment="1">
      <alignment horizontal="center" vertical="center"/>
    </xf>
    <xf numFmtId="0" fontId="0" fillId="33" borderId="624" xfId="0" applyFill="1" applyBorder="1"/>
    <xf numFmtId="0" fontId="0" fillId="33" borderId="642" xfId="0" applyFill="1" applyBorder="1"/>
    <xf numFmtId="0" fontId="14" fillId="0" borderId="666" xfId="0" applyFont="1" applyBorder="1" applyAlignment="1" applyProtection="1">
      <alignment vertical="center"/>
      <protection hidden="1"/>
    </xf>
    <xf numFmtId="0" fontId="14" fillId="0" borderId="193" xfId="0" applyFont="1" applyBorder="1" applyAlignment="1" applyProtection="1">
      <alignment vertical="center"/>
      <protection hidden="1"/>
    </xf>
    <xf numFmtId="0" fontId="1" fillId="0" borderId="661" xfId="0" applyFont="1" applyBorder="1" applyAlignment="1" applyProtection="1">
      <alignment horizontal="center" vertical="center"/>
      <protection hidden="1"/>
    </xf>
    <xf numFmtId="0" fontId="2" fillId="50" borderId="661" xfId="0" applyFont="1" applyFill="1" applyBorder="1" applyAlignment="1" applyProtection="1">
      <alignment horizontal="center" vertical="center"/>
      <protection hidden="1"/>
    </xf>
    <xf numFmtId="0" fontId="3" fillId="50" borderId="661" xfId="0" applyFont="1" applyFill="1" applyBorder="1" applyAlignment="1" applyProtection="1">
      <alignment vertical="center"/>
      <protection hidden="1"/>
    </xf>
    <xf numFmtId="0" fontId="21" fillId="0" borderId="552" xfId="0" applyFont="1" applyBorder="1" applyAlignment="1" applyProtection="1">
      <alignment horizontal="center" vertical="center"/>
      <protection hidden="1"/>
    </xf>
    <xf numFmtId="169" fontId="21" fillId="0" borderId="552" xfId="0" applyNumberFormat="1" applyFont="1" applyBorder="1" applyAlignment="1" applyProtection="1">
      <alignment horizontal="center" vertical="center"/>
      <protection hidden="1"/>
    </xf>
    <xf numFmtId="3" fontId="2" fillId="0" borderId="512" xfId="0" applyNumberFormat="1" applyFont="1" applyBorder="1" applyAlignment="1" applyProtection="1">
      <alignment horizontal="center" vertical="center"/>
      <protection hidden="1"/>
    </xf>
    <xf numFmtId="3" fontId="2" fillId="0" borderId="547" xfId="0" applyNumberFormat="1" applyFont="1" applyBorder="1" applyAlignment="1" applyProtection="1">
      <alignment horizontal="center" vertical="center"/>
      <protection hidden="1"/>
    </xf>
    <xf numFmtId="1" fontId="2" fillId="0" borderId="512" xfId="0" applyNumberFormat="1" applyFont="1" applyBorder="1" applyAlignment="1" applyProtection="1">
      <alignment horizontal="center" vertical="center"/>
      <protection hidden="1"/>
    </xf>
    <xf numFmtId="0" fontId="70" fillId="0" borderId="546" xfId="0" applyFont="1" applyBorder="1" applyAlignment="1" applyProtection="1">
      <alignment vertical="center"/>
      <protection hidden="1"/>
    </xf>
    <xf numFmtId="0" fontId="70" fillId="0" borderId="546" xfId="0" applyFont="1" applyBorder="1" applyAlignment="1" applyProtection="1">
      <alignment horizontal="center" vertical="center"/>
      <protection hidden="1"/>
    </xf>
    <xf numFmtId="164" fontId="2" fillId="0" borderId="512" xfId="0" applyNumberFormat="1" applyFont="1" applyBorder="1" applyAlignment="1" applyProtection="1">
      <alignment horizontal="center" vertical="center"/>
      <protection hidden="1"/>
    </xf>
    <xf numFmtId="0" fontId="14" fillId="0" borderId="552" xfId="0" applyFont="1" applyBorder="1" applyAlignment="1" applyProtection="1">
      <alignment vertical="center"/>
      <protection hidden="1"/>
    </xf>
    <xf numFmtId="0" fontId="37" fillId="0" borderId="512" xfId="0" applyFont="1" applyBorder="1" applyAlignment="1" applyProtection="1">
      <alignment horizontal="center" vertical="center"/>
      <protection hidden="1"/>
    </xf>
    <xf numFmtId="0" fontId="1" fillId="41" borderId="544" xfId="0" applyFont="1" applyFill="1" applyBorder="1" applyAlignment="1" applyProtection="1">
      <alignment horizontal="center" vertical="center"/>
      <protection hidden="1"/>
    </xf>
    <xf numFmtId="0" fontId="2" fillId="41" borderId="544" xfId="0" applyFont="1" applyFill="1" applyBorder="1" applyAlignment="1" applyProtection="1">
      <alignment horizontal="center" vertical="center"/>
      <protection hidden="1"/>
    </xf>
    <xf numFmtId="0" fontId="21" fillId="41" borderId="544" xfId="0" applyFont="1" applyFill="1" applyBorder="1" applyAlignment="1" applyProtection="1">
      <alignment vertical="center"/>
      <protection hidden="1"/>
    </xf>
    <xf numFmtId="0" fontId="2" fillId="41" borderId="544" xfId="0" applyFont="1" applyFill="1" applyBorder="1" applyAlignment="1" applyProtection="1">
      <alignment vertical="center"/>
      <protection hidden="1"/>
    </xf>
    <xf numFmtId="0" fontId="14" fillId="41" borderId="544" xfId="0" applyFont="1" applyFill="1" applyBorder="1" applyAlignment="1" applyProtection="1">
      <alignment vertical="center"/>
      <protection hidden="1"/>
    </xf>
    <xf numFmtId="164" fontId="2" fillId="41" borderId="544" xfId="0" applyNumberFormat="1" applyFont="1" applyFill="1" applyBorder="1" applyAlignment="1" applyProtection="1">
      <alignment horizontal="center" vertical="center"/>
      <protection hidden="1"/>
    </xf>
    <xf numFmtId="0" fontId="22" fillId="41" borderId="544" xfId="0" applyFont="1" applyFill="1" applyBorder="1" applyAlignment="1" applyProtection="1">
      <alignment horizontal="center" vertical="center"/>
      <protection hidden="1"/>
    </xf>
    <xf numFmtId="0" fontId="336" fillId="33" borderId="482" xfId="0" applyFont="1" applyFill="1" applyBorder="1" applyAlignment="1">
      <alignment horizontal="center" vertical="center"/>
    </xf>
    <xf numFmtId="0" fontId="0" fillId="33" borderId="482" xfId="0" applyFill="1" applyBorder="1"/>
    <xf numFmtId="0" fontId="0" fillId="66" borderId="241" xfId="0" applyFill="1" applyBorder="1"/>
    <xf numFmtId="0" fontId="0" fillId="66" borderId="242" xfId="0" applyFill="1" applyBorder="1"/>
    <xf numFmtId="0" fontId="0" fillId="66" borderId="243" xfId="0" applyFill="1" applyBorder="1"/>
    <xf numFmtId="0" fontId="0" fillId="66" borderId="244" xfId="0" applyFill="1" applyBorder="1"/>
    <xf numFmtId="0" fontId="158" fillId="66" borderId="245" xfId="0" applyFont="1" applyFill="1" applyBorder="1"/>
    <xf numFmtId="0" fontId="159" fillId="66" borderId="245" xfId="0" applyFont="1" applyFill="1" applyBorder="1"/>
    <xf numFmtId="0" fontId="0" fillId="66" borderId="246" xfId="0" applyFill="1" applyBorder="1"/>
    <xf numFmtId="0" fontId="0" fillId="66" borderId="247" xfId="0" applyFill="1" applyBorder="1"/>
    <xf numFmtId="0" fontId="158" fillId="66" borderId="248" xfId="0" applyFont="1" applyFill="1" applyBorder="1"/>
    <xf numFmtId="0" fontId="0" fillId="37" borderId="241" xfId="0" applyFill="1" applyBorder="1"/>
    <xf numFmtId="0" fontId="0" fillId="37" borderId="242" xfId="0" applyFill="1" applyBorder="1"/>
    <xf numFmtId="0" fontId="0" fillId="37" borderId="243" xfId="0" applyFill="1" applyBorder="1"/>
    <xf numFmtId="0" fontId="0" fillId="37" borderId="244" xfId="0" applyFill="1" applyBorder="1"/>
    <xf numFmtId="0" fontId="0" fillId="37" borderId="245" xfId="0" applyFill="1" applyBorder="1"/>
    <xf numFmtId="0" fontId="157" fillId="37" borderId="245" xfId="0" applyFont="1" applyFill="1" applyBorder="1"/>
    <xf numFmtId="0" fontId="0" fillId="37" borderId="246" xfId="0" applyFill="1" applyBorder="1"/>
    <xf numFmtId="0" fontId="0" fillId="37" borderId="247" xfId="0" applyFill="1" applyBorder="1"/>
    <xf numFmtId="0" fontId="157" fillId="37" borderId="248" xfId="0" applyFont="1" applyFill="1" applyBorder="1"/>
    <xf numFmtId="0" fontId="147" fillId="32" borderId="6" xfId="0" applyFont="1" applyFill="1" applyBorder="1" applyAlignment="1">
      <alignment vertical="center"/>
    </xf>
    <xf numFmtId="0" fontId="147" fillId="32" borderId="0" xfId="0" applyFont="1" applyFill="1" applyAlignment="1">
      <alignment vertical="center"/>
    </xf>
    <xf numFmtId="0" fontId="147" fillId="32" borderId="4" xfId="0" applyFont="1" applyFill="1" applyBorder="1" applyAlignment="1">
      <alignment vertical="center"/>
    </xf>
    <xf numFmtId="0" fontId="147" fillId="32" borderId="7" xfId="0" applyFont="1" applyFill="1" applyBorder="1" applyAlignment="1">
      <alignment vertical="center"/>
    </xf>
    <xf numFmtId="0" fontId="147" fillId="32" borderId="39" xfId="0" applyFont="1" applyFill="1" applyBorder="1" applyAlignment="1">
      <alignment vertical="center"/>
    </xf>
    <xf numFmtId="0" fontId="147" fillId="32" borderId="5" xfId="0" applyFont="1" applyFill="1" applyBorder="1" applyAlignment="1">
      <alignment vertical="center"/>
    </xf>
    <xf numFmtId="0" fontId="236" fillId="31" borderId="669" xfId="0" applyFont="1" applyFill="1" applyBorder="1" applyAlignment="1">
      <alignment vertical="center"/>
    </xf>
    <xf numFmtId="0" fontId="236" fillId="31" borderId="120" xfId="0" applyFont="1" applyFill="1" applyBorder="1" applyAlignment="1">
      <alignment vertical="center"/>
    </xf>
    <xf numFmtId="0" fontId="236" fillId="31" borderId="670" xfId="0" applyFont="1" applyFill="1" applyBorder="1" applyAlignment="1">
      <alignment vertical="center"/>
    </xf>
    <xf numFmtId="0" fontId="228" fillId="31" borderId="123" xfId="0" applyFont="1" applyFill="1" applyBorder="1"/>
    <xf numFmtId="0" fontId="228" fillId="31" borderId="124" xfId="0" applyFont="1" applyFill="1" applyBorder="1"/>
    <xf numFmtId="0" fontId="228" fillId="31" borderId="123" xfId="0" applyFont="1" applyFill="1" applyBorder="1" applyAlignment="1">
      <alignment vertical="center"/>
    </xf>
    <xf numFmtId="0" fontId="228" fillId="31" borderId="124" xfId="0" applyFont="1" applyFill="1" applyBorder="1" applyAlignment="1">
      <alignment vertical="center"/>
    </xf>
    <xf numFmtId="0" fontId="228" fillId="31" borderId="671" xfId="0" applyFont="1" applyFill="1" applyBorder="1" applyAlignment="1">
      <alignment vertical="center"/>
    </xf>
    <xf numFmtId="0" fontId="228" fillId="31" borderId="672" xfId="0" applyFont="1" applyFill="1" applyBorder="1" applyAlignment="1">
      <alignment vertical="center"/>
    </xf>
    <xf numFmtId="0" fontId="228" fillId="31" borderId="673" xfId="0" applyFont="1" applyFill="1" applyBorder="1" applyAlignment="1">
      <alignment vertical="center"/>
    </xf>
    <xf numFmtId="0" fontId="338" fillId="37" borderId="0" xfId="0" applyFont="1" applyFill="1" applyAlignment="1">
      <alignment vertical="center"/>
    </xf>
    <xf numFmtId="0" fontId="338" fillId="37" borderId="674" xfId="0" applyFont="1" applyFill="1" applyBorder="1" applyAlignment="1">
      <alignment vertical="center"/>
    </xf>
    <xf numFmtId="0" fontId="338" fillId="37" borderId="675" xfId="0" applyFont="1" applyFill="1" applyBorder="1" applyAlignment="1">
      <alignment vertical="center"/>
    </xf>
    <xf numFmtId="0" fontId="338" fillId="37" borderId="676" xfId="0" applyFont="1" applyFill="1" applyBorder="1" applyAlignment="1">
      <alignment vertical="center"/>
    </xf>
    <xf numFmtId="0" fontId="338" fillId="37" borderId="677" xfId="0" applyFont="1" applyFill="1" applyBorder="1" applyAlignment="1">
      <alignment vertical="center"/>
    </xf>
    <xf numFmtId="0" fontId="338" fillId="37" borderId="678" xfId="0" applyFont="1" applyFill="1" applyBorder="1" applyAlignment="1">
      <alignment vertical="center"/>
    </xf>
    <xf numFmtId="0" fontId="338" fillId="37" borderId="679" xfId="0" applyFont="1" applyFill="1" applyBorder="1" applyAlignment="1">
      <alignment vertical="center"/>
    </xf>
    <xf numFmtId="0" fontId="338" fillId="37" borderId="680" xfId="0" applyFont="1" applyFill="1" applyBorder="1" applyAlignment="1">
      <alignment vertical="center"/>
    </xf>
    <xf numFmtId="0" fontId="338" fillId="37" borderId="681" xfId="0" applyFont="1" applyFill="1" applyBorder="1" applyAlignment="1">
      <alignment vertical="center"/>
    </xf>
    <xf numFmtId="0" fontId="323" fillId="55" borderId="0" xfId="0" applyFont="1" applyFill="1" applyAlignment="1" applyProtection="1">
      <alignment horizontal="center" vertical="center"/>
      <protection hidden="1"/>
    </xf>
    <xf numFmtId="0" fontId="119" fillId="33" borderId="0" xfId="0" applyFont="1" applyFill="1" applyAlignment="1">
      <alignment vertical="center"/>
    </xf>
    <xf numFmtId="0" fontId="323" fillId="33" borderId="0" xfId="0" applyFont="1" applyFill="1" applyAlignment="1" applyProtection="1">
      <alignment horizontal="center" vertical="center"/>
      <protection hidden="1"/>
    </xf>
    <xf numFmtId="0" fontId="323" fillId="33" borderId="434" xfId="0" applyFont="1" applyFill="1" applyBorder="1" applyAlignment="1" applyProtection="1">
      <alignment horizontal="center" vertical="center"/>
      <protection hidden="1"/>
    </xf>
    <xf numFmtId="0" fontId="36" fillId="55" borderId="543" xfId="0" applyFont="1" applyFill="1" applyBorder="1"/>
    <xf numFmtId="0" fontId="36" fillId="55" borderId="544" xfId="0" applyFont="1" applyFill="1" applyBorder="1"/>
    <xf numFmtId="0" fontId="36" fillId="55" borderId="545" xfId="0" applyFont="1" applyFill="1" applyBorder="1"/>
    <xf numFmtId="0" fontId="119" fillId="55" borderId="6" xfId="0" applyFont="1" applyFill="1" applyBorder="1" applyAlignment="1">
      <alignment vertical="center"/>
    </xf>
    <xf numFmtId="0" fontId="323" fillId="55" borderId="4" xfId="0" applyFont="1" applyFill="1" applyBorder="1" applyAlignment="1" applyProtection="1">
      <alignment horizontal="center" vertical="center"/>
      <protection hidden="1"/>
    </xf>
    <xf numFmtId="0" fontId="119" fillId="55" borderId="7" xfId="0" applyFont="1" applyFill="1" applyBorder="1" applyAlignment="1">
      <alignment vertical="center"/>
    </xf>
    <xf numFmtId="0" fontId="323" fillId="55" borderId="39" xfId="0" applyFont="1" applyFill="1" applyBorder="1" applyAlignment="1" applyProtection="1">
      <alignment horizontal="center" vertical="center"/>
      <protection hidden="1"/>
    </xf>
    <xf numFmtId="0" fontId="323" fillId="55" borderId="5" xfId="0" applyFont="1" applyFill="1" applyBorder="1" applyAlignment="1" applyProtection="1">
      <alignment horizontal="center" vertical="center"/>
      <protection hidden="1"/>
    </xf>
    <xf numFmtId="0" fontId="278" fillId="2" borderId="550" xfId="0" applyFont="1" applyFill="1" applyBorder="1" applyAlignment="1">
      <alignment horizontal="center" vertical="center"/>
    </xf>
    <xf numFmtId="0" fontId="278" fillId="4" borderId="550" xfId="0" applyFont="1" applyFill="1" applyBorder="1" applyAlignment="1">
      <alignment horizontal="center" vertical="center"/>
    </xf>
    <xf numFmtId="0" fontId="279" fillId="5" borderId="550" xfId="0" applyFont="1" applyFill="1" applyBorder="1" applyAlignment="1">
      <alignment horizontal="center" vertical="center"/>
    </xf>
    <xf numFmtId="0" fontId="136" fillId="3" borderId="550" xfId="0" applyFont="1" applyFill="1" applyBorder="1" applyAlignment="1">
      <alignment horizontal="center" vertical="center"/>
    </xf>
    <xf numFmtId="0" fontId="279" fillId="18" borderId="550" xfId="0" applyFont="1" applyFill="1" applyBorder="1" applyAlignment="1">
      <alignment horizontal="center" vertical="center"/>
    </xf>
    <xf numFmtId="0" fontId="409" fillId="0" borderId="12" xfId="0" applyFont="1" applyBorder="1" applyAlignment="1">
      <alignment horizontal="center" vertical="center"/>
    </xf>
    <xf numFmtId="3" fontId="278" fillId="2" borderId="550" xfId="0" applyNumberFormat="1" applyFont="1" applyFill="1" applyBorder="1" applyAlignment="1">
      <alignment horizontal="center" vertical="center"/>
    </xf>
    <xf numFmtId="3" fontId="278" fillId="4" borderId="550" xfId="0" applyNumberFormat="1" applyFont="1" applyFill="1" applyBorder="1" applyAlignment="1">
      <alignment horizontal="center" vertical="center"/>
    </xf>
    <xf numFmtId="3" fontId="279" fillId="5" borderId="550" xfId="0" applyNumberFormat="1" applyFont="1" applyFill="1" applyBorder="1" applyAlignment="1">
      <alignment horizontal="center" vertical="center"/>
    </xf>
    <xf numFmtId="3" fontId="136" fillId="3" borderId="550" xfId="0" applyNumberFormat="1" applyFont="1" applyFill="1" applyBorder="1" applyAlignment="1">
      <alignment horizontal="center" vertical="center"/>
    </xf>
    <xf numFmtId="3" fontId="279" fillId="18" borderId="550" xfId="0" applyNumberFormat="1" applyFont="1" applyFill="1" applyBorder="1" applyAlignment="1">
      <alignment horizontal="center" vertical="center"/>
    </xf>
    <xf numFmtId="3" fontId="136" fillId="3" borderId="550" xfId="0" applyNumberFormat="1" applyFont="1" applyFill="1" applyBorder="1" applyAlignment="1">
      <alignment horizontal="center"/>
    </xf>
    <xf numFmtId="3" fontId="233" fillId="22" borderId="12" xfId="0" applyNumberFormat="1" applyFont="1" applyFill="1" applyBorder="1" applyAlignment="1">
      <alignment horizontal="center" vertical="center"/>
    </xf>
    <xf numFmtId="3" fontId="233" fillId="27" borderId="12" xfId="0" applyNumberFormat="1" applyFont="1" applyFill="1" applyBorder="1" applyAlignment="1">
      <alignment horizontal="center" vertical="center"/>
    </xf>
    <xf numFmtId="3" fontId="321" fillId="0" borderId="321" xfId="0" applyNumberFormat="1" applyFont="1" applyBorder="1" applyAlignment="1">
      <alignment horizontal="center" vertical="center"/>
    </xf>
    <xf numFmtId="3" fontId="328" fillId="0" borderId="321" xfId="0" applyNumberFormat="1" applyFont="1" applyBorder="1" applyAlignment="1">
      <alignment horizontal="center" vertical="center"/>
    </xf>
    <xf numFmtId="3" fontId="233" fillId="49" borderId="12" xfId="0" applyNumberFormat="1" applyFont="1" applyFill="1" applyBorder="1" applyAlignment="1">
      <alignment horizontal="center" vertical="center"/>
    </xf>
    <xf numFmtId="3" fontId="515" fillId="3" borderId="550" xfId="0" applyNumberFormat="1" applyFont="1" applyFill="1" applyBorder="1" applyAlignment="1">
      <alignment horizontal="center" vertical="center"/>
    </xf>
    <xf numFmtId="3" fontId="516" fillId="18" borderId="550" xfId="0" applyNumberFormat="1" applyFont="1" applyFill="1" applyBorder="1" applyAlignment="1">
      <alignment horizontal="center" vertical="center"/>
    </xf>
    <xf numFmtId="0" fontId="1" fillId="50" borderId="0" xfId="0" applyFont="1" applyFill="1" applyAlignment="1" applyProtection="1">
      <alignment horizontal="left" vertical="center"/>
      <protection hidden="1"/>
    </xf>
    <xf numFmtId="0" fontId="21" fillId="0" borderId="354" xfId="0" applyFont="1" applyBorder="1" applyAlignment="1" applyProtection="1">
      <alignment horizontal="center" vertical="center"/>
      <protection hidden="1"/>
    </xf>
    <xf numFmtId="0" fontId="1" fillId="12" borderId="0" xfId="0" applyFont="1" applyFill="1" applyAlignment="1" applyProtection="1">
      <alignment horizontal="center"/>
      <protection hidden="1"/>
    </xf>
    <xf numFmtId="0" fontId="14" fillId="0" borderId="0" xfId="0" applyFont="1" applyAlignment="1" applyProtection="1">
      <alignment vertical="center"/>
      <protection hidden="1"/>
    </xf>
    <xf numFmtId="0" fontId="2" fillId="50" borderId="0" xfId="0" applyFont="1" applyFill="1" applyAlignment="1" applyProtection="1">
      <alignment horizontal="center" vertical="center"/>
      <protection hidden="1"/>
    </xf>
    <xf numFmtId="0" fontId="8" fillId="50" borderId="661" xfId="0" applyFont="1" applyFill="1" applyBorder="1" applyAlignment="1" applyProtection="1">
      <alignment horizontal="left" vertical="center"/>
      <protection hidden="1"/>
    </xf>
    <xf numFmtId="1" fontId="1" fillId="0" borderId="667" xfId="0" applyNumberFormat="1" applyFont="1" applyBorder="1" applyAlignment="1" applyProtection="1">
      <alignment horizontal="center" vertical="center"/>
      <protection hidden="1"/>
    </xf>
    <xf numFmtId="5" fontId="2" fillId="2" borderId="0" xfId="0" applyNumberFormat="1" applyFont="1" applyFill="1" applyAlignment="1" applyProtection="1">
      <alignment horizontal="center" vertical="center"/>
      <protection hidden="1"/>
    </xf>
    <xf numFmtId="1" fontId="197" fillId="31" borderId="106" xfId="0" applyNumberFormat="1" applyFont="1" applyFill="1" applyBorder="1" applyAlignment="1" applyProtection="1">
      <alignment horizontal="center" vertical="center"/>
      <protection hidden="1"/>
    </xf>
    <xf numFmtId="0" fontId="17" fillId="0" borderId="211" xfId="0" applyFont="1" applyBorder="1" applyAlignment="1" applyProtection="1">
      <alignment horizontal="center" vertical="center"/>
      <protection hidden="1"/>
    </xf>
    <xf numFmtId="0" fontId="17" fillId="0" borderId="693" xfId="0" applyFont="1" applyBorder="1" applyAlignment="1" applyProtection="1">
      <alignment horizontal="center" vertical="center"/>
      <protection hidden="1"/>
    </xf>
    <xf numFmtId="1" fontId="19" fillId="0" borderId="693" xfId="0" applyNumberFormat="1" applyFont="1" applyBorder="1" applyAlignment="1" applyProtection="1">
      <alignment vertical="center"/>
      <protection hidden="1"/>
    </xf>
    <xf numFmtId="164" fontId="2" fillId="0" borderId="210" xfId="0" applyNumberFormat="1" applyFont="1" applyBorder="1" applyAlignment="1" applyProtection="1">
      <alignment horizontal="center" vertical="center"/>
      <protection hidden="1"/>
    </xf>
    <xf numFmtId="0" fontId="14" fillId="0" borderId="211" xfId="0" applyFont="1" applyBorder="1" applyAlignment="1" applyProtection="1">
      <alignment vertical="center"/>
      <protection hidden="1"/>
    </xf>
    <xf numFmtId="164" fontId="2" fillId="0" borderId="685" xfId="0" applyNumberFormat="1" applyFont="1" applyBorder="1" applyAlignment="1" applyProtection="1">
      <alignment horizontal="center" vertical="center"/>
      <protection hidden="1"/>
    </xf>
    <xf numFmtId="0" fontId="8" fillId="0" borderId="692" xfId="0" applyFont="1" applyBorder="1" applyAlignment="1" applyProtection="1">
      <alignment horizontal="center" vertical="center"/>
      <protection hidden="1"/>
    </xf>
    <xf numFmtId="0" fontId="14" fillId="0" borderId="693" xfId="0" applyFont="1" applyBorder="1" applyAlignment="1" applyProtection="1">
      <alignment vertical="center"/>
      <protection hidden="1"/>
    </xf>
    <xf numFmtId="0" fontId="2" fillId="0" borderId="211" xfId="0" applyFont="1" applyBorder="1" applyAlignment="1" applyProtection="1">
      <alignment horizontal="center" vertical="center"/>
      <protection hidden="1"/>
    </xf>
    <xf numFmtId="0" fontId="2" fillId="0" borderId="693" xfId="0" applyFont="1" applyBorder="1" applyAlignment="1" applyProtection="1">
      <alignment horizontal="center" vertical="center"/>
      <protection hidden="1"/>
    </xf>
    <xf numFmtId="0" fontId="337" fillId="0" borderId="211" xfId="0" applyFont="1" applyBorder="1" applyAlignment="1" applyProtection="1">
      <alignment horizontal="center" vertical="center"/>
      <protection hidden="1"/>
    </xf>
    <xf numFmtId="1" fontId="1" fillId="0" borderId="692" xfId="0" applyNumberFormat="1" applyFont="1" applyBorder="1" applyAlignment="1" applyProtection="1">
      <alignment horizontal="center" vertical="center"/>
      <protection hidden="1"/>
    </xf>
    <xf numFmtId="1" fontId="2" fillId="0" borderId="211" xfId="0" applyNumberFormat="1" applyFont="1" applyBorder="1" applyAlignment="1" applyProtection="1">
      <alignment horizontal="center" vertical="center"/>
      <protection hidden="1"/>
    </xf>
    <xf numFmtId="182" fontId="2" fillId="0" borderId="211" xfId="0" applyNumberFormat="1" applyFont="1" applyBorder="1" applyAlignment="1" applyProtection="1">
      <alignment horizontal="center" vertical="center"/>
      <protection hidden="1"/>
    </xf>
    <xf numFmtId="0" fontId="22" fillId="0" borderId="211" xfId="0" applyFont="1" applyBorder="1" applyAlignment="1" applyProtection="1">
      <alignment vertical="center"/>
      <protection hidden="1"/>
    </xf>
    <xf numFmtId="0" fontId="3" fillId="0" borderId="211" xfId="0" applyFont="1" applyBorder="1" applyAlignment="1" applyProtection="1">
      <alignment horizontal="center" vertical="center"/>
      <protection hidden="1"/>
    </xf>
    <xf numFmtId="0" fontId="2" fillId="50" borderId="208" xfId="0" applyFont="1" applyFill="1" applyBorder="1" applyAlignment="1" applyProtection="1">
      <alignment horizontal="center" vertical="center"/>
      <protection hidden="1"/>
    </xf>
    <xf numFmtId="9" fontId="2" fillId="50" borderId="211" xfId="0" applyNumberFormat="1" applyFont="1" applyFill="1" applyBorder="1" applyAlignment="1" applyProtection="1">
      <alignment horizontal="center" vertical="center"/>
      <protection hidden="1"/>
    </xf>
    <xf numFmtId="164" fontId="2" fillId="50" borderId="685" xfId="0" applyNumberFormat="1" applyFont="1" applyFill="1" applyBorder="1" applyProtection="1">
      <protection hidden="1"/>
    </xf>
    <xf numFmtId="0" fontId="21" fillId="50" borderId="352" xfId="0" applyFont="1" applyFill="1" applyBorder="1" applyAlignment="1" applyProtection="1">
      <alignment horizontal="center" vertical="center"/>
      <protection hidden="1"/>
    </xf>
    <xf numFmtId="169" fontId="21" fillId="50" borderId="352" xfId="0" applyNumberFormat="1" applyFont="1" applyFill="1" applyBorder="1" applyAlignment="1" applyProtection="1">
      <alignment horizontal="left" vertical="center"/>
      <protection hidden="1"/>
    </xf>
    <xf numFmtId="0" fontId="21" fillId="0" borderId="20" xfId="0" applyFont="1" applyBorder="1" applyAlignment="1" applyProtection="1">
      <alignment horizontal="center" vertical="center"/>
      <protection hidden="1"/>
    </xf>
    <xf numFmtId="0" fontId="21" fillId="0" borderId="211" xfId="0" applyFont="1" applyBorder="1" applyAlignment="1" applyProtection="1">
      <alignment horizontal="center" vertical="center"/>
      <protection hidden="1"/>
    </xf>
    <xf numFmtId="169" fontId="21" fillId="0" borderId="211" xfId="0" applyNumberFormat="1" applyFont="1" applyBorder="1" applyAlignment="1" applyProtection="1">
      <alignment horizontal="center" vertical="center"/>
      <protection hidden="1"/>
    </xf>
    <xf numFmtId="0" fontId="21" fillId="0" borderId="694" xfId="0" applyFont="1" applyBorder="1" applyAlignment="1" applyProtection="1">
      <alignment horizontal="center" vertical="center"/>
      <protection hidden="1"/>
    </xf>
    <xf numFmtId="0" fontId="21" fillId="0" borderId="210" xfId="0" applyFont="1" applyBorder="1" applyAlignment="1" applyProtection="1">
      <alignment horizontal="center" vertical="center"/>
      <protection hidden="1"/>
    </xf>
    <xf numFmtId="0" fontId="2" fillId="12" borderId="694" xfId="0" applyFont="1" applyFill="1" applyBorder="1" applyAlignment="1" applyProtection="1">
      <alignment horizontal="center"/>
      <protection hidden="1"/>
    </xf>
    <xf numFmtId="0" fontId="2" fillId="50" borderId="211" xfId="0" applyFont="1" applyFill="1" applyBorder="1" applyAlignment="1" applyProtection="1">
      <alignment horizontal="center" vertical="center"/>
      <protection hidden="1"/>
    </xf>
    <xf numFmtId="0" fontId="21" fillId="50" borderId="211" xfId="0" applyFont="1" applyFill="1" applyBorder="1" applyAlignment="1" applyProtection="1">
      <alignment vertical="center"/>
      <protection hidden="1"/>
    </xf>
    <xf numFmtId="0" fontId="467" fillId="39" borderId="433" xfId="0" applyFont="1" applyFill="1" applyBorder="1" applyAlignment="1" applyProtection="1">
      <alignment vertical="center" wrapText="1"/>
      <protection locked="0" hidden="1"/>
    </xf>
    <xf numFmtId="0" fontId="467" fillId="39" borderId="0" xfId="0" applyFont="1" applyFill="1" applyAlignment="1" applyProtection="1">
      <alignment vertical="center" wrapText="1"/>
      <protection locked="0" hidden="1"/>
    </xf>
    <xf numFmtId="0" fontId="349" fillId="39" borderId="0" xfId="0" applyFont="1" applyFill="1" applyAlignment="1" applyProtection="1">
      <alignment horizontal="center" vertical="center" wrapText="1"/>
      <protection locked="0" hidden="1"/>
    </xf>
    <xf numFmtId="0" fontId="467" fillId="39" borderId="434" xfId="0" applyFont="1" applyFill="1" applyBorder="1" applyAlignment="1" applyProtection="1">
      <alignment vertical="center" wrapText="1"/>
      <protection locked="0" hidden="1"/>
    </xf>
    <xf numFmtId="0" fontId="266" fillId="60" borderId="0" xfId="0" applyFont="1" applyFill="1" applyAlignment="1" applyProtection="1">
      <alignment horizontal="center"/>
      <protection hidden="1"/>
    </xf>
    <xf numFmtId="0" fontId="321" fillId="50" borderId="483" xfId="0" applyFont="1" applyFill="1" applyBorder="1" applyAlignment="1" applyProtection="1">
      <alignment horizontal="center" vertical="center"/>
      <protection locked="0" hidden="1"/>
    </xf>
    <xf numFmtId="0" fontId="335" fillId="38" borderId="483" xfId="0" applyFont="1" applyFill="1" applyBorder="1" applyAlignment="1" applyProtection="1">
      <alignment horizontal="center" vertical="center" wrapText="1"/>
      <protection hidden="1"/>
    </xf>
    <xf numFmtId="0" fontId="328" fillId="50" borderId="211" xfId="0" applyFont="1" applyFill="1" applyBorder="1"/>
    <xf numFmtId="0" fontId="328" fillId="50" borderId="211" xfId="0" applyFont="1" applyFill="1" applyBorder="1" applyAlignment="1">
      <alignment horizontal="center" vertical="center"/>
    </xf>
    <xf numFmtId="0" fontId="328" fillId="50" borderId="321" xfId="0" applyFont="1" applyFill="1" applyBorder="1" applyAlignment="1">
      <alignment horizontal="center" vertical="center"/>
    </xf>
    <xf numFmtId="0" fontId="321" fillId="32" borderId="211" xfId="0" applyFont="1" applyFill="1" applyBorder="1" applyAlignment="1">
      <alignment horizontal="center" vertical="center"/>
    </xf>
    <xf numFmtId="0" fontId="321" fillId="32" borderId="12" xfId="0" applyFont="1" applyFill="1" applyBorder="1" applyAlignment="1">
      <alignment horizontal="center" vertical="center"/>
    </xf>
    <xf numFmtId="0" fontId="328" fillId="32" borderId="321" xfId="0" applyFont="1" applyFill="1" applyBorder="1" applyAlignment="1">
      <alignment horizontal="center" vertical="center"/>
    </xf>
    <xf numFmtId="0" fontId="328" fillId="32" borderId="12" xfId="0" applyFont="1" applyFill="1" applyBorder="1" applyAlignment="1">
      <alignment horizontal="center" vertical="center"/>
    </xf>
    <xf numFmtId="0" fontId="0" fillId="32" borderId="12" xfId="0" applyFill="1" applyBorder="1"/>
    <xf numFmtId="0" fontId="369" fillId="32" borderId="12" xfId="0" applyFont="1" applyFill="1" applyBorder="1"/>
    <xf numFmtId="0" fontId="10" fillId="32" borderId="12" xfId="0" applyFont="1" applyFill="1" applyBorder="1" applyAlignment="1">
      <alignment horizontal="center" vertical="center"/>
    </xf>
    <xf numFmtId="0" fontId="263" fillId="0" borderId="700" xfId="0" applyFont="1" applyBorder="1" applyProtection="1">
      <protection hidden="1"/>
    </xf>
    <xf numFmtId="0" fontId="10" fillId="55" borderId="0" xfId="0" applyFont="1" applyFill="1" applyAlignment="1" applyProtection="1">
      <alignment horizontal="center" vertical="center"/>
      <protection locked="0" hidden="1"/>
    </xf>
    <xf numFmtId="0" fontId="325" fillId="49" borderId="672" xfId="0" applyFont="1" applyFill="1" applyBorder="1" applyAlignment="1" applyProtection="1">
      <alignment horizontal="center" vertical="center" wrapText="1"/>
      <protection hidden="1"/>
    </xf>
    <xf numFmtId="0" fontId="419" fillId="55" borderId="429" xfId="0" applyFont="1" applyFill="1" applyBorder="1" applyAlignment="1">
      <alignment vertical="center"/>
    </xf>
    <xf numFmtId="0" fontId="419" fillId="55" borderId="702" xfId="0" applyFont="1" applyFill="1" applyBorder="1" applyAlignment="1">
      <alignment vertical="center"/>
    </xf>
    <xf numFmtId="0" fontId="325" fillId="49" borderId="703" xfId="0" applyFont="1" applyFill="1" applyBorder="1" applyAlignment="1" applyProtection="1">
      <alignment horizontal="center" vertical="center" wrapText="1"/>
      <protection hidden="1"/>
    </xf>
    <xf numFmtId="0" fontId="325" fillId="49" borderId="702" xfId="0" applyFont="1" applyFill="1" applyBorder="1" applyAlignment="1" applyProtection="1">
      <alignment horizontal="center" vertical="center" wrapText="1"/>
      <protection hidden="1"/>
    </xf>
    <xf numFmtId="0" fontId="327" fillId="55" borderId="707" xfId="0" applyFont="1" applyFill="1" applyBorder="1" applyAlignment="1" applyProtection="1">
      <alignment horizontal="center" vertical="center" wrapText="1"/>
      <protection hidden="1"/>
    </xf>
    <xf numFmtId="0" fontId="321" fillId="50" borderId="708" xfId="0" applyFont="1" applyFill="1" applyBorder="1" applyAlignment="1" applyProtection="1">
      <alignment horizontal="center" vertical="center" wrapText="1"/>
      <protection locked="0" hidden="1"/>
    </xf>
    <xf numFmtId="0" fontId="419" fillId="55" borderId="214" xfId="0" applyFont="1" applyFill="1" applyBorder="1" applyAlignment="1" applyProtection="1">
      <alignment horizontal="center" vertical="center"/>
      <protection hidden="1"/>
    </xf>
    <xf numFmtId="0" fontId="321" fillId="50" borderId="710" xfId="0" applyFont="1" applyFill="1" applyBorder="1" applyAlignment="1" applyProtection="1">
      <alignment horizontal="center" vertical="center" wrapText="1"/>
      <protection hidden="1"/>
    </xf>
    <xf numFmtId="0" fontId="321" fillId="35" borderId="209" xfId="0" applyFont="1" applyFill="1" applyBorder="1" applyAlignment="1">
      <alignment horizontal="center" vertical="center"/>
    </xf>
    <xf numFmtId="0" fontId="411" fillId="41" borderId="661" xfId="0" applyFont="1" applyFill="1" applyBorder="1" applyAlignment="1">
      <alignment horizontal="center" vertical="center"/>
    </xf>
    <xf numFmtId="0" fontId="321" fillId="83" borderId="661" xfId="0" applyFont="1" applyFill="1" applyBorder="1" applyAlignment="1">
      <alignment horizontal="center" vertical="center"/>
    </xf>
    <xf numFmtId="0" fontId="322" fillId="4" borderId="661" xfId="0" applyFont="1" applyFill="1" applyBorder="1" applyAlignment="1">
      <alignment vertical="center"/>
    </xf>
    <xf numFmtId="0" fontId="322" fillId="4" borderId="0" xfId="0" applyFont="1" applyFill="1" applyAlignment="1">
      <alignment vertical="center"/>
    </xf>
    <xf numFmtId="0" fontId="322" fillId="4" borderId="711" xfId="0" applyFont="1" applyFill="1" applyBorder="1" applyAlignment="1">
      <alignment vertical="center"/>
    </xf>
    <xf numFmtId="0" fontId="323" fillId="45" borderId="0" xfId="0" applyFont="1" applyFill="1" applyAlignment="1">
      <alignment vertical="center" wrapText="1"/>
    </xf>
    <xf numFmtId="0" fontId="419" fillId="55" borderId="123" xfId="0" applyFont="1" applyFill="1" applyBorder="1" applyAlignment="1" applyProtection="1">
      <alignment vertical="center"/>
      <protection locked="0" hidden="1"/>
    </xf>
    <xf numFmtId="0" fontId="419" fillId="55" borderId="0" xfId="0" applyFont="1" applyFill="1" applyAlignment="1" applyProtection="1">
      <alignment vertical="center"/>
      <protection locked="0" hidden="1"/>
    </xf>
    <xf numFmtId="0" fontId="419" fillId="55" borderId="709" xfId="0" applyFont="1" applyFill="1" applyBorder="1" applyAlignment="1" applyProtection="1">
      <alignment vertical="center"/>
      <protection locked="0" hidden="1"/>
    </xf>
    <xf numFmtId="0" fontId="419" fillId="55" borderId="431" xfId="0" applyFont="1" applyFill="1" applyBorder="1" applyAlignment="1" applyProtection="1">
      <alignment vertical="center"/>
      <protection locked="0" hidden="1"/>
    </xf>
    <xf numFmtId="9" fontId="2" fillId="50" borderId="550" xfId="0" applyNumberFormat="1" applyFont="1" applyFill="1" applyBorder="1" applyAlignment="1" applyProtection="1">
      <alignment horizontal="center" vertical="center"/>
      <protection hidden="1"/>
    </xf>
    <xf numFmtId="0" fontId="169" fillId="103" borderId="77" xfId="0" applyFont="1" applyFill="1" applyBorder="1" applyProtection="1">
      <protection hidden="1"/>
    </xf>
    <xf numFmtId="0" fontId="169" fillId="103" borderId="0" xfId="0" applyFont="1" applyFill="1" applyProtection="1">
      <protection hidden="1"/>
    </xf>
    <xf numFmtId="0" fontId="169" fillId="103" borderId="75" xfId="0" applyFont="1" applyFill="1" applyBorder="1" applyProtection="1">
      <protection hidden="1"/>
    </xf>
    <xf numFmtId="0" fontId="213" fillId="103" borderId="424" xfId="0" applyFont="1" applyFill="1" applyBorder="1" applyProtection="1">
      <protection hidden="1"/>
    </xf>
    <xf numFmtId="0" fontId="213" fillId="103" borderId="355" xfId="0" applyFont="1" applyFill="1" applyBorder="1" applyProtection="1">
      <protection hidden="1"/>
    </xf>
    <xf numFmtId="0" fontId="213" fillId="103" borderId="358" xfId="0" applyFont="1" applyFill="1" applyBorder="1" applyProtection="1">
      <protection hidden="1"/>
    </xf>
    <xf numFmtId="0" fontId="328" fillId="103" borderId="77" xfId="0" applyFont="1" applyFill="1" applyBorder="1" applyProtection="1">
      <protection locked="0" hidden="1"/>
    </xf>
    <xf numFmtId="0" fontId="328" fillId="103" borderId="0" xfId="0" applyFont="1" applyFill="1" applyProtection="1">
      <protection locked="0" hidden="1"/>
    </xf>
    <xf numFmtId="0" fontId="328" fillId="103" borderId="75" xfId="0" applyFont="1" applyFill="1" applyBorder="1" applyProtection="1">
      <protection locked="0" hidden="1"/>
    </xf>
    <xf numFmtId="0" fontId="213" fillId="103" borderId="424" xfId="0" applyFont="1" applyFill="1" applyBorder="1" applyProtection="1">
      <protection locked="0" hidden="1"/>
    </xf>
    <xf numFmtId="0" fontId="213" fillId="103" borderId="355" xfId="0" applyFont="1" applyFill="1" applyBorder="1" applyProtection="1">
      <protection locked="0" hidden="1"/>
    </xf>
    <xf numFmtId="0" fontId="213" fillId="103" borderId="358" xfId="0" applyFont="1" applyFill="1" applyBorder="1" applyProtection="1">
      <protection locked="0" hidden="1"/>
    </xf>
    <xf numFmtId="0" fontId="491" fillId="103" borderId="216" xfId="0" applyFont="1" applyFill="1" applyBorder="1" applyAlignment="1" applyProtection="1">
      <alignment vertical="center" wrapText="1"/>
      <protection locked="0" hidden="1"/>
    </xf>
    <xf numFmtId="0" fontId="491" fillId="103" borderId="218" xfId="0" applyFont="1" applyFill="1" applyBorder="1" applyAlignment="1" applyProtection="1">
      <alignment vertical="center" wrapText="1"/>
      <protection locked="0" hidden="1"/>
    </xf>
    <xf numFmtId="0" fontId="491" fillId="103" borderId="217" xfId="0" applyFont="1" applyFill="1" applyBorder="1" applyAlignment="1" applyProtection="1">
      <alignment vertical="center" wrapText="1"/>
      <protection locked="0" hidden="1"/>
    </xf>
    <xf numFmtId="0" fontId="169" fillId="103" borderId="77" xfId="0" applyFont="1" applyFill="1" applyBorder="1" applyAlignment="1" applyProtection="1">
      <alignment horizontal="center"/>
      <protection locked="0" hidden="1"/>
    </xf>
    <xf numFmtId="0" fontId="169" fillId="103" borderId="0" xfId="0" applyFont="1" applyFill="1" applyAlignment="1" applyProtection="1">
      <alignment horizontal="center"/>
      <protection locked="0" hidden="1"/>
    </xf>
    <xf numFmtId="0" fontId="169" fillId="103" borderId="75" xfId="0" applyFont="1" applyFill="1" applyBorder="1" applyAlignment="1" applyProtection="1">
      <alignment horizontal="center"/>
      <protection locked="0" hidden="1"/>
    </xf>
    <xf numFmtId="0" fontId="169" fillId="103" borderId="77" xfId="0" applyFont="1" applyFill="1" applyBorder="1" applyProtection="1">
      <protection locked="0" hidden="1"/>
    </xf>
    <xf numFmtId="0" fontId="169" fillId="103" borderId="0" xfId="0" applyFont="1" applyFill="1" applyProtection="1">
      <protection locked="0" hidden="1"/>
    </xf>
    <xf numFmtId="0" fontId="169" fillId="103" borderId="75" xfId="0" applyFont="1" applyFill="1" applyBorder="1" applyProtection="1">
      <protection locked="0" hidden="1"/>
    </xf>
    <xf numFmtId="0" fontId="213" fillId="103" borderId="424" xfId="0" applyFont="1" applyFill="1" applyBorder="1" applyAlignment="1" applyProtection="1">
      <alignment vertical="center"/>
      <protection locked="0" hidden="1"/>
    </xf>
    <xf numFmtId="0" fontId="213" fillId="103" borderId="355" xfId="0" applyFont="1" applyFill="1" applyBorder="1" applyAlignment="1" applyProtection="1">
      <alignment vertical="center"/>
      <protection locked="0" hidden="1"/>
    </xf>
    <xf numFmtId="0" fontId="213" fillId="103" borderId="358" xfId="0" applyFont="1" applyFill="1" applyBorder="1" applyAlignment="1" applyProtection="1">
      <alignment vertical="center"/>
      <protection locked="0" hidden="1"/>
    </xf>
    <xf numFmtId="0" fontId="328" fillId="103" borderId="77" xfId="0" applyFont="1" applyFill="1" applyBorder="1" applyAlignment="1" applyProtection="1">
      <alignment horizontal="center"/>
      <protection locked="0" hidden="1"/>
    </xf>
    <xf numFmtId="0" fontId="328" fillId="103" borderId="0" xfId="0" applyFont="1" applyFill="1" applyAlignment="1" applyProtection="1">
      <alignment horizontal="center"/>
      <protection locked="0" hidden="1"/>
    </xf>
    <xf numFmtId="0" fontId="328" fillId="103" borderId="75" xfId="0" applyFont="1" applyFill="1" applyBorder="1" applyAlignment="1" applyProtection="1">
      <alignment horizontal="center"/>
      <protection locked="0" hidden="1"/>
    </xf>
    <xf numFmtId="0" fontId="169" fillId="103" borderId="77" xfId="0" applyFont="1" applyFill="1" applyBorder="1" applyAlignment="1" applyProtection="1">
      <alignment horizontal="center"/>
      <protection hidden="1"/>
    </xf>
    <xf numFmtId="0" fontId="169" fillId="103" borderId="0" xfId="0" applyFont="1" applyFill="1" applyAlignment="1" applyProtection="1">
      <alignment horizontal="center"/>
      <protection hidden="1"/>
    </xf>
    <xf numFmtId="0" fontId="169" fillId="103" borderId="75" xfId="0" applyFont="1" applyFill="1" applyBorder="1" applyAlignment="1" applyProtection="1">
      <alignment horizontal="center"/>
      <protection hidden="1"/>
    </xf>
    <xf numFmtId="0" fontId="200" fillId="103" borderId="88" xfId="0" applyFont="1" applyFill="1" applyBorder="1"/>
    <xf numFmtId="0" fontId="200" fillId="103" borderId="84" xfId="0" applyFont="1" applyFill="1" applyBorder="1"/>
    <xf numFmtId="0" fontId="200" fillId="103" borderId="77" xfId="0" applyFont="1" applyFill="1" applyBorder="1"/>
    <xf numFmtId="0" fontId="200" fillId="103" borderId="75" xfId="0" applyFont="1" applyFill="1" applyBorder="1"/>
    <xf numFmtId="0" fontId="213" fillId="103" borderId="77" xfId="0" applyFont="1" applyFill="1" applyBorder="1" applyAlignment="1">
      <alignment vertical="center"/>
    </xf>
    <xf numFmtId="0" fontId="213" fillId="103" borderId="75" xfId="0" applyFont="1" applyFill="1" applyBorder="1" applyAlignment="1">
      <alignment vertical="center"/>
    </xf>
    <xf numFmtId="0" fontId="213" fillId="103" borderId="77" xfId="0" applyFont="1" applyFill="1" applyBorder="1" applyAlignment="1" applyProtection="1">
      <alignment vertical="center"/>
      <protection locked="0" hidden="1"/>
    </xf>
    <xf numFmtId="0" fontId="169" fillId="103" borderId="0" xfId="0" applyFont="1" applyFill="1" applyAlignment="1" applyProtection="1">
      <alignment horizontal="center" vertical="center"/>
      <protection locked="0" hidden="1"/>
    </xf>
    <xf numFmtId="0" fontId="213" fillId="103" borderId="75" xfId="0" applyFont="1" applyFill="1" applyBorder="1" applyAlignment="1" applyProtection="1">
      <alignment vertical="center"/>
      <protection locked="0" hidden="1"/>
    </xf>
    <xf numFmtId="0" fontId="4" fillId="103" borderId="222" xfId="0" applyFont="1" applyFill="1" applyBorder="1" applyAlignment="1" applyProtection="1">
      <alignment horizontal="center" vertical="center"/>
      <protection locked="0" hidden="1"/>
    </xf>
    <xf numFmtId="0" fontId="4" fillId="103" borderId="0" xfId="0" applyFont="1" applyFill="1" applyAlignment="1" applyProtection="1">
      <alignment horizontal="center" vertical="center"/>
      <protection locked="0" hidden="1"/>
    </xf>
    <xf numFmtId="0" fontId="4" fillId="103" borderId="223" xfId="0" applyFont="1" applyFill="1" applyBorder="1" applyAlignment="1" applyProtection="1">
      <alignment horizontal="center" vertical="center"/>
      <protection locked="0" hidden="1"/>
    </xf>
    <xf numFmtId="0" fontId="139" fillId="103" borderId="222" xfId="0" applyFont="1" applyFill="1" applyBorder="1" applyProtection="1">
      <protection locked="0" hidden="1"/>
    </xf>
    <xf numFmtId="0" fontId="88" fillId="103" borderId="0" xfId="0" applyFont="1" applyFill="1" applyAlignment="1" applyProtection="1">
      <alignment horizontal="center" vertical="center"/>
      <protection locked="0" hidden="1"/>
    </xf>
    <xf numFmtId="0" fontId="139" fillId="103" borderId="223" xfId="0" applyFont="1" applyFill="1" applyBorder="1" applyProtection="1">
      <protection locked="0" hidden="1"/>
    </xf>
    <xf numFmtId="0" fontId="88" fillId="103" borderId="0" xfId="0" applyFont="1" applyFill="1" applyAlignment="1" applyProtection="1">
      <alignment vertical="center"/>
      <protection locked="0" hidden="1"/>
    </xf>
    <xf numFmtId="0" fontId="139" fillId="103" borderId="0" xfId="0" applyFont="1" applyFill="1" applyProtection="1">
      <protection locked="0" hidden="1"/>
    </xf>
    <xf numFmtId="0" fontId="139" fillId="103" borderId="77" xfId="0" applyFont="1" applyFill="1" applyBorder="1"/>
    <xf numFmtId="0" fontId="139" fillId="103" borderId="75" xfId="0" applyFont="1" applyFill="1" applyBorder="1"/>
    <xf numFmtId="0" fontId="139" fillId="103" borderId="88" xfId="0" applyFont="1" applyFill="1" applyBorder="1"/>
    <xf numFmtId="0" fontId="139" fillId="103" borderId="84" xfId="0" applyFont="1" applyFill="1" applyBorder="1"/>
    <xf numFmtId="0" fontId="139" fillId="103" borderId="220" xfId="0" applyFont="1" applyFill="1" applyBorder="1" applyProtection="1">
      <protection locked="0" hidden="1"/>
    </xf>
    <xf numFmtId="0" fontId="217" fillId="103" borderId="222" xfId="0" applyFont="1" applyFill="1" applyBorder="1" applyAlignment="1">
      <alignment vertical="center"/>
    </xf>
    <xf numFmtId="0" fontId="266" fillId="103" borderId="222" xfId="0" applyFont="1" applyFill="1" applyBorder="1" applyProtection="1">
      <protection hidden="1"/>
    </xf>
    <xf numFmtId="0" fontId="266" fillId="103" borderId="638" xfId="0" applyFont="1" applyFill="1" applyBorder="1" applyProtection="1">
      <protection hidden="1"/>
    </xf>
    <xf numFmtId="0" fontId="139" fillId="103" borderId="221" xfId="0" applyFont="1" applyFill="1" applyBorder="1" applyProtection="1">
      <protection locked="0" hidden="1"/>
    </xf>
    <xf numFmtId="0" fontId="217" fillId="103" borderId="223" xfId="0" applyFont="1" applyFill="1" applyBorder="1" applyAlignment="1">
      <alignment vertical="center"/>
    </xf>
    <xf numFmtId="0" fontId="266" fillId="103" borderId="223" xfId="0" applyFont="1" applyFill="1" applyBorder="1" applyProtection="1">
      <protection hidden="1"/>
    </xf>
    <xf numFmtId="0" fontId="266" fillId="103" borderId="639" xfId="0" applyFont="1" applyFill="1" applyBorder="1" applyProtection="1">
      <protection hidden="1"/>
    </xf>
    <xf numFmtId="0" fontId="10" fillId="103" borderId="431" xfId="0" applyFont="1" applyFill="1" applyBorder="1" applyAlignment="1" applyProtection="1">
      <alignment vertical="center"/>
      <protection hidden="1"/>
    </xf>
    <xf numFmtId="0" fontId="4" fillId="103" borderId="638" xfId="0" applyFont="1" applyFill="1" applyBorder="1" applyProtection="1">
      <protection locked="0" hidden="1"/>
    </xf>
    <xf numFmtId="166" fontId="289" fillId="103" borderId="431" xfId="0" applyNumberFormat="1" applyFont="1" applyFill="1" applyBorder="1" applyAlignment="1" applyProtection="1">
      <alignment vertical="center"/>
      <protection locked="0" hidden="1"/>
    </xf>
    <xf numFmtId="0" fontId="4" fillId="103" borderId="431" xfId="0" applyFont="1" applyFill="1" applyBorder="1" applyProtection="1">
      <protection locked="0" hidden="1"/>
    </xf>
    <xf numFmtId="0" fontId="4" fillId="103" borderId="639" xfId="0" applyFont="1" applyFill="1" applyBorder="1" applyProtection="1">
      <protection locked="0" hidden="1"/>
    </xf>
    <xf numFmtId="0" fontId="4" fillId="103" borderId="428" xfId="0" applyFont="1" applyFill="1" applyBorder="1" applyProtection="1">
      <protection locked="0" hidden="1"/>
    </xf>
    <xf numFmtId="0" fontId="4" fillId="103" borderId="429" xfId="0" applyFont="1" applyFill="1" applyBorder="1" applyProtection="1">
      <protection locked="0" hidden="1"/>
    </xf>
    <xf numFmtId="0" fontId="4" fillId="103" borderId="0" xfId="0" applyFont="1" applyFill="1" applyProtection="1">
      <protection locked="0" hidden="1"/>
    </xf>
    <xf numFmtId="0" fontId="4" fillId="103" borderId="434" xfId="0" applyFont="1" applyFill="1" applyBorder="1" applyProtection="1">
      <protection locked="0" hidden="1"/>
    </xf>
    <xf numFmtId="0" fontId="4" fillId="103" borderId="226" xfId="0" applyFont="1" applyFill="1" applyBorder="1" applyProtection="1">
      <protection hidden="1"/>
    </xf>
    <xf numFmtId="0" fontId="4" fillId="103" borderId="646" xfId="0" applyFont="1" applyFill="1" applyBorder="1" applyProtection="1">
      <protection hidden="1"/>
    </xf>
    <xf numFmtId="0" fontId="4" fillId="103" borderId="427" xfId="0" applyFont="1" applyFill="1" applyBorder="1" applyProtection="1">
      <protection hidden="1"/>
    </xf>
    <xf numFmtId="0" fontId="4" fillId="103" borderId="433" xfId="0" applyFont="1" applyFill="1" applyBorder="1" applyProtection="1">
      <protection hidden="1"/>
    </xf>
    <xf numFmtId="0" fontId="4" fillId="103" borderId="645" xfId="0" applyFont="1" applyFill="1" applyBorder="1" applyProtection="1">
      <protection hidden="1"/>
    </xf>
    <xf numFmtId="0" fontId="266" fillId="103" borderId="427" xfId="0" applyFont="1" applyFill="1" applyBorder="1" applyProtection="1">
      <protection hidden="1"/>
    </xf>
    <xf numFmtId="0" fontId="266" fillId="103" borderId="433" xfId="0" applyFont="1" applyFill="1" applyBorder="1" applyProtection="1">
      <protection hidden="1"/>
    </xf>
    <xf numFmtId="0" fontId="218" fillId="103" borderId="433" xfId="0" applyFont="1" applyFill="1" applyBorder="1"/>
    <xf numFmtId="0" fontId="440" fillId="103" borderId="433" xfId="0" applyFont="1" applyFill="1" applyBorder="1" applyAlignment="1" applyProtection="1">
      <alignment vertical="center"/>
      <protection locked="0" hidden="1"/>
    </xf>
    <xf numFmtId="0" fontId="440" fillId="103" borderId="430" xfId="0" applyFont="1" applyFill="1" applyBorder="1" applyAlignment="1" applyProtection="1">
      <alignment vertical="center"/>
      <protection locked="0" hidden="1"/>
    </xf>
    <xf numFmtId="0" fontId="266" fillId="103" borderId="429" xfId="0" applyFont="1" applyFill="1" applyBorder="1" applyProtection="1">
      <protection hidden="1"/>
    </xf>
    <xf numFmtId="0" fontId="266" fillId="103" borderId="434" xfId="0" applyFont="1" applyFill="1" applyBorder="1" applyProtection="1">
      <protection hidden="1"/>
    </xf>
    <xf numFmtId="0" fontId="4" fillId="103" borderId="434" xfId="0" applyFont="1" applyFill="1" applyBorder="1" applyProtection="1">
      <protection hidden="1"/>
    </xf>
    <xf numFmtId="0" fontId="0" fillId="103" borderId="434" xfId="0" applyFill="1" applyBorder="1"/>
    <xf numFmtId="0" fontId="440" fillId="103" borderId="434" xfId="0" applyFont="1" applyFill="1" applyBorder="1" applyAlignment="1" applyProtection="1">
      <alignment vertical="center"/>
      <protection locked="0" hidden="1"/>
    </xf>
    <xf numFmtId="0" fontId="440" fillId="103" borderId="432" xfId="0" applyFont="1" applyFill="1" applyBorder="1" applyAlignment="1" applyProtection="1">
      <alignment vertical="center"/>
      <protection locked="0" hidden="1"/>
    </xf>
    <xf numFmtId="0" fontId="440" fillId="103" borderId="431" xfId="0" applyFont="1" applyFill="1" applyBorder="1" applyAlignment="1" applyProtection="1">
      <alignment vertical="center"/>
      <protection locked="0" hidden="1"/>
    </xf>
    <xf numFmtId="0" fontId="4" fillId="103" borderId="220" xfId="0" applyFont="1" applyFill="1" applyBorder="1" applyProtection="1">
      <protection hidden="1"/>
    </xf>
    <xf numFmtId="0" fontId="4" fillId="103" borderId="219" xfId="0" applyFont="1" applyFill="1" applyBorder="1" applyProtection="1">
      <protection hidden="1"/>
    </xf>
    <xf numFmtId="0" fontId="4" fillId="103" borderId="221" xfId="0" applyFont="1" applyFill="1" applyBorder="1" applyProtection="1">
      <protection hidden="1"/>
    </xf>
    <xf numFmtId="0" fontId="4" fillId="103" borderId="222" xfId="0" applyFont="1" applyFill="1" applyBorder="1" applyProtection="1">
      <protection hidden="1"/>
    </xf>
    <xf numFmtId="0" fontId="4" fillId="103" borderId="0" xfId="0" applyFont="1" applyFill="1" applyProtection="1">
      <protection hidden="1"/>
    </xf>
    <xf numFmtId="0" fontId="4" fillId="103" borderId="223" xfId="0" applyFont="1" applyFill="1" applyBorder="1" applyProtection="1">
      <protection hidden="1"/>
    </xf>
    <xf numFmtId="0" fontId="4" fillId="103" borderId="224" xfId="0" applyFont="1" applyFill="1" applyBorder="1" applyProtection="1">
      <protection hidden="1"/>
    </xf>
    <xf numFmtId="0" fontId="4" fillId="103" borderId="225" xfId="0" applyFont="1" applyFill="1" applyBorder="1" applyProtection="1">
      <protection hidden="1"/>
    </xf>
    <xf numFmtId="0" fontId="47" fillId="103" borderId="319" xfId="0" applyFont="1" applyFill="1" applyBorder="1" applyAlignment="1" applyProtection="1">
      <alignment vertical="center"/>
      <protection locked="0" hidden="1"/>
    </xf>
    <xf numFmtId="0" fontId="47" fillId="103" borderId="320" xfId="0" applyFont="1" applyFill="1" applyBorder="1" applyAlignment="1" applyProtection="1">
      <alignment vertical="center"/>
      <protection locked="0" hidden="1"/>
    </xf>
    <xf numFmtId="0" fontId="336" fillId="103" borderId="0" xfId="0" applyFont="1" applyFill="1" applyAlignment="1" applyProtection="1">
      <alignment vertical="center"/>
      <protection locked="0" hidden="1"/>
    </xf>
    <xf numFmtId="0" fontId="412" fillId="103" borderId="0" xfId="0" applyFont="1" applyFill="1" applyAlignment="1" applyProtection="1">
      <alignment vertical="center" wrapText="1"/>
      <protection locked="0" hidden="1"/>
    </xf>
    <xf numFmtId="0" fontId="335" fillId="103" borderId="0" xfId="0" applyFont="1" applyFill="1" applyAlignment="1" applyProtection="1">
      <alignment horizontal="center" vertical="center" wrapText="1"/>
      <protection locked="0" hidden="1"/>
    </xf>
    <xf numFmtId="0" fontId="321" fillId="103" borderId="0" xfId="0" applyFont="1" applyFill="1" applyAlignment="1" applyProtection="1">
      <alignment vertical="center"/>
      <protection locked="0" hidden="1"/>
    </xf>
    <xf numFmtId="0" fontId="336" fillId="103" borderId="318" xfId="0" applyFont="1" applyFill="1" applyBorder="1" applyAlignment="1" applyProtection="1">
      <alignment vertical="center"/>
      <protection locked="0" hidden="1"/>
    </xf>
    <xf numFmtId="0" fontId="336" fillId="103" borderId="319" xfId="0" applyFont="1" applyFill="1" applyBorder="1" applyAlignment="1" applyProtection="1">
      <alignment vertical="center"/>
      <protection locked="0" hidden="1"/>
    </xf>
    <xf numFmtId="0" fontId="336" fillId="103" borderId="320" xfId="0" applyFont="1" applyFill="1" applyBorder="1" applyAlignment="1" applyProtection="1">
      <alignment vertical="center"/>
      <protection locked="0" hidden="1"/>
    </xf>
    <xf numFmtId="5" fontId="524" fillId="2" borderId="84" xfId="0" applyNumberFormat="1" applyFont="1" applyFill="1" applyBorder="1" applyAlignment="1">
      <alignment horizontal="center"/>
    </xf>
    <xf numFmtId="5" fontId="524" fillId="2" borderId="75" xfId="0" applyNumberFormat="1" applyFont="1" applyFill="1" applyBorder="1" applyAlignment="1">
      <alignment horizontal="center"/>
    </xf>
    <xf numFmtId="0" fontId="471" fillId="55" borderId="0" xfId="0" applyFont="1" applyFill="1"/>
    <xf numFmtId="0" fontId="472" fillId="55" borderId="0" xfId="0" applyFont="1" applyFill="1"/>
    <xf numFmtId="0" fontId="472" fillId="55" borderId="0" xfId="0" applyFont="1" applyFill="1" applyAlignment="1">
      <alignment horizontal="center"/>
    </xf>
    <xf numFmtId="0" fontId="473" fillId="55" borderId="0" xfId="0" applyFont="1" applyFill="1" applyAlignment="1" applyProtection="1">
      <alignment horizontal="left" vertical="top" wrapText="1"/>
      <protection locked="0"/>
    </xf>
    <xf numFmtId="0" fontId="473" fillId="55" borderId="0" xfId="0" applyFont="1" applyFill="1" applyAlignment="1" applyProtection="1">
      <alignment vertical="center"/>
      <protection locked="0"/>
    </xf>
    <xf numFmtId="0" fontId="474" fillId="55" borderId="0" xfId="0" applyFont="1" applyFill="1" applyAlignment="1">
      <alignment vertical="center" wrapText="1"/>
    </xf>
    <xf numFmtId="0" fontId="474" fillId="55" borderId="0" xfId="0" applyFont="1" applyFill="1" applyAlignment="1">
      <alignment vertical="center"/>
    </xf>
    <xf numFmtId="0" fontId="476" fillId="55" borderId="0" xfId="0" applyFont="1" applyFill="1" applyProtection="1">
      <protection hidden="1"/>
    </xf>
    <xf numFmtId="0" fontId="474" fillId="55" borderId="0" xfId="0" applyFont="1" applyFill="1" applyAlignment="1">
      <alignment wrapText="1"/>
    </xf>
    <xf numFmtId="0" fontId="382" fillId="55" borderId="0" xfId="0" applyFont="1" applyFill="1" applyAlignment="1" applyProtection="1">
      <alignment vertical="center"/>
      <protection hidden="1"/>
    </xf>
    <xf numFmtId="0" fontId="477" fillId="55" borderId="0" xfId="0" applyFont="1" applyFill="1" applyProtection="1">
      <protection hidden="1"/>
    </xf>
    <xf numFmtId="0" fontId="478" fillId="55" borderId="0" xfId="0" applyFont="1" applyFill="1"/>
    <xf numFmtId="0" fontId="479" fillId="55" borderId="0" xfId="0" applyFont="1" applyFill="1" applyAlignment="1" applyProtection="1">
      <alignment vertical="center" wrapText="1"/>
      <protection locked="0"/>
    </xf>
    <xf numFmtId="0" fontId="475" fillId="55" borderId="0" xfId="0" applyFont="1" applyFill="1" applyProtection="1">
      <protection hidden="1"/>
    </xf>
    <xf numFmtId="0" fontId="480" fillId="55" borderId="0" xfId="0" applyFont="1" applyFill="1" applyAlignment="1">
      <alignment vertical="center"/>
    </xf>
    <xf numFmtId="0" fontId="481" fillId="55" borderId="0" xfId="0" applyFont="1" applyFill="1"/>
    <xf numFmtId="0" fontId="482" fillId="55" borderId="0" xfId="0" applyFont="1" applyFill="1"/>
    <xf numFmtId="0" fontId="481" fillId="55" borderId="0" xfId="0" applyFont="1" applyFill="1" applyAlignment="1">
      <alignment horizontal="center"/>
    </xf>
    <xf numFmtId="0" fontId="481" fillId="55" borderId="0" xfId="0" applyFont="1" applyFill="1" applyAlignment="1">
      <alignment vertical="center"/>
    </xf>
    <xf numFmtId="0" fontId="483" fillId="55" borderId="0" xfId="0" applyFont="1" applyFill="1" applyAlignment="1">
      <alignment vertical="center"/>
    </xf>
    <xf numFmtId="0" fontId="484" fillId="55" borderId="0" xfId="0" applyFont="1" applyFill="1" applyAlignment="1" applyProtection="1">
      <alignment horizontal="center" vertical="center"/>
      <protection locked="0"/>
    </xf>
    <xf numFmtId="0" fontId="484" fillId="55" borderId="0" xfId="0" applyFont="1" applyFill="1" applyAlignment="1" applyProtection="1">
      <alignment vertical="center"/>
      <protection locked="0"/>
    </xf>
    <xf numFmtId="0" fontId="485" fillId="55" borderId="0" xfId="0" applyFont="1" applyFill="1" applyAlignment="1" applyProtection="1">
      <alignment vertical="center"/>
      <protection locked="0"/>
    </xf>
    <xf numFmtId="0" fontId="484" fillId="55" borderId="0" xfId="0" applyFont="1" applyFill="1" applyAlignment="1" applyProtection="1">
      <alignment horizontal="center" vertical="center" wrapText="1"/>
      <protection locked="0"/>
    </xf>
    <xf numFmtId="0" fontId="486" fillId="55" borderId="0" xfId="0" applyFont="1" applyFill="1" applyAlignment="1" applyProtection="1">
      <alignment vertical="center"/>
      <protection locked="0"/>
    </xf>
    <xf numFmtId="0" fontId="485" fillId="55" borderId="0" xfId="0" applyFont="1" applyFill="1" applyAlignment="1" applyProtection="1">
      <alignment vertical="center" wrapText="1"/>
      <protection locked="0"/>
    </xf>
    <xf numFmtId="0" fontId="484" fillId="55" borderId="0" xfId="0" applyFont="1" applyFill="1" applyAlignment="1" applyProtection="1">
      <alignment vertical="center" wrapText="1"/>
      <protection locked="0"/>
    </xf>
    <xf numFmtId="0" fontId="487" fillId="55" borderId="0" xfId="0" applyFont="1" applyFill="1" applyAlignment="1" applyProtection="1">
      <alignment vertical="center" wrapText="1"/>
      <protection locked="0"/>
    </xf>
    <xf numFmtId="0" fontId="485" fillId="55" borderId="0" xfId="0" applyFont="1" applyFill="1"/>
    <xf numFmtId="0" fontId="484" fillId="55" borderId="0" xfId="0" applyFont="1" applyFill="1"/>
    <xf numFmtId="0" fontId="488" fillId="55" borderId="0" xfId="0" applyFont="1" applyFill="1"/>
    <xf numFmtId="0" fontId="335" fillId="103" borderId="433" xfId="0" applyFont="1" applyFill="1" applyBorder="1" applyAlignment="1">
      <alignment vertical="center"/>
    </xf>
    <xf numFmtId="0" fontId="335" fillId="103" borderId="0" xfId="0" applyFont="1" applyFill="1" applyAlignment="1">
      <alignment vertical="center"/>
    </xf>
    <xf numFmtId="0" fontId="459" fillId="103" borderId="0" xfId="0" applyFont="1" applyFill="1" applyAlignment="1">
      <alignment vertical="center" wrapText="1"/>
    </xf>
    <xf numFmtId="0" fontId="47" fillId="103" borderId="0" xfId="0" applyFont="1" applyFill="1" applyAlignment="1">
      <alignment vertical="center"/>
    </xf>
    <xf numFmtId="0" fontId="345" fillId="103" borderId="0" xfId="0" applyFont="1" applyFill="1" applyAlignment="1">
      <alignment vertical="center"/>
    </xf>
    <xf numFmtId="0" fontId="345" fillId="103" borderId="434" xfId="0" applyFont="1" applyFill="1" applyBorder="1" applyAlignment="1">
      <alignment vertical="center"/>
    </xf>
    <xf numFmtId="0" fontId="419" fillId="103" borderId="0" xfId="0" applyFont="1" applyFill="1" applyAlignment="1">
      <alignment vertical="center"/>
    </xf>
    <xf numFmtId="0" fontId="419" fillId="103" borderId="0" xfId="0" applyFont="1" applyFill="1" applyAlignment="1" applyProtection="1">
      <alignment vertical="center" wrapText="1"/>
      <protection hidden="1"/>
    </xf>
    <xf numFmtId="0" fontId="345" fillId="103" borderId="219" xfId="0" applyFont="1" applyFill="1" applyBorder="1" applyAlignment="1" applyProtection="1">
      <alignment vertical="center"/>
      <protection hidden="1"/>
    </xf>
    <xf numFmtId="0" fontId="345" fillId="103" borderId="456" xfId="0" applyFont="1" applyFill="1" applyBorder="1" applyAlignment="1" applyProtection="1">
      <alignment vertical="center"/>
      <protection hidden="1"/>
    </xf>
    <xf numFmtId="0" fontId="345" fillId="103" borderId="0" xfId="0" applyFont="1" applyFill="1" applyAlignment="1" applyProtection="1">
      <alignment vertical="center"/>
      <protection hidden="1"/>
    </xf>
    <xf numFmtId="0" fontId="345" fillId="103" borderId="434" xfId="0" applyFont="1" applyFill="1" applyBorder="1" applyAlignment="1" applyProtection="1">
      <alignment vertical="center"/>
      <protection hidden="1"/>
    </xf>
    <xf numFmtId="0" fontId="345" fillId="103" borderId="433" xfId="0" applyFont="1" applyFill="1" applyBorder="1" applyAlignment="1" applyProtection="1">
      <alignment vertical="center"/>
      <protection hidden="1"/>
    </xf>
    <xf numFmtId="0" fontId="345" fillId="103" borderId="433" xfId="0" applyFont="1" applyFill="1" applyBorder="1" applyAlignment="1">
      <alignment vertical="center"/>
    </xf>
    <xf numFmtId="0" fontId="345" fillId="103" borderId="455" xfId="0" applyFont="1" applyFill="1" applyBorder="1" applyAlignment="1" applyProtection="1">
      <alignment vertical="center"/>
      <protection hidden="1"/>
    </xf>
    <xf numFmtId="183" fontId="328" fillId="0" borderId="550" xfId="0" applyNumberFormat="1" applyFont="1" applyBorder="1" applyAlignment="1">
      <alignment horizontal="center" vertical="center"/>
    </xf>
    <xf numFmtId="1" fontId="328" fillId="0" borderId="550" xfId="0" applyNumberFormat="1" applyFont="1" applyBorder="1" applyAlignment="1">
      <alignment horizontal="left" vertical="center"/>
    </xf>
    <xf numFmtId="0" fontId="328" fillId="0" borderId="550" xfId="0" applyFont="1" applyBorder="1" applyAlignment="1">
      <alignment horizontal="left" vertical="center"/>
    </xf>
    <xf numFmtId="164" fontId="197" fillId="36" borderId="54" xfId="0" applyNumberFormat="1" applyFont="1" applyFill="1" applyBorder="1" applyAlignment="1" applyProtection="1">
      <alignment horizontal="right" vertical="center"/>
      <protection hidden="1"/>
    </xf>
    <xf numFmtId="164" fontId="197" fillId="36" borderId="0" xfId="0" applyNumberFormat="1" applyFont="1" applyFill="1" applyAlignment="1" applyProtection="1">
      <alignment horizontal="right" vertical="center"/>
      <protection hidden="1"/>
    </xf>
    <xf numFmtId="164" fontId="41" fillId="36" borderId="0" xfId="0" applyNumberFormat="1" applyFont="1" applyFill="1" applyAlignment="1" applyProtection="1">
      <alignment horizontal="right" vertical="center"/>
      <protection hidden="1"/>
    </xf>
    <xf numFmtId="164" fontId="197" fillId="36" borderId="0" xfId="0" applyNumberFormat="1" applyFont="1" applyFill="1" applyAlignment="1" applyProtection="1">
      <alignment horizontal="center" vertical="center"/>
      <protection hidden="1"/>
    </xf>
    <xf numFmtId="1" fontId="199" fillId="36" borderId="0" xfId="0" applyNumberFormat="1" applyFont="1" applyFill="1" applyAlignment="1" applyProtection="1">
      <alignment horizontal="center" vertical="center"/>
      <protection hidden="1"/>
    </xf>
    <xf numFmtId="164" fontId="2" fillId="36" borderId="56" xfId="0" applyNumberFormat="1" applyFont="1" applyFill="1" applyBorder="1" applyAlignment="1" applyProtection="1">
      <alignment horizontal="center" vertical="center"/>
      <protection hidden="1"/>
    </xf>
    <xf numFmtId="164" fontId="355" fillId="2" borderId="0" xfId="0" applyNumberFormat="1" applyFont="1" applyFill="1" applyAlignment="1" applyProtection="1">
      <alignment horizontal="center" vertical="center" wrapText="1"/>
      <protection hidden="1"/>
    </xf>
    <xf numFmtId="164" fontId="329" fillId="2" borderId="0" xfId="0" applyNumberFormat="1" applyFont="1" applyFill="1" applyAlignment="1" applyProtection="1">
      <alignment horizontal="center" vertical="center" wrapText="1"/>
      <protection hidden="1"/>
    </xf>
    <xf numFmtId="164" fontId="329" fillId="2" borderId="0" xfId="0" applyNumberFormat="1" applyFont="1" applyFill="1" applyAlignment="1" applyProtection="1">
      <alignment horizontal="center" vertical="center"/>
      <protection hidden="1"/>
    </xf>
    <xf numFmtId="164" fontId="525" fillId="41" borderId="0" xfId="0" applyNumberFormat="1" applyFont="1" applyFill="1" applyAlignment="1" applyProtection="1">
      <alignment horizontal="center" vertical="center"/>
      <protection locked="0" hidden="1"/>
    </xf>
    <xf numFmtId="164" fontId="329" fillId="37" borderId="0" xfId="0" applyNumberFormat="1" applyFont="1" applyFill="1" applyAlignment="1" applyProtection="1">
      <alignment horizontal="center" vertical="center" wrapText="1"/>
      <protection hidden="1"/>
    </xf>
    <xf numFmtId="9" fontId="329" fillId="2" borderId="0" xfId="0" applyNumberFormat="1" applyFont="1" applyFill="1" applyAlignment="1" applyProtection="1">
      <alignment horizontal="center" vertical="center"/>
      <protection hidden="1"/>
    </xf>
    <xf numFmtId="3" fontId="41" fillId="37" borderId="0" xfId="0" applyNumberFormat="1" applyFont="1" applyFill="1" applyAlignment="1" applyProtection="1">
      <alignment horizontal="center" vertical="center"/>
      <protection hidden="1"/>
    </xf>
    <xf numFmtId="164" fontId="2" fillId="35" borderId="0" xfId="0" applyNumberFormat="1" applyFont="1" applyFill="1" applyAlignment="1" applyProtection="1">
      <alignment horizontal="center" vertical="center" wrapText="1"/>
      <protection hidden="1"/>
    </xf>
    <xf numFmtId="164" fontId="466" fillId="35" borderId="0" xfId="0" applyNumberFormat="1" applyFont="1" applyFill="1" applyAlignment="1" applyProtection="1">
      <alignment horizontal="center" vertical="center"/>
      <protection hidden="1"/>
    </xf>
    <xf numFmtId="0" fontId="169" fillId="103" borderId="77" xfId="0" applyFont="1" applyFill="1" applyBorder="1" applyAlignment="1">
      <alignment horizontal="center" vertical="center"/>
    </xf>
    <xf numFmtId="0" fontId="169" fillId="103" borderId="75" xfId="0" applyFont="1" applyFill="1" applyBorder="1" applyAlignment="1">
      <alignment horizontal="center" vertical="center"/>
    </xf>
    <xf numFmtId="0" fontId="0" fillId="15" borderId="0" xfId="0" applyFill="1" applyAlignment="1">
      <alignment vertical="center"/>
    </xf>
    <xf numFmtId="0" fontId="0" fillId="28" borderId="0" xfId="0" applyFill="1" applyAlignment="1">
      <alignment vertical="center"/>
    </xf>
    <xf numFmtId="0" fontId="140" fillId="8" borderId="22" xfId="0" applyFont="1" applyFill="1" applyBorder="1" applyAlignment="1">
      <alignment horizontal="center" vertical="center"/>
    </xf>
    <xf numFmtId="166" fontId="261" fillId="0" borderId="12" xfId="0" applyNumberFormat="1" applyFont="1" applyBorder="1" applyAlignment="1">
      <alignment horizontal="center" vertical="center"/>
    </xf>
    <xf numFmtId="0" fontId="233" fillId="0" borderId="0" xfId="0" applyFont="1" applyAlignment="1">
      <alignment vertical="center"/>
    </xf>
    <xf numFmtId="0" fontId="280" fillId="0" borderId="12" xfId="0" applyFont="1" applyBorder="1" applyAlignment="1">
      <alignment horizontal="center" vertical="center"/>
    </xf>
    <xf numFmtId="9" fontId="321" fillId="0" borderId="12" xfId="0" applyNumberFormat="1" applyFont="1" applyBorder="1" applyAlignment="1">
      <alignment horizontal="center" vertical="center"/>
    </xf>
    <xf numFmtId="0" fontId="233" fillId="36" borderId="12" xfId="0" applyFont="1" applyFill="1" applyBorder="1" applyAlignment="1">
      <alignment horizontal="center" vertical="center"/>
    </xf>
    <xf numFmtId="0" fontId="233" fillId="34" borderId="12" xfId="0" applyFont="1" applyFill="1" applyBorder="1" applyAlignment="1">
      <alignment horizontal="center" vertical="center"/>
    </xf>
    <xf numFmtId="9" fontId="144" fillId="0" borderId="12" xfId="0" applyNumberFormat="1" applyFont="1" applyBorder="1" applyAlignment="1">
      <alignment horizontal="center" vertical="center"/>
    </xf>
    <xf numFmtId="0" fontId="144" fillId="0" borderId="0" xfId="0" applyFont="1" applyAlignment="1">
      <alignment vertical="center"/>
    </xf>
    <xf numFmtId="166" fontId="261" fillId="0" borderId="0" xfId="0" applyNumberFormat="1" applyFont="1" applyAlignment="1">
      <alignment horizontal="center" vertical="center"/>
    </xf>
    <xf numFmtId="9" fontId="233" fillId="0" borderId="0" xfId="0" applyNumberFormat="1" applyFont="1" applyAlignment="1">
      <alignment horizontal="center" vertical="center"/>
    </xf>
    <xf numFmtId="9" fontId="88" fillId="0" borderId="12" xfId="0" applyNumberFormat="1" applyFont="1" applyBorder="1" applyAlignment="1">
      <alignment horizontal="center" vertical="center"/>
    </xf>
    <xf numFmtId="0" fontId="0" fillId="32" borderId="0" xfId="0" applyFill="1" applyAlignment="1">
      <alignment vertical="center"/>
    </xf>
    <xf numFmtId="1" fontId="321" fillId="0" borderId="12" xfId="0" applyNumberFormat="1" applyFont="1" applyBorder="1" applyAlignment="1">
      <alignment horizontal="center" vertical="center"/>
    </xf>
    <xf numFmtId="0" fontId="321" fillId="0" borderId="12" xfId="0" applyFont="1" applyBorder="1" applyAlignment="1">
      <alignment vertical="center"/>
    </xf>
    <xf numFmtId="1" fontId="321" fillId="0" borderId="178" xfId="0" applyNumberFormat="1" applyFont="1" applyBorder="1" applyAlignment="1">
      <alignment horizontal="center" vertical="center"/>
    </xf>
    <xf numFmtId="0" fontId="0" fillId="45" borderId="0" xfId="0" applyFill="1" applyAlignment="1">
      <alignment vertical="center"/>
    </xf>
    <xf numFmtId="166" fontId="321" fillId="0" borderId="211" xfId="0" applyNumberFormat="1" applyFont="1" applyBorder="1" applyAlignment="1">
      <alignment horizontal="center" vertical="center"/>
    </xf>
    <xf numFmtId="0" fontId="0" fillId="33" borderId="0" xfId="0" applyFill="1" applyAlignment="1">
      <alignment vertical="center"/>
    </xf>
    <xf numFmtId="0" fontId="411" fillId="16" borderId="0" xfId="0" applyFont="1" applyFill="1" applyAlignment="1">
      <alignment vertical="center"/>
    </xf>
    <xf numFmtId="0" fontId="88" fillId="11" borderId="0" xfId="0" applyFont="1" applyFill="1" applyAlignment="1">
      <alignment vertical="center"/>
    </xf>
    <xf numFmtId="176" fontId="411" fillId="16" borderId="550" xfId="0" applyNumberFormat="1" applyFont="1" applyFill="1" applyBorder="1" applyAlignment="1">
      <alignment horizontal="center" vertical="center"/>
    </xf>
    <xf numFmtId="0" fontId="411" fillId="16" borderId="550" xfId="0" applyFont="1" applyFill="1" applyBorder="1" applyAlignment="1">
      <alignment horizontal="center" vertical="center"/>
    </xf>
    <xf numFmtId="0" fontId="144" fillId="0" borderId="0" xfId="0" applyFont="1" applyAlignment="1">
      <alignment horizontal="center" vertical="center"/>
    </xf>
    <xf numFmtId="0" fontId="511" fillId="104" borderId="624" xfId="0" applyFont="1" applyFill="1" applyBorder="1" applyAlignment="1">
      <alignment horizontal="center" vertical="center" wrapText="1"/>
    </xf>
    <xf numFmtId="0" fontId="339" fillId="104" borderId="483" xfId="0" applyFont="1" applyFill="1" applyBorder="1" applyAlignment="1">
      <alignment horizontal="center" vertical="center" wrapText="1"/>
    </xf>
    <xf numFmtId="0" fontId="169" fillId="103" borderId="424" xfId="0" applyFont="1" applyFill="1" applyBorder="1" applyAlignment="1" applyProtection="1">
      <alignment horizontal="center" vertical="center"/>
      <protection locked="0" hidden="1"/>
    </xf>
    <xf numFmtId="0" fontId="169" fillId="103" borderId="358" xfId="0" applyFont="1" applyFill="1" applyBorder="1" applyAlignment="1" applyProtection="1">
      <alignment horizontal="center" vertical="center"/>
      <protection locked="0" hidden="1"/>
    </xf>
    <xf numFmtId="0" fontId="213" fillId="103" borderId="108" xfId="0" applyFont="1" applyFill="1" applyBorder="1"/>
    <xf numFmtId="0" fontId="213" fillId="103" borderId="424" xfId="0" applyFont="1" applyFill="1" applyBorder="1"/>
    <xf numFmtId="0" fontId="213" fillId="103" borderId="355" xfId="0" applyFont="1" applyFill="1" applyBorder="1"/>
    <xf numFmtId="0" fontId="213" fillId="103" borderId="358" xfId="0" applyFont="1" applyFill="1" applyBorder="1"/>
    <xf numFmtId="0" fontId="343" fillId="33" borderId="355" xfId="0" applyFont="1" applyFill="1" applyBorder="1"/>
    <xf numFmtId="0" fontId="119" fillId="33" borderId="88" xfId="0" applyFont="1" applyFill="1" applyBorder="1" applyAlignment="1">
      <alignment horizontal="center"/>
    </xf>
    <xf numFmtId="0" fontId="119" fillId="33" borderId="77" xfId="0" applyFont="1" applyFill="1" applyBorder="1" applyAlignment="1">
      <alignment horizontal="center"/>
    </xf>
    <xf numFmtId="0" fontId="328" fillId="0" borderId="550" xfId="0" applyFont="1" applyBorder="1" applyAlignment="1" applyProtection="1">
      <alignment vertical="center"/>
      <protection hidden="1"/>
    </xf>
    <xf numFmtId="183" fontId="328" fillId="0" borderId="693" xfId="0" applyNumberFormat="1" applyFont="1" applyBorder="1" applyAlignment="1">
      <alignment horizontal="center" vertical="center"/>
    </xf>
    <xf numFmtId="0" fontId="451" fillId="50" borderId="540" xfId="0" applyFont="1" applyFill="1" applyBorder="1" applyAlignment="1" applyProtection="1">
      <alignment vertical="top" wrapText="1"/>
      <protection hidden="1"/>
    </xf>
    <xf numFmtId="0" fontId="328" fillId="0" borderId="531" xfId="0" applyFont="1" applyBorder="1" applyAlignment="1">
      <alignment horizontal="center" vertical="center"/>
    </xf>
    <xf numFmtId="0" fontId="328" fillId="0" borderId="531" xfId="0" applyFont="1" applyBorder="1" applyAlignment="1">
      <alignment horizontal="center"/>
    </xf>
    <xf numFmtId="0" fontId="328" fillId="0" borderId="720" xfId="0" applyFont="1" applyBorder="1" applyAlignment="1">
      <alignment horizontal="center"/>
    </xf>
    <xf numFmtId="0" fontId="511" fillId="105" borderId="429" xfId="0" applyFont="1" applyFill="1" applyBorder="1" applyAlignment="1">
      <alignment horizontal="center" vertical="center" wrapText="1"/>
    </xf>
    <xf numFmtId="0" fontId="511" fillId="105" borderId="483" xfId="0" applyFont="1" applyFill="1" applyBorder="1" applyAlignment="1">
      <alignment horizontal="center" vertical="center" wrapText="1"/>
    </xf>
    <xf numFmtId="0" fontId="511" fillId="33" borderId="429" xfId="0" applyFont="1" applyFill="1" applyBorder="1" applyAlignment="1">
      <alignment horizontal="center" vertical="center" wrapText="1"/>
    </xf>
    <xf numFmtId="0" fontId="511" fillId="33" borderId="483" xfId="0" applyFont="1" applyFill="1" applyBorder="1" applyAlignment="1">
      <alignment horizontal="center" vertical="center" wrapText="1"/>
    </xf>
    <xf numFmtId="0" fontId="0" fillId="103" borderId="0" xfId="0" applyFill="1"/>
    <xf numFmtId="0" fontId="511" fillId="106" borderId="624" xfId="0" applyFont="1" applyFill="1" applyBorder="1" applyAlignment="1">
      <alignment horizontal="center" vertical="center" wrapText="1"/>
    </xf>
    <xf numFmtId="0" fontId="339" fillId="106" borderId="483" xfId="0" applyFont="1" applyFill="1" applyBorder="1" applyAlignment="1">
      <alignment horizontal="center" vertical="center" wrapText="1"/>
    </xf>
    <xf numFmtId="0" fontId="218" fillId="107" borderId="723" xfId="0" applyFont="1" applyFill="1" applyBorder="1"/>
    <xf numFmtId="0" fontId="0" fillId="107" borderId="725" xfId="0" applyFill="1" applyBorder="1"/>
    <xf numFmtId="0" fontId="511" fillId="31" borderId="624" xfId="0" applyFont="1" applyFill="1" applyBorder="1" applyAlignment="1">
      <alignment horizontal="center" vertical="center" wrapText="1"/>
    </xf>
    <xf numFmtId="0" fontId="511" fillId="31" borderId="483" xfId="0" applyFont="1" applyFill="1" applyBorder="1" applyAlignment="1">
      <alignment horizontal="center" vertical="center" wrapText="1"/>
    </xf>
    <xf numFmtId="0" fontId="218" fillId="37" borderId="0" xfId="0" applyFont="1" applyFill="1" applyAlignment="1">
      <alignment horizontal="center" vertical="center"/>
    </xf>
    <xf numFmtId="0" fontId="233" fillId="0" borderId="0" xfId="0" applyFont="1" applyAlignment="1">
      <alignment horizontal="right" vertical="center"/>
    </xf>
    <xf numFmtId="166" fontId="233" fillId="0" borderId="0" xfId="0" applyNumberFormat="1" applyFont="1" applyAlignment="1">
      <alignment vertical="center"/>
    </xf>
    <xf numFmtId="166" fontId="144" fillId="0" borderId="0" xfId="0" applyNumberFormat="1" applyFont="1" applyAlignment="1">
      <alignment horizontal="center" vertical="center"/>
    </xf>
    <xf numFmtId="0" fontId="321" fillId="0" borderId="0" xfId="0" applyFont="1" applyAlignment="1">
      <alignment horizontal="center" vertical="center" wrapText="1"/>
    </xf>
    <xf numFmtId="17" fontId="328" fillId="0" borderId="0" xfId="0" applyNumberFormat="1" applyFont="1" applyAlignment="1">
      <alignment vertical="center"/>
    </xf>
    <xf numFmtId="166" fontId="247" fillId="0" borderId="0" xfId="0" applyNumberFormat="1" applyFont="1" applyAlignment="1">
      <alignment vertical="center"/>
    </xf>
    <xf numFmtId="166" fontId="247" fillId="37" borderId="0" xfId="0" applyNumberFormat="1" applyFont="1" applyFill="1" applyAlignment="1">
      <alignment vertical="center"/>
    </xf>
    <xf numFmtId="0" fontId="349" fillId="50" borderId="12" xfId="0" applyFont="1" applyFill="1" applyBorder="1" applyAlignment="1">
      <alignment horizontal="left" vertical="center" wrapText="1"/>
    </xf>
    <xf numFmtId="0" fontId="337" fillId="34" borderId="12" xfId="0" applyFont="1" applyFill="1" applyBorder="1" applyAlignment="1">
      <alignment horizontal="left" vertical="center" wrapText="1"/>
    </xf>
    <xf numFmtId="0" fontId="328" fillId="0" borderId="401" xfId="0" applyFont="1" applyBorder="1" applyAlignment="1">
      <alignment horizontal="left" wrapText="1"/>
    </xf>
    <xf numFmtId="0" fontId="321" fillId="50" borderId="12" xfId="0" applyFont="1" applyFill="1" applyBorder="1" applyAlignment="1">
      <alignment horizontal="left" vertical="center"/>
    </xf>
    <xf numFmtId="0" fontId="321" fillId="34" borderId="296" xfId="0" applyFont="1" applyFill="1" applyBorder="1" applyAlignment="1">
      <alignment horizontal="center" vertical="center"/>
    </xf>
    <xf numFmtId="0" fontId="325" fillId="34" borderId="321" xfId="0" applyFont="1" applyFill="1" applyBorder="1" applyAlignment="1">
      <alignment horizontal="center" vertical="center"/>
    </xf>
    <xf numFmtId="0" fontId="10" fillId="32" borderId="550" xfId="0" applyFont="1" applyFill="1" applyBorder="1" applyAlignment="1">
      <alignment horizontal="center" vertical="center"/>
    </xf>
    <xf numFmtId="0" fontId="321" fillId="32" borderId="550" xfId="0" applyFont="1" applyFill="1" applyBorder="1" applyAlignment="1">
      <alignment horizontal="center" vertical="center"/>
    </xf>
    <xf numFmtId="0" fontId="328" fillId="32" borderId="550" xfId="0" applyFont="1" applyFill="1" applyBorder="1" applyAlignment="1">
      <alignment horizontal="center" vertical="center"/>
    </xf>
    <xf numFmtId="0" fontId="0" fillId="32" borderId="550" xfId="0" applyFill="1" applyBorder="1"/>
    <xf numFmtId="0" fontId="328" fillId="32" borderId="550" xfId="0" applyFont="1" applyFill="1" applyBorder="1"/>
    <xf numFmtId="0" fontId="328" fillId="32" borderId="550" xfId="0" applyFont="1" applyFill="1" applyBorder="1" applyAlignment="1">
      <alignment horizontal="center"/>
    </xf>
    <xf numFmtId="166" fontId="88" fillId="50" borderId="550" xfId="0" applyNumberFormat="1" applyFont="1" applyFill="1" applyBorder="1" applyAlignment="1">
      <alignment horizontal="center"/>
    </xf>
    <xf numFmtId="0" fontId="328" fillId="50" borderId="550" xfId="0" applyFont="1" applyFill="1" applyBorder="1"/>
    <xf numFmtId="0" fontId="328" fillId="50" borderId="550" xfId="0" applyFont="1" applyFill="1" applyBorder="1" applyAlignment="1">
      <alignment horizontal="center" vertical="center"/>
    </xf>
    <xf numFmtId="0" fontId="321" fillId="0" borderId="209" xfId="0" applyFont="1" applyBorder="1" applyAlignment="1">
      <alignment horizontal="center" vertical="center"/>
    </xf>
    <xf numFmtId="176" fontId="321" fillId="0" borderId="209" xfId="0" applyNumberFormat="1" applyFont="1" applyBorder="1" applyAlignment="1">
      <alignment horizontal="center"/>
    </xf>
    <xf numFmtId="164" fontId="0" fillId="0" borderId="0" xfId="0" applyNumberFormat="1" applyAlignment="1">
      <alignment horizontal="left" vertical="center"/>
    </xf>
    <xf numFmtId="0" fontId="0" fillId="31" borderId="0" xfId="0" applyFill="1" applyProtection="1">
      <protection locked="0" hidden="1"/>
    </xf>
    <xf numFmtId="0" fontId="355" fillId="4" borderId="244" xfId="0" applyFont="1" applyFill="1" applyBorder="1" applyAlignment="1" applyProtection="1">
      <alignment horizontal="center" vertical="center"/>
      <protection hidden="1"/>
    </xf>
    <xf numFmtId="0" fontId="511" fillId="78" borderId="624" xfId="0" applyFont="1" applyFill="1" applyBorder="1" applyAlignment="1">
      <alignment horizontal="center" vertical="center" wrapText="1"/>
    </xf>
    <xf numFmtId="0" fontId="339" fillId="78" borderId="483" xfId="0" applyFont="1" applyFill="1" applyBorder="1" applyAlignment="1">
      <alignment horizontal="center" vertical="center" wrapText="1"/>
    </xf>
    <xf numFmtId="0" fontId="335" fillId="103" borderId="483" xfId="0" applyFont="1" applyFill="1" applyBorder="1" applyAlignment="1" applyProtection="1">
      <alignment horizontal="center" vertical="center" wrapText="1"/>
      <protection hidden="1"/>
    </xf>
    <xf numFmtId="1" fontId="73" fillId="50" borderId="321" xfId="0" applyNumberFormat="1" applyFont="1" applyFill="1" applyBorder="1" applyAlignment="1" applyProtection="1">
      <alignment horizontal="center" vertical="center"/>
      <protection hidden="1"/>
    </xf>
    <xf numFmtId="3" fontId="355" fillId="41" borderId="662" xfId="0" applyNumberFormat="1" applyFont="1" applyFill="1" applyBorder="1" applyAlignment="1" applyProtection="1">
      <alignment horizontal="center" vertical="center"/>
      <protection hidden="1"/>
    </xf>
    <xf numFmtId="164" fontId="355" fillId="2" borderId="662" xfId="0" applyNumberFormat="1" applyFont="1" applyFill="1" applyBorder="1" applyAlignment="1" applyProtection="1">
      <alignment horizontal="center" vertical="center"/>
      <protection hidden="1"/>
    </xf>
    <xf numFmtId="164" fontId="528" fillId="41" borderId="0" xfId="0" applyNumberFormat="1" applyFont="1" applyFill="1" applyAlignment="1" applyProtection="1">
      <alignment horizontal="center" vertical="center"/>
      <protection hidden="1"/>
    </xf>
    <xf numFmtId="3" fontId="529" fillId="41" borderId="662" xfId="0" applyNumberFormat="1" applyFont="1" applyFill="1" applyBorder="1" applyAlignment="1" applyProtection="1">
      <alignment horizontal="center" vertical="center"/>
      <protection hidden="1"/>
    </xf>
    <xf numFmtId="0" fontId="284" fillId="4" borderId="0" xfId="0" applyFont="1" applyFill="1" applyAlignment="1" applyProtection="1">
      <alignment horizontal="center"/>
      <protection hidden="1"/>
    </xf>
    <xf numFmtId="0" fontId="285" fillId="5" borderId="0" xfId="0" applyFont="1" applyFill="1" applyAlignment="1">
      <alignment horizontal="center"/>
    </xf>
    <xf numFmtId="0" fontId="458" fillId="43" borderId="0" xfId="0" applyFont="1" applyFill="1" applyAlignment="1">
      <alignment horizontal="center"/>
    </xf>
    <xf numFmtId="0" fontId="286" fillId="25" borderId="0" xfId="0" applyFont="1" applyFill="1" applyAlignment="1">
      <alignment horizontal="center" vertical="center"/>
    </xf>
    <xf numFmtId="0" fontId="475" fillId="55" borderId="0" xfId="0" applyFont="1" applyFill="1" applyAlignment="1">
      <alignment horizontal="left" wrapText="1"/>
    </xf>
    <xf numFmtId="0" fontId="475" fillId="55" borderId="0" xfId="0" applyFont="1" applyFill="1" applyAlignment="1">
      <alignment horizontal="left" vertical="top" wrapText="1"/>
    </xf>
    <xf numFmtId="0" fontId="382" fillId="55" borderId="0" xfId="0" applyFont="1" applyFill="1" applyAlignment="1" applyProtection="1">
      <alignment horizontal="center" vertical="center"/>
      <protection hidden="1"/>
    </xf>
    <xf numFmtId="0" fontId="382" fillId="55" borderId="0" xfId="0" applyFont="1" applyFill="1" applyAlignment="1">
      <alignment horizontal="left" vertical="center" wrapText="1"/>
    </xf>
    <xf numFmtId="0" fontId="156" fillId="4" borderId="0" xfId="0" applyFont="1" applyFill="1" applyAlignment="1">
      <alignment horizontal="left" vertical="center"/>
    </xf>
    <xf numFmtId="0" fontId="283" fillId="4" borderId="0" xfId="2" applyFont="1" applyFill="1" applyAlignment="1">
      <alignment horizontal="left" vertical="center"/>
    </xf>
    <xf numFmtId="0" fontId="240" fillId="32" borderId="8" xfId="0" applyFont="1" applyFill="1" applyBorder="1" applyAlignment="1">
      <alignment horizontal="center" vertical="center"/>
    </xf>
    <xf numFmtId="0" fontId="240" fillId="32" borderId="9" xfId="0" applyFont="1" applyFill="1" applyBorder="1" applyAlignment="1">
      <alignment horizontal="center" vertical="center"/>
    </xf>
    <xf numFmtId="0" fontId="240" fillId="32" borderId="10" xfId="0" applyFont="1" applyFill="1" applyBorder="1" applyAlignment="1">
      <alignment horizontal="center" vertical="center"/>
    </xf>
    <xf numFmtId="0" fontId="356" fillId="5" borderId="51" xfId="0" applyFont="1" applyFill="1" applyBorder="1" applyAlignment="1">
      <alignment horizontal="center" vertical="center"/>
    </xf>
    <xf numFmtId="0" fontId="356" fillId="5" borderId="52" xfId="0" applyFont="1" applyFill="1" applyBorder="1" applyAlignment="1">
      <alignment horizontal="center" vertical="center"/>
    </xf>
    <xf numFmtId="0" fontId="356" fillId="5" borderId="53" xfId="0" applyFont="1" applyFill="1" applyBorder="1" applyAlignment="1">
      <alignment horizontal="center" vertical="center"/>
    </xf>
    <xf numFmtId="0" fontId="153" fillId="3" borderId="0" xfId="0" applyFont="1" applyFill="1" applyAlignment="1" applyProtection="1">
      <alignment horizontal="center" vertical="center" wrapText="1"/>
      <protection locked="0"/>
    </xf>
    <xf numFmtId="166" fontId="4" fillId="70" borderId="295" xfId="0" applyNumberFormat="1" applyFont="1" applyFill="1" applyBorder="1" applyAlignment="1" applyProtection="1">
      <alignment horizontal="center"/>
      <protection hidden="1"/>
    </xf>
    <xf numFmtId="166" fontId="4" fillId="70" borderId="296" xfId="0" applyNumberFormat="1" applyFont="1" applyFill="1" applyBorder="1" applyAlignment="1" applyProtection="1">
      <alignment horizontal="center"/>
      <protection hidden="1"/>
    </xf>
    <xf numFmtId="0" fontId="4" fillId="70" borderId="12" xfId="0" applyFont="1" applyFill="1" applyBorder="1" applyAlignment="1" applyProtection="1">
      <alignment horizontal="center" vertical="center"/>
      <protection hidden="1"/>
    </xf>
    <xf numFmtId="0" fontId="3" fillId="70" borderId="12" xfId="0" applyFont="1" applyFill="1" applyBorder="1" applyAlignment="1" applyProtection="1">
      <alignment horizontal="center"/>
      <protection hidden="1"/>
    </xf>
    <xf numFmtId="166" fontId="4" fillId="37" borderId="12" xfId="0" applyNumberFormat="1" applyFont="1" applyFill="1" applyBorder="1" applyAlignment="1">
      <alignment horizontal="center"/>
    </xf>
    <xf numFmtId="0" fontId="4" fillId="37" borderId="12" xfId="0" applyFont="1" applyFill="1" applyBorder="1" applyAlignment="1">
      <alignment horizontal="center"/>
    </xf>
    <xf numFmtId="0" fontId="3" fillId="37" borderId="12" xfId="0" applyFont="1" applyFill="1" applyBorder="1" applyAlignment="1">
      <alignment horizontal="center"/>
    </xf>
    <xf numFmtId="166" fontId="379" fillId="31" borderId="12" xfId="0" applyNumberFormat="1" applyFont="1" applyFill="1" applyBorder="1" applyAlignment="1">
      <alignment horizontal="center" vertical="center"/>
    </xf>
    <xf numFmtId="166" fontId="404" fillId="58" borderId="12" xfId="0" applyNumberFormat="1" applyFont="1" applyFill="1" applyBorder="1" applyAlignment="1">
      <alignment horizontal="center" vertical="center"/>
    </xf>
    <xf numFmtId="166" fontId="405" fillId="58" borderId="12" xfId="0" applyNumberFormat="1" applyFont="1" applyFill="1" applyBorder="1" applyAlignment="1">
      <alignment horizontal="center" wrapText="1"/>
    </xf>
    <xf numFmtId="166" fontId="36" fillId="36" borderId="12" xfId="0" applyNumberFormat="1" applyFont="1" applyFill="1" applyBorder="1" applyAlignment="1" applyProtection="1">
      <alignment horizontal="center" vertical="center"/>
      <protection hidden="1"/>
    </xf>
    <xf numFmtId="0" fontId="4" fillId="36" borderId="12" xfId="0" applyFont="1" applyFill="1" applyBorder="1" applyAlignment="1" applyProtection="1">
      <alignment horizontal="center" vertical="center"/>
      <protection hidden="1"/>
    </xf>
    <xf numFmtId="0" fontId="3" fillId="36" borderId="12" xfId="0" applyFont="1" applyFill="1" applyBorder="1" applyAlignment="1" applyProtection="1">
      <alignment horizontal="center"/>
      <protection hidden="1"/>
    </xf>
    <xf numFmtId="0" fontId="323" fillId="31" borderId="12" xfId="0" applyFont="1" applyFill="1" applyBorder="1" applyAlignment="1">
      <alignment horizontal="center" vertical="center"/>
    </xf>
    <xf numFmtId="0" fontId="336" fillId="31" borderId="12" xfId="0" applyFont="1" applyFill="1" applyBorder="1" applyAlignment="1">
      <alignment horizontal="center" vertical="center"/>
    </xf>
    <xf numFmtId="0" fontId="7" fillId="72" borderId="0" xfId="0" applyFont="1" applyFill="1" applyAlignment="1">
      <alignment vertical="center"/>
    </xf>
    <xf numFmtId="0" fontId="336" fillId="31" borderId="214" xfId="0" applyFont="1" applyFill="1" applyBorder="1" applyAlignment="1">
      <alignment horizontal="center" vertical="center"/>
    </xf>
    <xf numFmtId="0" fontId="336" fillId="31" borderId="218" xfId="0" applyFont="1" applyFill="1" applyBorder="1" applyAlignment="1">
      <alignment horizontal="center" vertical="center"/>
    </xf>
    <xf numFmtId="0" fontId="384" fillId="72" borderId="0" xfId="0" applyFont="1" applyFill="1" applyAlignment="1">
      <alignment horizontal="left"/>
    </xf>
    <xf numFmtId="0" fontId="384" fillId="72" borderId="0" xfId="0" applyFont="1" applyFill="1" applyAlignment="1">
      <alignment vertical="center"/>
    </xf>
    <xf numFmtId="0" fontId="9" fillId="72" borderId="0" xfId="0" applyFont="1" applyFill="1" applyAlignment="1" applyProtection="1">
      <alignment horizontal="left" vertical="center"/>
      <protection hidden="1"/>
    </xf>
    <xf numFmtId="0" fontId="6" fillId="72" borderId="0" xfId="0" applyFont="1" applyFill="1" applyAlignment="1">
      <alignment horizontal="center"/>
    </xf>
    <xf numFmtId="0" fontId="12" fillId="72" borderId="0" xfId="0" applyFont="1" applyFill="1" applyAlignment="1" applyProtection="1">
      <alignment vertical="center"/>
      <protection hidden="1"/>
    </xf>
    <xf numFmtId="0" fontId="8" fillId="72" borderId="0" xfId="0" applyFont="1" applyFill="1" applyAlignment="1">
      <alignment vertical="center" wrapText="1"/>
    </xf>
    <xf numFmtId="0" fontId="10" fillId="72" borderId="0" xfId="0" applyFont="1" applyFill="1" applyAlignment="1">
      <alignment horizontal="left" vertical="center" wrapText="1"/>
    </xf>
    <xf numFmtId="0" fontId="10" fillId="72" borderId="0" xfId="0" applyFont="1" applyFill="1" applyAlignment="1">
      <alignment vertical="center" wrapText="1"/>
    </xf>
    <xf numFmtId="0" fontId="8" fillId="72" borderId="0" xfId="0" applyFont="1" applyFill="1" applyAlignment="1">
      <alignment horizontal="left" vertical="center" wrapText="1"/>
    </xf>
    <xf numFmtId="0" fontId="7" fillId="72" borderId="0" xfId="0" applyFont="1" applyFill="1" applyAlignment="1">
      <alignment horizontal="left" vertical="center" wrapText="1"/>
    </xf>
    <xf numFmtId="0" fontId="8" fillId="72" borderId="0" xfId="0" applyFont="1" applyFill="1" applyAlignment="1">
      <alignment vertical="center"/>
    </xf>
    <xf numFmtId="0" fontId="7" fillId="72" borderId="0" xfId="0" applyFont="1" applyFill="1" applyAlignment="1">
      <alignment vertical="center" wrapText="1"/>
    </xf>
    <xf numFmtId="166" fontId="4" fillId="70" borderId="22" xfId="0" applyNumberFormat="1" applyFont="1" applyFill="1" applyBorder="1" applyAlignment="1" applyProtection="1">
      <alignment horizontal="center"/>
      <protection hidden="1"/>
    </xf>
    <xf numFmtId="166" fontId="4" fillId="70" borderId="73" xfId="0" applyNumberFormat="1" applyFont="1" applyFill="1" applyBorder="1" applyAlignment="1" applyProtection="1">
      <alignment horizontal="center"/>
      <protection hidden="1"/>
    </xf>
    <xf numFmtId="166" fontId="4" fillId="70" borderId="12" xfId="0" applyNumberFormat="1" applyFont="1" applyFill="1" applyBorder="1" applyAlignment="1" applyProtection="1">
      <alignment horizontal="center"/>
      <protection hidden="1"/>
    </xf>
    <xf numFmtId="166" fontId="4" fillId="69" borderId="22" xfId="0" applyNumberFormat="1" applyFont="1" applyFill="1" applyBorder="1" applyAlignment="1">
      <alignment horizontal="center"/>
    </xf>
    <xf numFmtId="166" fontId="4" fillId="69" borderId="73" xfId="0" applyNumberFormat="1" applyFont="1" applyFill="1" applyBorder="1" applyAlignment="1">
      <alignment horizontal="center"/>
    </xf>
    <xf numFmtId="0" fontId="3" fillId="69" borderId="234" xfId="0" applyFont="1" applyFill="1" applyBorder="1" applyAlignment="1" applyProtection="1">
      <alignment horizontal="center"/>
      <protection hidden="1"/>
    </xf>
    <xf numFmtId="0" fontId="3" fillId="69" borderId="82" xfId="0" applyFont="1" applyFill="1" applyBorder="1" applyAlignment="1" applyProtection="1">
      <alignment horizontal="center"/>
      <protection hidden="1"/>
    </xf>
    <xf numFmtId="0" fontId="3" fillId="69" borderId="186" xfId="0" applyFont="1" applyFill="1" applyBorder="1" applyAlignment="1" applyProtection="1">
      <alignment horizontal="center"/>
      <protection hidden="1"/>
    </xf>
    <xf numFmtId="0" fontId="3" fillId="68" borderId="295" xfId="0" applyFont="1" applyFill="1" applyBorder="1" applyAlignment="1" applyProtection="1">
      <alignment horizontal="center"/>
      <protection hidden="1"/>
    </xf>
    <xf numFmtId="0" fontId="3" fillId="68" borderId="25" xfId="0" applyFont="1" applyFill="1" applyBorder="1" applyAlignment="1" applyProtection="1">
      <alignment horizontal="center"/>
      <protection hidden="1"/>
    </xf>
    <xf numFmtId="0" fontId="3" fillId="68" borderId="73" xfId="0" applyFont="1" applyFill="1" applyBorder="1" applyAlignment="1" applyProtection="1">
      <alignment horizontal="center"/>
      <protection hidden="1"/>
    </xf>
    <xf numFmtId="166" fontId="332" fillId="63" borderId="260" xfId="0" applyNumberFormat="1" applyFont="1" applyFill="1" applyBorder="1" applyAlignment="1">
      <alignment horizontal="center"/>
    </xf>
    <xf numFmtId="166" fontId="332" fillId="63" borderId="0" xfId="0" applyNumberFormat="1" applyFont="1" applyFill="1" applyAlignment="1">
      <alignment horizontal="center"/>
    </xf>
    <xf numFmtId="166" fontId="378" fillId="33" borderId="0" xfId="0" applyNumberFormat="1" applyFont="1" applyFill="1" applyAlignment="1">
      <alignment horizontal="center" vertical="center"/>
    </xf>
    <xf numFmtId="166" fontId="10" fillId="69" borderId="259" xfId="0" applyNumberFormat="1" applyFont="1" applyFill="1" applyBorder="1" applyAlignment="1" applyProtection="1">
      <alignment horizontal="center" vertical="center"/>
      <protection hidden="1"/>
    </xf>
    <xf numFmtId="166" fontId="10" fillId="69" borderId="81" xfId="0" applyNumberFormat="1" applyFont="1" applyFill="1" applyBorder="1" applyAlignment="1" applyProtection="1">
      <alignment horizontal="center" vertical="center"/>
      <protection hidden="1"/>
    </xf>
    <xf numFmtId="166" fontId="10" fillId="69" borderId="82" xfId="0" applyNumberFormat="1" applyFont="1" applyFill="1" applyBorder="1" applyAlignment="1" applyProtection="1">
      <alignment horizontal="center" vertical="center"/>
      <protection hidden="1"/>
    </xf>
    <xf numFmtId="166" fontId="10" fillId="69" borderId="261" xfId="0" applyNumberFormat="1" applyFont="1" applyFill="1" applyBorder="1" applyAlignment="1" applyProtection="1">
      <alignment horizontal="center" vertical="center"/>
      <protection hidden="1"/>
    </xf>
    <xf numFmtId="166" fontId="10" fillId="69" borderId="262" xfId="0" applyNumberFormat="1" applyFont="1" applyFill="1" applyBorder="1" applyAlignment="1" applyProtection="1">
      <alignment horizontal="center" vertical="center"/>
      <protection hidden="1"/>
    </xf>
    <xf numFmtId="166" fontId="10" fillId="69" borderId="185" xfId="0" applyNumberFormat="1" applyFont="1" applyFill="1" applyBorder="1" applyAlignment="1" applyProtection="1">
      <alignment horizontal="center" vertical="center"/>
      <protection hidden="1"/>
    </xf>
    <xf numFmtId="166" fontId="10" fillId="69" borderId="13" xfId="0" applyNumberFormat="1" applyFont="1" applyFill="1" applyBorder="1" applyAlignment="1" applyProtection="1">
      <alignment horizontal="center" vertical="center"/>
      <protection hidden="1"/>
    </xf>
    <xf numFmtId="166" fontId="10" fillId="69" borderId="186" xfId="0" applyNumberFormat="1" applyFont="1" applyFill="1" applyBorder="1" applyAlignment="1" applyProtection="1">
      <alignment horizontal="center" vertical="center"/>
      <protection hidden="1"/>
    </xf>
    <xf numFmtId="166" fontId="10" fillId="69" borderId="234" xfId="0" applyNumberFormat="1" applyFont="1" applyFill="1" applyBorder="1" applyAlignment="1" applyProtection="1">
      <alignment horizontal="center" vertical="center"/>
      <protection hidden="1"/>
    </xf>
    <xf numFmtId="166" fontId="10" fillId="69" borderId="259" xfId="0" applyNumberFormat="1" applyFont="1" applyFill="1" applyBorder="1" applyAlignment="1" applyProtection="1">
      <alignment horizontal="center" vertical="center" wrapText="1"/>
      <protection hidden="1"/>
    </xf>
    <xf numFmtId="166" fontId="10" fillId="69" borderId="81" xfId="0" applyNumberFormat="1" applyFont="1" applyFill="1" applyBorder="1" applyAlignment="1" applyProtection="1">
      <alignment horizontal="center" vertical="center" wrapText="1"/>
      <protection hidden="1"/>
    </xf>
    <xf numFmtId="166" fontId="10" fillId="69" borderId="82" xfId="0" applyNumberFormat="1" applyFont="1" applyFill="1" applyBorder="1" applyAlignment="1" applyProtection="1">
      <alignment horizontal="center" vertical="center" wrapText="1"/>
      <protection hidden="1"/>
    </xf>
    <xf numFmtId="166" fontId="8" fillId="69" borderId="259" xfId="0" applyNumberFormat="1" applyFont="1" applyFill="1" applyBorder="1" applyAlignment="1" applyProtection="1">
      <alignment horizontal="center" vertical="center" wrapText="1"/>
      <protection hidden="1"/>
    </xf>
    <xf numFmtId="166" fontId="8" fillId="69" borderId="81" xfId="0" applyNumberFormat="1" applyFont="1" applyFill="1" applyBorder="1" applyAlignment="1" applyProtection="1">
      <alignment horizontal="center" vertical="center" wrapText="1"/>
      <protection hidden="1"/>
    </xf>
    <xf numFmtId="166" fontId="8" fillId="69" borderId="82" xfId="0" applyNumberFormat="1" applyFont="1" applyFill="1" applyBorder="1" applyAlignment="1" applyProtection="1">
      <alignment horizontal="center" vertical="center" wrapText="1"/>
      <protection hidden="1"/>
    </xf>
    <xf numFmtId="0" fontId="8" fillId="67" borderId="22" xfId="0" applyFont="1" applyFill="1" applyBorder="1" applyAlignment="1" applyProtection="1">
      <alignment horizontal="center"/>
      <protection locked="0" hidden="1"/>
    </xf>
    <xf numFmtId="0" fontId="8" fillId="67" borderId="73" xfId="0" applyFont="1" applyFill="1" applyBorder="1" applyAlignment="1" applyProtection="1">
      <alignment horizontal="center"/>
      <protection locked="0" hidden="1"/>
    </xf>
    <xf numFmtId="166" fontId="4" fillId="69" borderId="295" xfId="0" applyNumberFormat="1" applyFont="1" applyFill="1" applyBorder="1" applyAlignment="1">
      <alignment horizontal="center"/>
    </xf>
    <xf numFmtId="166" fontId="4" fillId="69" borderId="296" xfId="0" applyNumberFormat="1" applyFont="1" applyFill="1" applyBorder="1" applyAlignment="1">
      <alignment horizontal="center"/>
    </xf>
    <xf numFmtId="0" fontId="8" fillId="67" borderId="295" xfId="0" applyFont="1" applyFill="1" applyBorder="1" applyAlignment="1" applyProtection="1">
      <alignment horizontal="center"/>
      <protection locked="0" hidden="1"/>
    </xf>
    <xf numFmtId="0" fontId="8" fillId="67" borderId="296" xfId="0" applyFont="1" applyFill="1" applyBorder="1" applyAlignment="1" applyProtection="1">
      <alignment horizontal="center"/>
      <protection locked="0" hidden="1"/>
    </xf>
    <xf numFmtId="0" fontId="8" fillId="67" borderId="12" xfId="0" applyFont="1" applyFill="1" applyBorder="1" applyAlignment="1" applyProtection="1">
      <alignment horizontal="center"/>
      <protection locked="0" hidden="1"/>
    </xf>
    <xf numFmtId="0" fontId="365" fillId="65" borderId="0" xfId="0" applyFont="1" applyFill="1" applyAlignment="1">
      <alignment horizontal="center"/>
    </xf>
    <xf numFmtId="0" fontId="366" fillId="66" borderId="0" xfId="0" applyFont="1" applyFill="1" applyAlignment="1">
      <alignment horizontal="center" vertical="center" wrapText="1"/>
    </xf>
    <xf numFmtId="0" fontId="367" fillId="65" borderId="0" xfId="0" applyFont="1" applyFill="1" applyAlignment="1">
      <alignment horizontal="center"/>
    </xf>
    <xf numFmtId="0" fontId="369" fillId="50" borderId="22" xfId="0" applyFont="1" applyFill="1" applyBorder="1" applyAlignment="1" applyProtection="1">
      <alignment horizontal="center"/>
      <protection locked="0"/>
    </xf>
    <xf numFmtId="0" fontId="369" fillId="50" borderId="25" xfId="0" applyFont="1" applyFill="1" applyBorder="1" applyAlignment="1" applyProtection="1">
      <alignment horizontal="center"/>
      <protection locked="0"/>
    </xf>
    <xf numFmtId="0" fontId="369" fillId="50" borderId="73" xfId="0" applyFont="1" applyFill="1" applyBorder="1" applyAlignment="1" applyProtection="1">
      <alignment horizontal="center"/>
      <protection locked="0"/>
    </xf>
    <xf numFmtId="0" fontId="345" fillId="66" borderId="214" xfId="0" applyFont="1" applyFill="1" applyBorder="1" applyAlignment="1">
      <alignment horizontal="center"/>
    </xf>
    <xf numFmtId="0" fontId="345" fillId="66" borderId="218" xfId="0" applyFont="1" applyFill="1" applyBorder="1" applyAlignment="1">
      <alignment horizontal="center"/>
    </xf>
    <xf numFmtId="0" fontId="338" fillId="31" borderId="220" xfId="0" applyFont="1" applyFill="1" applyBorder="1" applyAlignment="1">
      <alignment horizontal="center"/>
    </xf>
    <xf numFmtId="0" fontId="338" fillId="31" borderId="221" xfId="0" applyFont="1" applyFill="1" applyBorder="1" applyAlignment="1">
      <alignment horizontal="center"/>
    </xf>
    <xf numFmtId="0" fontId="370" fillId="66" borderId="0" xfId="0" applyFont="1" applyFill="1" applyAlignment="1">
      <alignment horizontal="center" vertical="center" wrapText="1"/>
    </xf>
    <xf numFmtId="0" fontId="338" fillId="31" borderId="224" xfId="0" applyFont="1" applyFill="1" applyBorder="1" applyAlignment="1">
      <alignment horizontal="center" vertical="center"/>
    </xf>
    <xf numFmtId="0" fontId="338" fillId="31" borderId="225" xfId="0" applyFont="1" applyFill="1" applyBorder="1" applyAlignment="1">
      <alignment horizontal="center" vertical="center"/>
    </xf>
    <xf numFmtId="0" fontId="408" fillId="33" borderId="0" xfId="0" applyFont="1" applyFill="1" applyAlignment="1">
      <alignment horizontal="center" vertical="center"/>
    </xf>
    <xf numFmtId="0" fontId="382" fillId="66" borderId="0" xfId="0" applyFont="1" applyFill="1" applyAlignment="1">
      <alignment horizontal="center" vertical="center" wrapText="1"/>
    </xf>
    <xf numFmtId="0" fontId="323" fillId="31" borderId="206" xfId="0" applyFont="1" applyFill="1" applyBorder="1" applyAlignment="1">
      <alignment horizontal="center"/>
    </xf>
    <xf numFmtId="0" fontId="323" fillId="31" borderId="263" xfId="0" applyFont="1" applyFill="1" applyBorder="1" applyAlignment="1">
      <alignment horizontal="center"/>
    </xf>
    <xf numFmtId="0" fontId="335" fillId="38" borderId="293" xfId="0" applyFont="1" applyFill="1" applyBorder="1" applyAlignment="1" applyProtection="1">
      <alignment horizontal="center" vertical="center"/>
      <protection hidden="1"/>
    </xf>
    <xf numFmtId="0" fontId="335" fillId="38" borderId="294" xfId="0" applyFont="1" applyFill="1" applyBorder="1" applyAlignment="1" applyProtection="1">
      <alignment horizontal="center" vertical="center"/>
      <protection hidden="1"/>
    </xf>
    <xf numFmtId="0" fontId="375" fillId="55" borderId="0" xfId="0" applyFont="1" applyFill="1" applyAlignment="1">
      <alignment horizontal="center" vertical="top" wrapText="1"/>
    </xf>
    <xf numFmtId="0" fontId="407" fillId="55" borderId="0" xfId="0" applyFont="1" applyFill="1" applyAlignment="1">
      <alignment horizontal="center" vertical="center" wrapText="1"/>
    </xf>
    <xf numFmtId="0" fontId="406" fillId="66" borderId="0" xfId="0" applyFont="1" applyFill="1" applyAlignment="1">
      <alignment horizontal="center" vertical="center" wrapText="1"/>
    </xf>
    <xf numFmtId="0" fontId="345" fillId="66" borderId="0" xfId="0" applyFont="1" applyFill="1" applyAlignment="1">
      <alignment horizontal="right"/>
    </xf>
    <xf numFmtId="0" fontId="345" fillId="66" borderId="264" xfId="0" applyFont="1" applyFill="1" applyBorder="1" applyAlignment="1">
      <alignment horizontal="right"/>
    </xf>
    <xf numFmtId="0" fontId="0" fillId="50" borderId="22" xfId="0" applyFill="1" applyBorder="1" applyAlignment="1" applyProtection="1">
      <alignment horizontal="center"/>
      <protection locked="0"/>
    </xf>
    <xf numFmtId="0" fontId="0" fillId="50" borderId="25" xfId="0" applyFill="1" applyBorder="1" applyAlignment="1" applyProtection="1">
      <alignment horizontal="center"/>
      <protection locked="0"/>
    </xf>
    <xf numFmtId="0" fontId="0" fillId="50" borderId="73" xfId="0" applyFill="1" applyBorder="1" applyAlignment="1" applyProtection="1">
      <alignment horizontal="center"/>
      <protection locked="0"/>
    </xf>
    <xf numFmtId="0" fontId="374" fillId="33" borderId="0" xfId="0" applyFont="1" applyFill="1" applyAlignment="1">
      <alignment horizontal="center" vertical="center"/>
    </xf>
    <xf numFmtId="166" fontId="10" fillId="69" borderId="259" xfId="0" applyNumberFormat="1" applyFont="1" applyFill="1" applyBorder="1" applyAlignment="1">
      <alignment horizontal="center" vertical="center"/>
    </xf>
    <xf numFmtId="166" fontId="10" fillId="69" borderId="81" xfId="0" applyNumberFormat="1" applyFont="1" applyFill="1" applyBorder="1" applyAlignment="1">
      <alignment horizontal="center" vertical="center"/>
    </xf>
    <xf numFmtId="166" fontId="10" fillId="69" borderId="82" xfId="0" applyNumberFormat="1" applyFont="1" applyFill="1" applyBorder="1" applyAlignment="1">
      <alignment horizontal="center" vertical="center"/>
    </xf>
    <xf numFmtId="166" fontId="10" fillId="69" borderId="259" xfId="0" applyNumberFormat="1" applyFont="1" applyFill="1" applyBorder="1" applyAlignment="1">
      <alignment horizontal="center" vertical="center" wrapText="1"/>
    </xf>
    <xf numFmtId="166" fontId="10" fillId="69" borderId="81" xfId="0" applyNumberFormat="1" applyFont="1" applyFill="1" applyBorder="1" applyAlignment="1">
      <alignment horizontal="center" vertical="center" wrapText="1"/>
    </xf>
    <xf numFmtId="166" fontId="10" fillId="69" borderId="82" xfId="0" applyNumberFormat="1" applyFont="1" applyFill="1" applyBorder="1" applyAlignment="1">
      <alignment horizontal="center" vertical="center" wrapText="1"/>
    </xf>
    <xf numFmtId="166" fontId="375" fillId="55" borderId="187" xfId="0" applyNumberFormat="1" applyFont="1" applyFill="1" applyBorder="1" applyAlignment="1">
      <alignment horizontal="center" vertical="center"/>
    </xf>
    <xf numFmtId="166" fontId="10" fillId="68" borderId="321" xfId="0" applyNumberFormat="1" applyFont="1" applyFill="1" applyBorder="1" applyAlignment="1">
      <alignment horizontal="center" vertical="center" wrapText="1"/>
    </xf>
    <xf numFmtId="0" fontId="328" fillId="34" borderId="12" xfId="0" applyFont="1" applyFill="1" applyBorder="1" applyAlignment="1" applyProtection="1">
      <alignment horizontal="center" vertical="center"/>
      <protection hidden="1"/>
    </xf>
    <xf numFmtId="0" fontId="329" fillId="60" borderId="24" xfId="0" applyFont="1" applyFill="1" applyBorder="1" applyAlignment="1" applyProtection="1">
      <alignment horizontal="center" vertical="center"/>
      <protection hidden="1"/>
    </xf>
    <xf numFmtId="0" fontId="329" fillId="60" borderId="32" xfId="0" applyFont="1" applyFill="1" applyBorder="1" applyAlignment="1" applyProtection="1">
      <alignment horizontal="center" vertical="center"/>
      <protection hidden="1"/>
    </xf>
    <xf numFmtId="0" fontId="385" fillId="60" borderId="12" xfId="0" applyFont="1" applyFill="1" applyBorder="1" applyAlignment="1">
      <alignment horizontal="center"/>
    </xf>
    <xf numFmtId="0" fontId="323" fillId="60" borderId="12" xfId="0" applyFont="1" applyFill="1" applyBorder="1" applyAlignment="1" applyProtection="1">
      <alignment horizontal="center" vertical="center"/>
      <protection hidden="1"/>
    </xf>
    <xf numFmtId="0" fontId="328" fillId="37" borderId="12" xfId="0" applyFont="1" applyFill="1" applyBorder="1" applyAlignment="1">
      <alignment horizontal="center"/>
    </xf>
    <xf numFmtId="0" fontId="322" fillId="31" borderId="12" xfId="0" applyFont="1" applyFill="1" applyBorder="1" applyAlignment="1">
      <alignment horizontal="center"/>
    </xf>
    <xf numFmtId="0" fontId="378" fillId="34" borderId="0" xfId="0" applyFont="1" applyFill="1" applyAlignment="1">
      <alignment horizontal="center" vertical="center" wrapText="1"/>
    </xf>
    <xf numFmtId="0" fontId="346" fillId="77" borderId="0" xfId="0" applyFont="1" applyFill="1" applyAlignment="1">
      <alignment horizontal="center"/>
    </xf>
    <xf numFmtId="0" fontId="402" fillId="0" borderId="295" xfId="0" applyFont="1" applyBorder="1" applyAlignment="1">
      <alignment horizontal="center" vertical="center"/>
    </xf>
    <xf numFmtId="0" fontId="402" fillId="0" borderId="296" xfId="0" applyFont="1" applyBorder="1" applyAlignment="1">
      <alignment horizontal="center" vertical="center"/>
    </xf>
    <xf numFmtId="0" fontId="402" fillId="0" borderId="12" xfId="0" applyFont="1" applyBorder="1" applyAlignment="1">
      <alignment horizontal="center" vertical="center"/>
    </xf>
    <xf numFmtId="0" fontId="402" fillId="0" borderId="302" xfId="0" applyFont="1" applyBorder="1" applyAlignment="1">
      <alignment horizontal="center" vertical="center"/>
    </xf>
    <xf numFmtId="0" fontId="412" fillId="34" borderId="0" xfId="0" applyFont="1" applyFill="1" applyAlignment="1" applyProtection="1">
      <alignment horizontal="center" vertical="center"/>
      <protection hidden="1"/>
    </xf>
    <xf numFmtId="0" fontId="412" fillId="34" borderId="13" xfId="0" applyFont="1" applyFill="1" applyBorder="1" applyAlignment="1" applyProtection="1">
      <alignment horizontal="center" vertical="center"/>
      <protection hidden="1"/>
    </xf>
    <xf numFmtId="0" fontId="336" fillId="60" borderId="185" xfId="0" applyFont="1" applyFill="1" applyBorder="1" applyAlignment="1" applyProtection="1">
      <alignment horizontal="left" vertical="center"/>
      <protection hidden="1"/>
    </xf>
    <xf numFmtId="0" fontId="336" fillId="60" borderId="0" xfId="0" applyFont="1" applyFill="1" applyAlignment="1" applyProtection="1">
      <alignment horizontal="left" vertical="center"/>
      <protection hidden="1"/>
    </xf>
    <xf numFmtId="0" fontId="329" fillId="60" borderId="185" xfId="0" applyFont="1" applyFill="1" applyBorder="1" applyAlignment="1" applyProtection="1">
      <alignment horizontal="right" vertical="center"/>
      <protection hidden="1"/>
    </xf>
    <xf numFmtId="0" fontId="329" fillId="60" borderId="0" xfId="0" applyFont="1" applyFill="1" applyAlignment="1" applyProtection="1">
      <alignment horizontal="right" vertical="center"/>
      <protection hidden="1"/>
    </xf>
    <xf numFmtId="0" fontId="414" fillId="34" borderId="0" xfId="0" applyFont="1" applyFill="1" applyAlignment="1" applyProtection="1">
      <alignment horizontal="right" indent="1"/>
      <protection hidden="1"/>
    </xf>
    <xf numFmtId="0" fontId="414" fillId="34" borderId="265" xfId="0" applyFont="1" applyFill="1" applyBorder="1" applyAlignment="1" applyProtection="1">
      <alignment horizontal="right" indent="1"/>
      <protection hidden="1"/>
    </xf>
    <xf numFmtId="0" fontId="355" fillId="60" borderId="185" xfId="0" applyFont="1" applyFill="1" applyBorder="1" applyAlignment="1" applyProtection="1">
      <alignment horizontal="center" vertical="center"/>
      <protection hidden="1"/>
    </xf>
    <xf numFmtId="0" fontId="355" fillId="60" borderId="0" xfId="0" applyFont="1" applyFill="1" applyAlignment="1" applyProtection="1">
      <alignment horizontal="center" vertical="center"/>
      <protection hidden="1"/>
    </xf>
    <xf numFmtId="0" fontId="337" fillId="34" borderId="0" xfId="0" applyFont="1" applyFill="1" applyAlignment="1" applyProtection="1">
      <alignment horizontal="center" vertical="center"/>
      <protection hidden="1"/>
    </xf>
    <xf numFmtId="0" fontId="387" fillId="60" borderId="0" xfId="0" applyFont="1" applyFill="1" applyAlignment="1" applyProtection="1">
      <alignment horizontal="left" vertical="top"/>
      <protection hidden="1"/>
    </xf>
    <xf numFmtId="0" fontId="355" fillId="60" borderId="185" xfId="0" applyFont="1" applyFill="1" applyBorder="1" applyAlignment="1" applyProtection="1">
      <alignment horizontal="left" vertical="center"/>
      <protection hidden="1"/>
    </xf>
    <xf numFmtId="0" fontId="355" fillId="60" borderId="0" xfId="0" applyFont="1" applyFill="1" applyAlignment="1" applyProtection="1">
      <alignment horizontal="left" vertical="center"/>
      <protection hidden="1"/>
    </xf>
    <xf numFmtId="0" fontId="346" fillId="83" borderId="0" xfId="0" applyFont="1" applyFill="1" applyAlignment="1">
      <alignment horizontal="right" vertical="center" textRotation="90"/>
    </xf>
    <xf numFmtId="0" fontId="383" fillId="45" borderId="0" xfId="0" applyFont="1" applyFill="1" applyAlignment="1">
      <alignment horizontal="center" textRotation="90"/>
    </xf>
    <xf numFmtId="0" fontId="332" fillId="0" borderId="0" xfId="0" applyFont="1" applyAlignment="1">
      <alignment horizontal="center"/>
    </xf>
    <xf numFmtId="0" fontId="2" fillId="0" borderId="0" xfId="0" applyFont="1" applyAlignment="1" applyProtection="1">
      <alignment horizontal="center" vertical="center"/>
      <protection hidden="1"/>
    </xf>
    <xf numFmtId="0" fontId="328" fillId="34" borderId="22" xfId="0" applyFont="1" applyFill="1" applyBorder="1" applyAlignment="1">
      <alignment horizontal="center"/>
    </xf>
    <xf numFmtId="0" fontId="328" fillId="34" borderId="73" xfId="0" applyFont="1" applyFill="1" applyBorder="1" applyAlignment="1">
      <alignment horizontal="center"/>
    </xf>
    <xf numFmtId="0" fontId="413" fillId="34" borderId="0" xfId="0" applyFont="1" applyFill="1" applyAlignment="1" applyProtection="1">
      <alignment horizontal="right" vertical="center"/>
      <protection hidden="1"/>
    </xf>
    <xf numFmtId="0" fontId="413" fillId="34" borderId="13" xfId="0" applyFont="1" applyFill="1" applyBorder="1" applyAlignment="1" applyProtection="1">
      <alignment horizontal="right" vertical="center"/>
      <protection hidden="1"/>
    </xf>
    <xf numFmtId="0" fontId="391" fillId="60" borderId="187" xfId="0" applyFont="1" applyFill="1" applyBorder="1" applyAlignment="1" applyProtection="1">
      <alignment horizontal="right" vertical="center"/>
      <protection hidden="1"/>
    </xf>
    <xf numFmtId="0" fontId="355" fillId="60" borderId="185" xfId="0" applyFont="1" applyFill="1" applyBorder="1" applyAlignment="1" applyProtection="1">
      <alignment horizontal="right" vertical="center"/>
      <protection hidden="1"/>
    </xf>
    <xf numFmtId="0" fontId="355" fillId="60" borderId="0" xfId="0" applyFont="1" applyFill="1" applyAlignment="1" applyProtection="1">
      <alignment horizontal="right" vertical="center"/>
      <protection hidden="1"/>
    </xf>
    <xf numFmtId="3" fontId="413" fillId="34" borderId="0" xfId="0" applyNumberFormat="1" applyFont="1" applyFill="1" applyAlignment="1" applyProtection="1">
      <alignment horizontal="right"/>
      <protection hidden="1"/>
    </xf>
    <xf numFmtId="3" fontId="413" fillId="34" borderId="13" xfId="0" applyNumberFormat="1" applyFont="1" applyFill="1" applyBorder="1" applyAlignment="1" applyProtection="1">
      <alignment horizontal="right"/>
      <protection hidden="1"/>
    </xf>
    <xf numFmtId="0" fontId="412" fillId="34" borderId="0" xfId="0" applyFont="1" applyFill="1" applyAlignment="1" applyProtection="1">
      <alignment horizontal="right"/>
      <protection hidden="1"/>
    </xf>
    <xf numFmtId="0" fontId="412" fillId="34" borderId="13" xfId="0" applyFont="1" applyFill="1" applyBorder="1" applyAlignment="1" applyProtection="1">
      <alignment horizontal="right"/>
      <protection hidden="1"/>
    </xf>
    <xf numFmtId="0" fontId="383" fillId="82" borderId="0" xfId="0" applyFont="1" applyFill="1" applyAlignment="1">
      <alignment horizontal="center" textRotation="90"/>
    </xf>
    <xf numFmtId="0" fontId="332" fillId="0" borderId="260" xfId="0" applyFont="1" applyBorder="1" applyAlignment="1">
      <alignment horizontal="center"/>
    </xf>
    <xf numFmtId="0" fontId="391" fillId="0" borderId="0" xfId="0" applyFont="1" applyAlignment="1" applyProtection="1">
      <alignment horizontal="right" vertical="center"/>
      <protection hidden="1"/>
    </xf>
    <xf numFmtId="0" fontId="383" fillId="59" borderId="0" xfId="0" applyFont="1" applyFill="1" applyAlignment="1">
      <alignment horizontal="center" textRotation="90"/>
    </xf>
    <xf numFmtId="0" fontId="346" fillId="33" borderId="0" xfId="0" applyFont="1" applyFill="1" applyAlignment="1">
      <alignment horizontal="right" vertical="center" textRotation="90"/>
    </xf>
    <xf numFmtId="0" fontId="383" fillId="76" borderId="0" xfId="0" applyFont="1" applyFill="1" applyAlignment="1">
      <alignment horizontal="center" textRotation="90"/>
    </xf>
    <xf numFmtId="0" fontId="378" fillId="34" borderId="0" xfId="0" applyFont="1" applyFill="1" applyAlignment="1">
      <alignment horizontal="center"/>
    </xf>
    <xf numFmtId="0" fontId="378" fillId="34" borderId="0" xfId="0" applyFont="1" applyFill="1" applyAlignment="1">
      <alignment horizontal="center" vertical="center"/>
    </xf>
    <xf numFmtId="0" fontId="323" fillId="78" borderId="12" xfId="0" applyFont="1" applyFill="1" applyBorder="1" applyAlignment="1" applyProtection="1">
      <alignment horizontal="center" vertical="center"/>
      <protection hidden="1"/>
    </xf>
    <xf numFmtId="0" fontId="385" fillId="31" borderId="12" xfId="0" applyFont="1" applyFill="1" applyBorder="1" applyAlignment="1">
      <alignment horizontal="center"/>
    </xf>
    <xf numFmtId="0" fontId="385" fillId="78" borderId="12" xfId="0" applyFont="1" applyFill="1" applyBorder="1" applyAlignment="1">
      <alignment horizontal="center"/>
    </xf>
    <xf numFmtId="0" fontId="329" fillId="78" borderId="24" xfId="0" applyFont="1" applyFill="1" applyBorder="1" applyAlignment="1" applyProtection="1">
      <alignment horizontal="center" vertical="center"/>
      <protection hidden="1"/>
    </xf>
    <xf numFmtId="0" fontId="329" fillId="78" borderId="32" xfId="0" applyFont="1" applyFill="1" applyBorder="1" applyAlignment="1" applyProtection="1">
      <alignment horizontal="center" vertical="center"/>
      <protection hidden="1"/>
    </xf>
    <xf numFmtId="0" fontId="332" fillId="72" borderId="12" xfId="0" applyFont="1" applyFill="1" applyBorder="1" applyAlignment="1" applyProtection="1">
      <alignment horizontal="center" vertical="center"/>
      <protection hidden="1"/>
    </xf>
    <xf numFmtId="0" fontId="336" fillId="31" borderId="185" xfId="0" applyFont="1" applyFill="1" applyBorder="1" applyAlignment="1" applyProtection="1">
      <alignment horizontal="left" vertical="center"/>
      <protection hidden="1"/>
    </xf>
    <xf numFmtId="0" fontId="336" fillId="31" borderId="0" xfId="0" applyFont="1" applyFill="1" applyAlignment="1" applyProtection="1">
      <alignment horizontal="left" vertical="center"/>
      <protection hidden="1"/>
    </xf>
    <xf numFmtId="0" fontId="329" fillId="31" borderId="24" xfId="0" applyFont="1" applyFill="1" applyBorder="1" applyAlignment="1" applyProtection="1">
      <alignment horizontal="center" vertical="center"/>
      <protection hidden="1"/>
    </xf>
    <xf numFmtId="0" fontId="329" fillId="31" borderId="32" xfId="0" applyFont="1" applyFill="1" applyBorder="1" applyAlignment="1" applyProtection="1">
      <alignment horizontal="center" vertical="center"/>
      <protection hidden="1"/>
    </xf>
    <xf numFmtId="0" fontId="329" fillId="31" borderId="185" xfId="0" applyFont="1" applyFill="1" applyBorder="1" applyAlignment="1" applyProtection="1">
      <alignment horizontal="left" vertical="center"/>
      <protection hidden="1"/>
    </xf>
    <xf numFmtId="0" fontId="329" fillId="31" borderId="0" xfId="0" applyFont="1" applyFill="1" applyAlignment="1" applyProtection="1">
      <alignment horizontal="left" vertical="center"/>
      <protection hidden="1"/>
    </xf>
    <xf numFmtId="0" fontId="390" fillId="72" borderId="0" xfId="0" applyFont="1" applyFill="1" applyAlignment="1" applyProtection="1">
      <alignment horizontal="right" indent="1"/>
      <protection hidden="1"/>
    </xf>
    <xf numFmtId="0" fontId="390" fillId="72" borderId="265" xfId="0" applyFont="1" applyFill="1" applyBorder="1" applyAlignment="1" applyProtection="1">
      <alignment horizontal="right" indent="1"/>
      <protection hidden="1"/>
    </xf>
    <xf numFmtId="0" fontId="329" fillId="72" borderId="0" xfId="0" applyFont="1" applyFill="1" applyAlignment="1" applyProtection="1">
      <alignment horizontal="center" vertical="center"/>
      <protection hidden="1"/>
    </xf>
    <xf numFmtId="0" fontId="329" fillId="72" borderId="12" xfId="0" applyFont="1" applyFill="1" applyBorder="1" applyAlignment="1" applyProtection="1">
      <alignment horizontal="center" vertical="center"/>
      <protection hidden="1"/>
    </xf>
    <xf numFmtId="0" fontId="355" fillId="78" borderId="185" xfId="0" applyFont="1" applyFill="1" applyBorder="1" applyAlignment="1" applyProtection="1">
      <alignment horizontal="left" vertical="center"/>
      <protection hidden="1"/>
    </xf>
    <xf numFmtId="0" fontId="355" fillId="78" borderId="0" xfId="0" applyFont="1" applyFill="1" applyAlignment="1" applyProtection="1">
      <alignment horizontal="left" vertical="center"/>
      <protection hidden="1"/>
    </xf>
    <xf numFmtId="0" fontId="329" fillId="78" borderId="0" xfId="0" applyFont="1" applyFill="1" applyAlignment="1" applyProtection="1">
      <alignment horizontal="left" vertical="center"/>
      <protection hidden="1"/>
    </xf>
    <xf numFmtId="0" fontId="355" fillId="31" borderId="185" xfId="0" applyFont="1" applyFill="1" applyBorder="1" applyAlignment="1" applyProtection="1">
      <alignment horizontal="left" vertical="center"/>
      <protection hidden="1"/>
    </xf>
    <xf numFmtId="0" fontId="355" fillId="31" borderId="0" xfId="0" applyFont="1" applyFill="1" applyAlignment="1" applyProtection="1">
      <alignment horizontal="left" vertical="center"/>
      <protection hidden="1"/>
    </xf>
    <xf numFmtId="0" fontId="346" fillId="61" borderId="0" xfId="0" applyFont="1" applyFill="1" applyAlignment="1">
      <alignment horizontal="right" vertical="center" textRotation="90"/>
    </xf>
    <xf numFmtId="0" fontId="332" fillId="72" borderId="259" xfId="0" applyFont="1" applyFill="1" applyBorder="1" applyAlignment="1" applyProtection="1">
      <alignment horizontal="center" vertical="center"/>
      <protection hidden="1"/>
    </xf>
    <xf numFmtId="0" fontId="336" fillId="78" borderId="185" xfId="0" applyFont="1" applyFill="1" applyBorder="1" applyAlignment="1" applyProtection="1">
      <alignment horizontal="left" vertical="center"/>
      <protection hidden="1"/>
    </xf>
    <xf numFmtId="0" fontId="336" fillId="78" borderId="0" xfId="0" applyFont="1" applyFill="1" applyAlignment="1" applyProtection="1">
      <alignment horizontal="left" vertical="center"/>
      <protection hidden="1"/>
    </xf>
    <xf numFmtId="0" fontId="329" fillId="72" borderId="259" xfId="0" applyFont="1" applyFill="1" applyBorder="1" applyAlignment="1" applyProtection="1">
      <alignment horizontal="center" vertical="center"/>
      <protection hidden="1"/>
    </xf>
    <xf numFmtId="0" fontId="323" fillId="31" borderId="12" xfId="0" applyFont="1" applyFill="1" applyBorder="1" applyAlignment="1" applyProtection="1">
      <alignment horizontal="center" vertical="center"/>
      <protection hidden="1"/>
    </xf>
    <xf numFmtId="0" fontId="387" fillId="78" borderId="0" xfId="0" applyFont="1" applyFill="1" applyAlignment="1" applyProtection="1">
      <alignment horizontal="left" vertical="top"/>
      <protection hidden="1"/>
    </xf>
    <xf numFmtId="0" fontId="329" fillId="78" borderId="185" xfId="0" applyFont="1" applyFill="1" applyBorder="1" applyAlignment="1" applyProtection="1">
      <alignment horizontal="left" vertical="center"/>
      <protection hidden="1"/>
    </xf>
    <xf numFmtId="0" fontId="332" fillId="31" borderId="0" xfId="0" applyFont="1" applyFill="1" applyAlignment="1" applyProtection="1">
      <alignment horizontal="center" vertical="center"/>
      <protection hidden="1"/>
    </xf>
    <xf numFmtId="0" fontId="332" fillId="31" borderId="13" xfId="0" applyFont="1" applyFill="1" applyBorder="1" applyAlignment="1" applyProtection="1">
      <alignment horizontal="center" vertical="center"/>
      <protection hidden="1"/>
    </xf>
    <xf numFmtId="0" fontId="392" fillId="72" borderId="0" xfId="0" applyFont="1" applyFill="1" applyAlignment="1" applyProtection="1">
      <alignment horizontal="right"/>
      <protection hidden="1"/>
    </xf>
    <xf numFmtId="0" fontId="392" fillId="72" borderId="13" xfId="0" applyFont="1" applyFill="1" applyBorder="1" applyAlignment="1" applyProtection="1">
      <alignment horizontal="right"/>
      <protection hidden="1"/>
    </xf>
    <xf numFmtId="0" fontId="336" fillId="78" borderId="14" xfId="0" applyFont="1" applyFill="1" applyBorder="1" applyAlignment="1" applyProtection="1">
      <alignment horizontal="center" vertical="center"/>
      <protection hidden="1"/>
    </xf>
    <xf numFmtId="0" fontId="336" fillId="78" borderId="33" xfId="0" applyFont="1" applyFill="1" applyBorder="1" applyAlignment="1" applyProtection="1">
      <alignment horizontal="center" vertical="center"/>
      <protection hidden="1"/>
    </xf>
    <xf numFmtId="0" fontId="332" fillId="78" borderId="14" xfId="0" applyFont="1" applyFill="1" applyBorder="1" applyAlignment="1" applyProtection="1">
      <alignment horizontal="center" vertical="center"/>
      <protection hidden="1"/>
    </xf>
    <xf numFmtId="0" fontId="332" fillId="78" borderId="33" xfId="0" applyFont="1" applyFill="1" applyBorder="1" applyAlignment="1" applyProtection="1">
      <alignment horizontal="center" vertical="center"/>
      <protection hidden="1"/>
    </xf>
    <xf numFmtId="0" fontId="391" fillId="31" borderId="186" xfId="0" applyFont="1" applyFill="1" applyBorder="1" applyAlignment="1" applyProtection="1">
      <alignment horizontal="left" vertical="center"/>
      <protection hidden="1"/>
    </xf>
    <xf numFmtId="0" fontId="391" fillId="31" borderId="187" xfId="0" applyFont="1" applyFill="1" applyBorder="1" applyAlignment="1" applyProtection="1">
      <alignment horizontal="left" vertical="center"/>
      <protection hidden="1"/>
    </xf>
    <xf numFmtId="0" fontId="336" fillId="31" borderId="85" xfId="0" applyFont="1" applyFill="1" applyBorder="1" applyAlignment="1" applyProtection="1">
      <alignment horizontal="center" vertical="center"/>
      <protection hidden="1"/>
    </xf>
    <xf numFmtId="0" fontId="336" fillId="31" borderId="35" xfId="0" applyFont="1" applyFill="1" applyBorder="1" applyAlignment="1" applyProtection="1">
      <alignment horizontal="center" vertical="center"/>
      <protection hidden="1"/>
    </xf>
    <xf numFmtId="0" fontId="391" fillId="72" borderId="185" xfId="0" applyFont="1" applyFill="1" applyBorder="1" applyAlignment="1" applyProtection="1">
      <alignment horizontal="right" vertical="center"/>
      <protection hidden="1"/>
    </xf>
    <xf numFmtId="0" fontId="391" fillId="72" borderId="0" xfId="0" applyFont="1" applyFill="1" applyAlignment="1" applyProtection="1">
      <alignment horizontal="right" vertical="center"/>
      <protection hidden="1"/>
    </xf>
    <xf numFmtId="0" fontId="332" fillId="72" borderId="22" xfId="0" applyFont="1" applyFill="1" applyBorder="1" applyAlignment="1">
      <alignment horizontal="center"/>
    </xf>
    <xf numFmtId="0" fontId="332" fillId="72" borderId="73" xfId="0" applyFont="1" applyFill="1" applyBorder="1" applyAlignment="1">
      <alignment horizontal="center"/>
    </xf>
    <xf numFmtId="0" fontId="391" fillId="78" borderId="186" xfId="0" applyFont="1" applyFill="1" applyBorder="1" applyAlignment="1" applyProtection="1">
      <alignment horizontal="left" vertical="center"/>
      <protection hidden="1"/>
    </xf>
    <xf numFmtId="0" fontId="391" fillId="78" borderId="187" xfId="0" applyFont="1" applyFill="1" applyBorder="1" applyAlignment="1" applyProtection="1">
      <alignment horizontal="left" vertical="center"/>
      <protection hidden="1"/>
    </xf>
    <xf numFmtId="0" fontId="336" fillId="78" borderId="85" xfId="0" applyFont="1" applyFill="1" applyBorder="1" applyAlignment="1" applyProtection="1">
      <alignment horizontal="center" vertical="center"/>
      <protection hidden="1"/>
    </xf>
    <xf numFmtId="0" fontId="336" fillId="78" borderId="35" xfId="0" applyFont="1" applyFill="1" applyBorder="1" applyAlignment="1" applyProtection="1">
      <alignment horizontal="center" vertical="center"/>
      <protection hidden="1"/>
    </xf>
    <xf numFmtId="0" fontId="391" fillId="78" borderId="185" xfId="0" applyFont="1" applyFill="1" applyBorder="1" applyAlignment="1" applyProtection="1">
      <alignment horizontal="left" vertical="center"/>
      <protection hidden="1"/>
    </xf>
    <xf numFmtId="0" fontId="391" fillId="78" borderId="0" xfId="0" applyFont="1" applyFill="1" applyAlignment="1" applyProtection="1">
      <alignment horizontal="left" vertical="center"/>
      <protection hidden="1"/>
    </xf>
    <xf numFmtId="0" fontId="391" fillId="31" borderId="185" xfId="0" applyFont="1" applyFill="1" applyBorder="1" applyAlignment="1" applyProtection="1">
      <alignment horizontal="left" vertical="center"/>
      <protection hidden="1"/>
    </xf>
    <xf numFmtId="0" fontId="391" fillId="31" borderId="0" xfId="0" applyFont="1" applyFill="1" applyAlignment="1" applyProtection="1">
      <alignment horizontal="left" vertical="center"/>
      <protection hidden="1"/>
    </xf>
    <xf numFmtId="0" fontId="332" fillId="31" borderId="14" xfId="0" applyFont="1" applyFill="1" applyBorder="1" applyAlignment="1" applyProtection="1">
      <alignment horizontal="center" vertical="center"/>
      <protection hidden="1"/>
    </xf>
    <xf numFmtId="0" fontId="332" fillId="31" borderId="33" xfId="0" applyFont="1" applyFill="1" applyBorder="1" applyAlignment="1" applyProtection="1">
      <alignment horizontal="center" vertical="center"/>
      <protection hidden="1"/>
    </xf>
    <xf numFmtId="0" fontId="391" fillId="72" borderId="186" xfId="0" applyFont="1" applyFill="1" applyBorder="1" applyAlignment="1" applyProtection="1">
      <alignment horizontal="right" vertical="center"/>
      <protection hidden="1"/>
    </xf>
    <xf numFmtId="0" fontId="391" fillId="72" borderId="187" xfId="0" applyFont="1" applyFill="1" applyBorder="1" applyAlignment="1" applyProtection="1">
      <alignment horizontal="right" vertical="center"/>
      <protection hidden="1"/>
    </xf>
    <xf numFmtId="0" fontId="325" fillId="0" borderId="12" xfId="0" applyFont="1" applyBorder="1" applyAlignment="1">
      <alignment horizontal="center" vertical="center"/>
    </xf>
    <xf numFmtId="0" fontId="0" fillId="50" borderId="0" xfId="0" applyFill="1" applyAlignment="1">
      <alignment horizontal="center" vertical="center"/>
    </xf>
    <xf numFmtId="0" fontId="403" fillId="0" borderId="12" xfId="0" applyFont="1" applyBorder="1" applyAlignment="1">
      <alignment horizontal="center" vertical="center"/>
    </xf>
    <xf numFmtId="0" fontId="402" fillId="0" borderId="22" xfId="0" applyFont="1" applyBorder="1" applyAlignment="1">
      <alignment horizontal="center" vertical="center"/>
    </xf>
    <xf numFmtId="0" fontId="402" fillId="0" borderId="73" xfId="0" applyFont="1" applyBorder="1" applyAlignment="1">
      <alignment horizontal="center" vertical="center"/>
    </xf>
    <xf numFmtId="0" fontId="355" fillId="72" borderId="0" xfId="0" applyFont="1" applyFill="1" applyAlignment="1" applyProtection="1">
      <alignment horizontal="center" vertical="center"/>
      <protection hidden="1"/>
    </xf>
    <xf numFmtId="0" fontId="355" fillId="72" borderId="13" xfId="0" applyFont="1" applyFill="1" applyBorder="1" applyAlignment="1" applyProtection="1">
      <alignment horizontal="center" vertical="center"/>
      <protection hidden="1"/>
    </xf>
    <xf numFmtId="0" fontId="336" fillId="78" borderId="16" xfId="0" applyFont="1" applyFill="1" applyBorder="1" applyAlignment="1" applyProtection="1">
      <alignment horizontal="center" vertical="center"/>
      <protection hidden="1"/>
    </xf>
    <xf numFmtId="0" fontId="336" fillId="78" borderId="117" xfId="0" applyFont="1" applyFill="1" applyBorder="1" applyAlignment="1" applyProtection="1">
      <alignment horizontal="center" vertical="center"/>
      <protection hidden="1"/>
    </xf>
    <xf numFmtId="0" fontId="391" fillId="72" borderId="13" xfId="0" applyFont="1" applyFill="1" applyBorder="1" applyAlignment="1" applyProtection="1">
      <alignment horizontal="right" vertical="center"/>
      <protection hidden="1"/>
    </xf>
    <xf numFmtId="3" fontId="388" fillId="72" borderId="0" xfId="0" applyNumberFormat="1" applyFont="1" applyFill="1" applyAlignment="1" applyProtection="1">
      <alignment horizontal="right"/>
      <protection hidden="1"/>
    </xf>
    <xf numFmtId="3" fontId="388" fillId="72" borderId="13" xfId="0" applyNumberFormat="1" applyFont="1" applyFill="1" applyBorder="1" applyAlignment="1" applyProtection="1">
      <alignment horizontal="right"/>
      <protection hidden="1"/>
    </xf>
    <xf numFmtId="0" fontId="355" fillId="78" borderId="185" xfId="0" applyFont="1" applyFill="1" applyBorder="1" applyAlignment="1" applyProtection="1">
      <alignment horizontal="center" vertical="center"/>
      <protection hidden="1"/>
    </xf>
    <xf numFmtId="0" fontId="355" fillId="78" borderId="0" xfId="0" applyFont="1" applyFill="1" applyAlignment="1" applyProtection="1">
      <alignment horizontal="center" vertical="center"/>
      <protection hidden="1"/>
    </xf>
    <xf numFmtId="0" fontId="329" fillId="78" borderId="185" xfId="0" applyFont="1" applyFill="1" applyBorder="1" applyAlignment="1" applyProtection="1">
      <alignment horizontal="right" vertical="center"/>
      <protection hidden="1"/>
    </xf>
    <xf numFmtId="0" fontId="329" fillId="78" borderId="0" xfId="0" applyFont="1" applyFill="1" applyAlignment="1" applyProtection="1">
      <alignment horizontal="right" vertical="center"/>
      <protection hidden="1"/>
    </xf>
    <xf numFmtId="0" fontId="355" fillId="78" borderId="185" xfId="0" applyFont="1" applyFill="1" applyBorder="1" applyAlignment="1" applyProtection="1">
      <alignment horizontal="right" vertical="center"/>
      <protection hidden="1"/>
    </xf>
    <xf numFmtId="0" fontId="355" fillId="78" borderId="0" xfId="0" applyFont="1" applyFill="1" applyAlignment="1" applyProtection="1">
      <alignment horizontal="right" vertical="center"/>
      <protection hidden="1"/>
    </xf>
    <xf numFmtId="0" fontId="391" fillId="78" borderId="187" xfId="0" applyFont="1" applyFill="1" applyBorder="1" applyAlignment="1" applyProtection="1">
      <alignment horizontal="right" vertical="center"/>
      <protection hidden="1"/>
    </xf>
    <xf numFmtId="0" fontId="332" fillId="72" borderId="261" xfId="0" applyFont="1" applyFill="1" applyBorder="1" applyAlignment="1">
      <alignment horizontal="center"/>
    </xf>
    <xf numFmtId="0" fontId="332" fillId="72" borderId="262" xfId="0" applyFont="1" applyFill="1" applyBorder="1" applyAlignment="1">
      <alignment horizontal="center"/>
    </xf>
    <xf numFmtId="0" fontId="391" fillId="0" borderId="260" xfId="0" applyFont="1" applyBorder="1" applyAlignment="1" applyProtection="1">
      <alignment horizontal="right" vertical="center"/>
      <protection hidden="1"/>
    </xf>
    <xf numFmtId="0" fontId="378" fillId="34" borderId="0" xfId="0" applyFont="1" applyFill="1" applyAlignment="1">
      <alignment horizontal="left" vertical="center"/>
    </xf>
    <xf numFmtId="0" fontId="0" fillId="34" borderId="0" xfId="0" applyFill="1" applyAlignment="1">
      <alignment horizontal="center"/>
    </xf>
    <xf numFmtId="14" fontId="0" fillId="34" borderId="0" xfId="0" applyNumberFormat="1" applyFill="1" applyAlignment="1">
      <alignment horizontal="center"/>
    </xf>
    <xf numFmtId="0" fontId="385" fillId="31" borderId="0" xfId="0" applyFont="1" applyFill="1" applyAlignment="1">
      <alignment horizontal="center"/>
    </xf>
    <xf numFmtId="0" fontId="394" fillId="68" borderId="261" xfId="0" applyFont="1" applyFill="1" applyBorder="1" applyAlignment="1">
      <alignment horizontal="center"/>
    </xf>
    <xf numFmtId="0" fontId="394" fillId="68" borderId="260" xfId="0" applyFont="1" applyFill="1" applyBorder="1" applyAlignment="1">
      <alignment horizontal="center"/>
    </xf>
    <xf numFmtId="0" fontId="394" fillId="68" borderId="262" xfId="0" applyFont="1" applyFill="1" applyBorder="1" applyAlignment="1">
      <alignment horizontal="center"/>
    </xf>
    <xf numFmtId="0" fontId="0" fillId="68" borderId="0" xfId="0" applyFill="1" applyAlignment="1">
      <alignment horizontal="center"/>
    </xf>
    <xf numFmtId="0" fontId="0" fillId="80" borderId="82" xfId="0" applyFill="1" applyBorder="1" applyAlignment="1">
      <alignment horizontal="left" vertical="center"/>
    </xf>
    <xf numFmtId="0" fontId="0" fillId="80" borderId="186" xfId="0" applyFill="1" applyBorder="1" applyAlignment="1">
      <alignment horizontal="left" vertical="center"/>
    </xf>
    <xf numFmtId="0" fontId="0" fillId="68" borderId="269" xfId="0" applyFill="1" applyBorder="1" applyAlignment="1">
      <alignment horizontal="center" vertical="center" readingOrder="1"/>
    </xf>
    <xf numFmtId="0" fontId="0" fillId="68" borderId="270" xfId="0" applyFill="1" applyBorder="1" applyAlignment="1">
      <alignment horizontal="center" vertical="center" readingOrder="1"/>
    </xf>
    <xf numFmtId="0" fontId="0" fillId="80" borderId="12" xfId="0" applyFill="1" applyBorder="1" applyAlignment="1">
      <alignment horizontal="left" vertical="center"/>
    </xf>
    <xf numFmtId="0" fontId="0" fillId="80" borderId="22" xfId="0" applyFill="1" applyBorder="1" applyAlignment="1">
      <alignment horizontal="left" vertical="center"/>
    </xf>
    <xf numFmtId="0" fontId="0" fillId="68" borderId="271" xfId="0" applyFill="1" applyBorder="1" applyAlignment="1">
      <alignment horizontal="center"/>
    </xf>
    <xf numFmtId="0" fontId="0" fillId="68" borderId="272" xfId="0" applyFill="1" applyBorder="1" applyAlignment="1">
      <alignment horizontal="center"/>
    </xf>
    <xf numFmtId="0" fontId="0" fillId="0" borderId="0" xfId="0" applyAlignment="1">
      <alignment horizontal="center"/>
    </xf>
    <xf numFmtId="0" fontId="0" fillId="0" borderId="0" xfId="0" applyAlignment="1">
      <alignment horizontal="center" vertical="center"/>
    </xf>
    <xf numFmtId="0" fontId="402" fillId="0" borderId="286" xfId="0" applyFont="1" applyBorder="1" applyAlignment="1">
      <alignment horizontal="center" vertical="center"/>
    </xf>
    <xf numFmtId="0" fontId="373" fillId="0" borderId="12" xfId="0" applyFont="1" applyBorder="1" applyAlignment="1">
      <alignment horizontal="center" vertical="center"/>
    </xf>
    <xf numFmtId="0" fontId="373" fillId="0" borderId="286" xfId="0" applyFont="1" applyBorder="1" applyAlignment="1">
      <alignment horizontal="center" vertical="center"/>
    </xf>
    <xf numFmtId="0" fontId="403" fillId="0" borderId="302" xfId="0" applyFont="1" applyBorder="1" applyAlignment="1">
      <alignment horizontal="center" vertical="center"/>
    </xf>
    <xf numFmtId="0" fontId="0" fillId="50" borderId="0" xfId="0" applyFill="1" applyAlignment="1">
      <alignment horizontal="center"/>
    </xf>
    <xf numFmtId="0" fontId="0" fillId="50" borderId="245" xfId="0" applyFill="1" applyBorder="1" applyAlignment="1">
      <alignment horizontal="center"/>
    </xf>
    <xf numFmtId="0" fontId="323" fillId="31" borderId="0" xfId="0" applyFont="1" applyFill="1" applyAlignment="1">
      <alignment horizontal="center" vertical="center"/>
    </xf>
    <xf numFmtId="0" fontId="355" fillId="0" borderId="0" xfId="0" applyFont="1" applyAlignment="1" applyProtection="1">
      <alignment horizontal="left" vertical="center"/>
      <protection hidden="1"/>
    </xf>
    <xf numFmtId="0" fontId="323" fillId="78" borderId="185" xfId="0" applyFont="1" applyFill="1" applyBorder="1" applyAlignment="1" applyProtection="1">
      <alignment horizontal="right" vertical="center"/>
      <protection hidden="1"/>
    </xf>
    <xf numFmtId="0" fontId="323" fillId="78" borderId="0" xfId="0" applyFont="1" applyFill="1" applyAlignment="1" applyProtection="1">
      <alignment horizontal="right" vertical="center"/>
      <protection hidden="1"/>
    </xf>
    <xf numFmtId="0" fontId="336" fillId="78" borderId="185" xfId="0" applyFont="1" applyFill="1" applyBorder="1" applyAlignment="1" applyProtection="1">
      <alignment horizontal="right" vertical="center"/>
      <protection hidden="1"/>
    </xf>
    <xf numFmtId="0" fontId="336" fillId="78" borderId="0" xfId="0" applyFont="1" applyFill="1" applyAlignment="1" applyProtection="1">
      <alignment horizontal="right" vertical="center"/>
      <protection hidden="1"/>
    </xf>
    <xf numFmtId="0" fontId="394" fillId="50" borderId="276" xfId="0" applyFont="1" applyFill="1" applyBorder="1" applyAlignment="1">
      <alignment horizontal="center" vertical="center"/>
    </xf>
    <xf numFmtId="0" fontId="394" fillId="50" borderId="277" xfId="0" applyFont="1" applyFill="1" applyBorder="1" applyAlignment="1">
      <alignment horizontal="center" vertical="center"/>
    </xf>
    <xf numFmtId="0" fontId="394" fillId="50" borderId="278" xfId="0" applyFont="1" applyFill="1" applyBorder="1" applyAlignment="1">
      <alignment horizontal="center" vertical="center"/>
    </xf>
    <xf numFmtId="0" fontId="394" fillId="50" borderId="279" xfId="0" applyFont="1" applyFill="1" applyBorder="1" applyAlignment="1">
      <alignment horizontal="center" vertical="center"/>
    </xf>
    <xf numFmtId="0" fontId="394" fillId="50" borderId="0" xfId="0" applyFont="1" applyFill="1" applyAlignment="1">
      <alignment horizontal="center" vertical="center"/>
    </xf>
    <xf numFmtId="0" fontId="394" fillId="50" borderId="280" xfId="0" applyFont="1" applyFill="1" applyBorder="1" applyAlignment="1">
      <alignment horizontal="center" vertical="center"/>
    </xf>
    <xf numFmtId="166" fontId="395" fillId="50" borderId="281" xfId="0" applyNumberFormat="1" applyFont="1" applyFill="1" applyBorder="1" applyAlignment="1">
      <alignment horizontal="center" vertical="center"/>
    </xf>
    <xf numFmtId="166" fontId="395" fillId="50" borderId="283" xfId="0" applyNumberFormat="1" applyFont="1" applyFill="1" applyBorder="1" applyAlignment="1">
      <alignment horizontal="center" vertical="center"/>
    </xf>
    <xf numFmtId="166" fontId="395" fillId="50" borderId="261" xfId="0" applyNumberFormat="1" applyFont="1" applyFill="1" applyBorder="1" applyAlignment="1">
      <alignment horizontal="center" vertical="center"/>
    </xf>
    <xf numFmtId="166" fontId="395" fillId="50" borderId="262" xfId="0" applyNumberFormat="1" applyFont="1" applyFill="1" applyBorder="1" applyAlignment="1">
      <alignment horizontal="center" vertical="center"/>
    </xf>
    <xf numFmtId="166" fontId="395" fillId="50" borderId="185" xfId="0" applyNumberFormat="1" applyFont="1" applyFill="1" applyBorder="1" applyAlignment="1">
      <alignment horizontal="center" vertical="center"/>
    </xf>
    <xf numFmtId="166" fontId="395" fillId="50" borderId="13" xfId="0" applyNumberFormat="1" applyFont="1" applyFill="1" applyBorder="1" applyAlignment="1">
      <alignment horizontal="center" vertical="center"/>
    </xf>
    <xf numFmtId="166" fontId="395" fillId="50" borderId="259" xfId="0" applyNumberFormat="1" applyFont="1" applyFill="1" applyBorder="1" applyAlignment="1">
      <alignment horizontal="center" vertical="center" wrapText="1"/>
    </xf>
    <xf numFmtId="166" fontId="395" fillId="50" borderId="81" xfId="0" applyNumberFormat="1" applyFont="1" applyFill="1" applyBorder="1" applyAlignment="1">
      <alignment horizontal="center" vertical="center" wrapText="1"/>
    </xf>
    <xf numFmtId="166" fontId="395" fillId="50" borderId="282" xfId="0" applyNumberFormat="1" applyFont="1" applyFill="1" applyBorder="1" applyAlignment="1">
      <alignment horizontal="center" vertical="center" wrapText="1"/>
    </xf>
    <xf numFmtId="166" fontId="395" fillId="50" borderId="284" xfId="0" applyNumberFormat="1" applyFont="1" applyFill="1" applyBorder="1" applyAlignment="1">
      <alignment horizontal="center" vertical="center" wrapText="1"/>
    </xf>
    <xf numFmtId="0" fontId="336" fillId="78" borderId="185" xfId="0" applyFont="1" applyFill="1" applyBorder="1" applyAlignment="1" applyProtection="1">
      <alignment horizontal="center" vertical="center"/>
      <protection hidden="1"/>
    </xf>
    <xf numFmtId="0" fontId="336" fillId="78" borderId="0" xfId="0" applyFont="1" applyFill="1" applyAlignment="1" applyProtection="1">
      <alignment horizontal="center" vertical="center"/>
      <protection hidden="1"/>
    </xf>
    <xf numFmtId="0" fontId="329" fillId="78" borderId="0" xfId="0" applyFont="1" applyFill="1" applyAlignment="1" applyProtection="1">
      <alignment horizontal="center" vertical="center"/>
      <protection hidden="1"/>
    </xf>
    <xf numFmtId="0" fontId="0" fillId="68" borderId="274" xfId="0" applyFill="1" applyBorder="1" applyAlignment="1">
      <alignment horizontal="center"/>
    </xf>
    <xf numFmtId="0" fontId="0" fillId="68" borderId="275" xfId="0" applyFill="1" applyBorder="1" applyAlignment="1">
      <alignment horizontal="center"/>
    </xf>
    <xf numFmtId="0" fontId="0" fillId="80" borderId="22" xfId="0" applyFill="1" applyBorder="1" applyAlignment="1">
      <alignment horizontal="center" vertical="center"/>
    </xf>
    <xf numFmtId="0" fontId="0" fillId="80" borderId="213" xfId="0" applyFill="1" applyBorder="1" applyAlignment="1">
      <alignment horizontal="center" vertical="center"/>
    </xf>
    <xf numFmtId="0" fontId="0" fillId="68" borderId="271" xfId="0" applyFill="1" applyBorder="1" applyAlignment="1">
      <alignment horizontal="left"/>
    </xf>
    <xf numFmtId="0" fontId="0" fillId="68" borderId="272" xfId="0" applyFill="1" applyBorder="1" applyAlignment="1">
      <alignment horizontal="left"/>
    </xf>
    <xf numFmtId="0" fontId="332" fillId="31" borderId="0" xfId="0" applyFont="1" applyFill="1" applyAlignment="1">
      <alignment horizontal="center" vertical="center"/>
    </xf>
    <xf numFmtId="0" fontId="335" fillId="37" borderId="0" xfId="0" applyFont="1" applyFill="1" applyAlignment="1">
      <alignment horizontal="center" vertical="center"/>
    </xf>
    <xf numFmtId="0" fontId="0" fillId="0" borderId="22" xfId="0" applyBorder="1" applyAlignment="1">
      <alignment horizontal="center"/>
    </xf>
    <xf numFmtId="0" fontId="0" fillId="0" borderId="73" xfId="0" applyBorder="1" applyAlignment="1">
      <alignment horizontal="center"/>
    </xf>
    <xf numFmtId="0" fontId="0" fillId="0" borderId="25" xfId="0" applyBorder="1" applyAlignment="1">
      <alignment horizontal="center"/>
    </xf>
    <xf numFmtId="0" fontId="0" fillId="80" borderId="12" xfId="0" applyFill="1" applyBorder="1" applyAlignment="1">
      <alignment horizontal="left" vertical="center" wrapText="1"/>
    </xf>
    <xf numFmtId="0" fontId="0" fillId="80" borderId="22" xfId="0" applyFill="1" applyBorder="1" applyAlignment="1">
      <alignment horizontal="left" vertical="center" wrapText="1"/>
    </xf>
    <xf numFmtId="0" fontId="329" fillId="50" borderId="260" xfId="0" applyFont="1" applyFill="1" applyBorder="1" applyAlignment="1" applyProtection="1">
      <alignment horizontal="center" vertical="center"/>
      <protection hidden="1"/>
    </xf>
    <xf numFmtId="0" fontId="396" fillId="50" borderId="12" xfId="0" applyFont="1" applyFill="1" applyBorder="1" applyAlignment="1">
      <alignment horizontal="center" vertical="center"/>
    </xf>
    <xf numFmtId="0" fontId="396" fillId="50" borderId="286" xfId="0" applyFont="1" applyFill="1" applyBorder="1" applyAlignment="1">
      <alignment horizontal="center" vertical="center"/>
    </xf>
    <xf numFmtId="0" fontId="0" fillId="50" borderId="280" xfId="0" applyFill="1" applyBorder="1" applyAlignment="1">
      <alignment horizontal="center"/>
    </xf>
    <xf numFmtId="0" fontId="403" fillId="50" borderId="12" xfId="0" applyFont="1" applyFill="1" applyBorder="1" applyAlignment="1">
      <alignment horizontal="center" vertical="center"/>
    </xf>
    <xf numFmtId="0" fontId="403" fillId="50" borderId="286" xfId="0" applyFont="1" applyFill="1" applyBorder="1" applyAlignment="1">
      <alignment horizontal="center" vertical="center"/>
    </xf>
    <xf numFmtId="0" fontId="325" fillId="50" borderId="12" xfId="0" applyFont="1" applyFill="1" applyBorder="1" applyAlignment="1">
      <alignment horizontal="center" vertical="center"/>
    </xf>
    <xf numFmtId="0" fontId="373" fillId="50" borderId="12" xfId="0" applyFont="1" applyFill="1" applyBorder="1" applyAlignment="1">
      <alignment horizontal="center" vertical="center"/>
    </xf>
    <xf numFmtId="0" fontId="373" fillId="50" borderId="286" xfId="0" applyFont="1" applyFill="1" applyBorder="1" applyAlignment="1">
      <alignment horizontal="center" vertical="center"/>
    </xf>
    <xf numFmtId="166" fontId="125" fillId="50" borderId="259" xfId="0" applyNumberFormat="1" applyFont="1" applyFill="1" applyBorder="1" applyAlignment="1">
      <alignment horizontal="center" vertical="center" wrapText="1"/>
    </xf>
    <xf numFmtId="166" fontId="125" fillId="50" borderId="81" xfId="0" applyNumberFormat="1" applyFont="1" applyFill="1" applyBorder="1" applyAlignment="1">
      <alignment horizontal="center" vertical="center" wrapText="1"/>
    </xf>
    <xf numFmtId="0" fontId="373" fillId="50" borderId="186" xfId="0" applyFont="1" applyFill="1" applyBorder="1" applyAlignment="1">
      <alignment horizontal="center"/>
    </xf>
    <xf numFmtId="0" fontId="373" fillId="50" borderId="291" xfId="0" applyFont="1" applyFill="1" applyBorder="1" applyAlignment="1">
      <alignment horizontal="center"/>
    </xf>
    <xf numFmtId="0" fontId="400" fillId="50" borderId="279" xfId="0" applyFont="1" applyFill="1" applyBorder="1" applyAlignment="1">
      <alignment horizontal="center"/>
    </xf>
    <xf numFmtId="0" fontId="400" fillId="50" borderId="0" xfId="0" applyFont="1" applyFill="1" applyAlignment="1">
      <alignment horizontal="center"/>
    </xf>
    <xf numFmtId="0" fontId="400" fillId="50" borderId="280" xfId="0" applyFont="1" applyFill="1" applyBorder="1" applyAlignment="1">
      <alignment horizontal="center"/>
    </xf>
    <xf numFmtId="0" fontId="373" fillId="50" borderId="0" xfId="0" applyFont="1" applyFill="1" applyAlignment="1">
      <alignment horizontal="left"/>
    </xf>
    <xf numFmtId="0" fontId="373" fillId="50" borderId="185" xfId="0" applyFont="1" applyFill="1" applyBorder="1" applyAlignment="1">
      <alignment horizontal="center"/>
    </xf>
    <xf numFmtId="0" fontId="373" fillId="50" borderId="280" xfId="0" applyFont="1" applyFill="1" applyBorder="1" applyAlignment="1">
      <alignment horizontal="center"/>
    </xf>
    <xf numFmtId="0" fontId="325" fillId="50" borderId="185" xfId="0" applyFont="1" applyFill="1" applyBorder="1" applyAlignment="1">
      <alignment horizontal="center"/>
    </xf>
    <xf numFmtId="0" fontId="325" fillId="50" borderId="280" xfId="0" applyFont="1" applyFill="1" applyBorder="1" applyAlignment="1">
      <alignment horizontal="center"/>
    </xf>
    <xf numFmtId="0" fontId="373" fillId="50" borderId="0" xfId="0" applyFont="1" applyFill="1" applyAlignment="1">
      <alignment horizontal="left" wrapText="1"/>
    </xf>
    <xf numFmtId="0" fontId="373" fillId="50" borderId="185" xfId="0" applyFont="1" applyFill="1" applyBorder="1" applyAlignment="1">
      <alignment horizontal="center" vertical="center"/>
    </xf>
    <xf numFmtId="0" fontId="373" fillId="50" borderId="280" xfId="0" applyFont="1" applyFill="1" applyBorder="1" applyAlignment="1">
      <alignment horizontal="center" vertical="center"/>
    </xf>
    <xf numFmtId="0" fontId="364" fillId="50" borderId="276" xfId="0" applyFont="1" applyFill="1" applyBorder="1" applyAlignment="1">
      <alignment horizontal="center"/>
    </xf>
    <xf numFmtId="0" fontId="364" fillId="50" borderId="277" xfId="0" applyFont="1" applyFill="1" applyBorder="1" applyAlignment="1">
      <alignment horizontal="center"/>
    </xf>
    <xf numFmtId="0" fontId="364" fillId="50" borderId="278" xfId="0" applyFont="1" applyFill="1" applyBorder="1" applyAlignment="1">
      <alignment horizontal="center"/>
    </xf>
    <xf numFmtId="0" fontId="0" fillId="50" borderId="279" xfId="0" applyFill="1" applyBorder="1" applyAlignment="1">
      <alignment horizontal="center"/>
    </xf>
    <xf numFmtId="0" fontId="364" fillId="50" borderId="279" xfId="0" applyFont="1" applyFill="1" applyBorder="1" applyAlignment="1">
      <alignment horizontal="center"/>
    </xf>
    <xf numFmtId="0" fontId="364" fillId="50" borderId="0" xfId="0" applyFont="1" applyFill="1" applyAlignment="1">
      <alignment horizontal="center"/>
    </xf>
    <xf numFmtId="0" fontId="364" fillId="50" borderId="280" xfId="0" applyFont="1" applyFill="1" applyBorder="1" applyAlignment="1">
      <alignment horizontal="center"/>
    </xf>
    <xf numFmtId="0" fontId="373" fillId="50" borderId="260" xfId="0" applyFont="1" applyFill="1" applyBorder="1" applyAlignment="1">
      <alignment horizontal="left"/>
    </xf>
    <xf numFmtId="0" fontId="373" fillId="50" borderId="261" xfId="0" applyFont="1" applyFill="1" applyBorder="1" applyAlignment="1">
      <alignment horizontal="center" vertical="justify" wrapText="1" shrinkToFit="1"/>
    </xf>
    <xf numFmtId="0" fontId="373" fillId="50" borderId="289" xfId="0" applyFont="1" applyFill="1" applyBorder="1" applyAlignment="1">
      <alignment horizontal="center" vertical="justify" wrapText="1" shrinkToFit="1"/>
    </xf>
    <xf numFmtId="0" fontId="373" fillId="50" borderId="0" xfId="0" applyFont="1" applyFill="1" applyAlignment="1" applyProtection="1">
      <alignment horizontal="center"/>
      <protection locked="0" hidden="1"/>
    </xf>
    <xf numFmtId="167" fontId="373" fillId="50" borderId="0" xfId="0" applyNumberFormat="1" applyFont="1" applyFill="1" applyAlignment="1">
      <alignment horizontal="center"/>
    </xf>
    <xf numFmtId="0" fontId="0" fillId="50" borderId="0" xfId="0" applyFill="1" applyAlignment="1">
      <alignment horizontal="left"/>
    </xf>
    <xf numFmtId="0" fontId="401" fillId="50" borderId="0" xfId="0" applyFont="1" applyFill="1" applyAlignment="1">
      <alignment horizontal="center"/>
    </xf>
    <xf numFmtId="0" fontId="373" fillId="50" borderId="0" xfId="0" applyFont="1" applyFill="1" applyAlignment="1" applyProtection="1">
      <alignment horizontal="left"/>
      <protection locked="0" hidden="1"/>
    </xf>
    <xf numFmtId="0" fontId="0" fillId="50" borderId="0" xfId="0" applyFill="1" applyAlignment="1" applyProtection="1">
      <alignment horizontal="center" vertical="center"/>
      <protection locked="0" hidden="1"/>
    </xf>
    <xf numFmtId="0" fontId="398" fillId="50" borderId="0" xfId="0" applyFont="1" applyFill="1" applyAlignment="1">
      <alignment horizontal="center" vertical="center"/>
    </xf>
    <xf numFmtId="0" fontId="399" fillId="50" borderId="0" xfId="0" applyFont="1" applyFill="1" applyAlignment="1">
      <alignment horizontal="center" vertical="center"/>
    </xf>
    <xf numFmtId="0" fontId="396" fillId="50" borderId="0" xfId="0" applyFont="1" applyFill="1" applyAlignment="1">
      <alignment horizontal="left"/>
    </xf>
    <xf numFmtId="0" fontId="364" fillId="50" borderId="0" xfId="0" applyFont="1" applyFill="1" applyAlignment="1">
      <alignment horizontal="center" vertical="center"/>
    </xf>
    <xf numFmtId="0" fontId="0" fillId="50" borderId="0" xfId="0" applyFill="1"/>
    <xf numFmtId="0" fontId="373" fillId="50" borderId="0" xfId="0" applyFont="1" applyFill="1"/>
    <xf numFmtId="0" fontId="394" fillId="50" borderId="276" xfId="0" applyFont="1" applyFill="1" applyBorder="1" applyAlignment="1">
      <alignment horizontal="center"/>
    </xf>
    <xf numFmtId="0" fontId="394" fillId="50" borderId="277" xfId="0" applyFont="1" applyFill="1" applyBorder="1" applyAlignment="1">
      <alignment horizontal="center"/>
    </xf>
    <xf numFmtId="0" fontId="394" fillId="50" borderId="278" xfId="0" applyFont="1" applyFill="1" applyBorder="1" applyAlignment="1">
      <alignment horizontal="center"/>
    </xf>
    <xf numFmtId="0" fontId="373" fillId="50" borderId="279" xfId="0" applyFont="1" applyFill="1" applyBorder="1" applyAlignment="1">
      <alignment horizontal="center"/>
    </xf>
    <xf numFmtId="0" fontId="373" fillId="50" borderId="0" xfId="0" applyFont="1" applyFill="1" applyAlignment="1">
      <alignment horizontal="center"/>
    </xf>
    <xf numFmtId="0" fontId="354" fillId="50" borderId="279" xfId="0" applyFont="1" applyFill="1" applyBorder="1" applyAlignment="1">
      <alignment horizontal="center"/>
    </xf>
    <xf numFmtId="0" fontId="354" fillId="50" borderId="0" xfId="0" applyFont="1" applyFill="1" applyAlignment="1">
      <alignment horizontal="center"/>
    </xf>
    <xf numFmtId="166" fontId="381" fillId="74" borderId="0" xfId="0" applyNumberFormat="1" applyFont="1" applyFill="1" applyAlignment="1">
      <alignment horizontal="left"/>
    </xf>
    <xf numFmtId="0" fontId="8" fillId="74" borderId="0" xfId="0" applyFont="1" applyFill="1" applyAlignment="1">
      <alignment horizontal="center"/>
    </xf>
    <xf numFmtId="0" fontId="4" fillId="74" borderId="12" xfId="0" applyFont="1" applyFill="1" applyBorder="1" applyAlignment="1" applyProtection="1">
      <alignment horizontal="center"/>
      <protection locked="0"/>
    </xf>
    <xf numFmtId="0" fontId="3" fillId="74" borderId="12" xfId="0" applyFont="1" applyFill="1" applyBorder="1" applyAlignment="1" applyProtection="1">
      <alignment horizontal="center"/>
      <protection locked="0"/>
    </xf>
    <xf numFmtId="0" fontId="381" fillId="74" borderId="12" xfId="0" applyFont="1" applyFill="1" applyBorder="1" applyAlignment="1">
      <alignment horizontal="left"/>
    </xf>
    <xf numFmtId="1" fontId="3" fillId="74" borderId="12" xfId="0" applyNumberFormat="1" applyFont="1" applyFill="1" applyBorder="1" applyAlignment="1">
      <alignment horizontal="center"/>
    </xf>
    <xf numFmtId="166" fontId="381" fillId="74" borderId="260" xfId="0" applyNumberFormat="1" applyFont="1" applyFill="1" applyBorder="1" applyAlignment="1">
      <alignment horizontal="left"/>
    </xf>
    <xf numFmtId="0" fontId="8" fillId="74" borderId="260" xfId="0" applyFont="1" applyFill="1" applyBorder="1" applyAlignment="1">
      <alignment horizontal="center"/>
    </xf>
    <xf numFmtId="0" fontId="4" fillId="74" borderId="22" xfId="0" applyFont="1" applyFill="1" applyBorder="1" applyAlignment="1" applyProtection="1">
      <alignment horizontal="center"/>
      <protection locked="0"/>
    </xf>
    <xf numFmtId="0" fontId="4" fillId="74" borderId="213" xfId="0" applyFont="1" applyFill="1" applyBorder="1" applyAlignment="1" applyProtection="1">
      <alignment horizontal="center"/>
      <protection locked="0"/>
    </xf>
    <xf numFmtId="0" fontId="4" fillId="74" borderId="73" xfId="0" applyFont="1" applyFill="1" applyBorder="1" applyAlignment="1" applyProtection="1">
      <alignment horizontal="center"/>
      <protection locked="0"/>
    </xf>
    <xf numFmtId="0" fontId="3" fillId="74" borderId="22" xfId="0" applyFont="1" applyFill="1" applyBorder="1" applyAlignment="1" applyProtection="1">
      <alignment horizontal="center"/>
      <protection locked="0"/>
    </xf>
    <xf numFmtId="0" fontId="3" fillId="74" borderId="73" xfId="0" applyFont="1" applyFill="1" applyBorder="1" applyAlignment="1" applyProtection="1">
      <alignment horizontal="center"/>
      <protection locked="0"/>
    </xf>
    <xf numFmtId="166" fontId="379" fillId="74" borderId="12" xfId="0" applyNumberFormat="1" applyFont="1" applyFill="1" applyBorder="1" applyAlignment="1">
      <alignment horizontal="center" vertical="center"/>
    </xf>
    <xf numFmtId="166" fontId="380" fillId="74" borderId="12" xfId="0" applyNumberFormat="1" applyFont="1" applyFill="1" applyBorder="1" applyAlignment="1">
      <alignment horizontal="center" vertical="center"/>
    </xf>
    <xf numFmtId="166" fontId="381" fillId="74" borderId="12" xfId="0" applyNumberFormat="1" applyFont="1" applyFill="1" applyBorder="1" applyAlignment="1">
      <alignment horizontal="center" wrapText="1"/>
    </xf>
    <xf numFmtId="166" fontId="36" fillId="70" borderId="12" xfId="0" applyNumberFormat="1" applyFont="1" applyFill="1" applyBorder="1" applyAlignment="1">
      <alignment horizontal="center" vertical="center"/>
    </xf>
    <xf numFmtId="0" fontId="3" fillId="70" borderId="22" xfId="0" applyFont="1" applyFill="1" applyBorder="1" applyAlignment="1">
      <alignment horizontal="center"/>
    </xf>
    <xf numFmtId="0" fontId="3" fillId="70" borderId="213" xfId="0" applyFont="1" applyFill="1" applyBorder="1" applyAlignment="1">
      <alignment horizontal="center"/>
    </xf>
    <xf numFmtId="0" fontId="3" fillId="70" borderId="73" xfId="0" applyFont="1" applyFill="1" applyBorder="1" applyAlignment="1">
      <alignment horizontal="center"/>
    </xf>
    <xf numFmtId="166" fontId="4" fillId="70" borderId="22" xfId="0" applyNumberFormat="1" applyFont="1" applyFill="1" applyBorder="1" applyAlignment="1">
      <alignment horizontal="center"/>
    </xf>
    <xf numFmtId="166" fontId="4" fillId="70" borderId="73" xfId="0" applyNumberFormat="1" applyFont="1" applyFill="1" applyBorder="1" applyAlignment="1">
      <alignment horizontal="center"/>
    </xf>
    <xf numFmtId="0" fontId="3" fillId="70" borderId="12" xfId="0" applyFont="1" applyFill="1" applyBorder="1" applyAlignment="1">
      <alignment horizontal="center"/>
    </xf>
    <xf numFmtId="166" fontId="4" fillId="70" borderId="12" xfId="0" applyNumberFormat="1" applyFont="1" applyFill="1" applyBorder="1" applyAlignment="1">
      <alignment horizontal="center"/>
    </xf>
    <xf numFmtId="166" fontId="10" fillId="69" borderId="261" xfId="0" applyNumberFormat="1" applyFont="1" applyFill="1" applyBorder="1" applyAlignment="1">
      <alignment horizontal="center" vertical="center"/>
    </xf>
    <xf numFmtId="166" fontId="10" fillId="69" borderId="262" xfId="0" applyNumberFormat="1" applyFont="1" applyFill="1" applyBorder="1" applyAlignment="1">
      <alignment horizontal="center" vertical="center"/>
    </xf>
    <xf numFmtId="166" fontId="10" fillId="69" borderId="185" xfId="0" applyNumberFormat="1" applyFont="1" applyFill="1" applyBorder="1" applyAlignment="1">
      <alignment horizontal="center" vertical="center"/>
    </xf>
    <xf numFmtId="166" fontId="10" fillId="69" borderId="13" xfId="0" applyNumberFormat="1" applyFont="1" applyFill="1" applyBorder="1" applyAlignment="1">
      <alignment horizontal="center" vertical="center"/>
    </xf>
    <xf numFmtId="166" fontId="10" fillId="69" borderId="186" xfId="0" applyNumberFormat="1" applyFont="1" applyFill="1" applyBorder="1" applyAlignment="1">
      <alignment horizontal="center" vertical="center"/>
    </xf>
    <xf numFmtId="166" fontId="10" fillId="69" borderId="234" xfId="0" applyNumberFormat="1" applyFont="1" applyFill="1" applyBorder="1" applyAlignment="1">
      <alignment horizontal="center" vertical="center"/>
    </xf>
    <xf numFmtId="166" fontId="8" fillId="69" borderId="259" xfId="0" applyNumberFormat="1" applyFont="1" applyFill="1" applyBorder="1" applyAlignment="1">
      <alignment horizontal="center" vertical="center" wrapText="1"/>
    </xf>
    <xf numFmtId="166" fontId="8" fillId="69" borderId="81" xfId="0" applyNumberFormat="1" applyFont="1" applyFill="1" applyBorder="1" applyAlignment="1">
      <alignment horizontal="center" vertical="center" wrapText="1"/>
    </xf>
    <xf numFmtId="166" fontId="8" fillId="69" borderId="82" xfId="0" applyNumberFormat="1" applyFont="1" applyFill="1" applyBorder="1" applyAlignment="1">
      <alignment horizontal="center" vertical="center" wrapText="1"/>
    </xf>
    <xf numFmtId="0" fontId="169" fillId="103" borderId="88" xfId="0" applyFont="1" applyFill="1" applyBorder="1" applyAlignment="1">
      <alignment horizontal="center"/>
    </xf>
    <xf numFmtId="0" fontId="169" fillId="103" borderId="76" xfId="0" applyFont="1" applyFill="1" applyBorder="1" applyAlignment="1">
      <alignment horizontal="center"/>
    </xf>
    <xf numFmtId="0" fontId="169" fillId="103" borderId="84" xfId="0" applyFont="1" applyFill="1" applyBorder="1" applyAlignment="1">
      <alignment horizontal="center"/>
    </xf>
    <xf numFmtId="0" fontId="467" fillId="106" borderId="664" xfId="0" applyFont="1" applyFill="1" applyBorder="1" applyAlignment="1">
      <alignment horizontal="left" vertical="center" wrapText="1"/>
    </xf>
    <xf numFmtId="0" fontId="467" fillId="106" borderId="428" xfId="0" applyFont="1" applyFill="1" applyBorder="1" applyAlignment="1">
      <alignment horizontal="left" vertical="center" wrapText="1"/>
    </xf>
    <xf numFmtId="0" fontId="467" fillId="106" borderId="665" xfId="0" applyFont="1" applyFill="1" applyBorder="1" applyAlignment="1">
      <alignment horizontal="left" vertical="center" wrapText="1"/>
    </xf>
    <xf numFmtId="0" fontId="467" fillId="106" borderId="424" xfId="0" applyFont="1" applyFill="1" applyBorder="1" applyAlignment="1">
      <alignment horizontal="left" vertical="center" wrapText="1"/>
    </xf>
    <xf numFmtId="0" fontId="467" fillId="106" borderId="355" xfId="0" applyFont="1" applyFill="1" applyBorder="1" applyAlignment="1">
      <alignment horizontal="left" vertical="center" wrapText="1"/>
    </xf>
    <xf numFmtId="0" fontId="467" fillId="106" borderId="0" xfId="0" applyFont="1" applyFill="1" applyAlignment="1">
      <alignment horizontal="left" vertical="center" wrapText="1"/>
    </xf>
    <xf numFmtId="0" fontId="467" fillId="106" borderId="358" xfId="0" applyFont="1" applyFill="1" applyBorder="1" applyAlignment="1">
      <alignment horizontal="left" vertical="center" wrapText="1"/>
    </xf>
    <xf numFmtId="0" fontId="336" fillId="106" borderId="318" xfId="0" applyFont="1" applyFill="1" applyBorder="1" applyAlignment="1" applyProtection="1">
      <alignment horizontal="left" vertical="center" wrapText="1"/>
      <protection hidden="1"/>
    </xf>
    <xf numFmtId="0" fontId="336" fillId="106" borderId="319" xfId="0" applyFont="1" applyFill="1" applyBorder="1" applyAlignment="1" applyProtection="1">
      <alignment horizontal="left" vertical="center" wrapText="1"/>
      <protection hidden="1"/>
    </xf>
    <xf numFmtId="0" fontId="345" fillId="106" borderId="319" xfId="0" applyFont="1" applyFill="1" applyBorder="1" applyAlignment="1">
      <alignment horizontal="center" vertical="center"/>
    </xf>
    <xf numFmtId="0" fontId="345" fillId="106" borderId="320" xfId="0" applyFont="1" applyFill="1" applyBorder="1" applyAlignment="1">
      <alignment horizontal="center" vertical="center"/>
    </xf>
    <xf numFmtId="0" fontId="339" fillId="106" borderId="318" xfId="0" applyFont="1" applyFill="1" applyBorder="1" applyAlignment="1" applyProtection="1">
      <alignment horizontal="center" vertical="center" wrapText="1"/>
      <protection hidden="1"/>
    </xf>
    <xf numFmtId="0" fontId="339" fillId="106" borderId="320" xfId="0" applyFont="1" applyFill="1" applyBorder="1" applyAlignment="1" applyProtection="1">
      <alignment horizontal="center" vertical="center" wrapText="1"/>
      <protection hidden="1"/>
    </xf>
    <xf numFmtId="0" fontId="419" fillId="106" borderId="624" xfId="0" applyFont="1" applyFill="1" applyBorder="1" applyAlignment="1">
      <alignment horizontal="center" vertical="center" wrapText="1"/>
    </xf>
    <xf numFmtId="0" fontId="419" fillId="106" borderId="482" xfId="0" applyFont="1" applyFill="1" applyBorder="1" applyAlignment="1">
      <alignment horizontal="center" vertical="center" wrapText="1"/>
    </xf>
    <xf numFmtId="0" fontId="336" fillId="106" borderId="318" xfId="0" applyFont="1" applyFill="1" applyBorder="1" applyAlignment="1" applyProtection="1">
      <alignment horizontal="center" vertical="center" wrapText="1"/>
      <protection hidden="1"/>
    </xf>
    <xf numFmtId="0" fontId="336" fillId="106" borderId="319" xfId="0" applyFont="1" applyFill="1" applyBorder="1" applyAlignment="1" applyProtection="1">
      <alignment horizontal="center" vertical="center" wrapText="1"/>
      <protection hidden="1"/>
    </xf>
    <xf numFmtId="0" fontId="336" fillId="106" borderId="320" xfId="0" applyFont="1" applyFill="1" applyBorder="1" applyAlignment="1" applyProtection="1">
      <alignment horizontal="center" vertical="center" wrapText="1"/>
      <protection hidden="1"/>
    </xf>
    <xf numFmtId="0" fontId="321" fillId="90" borderId="318" xfId="0" applyFont="1" applyFill="1" applyBorder="1" applyAlignment="1" applyProtection="1">
      <alignment horizontal="center" vertical="center"/>
      <protection locked="0" hidden="1"/>
    </xf>
    <xf numFmtId="0" fontId="321" fillId="90" borderId="320" xfId="0" applyFont="1" applyFill="1" applyBorder="1" applyAlignment="1" applyProtection="1">
      <alignment horizontal="center" vertical="center"/>
      <protection locked="0" hidden="1"/>
    </xf>
    <xf numFmtId="0" fontId="467" fillId="31" borderId="664" xfId="0" applyFont="1" applyFill="1" applyBorder="1" applyAlignment="1">
      <alignment horizontal="left" vertical="center" wrapText="1"/>
    </xf>
    <xf numFmtId="0" fontId="467" fillId="31" borderId="428" xfId="0" applyFont="1" applyFill="1" applyBorder="1" applyAlignment="1">
      <alignment horizontal="left" vertical="center" wrapText="1"/>
    </xf>
    <xf numFmtId="0" fontId="467" fillId="31" borderId="665" xfId="0" applyFont="1" applyFill="1" applyBorder="1" applyAlignment="1">
      <alignment horizontal="left" vertical="center" wrapText="1"/>
    </xf>
    <xf numFmtId="0" fontId="467" fillId="31" borderId="424" xfId="0" applyFont="1" applyFill="1" applyBorder="1" applyAlignment="1">
      <alignment horizontal="left" vertical="center" wrapText="1"/>
    </xf>
    <xf numFmtId="0" fontId="467" fillId="31" borderId="355" xfId="0" applyFont="1" applyFill="1" applyBorder="1" applyAlignment="1">
      <alignment horizontal="left" vertical="center" wrapText="1"/>
    </xf>
    <xf numFmtId="0" fontId="467" fillId="31" borderId="0" xfId="0" applyFont="1" applyFill="1" applyAlignment="1">
      <alignment horizontal="left" vertical="center" wrapText="1"/>
    </xf>
    <xf numFmtId="0" fontId="467" fillId="31" borderId="358" xfId="0" applyFont="1" applyFill="1" applyBorder="1" applyAlignment="1">
      <alignment horizontal="left" vertical="center" wrapText="1"/>
    </xf>
    <xf numFmtId="0" fontId="336" fillId="31" borderId="318" xfId="0" applyFont="1" applyFill="1" applyBorder="1" applyAlignment="1" applyProtection="1">
      <alignment horizontal="left" vertical="center" wrapText="1"/>
      <protection hidden="1"/>
    </xf>
    <xf numFmtId="0" fontId="336" fillId="31" borderId="319" xfId="0" applyFont="1" applyFill="1" applyBorder="1" applyAlignment="1" applyProtection="1">
      <alignment horizontal="left" vertical="center" wrapText="1"/>
      <protection hidden="1"/>
    </xf>
    <xf numFmtId="0" fontId="345" fillId="31" borderId="319" xfId="0" applyFont="1" applyFill="1" applyBorder="1" applyAlignment="1">
      <alignment horizontal="center" vertical="center"/>
    </xf>
    <xf numFmtId="0" fontId="345" fillId="31" borderId="320" xfId="0" applyFont="1" applyFill="1" applyBorder="1" applyAlignment="1">
      <alignment horizontal="center" vertical="center"/>
    </xf>
    <xf numFmtId="0" fontId="511" fillId="31" borderId="318" xfId="0" applyFont="1" applyFill="1" applyBorder="1" applyAlignment="1" applyProtection="1">
      <alignment horizontal="center" vertical="center" wrapText="1"/>
      <protection hidden="1"/>
    </xf>
    <xf numFmtId="0" fontId="511" fillId="31" borderId="320" xfId="0" applyFont="1" applyFill="1" applyBorder="1" applyAlignment="1" applyProtection="1">
      <alignment horizontal="center" vertical="center" wrapText="1"/>
      <protection hidden="1"/>
    </xf>
    <xf numFmtId="0" fontId="419" fillId="31" borderId="624" xfId="0" applyFont="1" applyFill="1" applyBorder="1" applyAlignment="1">
      <alignment horizontal="center" vertical="center" wrapText="1"/>
    </xf>
    <xf numFmtId="0" fontId="419" fillId="31" borderId="482" xfId="0" applyFont="1" applyFill="1" applyBorder="1" applyAlignment="1">
      <alignment horizontal="center" vertical="center" wrapText="1"/>
    </xf>
    <xf numFmtId="0" fontId="336" fillId="31" borderId="427" xfId="0" applyFont="1" applyFill="1" applyBorder="1" applyAlignment="1" applyProtection="1">
      <alignment horizontal="center" vertical="center" wrapText="1"/>
      <protection hidden="1"/>
    </xf>
    <xf numFmtId="0" fontId="336" fillId="31" borderId="428" xfId="0" applyFont="1" applyFill="1" applyBorder="1" applyAlignment="1" applyProtection="1">
      <alignment horizontal="center" vertical="center" wrapText="1"/>
      <protection hidden="1"/>
    </xf>
    <xf numFmtId="0" fontId="45" fillId="0" borderId="29" xfId="0" applyFont="1" applyBorder="1" applyAlignment="1" applyProtection="1">
      <alignment horizontal="center"/>
      <protection locked="0"/>
    </xf>
    <xf numFmtId="0" fontId="45" fillId="0" borderId="14" xfId="0" applyFont="1" applyBorder="1" applyAlignment="1" applyProtection="1">
      <alignment horizontal="center"/>
      <protection locked="0"/>
    </xf>
    <xf numFmtId="0" fontId="45" fillId="0" borderId="67" xfId="0" applyFont="1" applyBorder="1" applyAlignment="1" applyProtection="1">
      <alignment horizontal="center"/>
      <protection locked="0"/>
    </xf>
    <xf numFmtId="0" fontId="47" fillId="103" borderId="220" xfId="0" applyFont="1" applyFill="1" applyBorder="1" applyAlignment="1">
      <alignment horizontal="center" vertical="center"/>
    </xf>
    <xf numFmtId="0" fontId="47" fillId="103" borderId="219" xfId="0" applyFont="1" applyFill="1" applyBorder="1" applyAlignment="1">
      <alignment horizontal="center" vertical="center"/>
    </xf>
    <xf numFmtId="0" fontId="47" fillId="103" borderId="221" xfId="0" applyFont="1" applyFill="1" applyBorder="1" applyAlignment="1">
      <alignment horizontal="center" vertical="center"/>
    </xf>
    <xf numFmtId="0" fontId="321" fillId="50" borderId="29" xfId="0" applyFont="1" applyFill="1" applyBorder="1" applyAlignment="1" applyProtection="1">
      <alignment horizontal="center"/>
      <protection locked="0" hidden="1"/>
    </xf>
    <xf numFmtId="0" fontId="321" fillId="50" borderId="67" xfId="0" applyFont="1" applyFill="1" applyBorder="1" applyAlignment="1" applyProtection="1">
      <alignment horizontal="center"/>
      <protection locked="0" hidden="1"/>
    </xf>
    <xf numFmtId="0" fontId="261" fillId="103" borderId="123" xfId="0" applyFont="1" applyFill="1" applyBorder="1" applyAlignment="1">
      <alignment horizontal="right" vertical="center"/>
    </xf>
    <xf numFmtId="0" fontId="261" fillId="103" borderId="0" xfId="0" applyFont="1" applyFill="1" applyAlignment="1">
      <alignment horizontal="right" vertical="center"/>
    </xf>
    <xf numFmtId="0" fontId="169" fillId="103" borderId="77" xfId="0" applyFont="1" applyFill="1" applyBorder="1" applyAlignment="1">
      <alignment horizontal="center" vertical="center"/>
    </xf>
    <xf numFmtId="0" fontId="169" fillId="103" borderId="0" xfId="0" applyFont="1" applyFill="1" applyAlignment="1">
      <alignment horizontal="center" vertical="center"/>
    </xf>
    <xf numFmtId="0" fontId="169" fillId="103" borderId="75" xfId="0" applyFont="1" applyFill="1" applyBorder="1" applyAlignment="1">
      <alignment horizontal="center" vertical="center"/>
    </xf>
    <xf numFmtId="0" fontId="4" fillId="103" borderId="222" xfId="0" applyFont="1" applyFill="1" applyBorder="1" applyAlignment="1" applyProtection="1">
      <alignment horizontal="center" vertical="center"/>
      <protection locked="0" hidden="1"/>
    </xf>
    <xf numFmtId="0" fontId="4" fillId="103" borderId="0" xfId="0" applyFont="1" applyFill="1" applyAlignment="1" applyProtection="1">
      <alignment horizontal="center" vertical="center"/>
      <protection locked="0" hidden="1"/>
    </xf>
    <xf numFmtId="0" fontId="4" fillId="103" borderId="223" xfId="0" applyFont="1" applyFill="1" applyBorder="1" applyAlignment="1" applyProtection="1">
      <alignment horizontal="center" vertical="center"/>
      <protection locked="0" hidden="1"/>
    </xf>
    <xf numFmtId="0" fontId="4" fillId="103" borderId="222" xfId="0" applyFont="1" applyFill="1" applyBorder="1" applyAlignment="1" applyProtection="1">
      <alignment horizontal="center" vertical="center"/>
      <protection hidden="1"/>
    </xf>
    <xf numFmtId="0" fontId="4" fillId="103" borderId="0" xfId="0" applyFont="1" applyFill="1" applyAlignment="1" applyProtection="1">
      <alignment horizontal="center" vertical="center"/>
      <protection hidden="1"/>
    </xf>
    <xf numFmtId="0" fontId="4" fillId="103" borderId="223" xfId="0" applyFont="1" applyFill="1" applyBorder="1" applyAlignment="1" applyProtection="1">
      <alignment horizontal="center" vertical="center"/>
      <protection hidden="1"/>
    </xf>
    <xf numFmtId="0" fontId="4" fillId="103" borderId="220" xfId="0" applyFont="1" applyFill="1" applyBorder="1" applyAlignment="1" applyProtection="1">
      <alignment horizontal="center"/>
      <protection locked="0" hidden="1"/>
    </xf>
    <xf numFmtId="0" fontId="4" fillId="103" borderId="219" xfId="0" applyFont="1" applyFill="1" applyBorder="1" applyAlignment="1" applyProtection="1">
      <alignment horizontal="center"/>
      <protection locked="0" hidden="1"/>
    </xf>
    <xf numFmtId="0" fontId="4" fillId="103" borderId="221" xfId="0" applyFont="1" applyFill="1" applyBorder="1" applyAlignment="1" applyProtection="1">
      <alignment horizontal="center"/>
      <protection locked="0" hidden="1"/>
    </xf>
    <xf numFmtId="0" fontId="217" fillId="103" borderId="222" xfId="0" applyFont="1" applyFill="1" applyBorder="1" applyAlignment="1">
      <alignment horizontal="center" vertical="center"/>
    </xf>
    <xf numFmtId="0" fontId="217" fillId="103" borderId="0" xfId="0" applyFont="1" applyFill="1" applyAlignment="1">
      <alignment horizontal="center" vertical="center"/>
    </xf>
    <xf numFmtId="0" fontId="217" fillId="103" borderId="223" xfId="0" applyFont="1" applyFill="1" applyBorder="1" applyAlignment="1">
      <alignment horizontal="center" vertical="center"/>
    </xf>
    <xf numFmtId="0" fontId="4" fillId="103" borderId="222" xfId="0" applyFont="1" applyFill="1" applyBorder="1" applyAlignment="1" applyProtection="1">
      <alignment horizontal="center"/>
      <protection hidden="1"/>
    </xf>
    <xf numFmtId="0" fontId="4" fillId="103" borderId="0" xfId="0" applyFont="1" applyFill="1" applyAlignment="1" applyProtection="1">
      <alignment horizontal="center"/>
      <protection hidden="1"/>
    </xf>
    <xf numFmtId="0" fontId="4" fillId="103" borderId="223" xfId="0" applyFont="1" applyFill="1" applyBorder="1" applyAlignment="1" applyProtection="1">
      <alignment horizontal="center"/>
      <protection hidden="1"/>
    </xf>
    <xf numFmtId="0" fontId="47" fillId="103" borderId="222" xfId="0" applyFont="1" applyFill="1" applyBorder="1" applyAlignment="1">
      <alignment horizontal="center" vertical="center"/>
    </xf>
    <xf numFmtId="0" fontId="47" fillId="103" borderId="0" xfId="0" applyFont="1" applyFill="1" applyAlignment="1">
      <alignment horizontal="center" vertical="center"/>
    </xf>
    <xf numFmtId="0" fontId="47" fillId="103" borderId="223" xfId="0" applyFont="1" applyFill="1" applyBorder="1" applyAlignment="1">
      <alignment horizontal="center" vertical="center"/>
    </xf>
    <xf numFmtId="0" fontId="88" fillId="50" borderId="465" xfId="0" applyFont="1" applyFill="1" applyBorder="1" applyAlignment="1" applyProtection="1">
      <alignment horizontal="center" vertical="center"/>
      <protection locked="0"/>
    </xf>
    <xf numFmtId="0" fontId="88" fillId="50" borderId="466" xfId="0" applyFont="1" applyFill="1" applyBorder="1" applyAlignment="1" applyProtection="1">
      <alignment horizontal="center" vertical="center"/>
      <protection locked="0"/>
    </xf>
    <xf numFmtId="0" fontId="169" fillId="103" borderId="77" xfId="0" applyFont="1" applyFill="1" applyBorder="1" applyAlignment="1">
      <alignment horizontal="center" vertical="center" wrapText="1"/>
    </xf>
    <xf numFmtId="0" fontId="169" fillId="103" borderId="0" xfId="0" applyFont="1" applyFill="1" applyAlignment="1">
      <alignment horizontal="center" vertical="center" wrapText="1"/>
    </xf>
    <xf numFmtId="0" fontId="169" fillId="103" borderId="75" xfId="0" applyFont="1" applyFill="1" applyBorder="1" applyAlignment="1">
      <alignment horizontal="center" vertical="center" wrapText="1"/>
    </xf>
    <xf numFmtId="0" fontId="325" fillId="103" borderId="222" xfId="0" applyFont="1" applyFill="1" applyBorder="1" applyAlignment="1" applyProtection="1">
      <alignment horizontal="center"/>
      <protection hidden="1"/>
    </xf>
    <xf numFmtId="0" fontId="325" fillId="103" borderId="0" xfId="0" applyFont="1" applyFill="1" applyAlignment="1" applyProtection="1">
      <alignment horizontal="center"/>
      <protection hidden="1"/>
    </xf>
    <xf numFmtId="0" fontId="325" fillId="103" borderId="223" xfId="0" applyFont="1" applyFill="1" applyBorder="1" applyAlignment="1" applyProtection="1">
      <alignment horizontal="center"/>
      <protection hidden="1"/>
    </xf>
    <xf numFmtId="0" fontId="323" fillId="98" borderId="214" xfId="0" applyFont="1" applyFill="1" applyBorder="1" applyAlignment="1">
      <alignment horizontal="center" vertical="center"/>
    </xf>
    <xf numFmtId="0" fontId="323" fillId="98" borderId="218" xfId="0" applyFont="1" applyFill="1" applyBorder="1" applyAlignment="1">
      <alignment horizontal="center" vertical="center"/>
    </xf>
    <xf numFmtId="0" fontId="323" fillId="98" borderId="215" xfId="0" applyFont="1" applyFill="1" applyBorder="1" applyAlignment="1">
      <alignment horizontal="center" vertical="center"/>
    </xf>
    <xf numFmtId="0" fontId="88" fillId="50" borderId="465" xfId="0" applyFont="1" applyFill="1" applyBorder="1" applyAlignment="1" applyProtection="1">
      <alignment horizontal="center"/>
      <protection locked="0"/>
    </xf>
    <xf numFmtId="0" fontId="88" fillId="50" borderId="466" xfId="0" applyFont="1" applyFill="1" applyBorder="1" applyAlignment="1" applyProtection="1">
      <alignment horizontal="center"/>
      <protection locked="0"/>
    </xf>
    <xf numFmtId="0" fontId="261" fillId="103" borderId="220" xfId="0" applyFont="1" applyFill="1" applyBorder="1" applyAlignment="1">
      <alignment horizontal="center" vertical="center" wrapText="1"/>
    </xf>
    <xf numFmtId="0" fontId="261" fillId="103" borderId="219" xfId="0" applyFont="1" applyFill="1" applyBorder="1" applyAlignment="1">
      <alignment horizontal="center" vertical="center" wrapText="1"/>
    </xf>
    <xf numFmtId="0" fontId="261" fillId="103" borderId="221" xfId="0" applyFont="1" applyFill="1" applyBorder="1" applyAlignment="1">
      <alignment horizontal="center" vertical="center" wrapText="1"/>
    </xf>
    <xf numFmtId="0" fontId="325" fillId="103" borderId="222" xfId="0" applyFont="1" applyFill="1" applyBorder="1" applyAlignment="1">
      <alignment horizontal="center" vertical="center"/>
    </xf>
    <xf numFmtId="0" fontId="325" fillId="103" borderId="0" xfId="0" applyFont="1" applyFill="1" applyAlignment="1">
      <alignment horizontal="center" vertical="center"/>
    </xf>
    <xf numFmtId="0" fontId="325" fillId="103" borderId="223" xfId="0" applyFont="1" applyFill="1" applyBorder="1" applyAlignment="1">
      <alignment horizontal="center" vertical="center"/>
    </xf>
    <xf numFmtId="0" fontId="459" fillId="105" borderId="427" xfId="0" applyFont="1" applyFill="1" applyBorder="1" applyAlignment="1">
      <alignment horizontal="left" vertical="center" wrapText="1"/>
    </xf>
    <xf numFmtId="0" fontId="459" fillId="105" borderId="428" xfId="0" applyFont="1" applyFill="1" applyBorder="1" applyAlignment="1">
      <alignment horizontal="left" vertical="center" wrapText="1"/>
    </xf>
    <xf numFmtId="0" fontId="459" fillId="105" borderId="429" xfId="0" applyFont="1" applyFill="1" applyBorder="1" applyAlignment="1">
      <alignment horizontal="left" vertical="center" wrapText="1"/>
    </xf>
    <xf numFmtId="0" fontId="459" fillId="105" borderId="430" xfId="0" applyFont="1" applyFill="1" applyBorder="1" applyAlignment="1">
      <alignment horizontal="left" vertical="center" wrapText="1"/>
    </xf>
    <xf numFmtId="0" fontId="459" fillId="105" borderId="431" xfId="0" applyFont="1" applyFill="1" applyBorder="1" applyAlignment="1">
      <alignment horizontal="left" vertical="center" wrapText="1"/>
    </xf>
    <xf numFmtId="0" fontId="459" fillId="105" borderId="0" xfId="0" applyFont="1" applyFill="1" applyAlignment="1">
      <alignment horizontal="left" vertical="center" wrapText="1"/>
    </xf>
    <xf numFmtId="0" fontId="459" fillId="105" borderId="432" xfId="0" applyFont="1" applyFill="1" applyBorder="1" applyAlignment="1">
      <alignment horizontal="left" vertical="center" wrapText="1"/>
    </xf>
    <xf numFmtId="166" fontId="289" fillId="107" borderId="643" xfId="0" applyNumberFormat="1" applyFont="1" applyFill="1" applyBorder="1" applyAlignment="1" applyProtection="1">
      <alignment horizontal="center" vertical="center"/>
      <protection hidden="1"/>
    </xf>
    <xf numFmtId="166" fontId="289" fillId="107" borderId="644" xfId="0" applyNumberFormat="1" applyFont="1" applyFill="1" applyBorder="1" applyAlignment="1" applyProtection="1">
      <alignment horizontal="center" vertical="center"/>
      <protection hidden="1"/>
    </xf>
    <xf numFmtId="0" fontId="10" fillId="50" borderId="640" xfId="0" applyFont="1" applyFill="1" applyBorder="1" applyAlignment="1" applyProtection="1">
      <alignment horizontal="center" vertical="center"/>
      <protection locked="0" hidden="1"/>
    </xf>
    <xf numFmtId="0" fontId="10" fillId="50" borderId="641" xfId="0" applyFont="1" applyFill="1" applyBorder="1" applyAlignment="1" applyProtection="1">
      <alignment horizontal="center" vertical="center"/>
      <protection locked="0" hidden="1"/>
    </xf>
    <xf numFmtId="0" fontId="10" fillId="50" borderId="634" xfId="0" applyFont="1" applyFill="1" applyBorder="1" applyAlignment="1" applyProtection="1">
      <alignment horizontal="center" vertical="center"/>
      <protection locked="0" hidden="1"/>
    </xf>
    <xf numFmtId="0" fontId="10" fillId="50" borderId="635" xfId="0" applyFont="1" applyFill="1" applyBorder="1" applyAlignment="1" applyProtection="1">
      <alignment horizontal="center" vertical="center"/>
      <protection locked="0" hidden="1"/>
    </xf>
    <xf numFmtId="0" fontId="47" fillId="103" borderId="222" xfId="0" applyFont="1" applyFill="1" applyBorder="1" applyAlignment="1">
      <alignment horizontal="left" vertical="center" wrapText="1"/>
    </xf>
    <xf numFmtId="0" fontId="47" fillId="103" borderId="0" xfId="0" applyFont="1" applyFill="1" applyAlignment="1">
      <alignment horizontal="left" vertical="center" wrapText="1"/>
    </xf>
    <xf numFmtId="0" fontId="47" fillId="103" borderId="223" xfId="0" applyFont="1" applyFill="1" applyBorder="1" applyAlignment="1">
      <alignment horizontal="left" vertical="center" wrapText="1"/>
    </xf>
    <xf numFmtId="0" fontId="4" fillId="103" borderId="467" xfId="0" applyFont="1" applyFill="1" applyBorder="1" applyAlignment="1" applyProtection="1">
      <alignment horizontal="center"/>
      <protection hidden="1"/>
    </xf>
    <xf numFmtId="0" fontId="4" fillId="103" borderId="76" xfId="0" applyFont="1" applyFill="1" applyBorder="1" applyAlignment="1" applyProtection="1">
      <alignment horizontal="center"/>
      <protection hidden="1"/>
    </xf>
    <xf numFmtId="0" fontId="4" fillId="103" borderId="237" xfId="0" applyFont="1" applyFill="1" applyBorder="1" applyAlignment="1" applyProtection="1">
      <alignment horizontal="center"/>
      <protection hidden="1"/>
    </xf>
    <xf numFmtId="0" fontId="169" fillId="103" borderId="424" xfId="0" applyFont="1" applyFill="1" applyBorder="1" applyAlignment="1" applyProtection="1">
      <alignment horizontal="center"/>
      <protection hidden="1"/>
    </xf>
    <xf numFmtId="0" fontId="169" fillId="103" borderId="355" xfId="0" applyFont="1" applyFill="1" applyBorder="1" applyAlignment="1" applyProtection="1">
      <alignment horizontal="center"/>
      <protection hidden="1"/>
    </xf>
    <xf numFmtId="0" fontId="169" fillId="103" borderId="358" xfId="0" applyFont="1" applyFill="1" applyBorder="1" applyAlignment="1" applyProtection="1">
      <alignment horizontal="center"/>
      <protection hidden="1"/>
    </xf>
    <xf numFmtId="0" fontId="345" fillId="50" borderId="459" xfId="0" applyFont="1" applyFill="1" applyBorder="1" applyAlignment="1" applyProtection="1">
      <alignment horizontal="center" vertical="center"/>
      <protection hidden="1"/>
    </xf>
    <xf numFmtId="0" fontId="345" fillId="50" borderId="460" xfId="0" applyFont="1" applyFill="1" applyBorder="1" applyAlignment="1" applyProtection="1">
      <alignment horizontal="center" vertical="center"/>
      <protection hidden="1"/>
    </xf>
    <xf numFmtId="0" fontId="47" fillId="103" borderId="0" xfId="0" applyFont="1" applyFill="1" applyAlignment="1">
      <alignment horizontal="center" vertical="center" wrapText="1"/>
    </xf>
    <xf numFmtId="0" fontId="321" fillId="50" borderId="214" xfId="0" applyFont="1" applyFill="1" applyBorder="1" applyAlignment="1" applyProtection="1">
      <alignment horizontal="center" vertical="center"/>
      <protection locked="0" hidden="1"/>
    </xf>
    <xf numFmtId="0" fontId="321" fillId="50" borderId="215" xfId="0" applyFont="1" applyFill="1" applyBorder="1" applyAlignment="1" applyProtection="1">
      <alignment horizontal="center" vertical="center"/>
      <protection locked="0" hidden="1"/>
    </xf>
    <xf numFmtId="0" fontId="261" fillId="103" borderId="222" xfId="0" applyFont="1" applyFill="1" applyBorder="1" applyAlignment="1">
      <alignment horizontal="center" vertical="center"/>
    </xf>
    <xf numFmtId="0" fontId="261" fillId="103" borderId="0" xfId="0" applyFont="1" applyFill="1" applyAlignment="1">
      <alignment horizontal="center" vertical="center"/>
    </xf>
    <xf numFmtId="0" fontId="261" fillId="103" borderId="223" xfId="0" applyFont="1" applyFill="1" applyBorder="1" applyAlignment="1">
      <alignment horizontal="center" vertical="center"/>
    </xf>
    <xf numFmtId="0" fontId="336" fillId="43" borderId="216" xfId="0" applyFont="1" applyFill="1" applyBorder="1" applyAlignment="1" applyProtection="1">
      <alignment horizontal="center" vertical="center"/>
      <protection hidden="1"/>
    </xf>
    <xf numFmtId="0" fontId="336" fillId="43" borderId="217" xfId="0" applyFont="1" applyFill="1" applyBorder="1" applyAlignment="1" applyProtection="1">
      <alignment horizontal="center" vertical="center"/>
      <protection hidden="1"/>
    </xf>
    <xf numFmtId="0" fontId="345" fillId="50" borderId="461" xfId="0" applyFont="1" applyFill="1" applyBorder="1" applyAlignment="1" applyProtection="1">
      <alignment horizontal="center" vertical="center"/>
      <protection hidden="1"/>
    </xf>
    <xf numFmtId="0" fontId="345" fillId="50" borderId="462" xfId="0" applyFont="1" applyFill="1" applyBorder="1" applyAlignment="1" applyProtection="1">
      <alignment horizontal="center" vertical="center"/>
      <protection hidden="1"/>
    </xf>
    <xf numFmtId="0" fontId="169" fillId="103" borderId="77" xfId="0" applyFont="1" applyFill="1" applyBorder="1" applyAlignment="1">
      <alignment horizontal="center"/>
    </xf>
    <xf numFmtId="0" fontId="169" fillId="103" borderId="0" xfId="0" applyFont="1" applyFill="1" applyAlignment="1">
      <alignment horizontal="center"/>
    </xf>
    <xf numFmtId="0" fontId="169" fillId="103" borderId="75" xfId="0" applyFont="1" applyFill="1" applyBorder="1" applyAlignment="1">
      <alignment horizontal="center"/>
    </xf>
    <xf numFmtId="0" fontId="213" fillId="4" borderId="107" xfId="0" applyFont="1" applyFill="1" applyBorder="1" applyAlignment="1">
      <alignment horizontal="center"/>
    </xf>
    <xf numFmtId="0" fontId="213" fillId="4" borderId="108" xfId="0" applyFont="1" applyFill="1" applyBorder="1" applyAlignment="1">
      <alignment horizontal="center"/>
    </xf>
    <xf numFmtId="0" fontId="213" fillId="4" borderId="109" xfId="0" applyFont="1" applyFill="1" applyBorder="1" applyAlignment="1">
      <alignment horizontal="center"/>
    </xf>
    <xf numFmtId="0" fontId="200" fillId="103" borderId="88" xfId="0" applyFont="1" applyFill="1" applyBorder="1" applyAlignment="1">
      <alignment horizontal="center"/>
    </xf>
    <xf numFmtId="0" fontId="200" fillId="103" borderId="84" xfId="0" applyFont="1" applyFill="1" applyBorder="1" applyAlignment="1">
      <alignment horizontal="center"/>
    </xf>
    <xf numFmtId="0" fontId="336" fillId="98" borderId="216" xfId="0" applyFont="1" applyFill="1" applyBorder="1" applyAlignment="1" applyProtection="1">
      <alignment horizontal="center" vertical="center"/>
      <protection hidden="1"/>
    </xf>
    <xf numFmtId="0" fontId="336" fillId="98" borderId="217" xfId="0" applyFont="1" applyFill="1" applyBorder="1" applyAlignment="1" applyProtection="1">
      <alignment horizontal="center" vertical="center"/>
      <protection hidden="1"/>
    </xf>
    <xf numFmtId="5" fontId="336" fillId="98" borderId="214" xfId="0" applyNumberFormat="1" applyFont="1" applyFill="1" applyBorder="1" applyAlignment="1" applyProtection="1">
      <alignment horizontal="center" vertical="center"/>
      <protection hidden="1"/>
    </xf>
    <xf numFmtId="5" fontId="336" fillId="98" borderId="215" xfId="0" applyNumberFormat="1" applyFont="1" applyFill="1" applyBorder="1" applyAlignment="1" applyProtection="1">
      <alignment horizontal="center" vertical="center"/>
      <protection hidden="1"/>
    </xf>
    <xf numFmtId="0" fontId="343" fillId="103" borderId="424" xfId="0" applyFont="1" applyFill="1" applyBorder="1" applyAlignment="1">
      <alignment horizontal="center"/>
    </xf>
    <xf numFmtId="0" fontId="343" fillId="103" borderId="355" xfId="0" applyFont="1" applyFill="1" applyBorder="1" applyAlignment="1">
      <alignment horizontal="center"/>
    </xf>
    <xf numFmtId="0" fontId="343" fillId="103" borderId="358" xfId="0" applyFont="1" applyFill="1" applyBorder="1" applyAlignment="1">
      <alignment horizontal="center"/>
    </xf>
    <xf numFmtId="0" fontId="323" fillId="98" borderId="216" xfId="0" applyFont="1" applyFill="1" applyBorder="1" applyAlignment="1" applyProtection="1">
      <alignment horizontal="center" vertical="center"/>
      <protection hidden="1"/>
    </xf>
    <xf numFmtId="0" fontId="323" fillId="98" borderId="217" xfId="0" applyFont="1" applyFill="1" applyBorder="1" applyAlignment="1" applyProtection="1">
      <alignment horizontal="center" vertical="center"/>
      <protection hidden="1"/>
    </xf>
    <xf numFmtId="0" fontId="169" fillId="103" borderId="424" xfId="0" applyFont="1" applyFill="1" applyBorder="1" applyAlignment="1">
      <alignment horizontal="center"/>
    </xf>
    <xf numFmtId="0" fontId="169" fillId="103" borderId="355" xfId="0" applyFont="1" applyFill="1" applyBorder="1" applyAlignment="1">
      <alignment horizontal="center"/>
    </xf>
    <xf numFmtId="0" fontId="169" fillId="103" borderId="358" xfId="0" applyFont="1" applyFill="1" applyBorder="1" applyAlignment="1">
      <alignment horizontal="center"/>
    </xf>
    <xf numFmtId="0" fontId="10" fillId="50" borderId="636" xfId="0" applyFont="1" applyFill="1" applyBorder="1" applyAlignment="1" applyProtection="1">
      <alignment horizontal="center" vertical="center"/>
      <protection locked="0" hidden="1"/>
    </xf>
    <xf numFmtId="0" fontId="10" fillId="50" borderId="637" xfId="0" applyFont="1" applyFill="1" applyBorder="1" applyAlignment="1" applyProtection="1">
      <alignment horizontal="center" vertical="center"/>
      <protection locked="0" hidden="1"/>
    </xf>
    <xf numFmtId="0" fontId="88" fillId="50" borderId="620" xfId="0" applyFont="1" applyFill="1" applyBorder="1" applyAlignment="1" applyProtection="1">
      <alignment horizontal="center" vertical="center"/>
      <protection locked="0"/>
    </xf>
    <xf numFmtId="0" fontId="88" fillId="50" borderId="621" xfId="0" applyFont="1" applyFill="1" applyBorder="1" applyAlignment="1" applyProtection="1">
      <alignment horizontal="center" vertical="center"/>
      <protection locked="0"/>
    </xf>
    <xf numFmtId="0" fontId="323" fillId="33" borderId="214" xfId="0" applyFont="1" applyFill="1" applyBorder="1" applyAlignment="1" applyProtection="1">
      <alignment horizontal="center" vertical="center" wrapText="1"/>
      <protection locked="0" hidden="1"/>
    </xf>
    <xf numFmtId="0" fontId="323" fillId="33" borderId="218" xfId="0" applyFont="1" applyFill="1" applyBorder="1" applyAlignment="1" applyProtection="1">
      <alignment horizontal="center" vertical="center" wrapText="1"/>
      <protection locked="0" hidden="1"/>
    </xf>
    <xf numFmtId="0" fontId="323" fillId="33" borderId="219" xfId="0" applyFont="1" applyFill="1" applyBorder="1" applyAlignment="1" applyProtection="1">
      <alignment horizontal="center" vertical="center" wrapText="1"/>
      <protection locked="0" hidden="1"/>
    </xf>
    <xf numFmtId="0" fontId="323" fillId="33" borderId="215" xfId="0" applyFont="1" applyFill="1" applyBorder="1" applyAlignment="1" applyProtection="1">
      <alignment horizontal="center" vertical="center" wrapText="1"/>
      <protection locked="0" hidden="1"/>
    </xf>
    <xf numFmtId="0" fontId="280" fillId="31" borderId="0" xfId="0" applyFont="1" applyFill="1" applyAlignment="1">
      <alignment horizontal="center"/>
    </xf>
    <xf numFmtId="0" fontId="200" fillId="103" borderId="77" xfId="0" applyFont="1" applyFill="1" applyBorder="1" applyAlignment="1">
      <alignment horizontal="center"/>
    </xf>
    <xf numFmtId="0" fontId="200" fillId="103" borderId="75" xfId="0" applyFont="1" applyFill="1" applyBorder="1" applyAlignment="1">
      <alignment horizontal="center"/>
    </xf>
    <xf numFmtId="168" fontId="168" fillId="88" borderId="0" xfId="0" applyNumberFormat="1" applyFont="1" applyFill="1" applyAlignment="1" applyProtection="1">
      <alignment horizontal="center" vertical="center" wrapText="1"/>
      <protection hidden="1"/>
    </xf>
    <xf numFmtId="168" fontId="56" fillId="88" borderId="0" xfId="0" applyNumberFormat="1" applyFont="1" applyFill="1" applyAlignment="1" applyProtection="1">
      <alignment horizontal="center" vertical="center" wrapText="1"/>
      <protection hidden="1"/>
    </xf>
    <xf numFmtId="176" fontId="355" fillId="98" borderId="216" xfId="0" applyNumberFormat="1" applyFont="1" applyFill="1" applyBorder="1" applyAlignment="1" applyProtection="1">
      <alignment horizontal="center" vertical="center"/>
      <protection hidden="1"/>
    </xf>
    <xf numFmtId="176" fontId="355" fillId="98" borderId="217" xfId="0" applyNumberFormat="1" applyFont="1" applyFill="1" applyBorder="1" applyAlignment="1" applyProtection="1">
      <alignment horizontal="center" vertical="center"/>
      <protection hidden="1"/>
    </xf>
    <xf numFmtId="0" fontId="213" fillId="31" borderId="0" xfId="0" applyFont="1" applyFill="1" applyAlignment="1">
      <alignment horizontal="center" vertical="center"/>
    </xf>
    <xf numFmtId="0" fontId="228" fillId="31" borderId="123" xfId="0" applyFont="1" applyFill="1" applyBorder="1" applyAlignment="1">
      <alignment horizontal="center"/>
    </xf>
    <xf numFmtId="0" fontId="228" fillId="31" borderId="0" xfId="0" applyFont="1" applyFill="1" applyAlignment="1">
      <alignment horizontal="center"/>
    </xf>
    <xf numFmtId="0" fontId="228" fillId="31" borderId="124" xfId="0" applyFont="1" applyFill="1" applyBorder="1" applyAlignment="1">
      <alignment horizontal="center"/>
    </xf>
    <xf numFmtId="0" fontId="169" fillId="103" borderId="355" xfId="0" applyFont="1" applyFill="1" applyBorder="1" applyAlignment="1" applyProtection="1">
      <alignment horizontal="center" vertical="center"/>
      <protection locked="0" hidden="1"/>
    </xf>
    <xf numFmtId="0" fontId="216" fillId="4" borderId="107" xfId="0" applyFont="1" applyFill="1" applyBorder="1" applyAlignment="1">
      <alignment horizontal="center" vertical="center"/>
    </xf>
    <xf numFmtId="0" fontId="216" fillId="4" borderId="108" xfId="0" applyFont="1" applyFill="1" applyBorder="1" applyAlignment="1">
      <alignment horizontal="center" vertical="center"/>
    </xf>
    <xf numFmtId="0" fontId="216" fillId="4" borderId="109" xfId="0" applyFont="1" applyFill="1" applyBorder="1" applyAlignment="1">
      <alignment horizontal="center" vertical="center"/>
    </xf>
    <xf numFmtId="176" fontId="336" fillId="43" borderId="218" xfId="0" applyNumberFormat="1" applyFont="1" applyFill="1" applyBorder="1" applyAlignment="1" applyProtection="1">
      <alignment horizontal="center" vertical="center"/>
      <protection hidden="1"/>
    </xf>
    <xf numFmtId="0" fontId="47" fillId="103" borderId="222" xfId="0" applyFont="1" applyFill="1" applyBorder="1" applyAlignment="1">
      <alignment horizontal="center" vertical="center" wrapText="1"/>
    </xf>
    <xf numFmtId="0" fontId="47" fillId="103" borderId="223" xfId="0" applyFont="1" applyFill="1" applyBorder="1" applyAlignment="1">
      <alignment horizontal="center" vertical="center" wrapText="1"/>
    </xf>
    <xf numFmtId="0" fontId="332" fillId="98" borderId="214" xfId="0" applyFont="1" applyFill="1" applyBorder="1" applyAlignment="1" applyProtection="1">
      <alignment horizontal="left" vertical="center"/>
      <protection hidden="1"/>
    </xf>
    <xf numFmtId="0" fontId="332" fillId="98" borderId="215" xfId="0" applyFont="1" applyFill="1" applyBorder="1" applyAlignment="1" applyProtection="1">
      <alignment horizontal="left" vertical="center"/>
      <protection hidden="1"/>
    </xf>
    <xf numFmtId="0" fontId="321" fillId="50" borderId="647" xfId="0" applyFont="1" applyFill="1" applyBorder="1" applyAlignment="1" applyProtection="1">
      <alignment horizontal="center"/>
      <protection locked="0" hidden="1"/>
    </xf>
    <xf numFmtId="0" fontId="321" fillId="50" borderId="648" xfId="0" applyFont="1" applyFill="1" applyBorder="1" applyAlignment="1" applyProtection="1">
      <alignment horizontal="center"/>
      <protection locked="0" hidden="1"/>
    </xf>
    <xf numFmtId="0" fontId="336" fillId="31" borderId="0" xfId="0" applyFont="1" applyFill="1" applyAlignment="1">
      <alignment horizontal="left" vertical="center"/>
    </xf>
    <xf numFmtId="0" fontId="336" fillId="43" borderId="224" xfId="0" applyFont="1" applyFill="1" applyBorder="1" applyAlignment="1" applyProtection="1">
      <alignment horizontal="center" vertical="center"/>
      <protection hidden="1"/>
    </xf>
    <xf numFmtId="0" fontId="336" fillId="43" borderId="225" xfId="0" applyFont="1" applyFill="1" applyBorder="1" applyAlignment="1" applyProtection="1">
      <alignment horizontal="center" vertical="center"/>
      <protection hidden="1"/>
    </xf>
    <xf numFmtId="0" fontId="10" fillId="50" borderId="463" xfId="0" applyFont="1" applyFill="1" applyBorder="1" applyAlignment="1" applyProtection="1">
      <alignment horizontal="center"/>
      <protection locked="0"/>
    </xf>
    <xf numFmtId="0" fontId="10" fillId="50" borderId="464" xfId="0" applyFont="1" applyFill="1" applyBorder="1" applyAlignment="1" applyProtection="1">
      <alignment horizontal="center"/>
      <protection locked="0"/>
    </xf>
    <xf numFmtId="0" fontId="338" fillId="33" borderId="214" xfId="0" applyFont="1" applyFill="1" applyBorder="1" applyAlignment="1">
      <alignment horizontal="center" vertical="center"/>
    </xf>
    <xf numFmtId="0" fontId="338" fillId="33" borderId="218" xfId="0" applyFont="1" applyFill="1" applyBorder="1" applyAlignment="1">
      <alignment horizontal="center" vertical="center"/>
    </xf>
    <xf numFmtId="0" fontId="338" fillId="33" borderId="215" xfId="0" applyFont="1" applyFill="1" applyBorder="1" applyAlignment="1">
      <alignment horizontal="center" vertical="center"/>
    </xf>
    <xf numFmtId="176" fontId="336" fillId="98" borderId="218" xfId="0" applyNumberFormat="1" applyFont="1" applyFill="1" applyBorder="1" applyAlignment="1" applyProtection="1">
      <alignment horizontal="center" vertical="center"/>
      <protection hidden="1"/>
    </xf>
    <xf numFmtId="0" fontId="236" fillId="32" borderId="88" xfId="0" applyFont="1" applyFill="1" applyBorder="1" applyAlignment="1">
      <alignment horizontal="center" vertical="center"/>
    </xf>
    <xf numFmtId="0" fontId="236" fillId="32" borderId="76" xfId="0" applyFont="1" applyFill="1" applyBorder="1" applyAlignment="1">
      <alignment horizontal="center" vertical="center"/>
    </xf>
    <xf numFmtId="0" fontId="236" fillId="32" borderId="84" xfId="0" applyFont="1" applyFill="1" applyBorder="1" applyAlignment="1">
      <alignment horizontal="center" vertical="center"/>
    </xf>
    <xf numFmtId="0" fontId="337" fillId="12" borderId="96" xfId="0" applyFont="1" applyFill="1" applyBorder="1" applyAlignment="1" applyProtection="1">
      <alignment horizontal="center" vertical="center"/>
      <protection locked="0"/>
    </xf>
    <xf numFmtId="0" fontId="337" fillId="12" borderId="24" xfId="0" applyFont="1" applyFill="1" applyBorder="1" applyAlignment="1" applyProtection="1">
      <alignment horizontal="center" vertical="center"/>
      <protection locked="0"/>
    </xf>
    <xf numFmtId="0" fontId="337" fillId="12" borderId="66" xfId="0" applyFont="1" applyFill="1" applyBorder="1" applyAlignment="1" applyProtection="1">
      <alignment horizontal="center" vertical="center"/>
      <protection locked="0"/>
    </xf>
    <xf numFmtId="0" fontId="213" fillId="4" borderId="107" xfId="0" applyFont="1" applyFill="1" applyBorder="1" applyAlignment="1">
      <alignment horizontal="center" vertical="center"/>
    </xf>
    <xf numFmtId="0" fontId="213" fillId="4" borderId="108" xfId="0" applyFont="1" applyFill="1" applyBorder="1" applyAlignment="1">
      <alignment horizontal="center" vertical="center"/>
    </xf>
    <xf numFmtId="0" fontId="213" fillId="4" borderId="109" xfId="0" applyFont="1" applyFill="1" applyBorder="1" applyAlignment="1">
      <alignment horizontal="center" vertical="center"/>
    </xf>
    <xf numFmtId="0" fontId="328" fillId="0" borderId="613" xfId="0" applyFont="1" applyBorder="1" applyAlignment="1" applyProtection="1">
      <alignment horizontal="center"/>
      <protection locked="0"/>
    </xf>
    <xf numFmtId="0" fontId="328" fillId="0" borderId="85" xfId="0" applyFont="1" applyBorder="1" applyAlignment="1" applyProtection="1">
      <alignment horizontal="center"/>
      <protection locked="0"/>
    </xf>
    <xf numFmtId="0" fontId="328" fillId="0" borderId="614" xfId="0" applyFont="1" applyBorder="1" applyAlignment="1" applyProtection="1">
      <alignment horizontal="center"/>
      <protection locked="0"/>
    </xf>
    <xf numFmtId="166" fontId="289" fillId="107" borderId="597" xfId="0" applyNumberFormat="1" applyFont="1" applyFill="1" applyBorder="1" applyAlignment="1" applyProtection="1">
      <alignment horizontal="center" vertical="center"/>
      <protection hidden="1"/>
    </xf>
    <xf numFmtId="166" fontId="289" fillId="107" borderId="566" xfId="0" applyNumberFormat="1" applyFont="1" applyFill="1" applyBorder="1" applyAlignment="1" applyProtection="1">
      <alignment horizontal="center" vertical="center"/>
      <protection hidden="1"/>
    </xf>
    <xf numFmtId="0" fontId="512" fillId="35" borderId="427" xfId="0" applyFont="1" applyFill="1" applyBorder="1" applyAlignment="1">
      <alignment horizontal="center" vertical="center" wrapText="1"/>
    </xf>
    <xf numFmtId="0" fontId="512" fillId="35" borderId="428" xfId="0" applyFont="1" applyFill="1" applyBorder="1" applyAlignment="1">
      <alignment horizontal="center" vertical="center" wrapText="1"/>
    </xf>
    <xf numFmtId="0" fontId="512" fillId="35" borderId="429" xfId="0" applyFont="1" applyFill="1" applyBorder="1" applyAlignment="1">
      <alignment horizontal="center" vertical="center" wrapText="1"/>
    </xf>
    <xf numFmtId="0" fontId="512" fillId="35" borderId="430" xfId="0" applyFont="1" applyFill="1" applyBorder="1" applyAlignment="1">
      <alignment horizontal="center" vertical="center" wrapText="1"/>
    </xf>
    <xf numFmtId="0" fontId="512" fillId="35" borderId="431" xfId="0" applyFont="1" applyFill="1" applyBorder="1" applyAlignment="1">
      <alignment horizontal="center" vertical="center" wrapText="1"/>
    </xf>
    <xf numFmtId="0" fontId="512" fillId="35" borderId="432" xfId="0" applyFont="1" applyFill="1" applyBorder="1" applyAlignment="1">
      <alignment horizontal="center" vertical="center" wrapText="1"/>
    </xf>
    <xf numFmtId="0" fontId="0" fillId="39" borderId="220" xfId="0" applyFill="1" applyBorder="1" applyAlignment="1" applyProtection="1">
      <alignment horizontal="center" vertical="center"/>
      <protection hidden="1"/>
    </xf>
    <xf numFmtId="0" fontId="0" fillId="39" borderId="221" xfId="0" applyFill="1" applyBorder="1" applyAlignment="1" applyProtection="1">
      <alignment horizontal="center" vertical="center"/>
      <protection hidden="1"/>
    </xf>
    <xf numFmtId="166" fontId="523" fillId="2" borderId="77" xfId="0" applyNumberFormat="1" applyFont="1" applyFill="1" applyBorder="1" applyAlignment="1">
      <alignment horizontal="right"/>
    </xf>
    <xf numFmtId="166" fontId="523" fillId="2" borderId="0" xfId="0" applyNumberFormat="1" applyFont="1" applyFill="1" applyAlignment="1">
      <alignment horizontal="right"/>
    </xf>
    <xf numFmtId="0" fontId="47" fillId="103" borderId="220" xfId="0" applyFont="1" applyFill="1" applyBorder="1" applyAlignment="1">
      <alignment horizontal="center" vertical="center" wrapText="1"/>
    </xf>
    <xf numFmtId="0" fontId="47" fillId="103" borderId="219" xfId="0" applyFont="1" applyFill="1" applyBorder="1" applyAlignment="1">
      <alignment horizontal="center" vertical="center" wrapText="1"/>
    </xf>
    <xf numFmtId="0" fontId="47" fillId="103" borderId="221" xfId="0" applyFont="1" applyFill="1" applyBorder="1" applyAlignment="1">
      <alignment horizontal="center" vertical="center" wrapText="1"/>
    </xf>
    <xf numFmtId="0" fontId="261" fillId="103" borderId="77" xfId="0" applyFont="1" applyFill="1" applyBorder="1" applyAlignment="1" applyProtection="1">
      <alignment horizontal="right" vertical="center" wrapText="1"/>
      <protection hidden="1"/>
    </xf>
    <xf numFmtId="0" fontId="261" fillId="103" borderId="0" xfId="0" applyFont="1" applyFill="1" applyAlignment="1" applyProtection="1">
      <alignment horizontal="right" vertical="center" wrapText="1"/>
      <protection hidden="1"/>
    </xf>
    <xf numFmtId="0" fontId="261" fillId="103" borderId="75" xfId="0" applyFont="1" applyFill="1" applyBorder="1" applyAlignment="1" applyProtection="1">
      <alignment horizontal="right" vertical="center" wrapText="1"/>
      <protection hidden="1"/>
    </xf>
    <xf numFmtId="0" fontId="216" fillId="31" borderId="0" xfId="0" applyFont="1" applyFill="1" applyAlignment="1">
      <alignment horizontal="center" vertical="center" wrapText="1"/>
    </xf>
    <xf numFmtId="0" fontId="223" fillId="18" borderId="0" xfId="0" applyFont="1" applyFill="1" applyAlignment="1">
      <alignment horizontal="left"/>
    </xf>
    <xf numFmtId="0" fontId="323" fillId="33" borderId="427" xfId="0" applyFont="1" applyFill="1" applyBorder="1" applyAlignment="1">
      <alignment horizontal="left" vertical="center" wrapText="1"/>
    </xf>
    <xf numFmtId="0" fontId="323" fillId="33" borderId="428" xfId="0" applyFont="1" applyFill="1" applyBorder="1" applyAlignment="1">
      <alignment horizontal="left" vertical="center" wrapText="1"/>
    </xf>
    <xf numFmtId="0" fontId="323" fillId="33" borderId="429" xfId="0" applyFont="1" applyFill="1" applyBorder="1" applyAlignment="1">
      <alignment horizontal="left" vertical="center" wrapText="1"/>
    </xf>
    <xf numFmtId="0" fontId="323" fillId="33" borderId="430" xfId="0" applyFont="1" applyFill="1" applyBorder="1" applyAlignment="1">
      <alignment horizontal="left" vertical="center" wrapText="1"/>
    </xf>
    <xf numFmtId="0" fontId="323" fillId="33" borderId="431" xfId="0" applyFont="1" applyFill="1" applyBorder="1" applyAlignment="1">
      <alignment horizontal="left" vertical="center" wrapText="1"/>
    </xf>
    <xf numFmtId="0" fontId="323" fillId="33" borderId="432" xfId="0" applyFont="1" applyFill="1" applyBorder="1" applyAlignment="1">
      <alignment horizontal="left" vertical="center" wrapText="1"/>
    </xf>
    <xf numFmtId="0" fontId="0" fillId="31" borderId="430" xfId="0" applyFill="1" applyBorder="1" applyAlignment="1" applyProtection="1">
      <alignment horizontal="center"/>
      <protection locked="0" hidden="1"/>
    </xf>
    <xf numFmtId="0" fontId="0" fillId="31" borderId="431" xfId="0" applyFill="1" applyBorder="1" applyAlignment="1" applyProtection="1">
      <alignment horizontal="center"/>
      <protection locked="0" hidden="1"/>
    </xf>
    <xf numFmtId="0" fontId="0" fillId="31" borderId="432" xfId="0" applyFill="1" applyBorder="1" applyAlignment="1" applyProtection="1">
      <alignment horizontal="center"/>
      <protection locked="0" hidden="1"/>
    </xf>
    <xf numFmtId="0" fontId="225" fillId="18" borderId="0" xfId="0" applyFont="1" applyFill="1" applyAlignment="1">
      <alignment horizontal="left" vertical="center" wrapText="1"/>
    </xf>
    <xf numFmtId="0" fontId="225" fillId="18" borderId="0" xfId="0" applyFont="1" applyFill="1" applyAlignment="1">
      <alignment vertical="center" wrapText="1"/>
    </xf>
    <xf numFmtId="0" fontId="0" fillId="9" borderId="0" xfId="0" applyFill="1" applyAlignment="1">
      <alignment horizontal="center"/>
    </xf>
    <xf numFmtId="0" fontId="225" fillId="18" borderId="0" xfId="0" applyFont="1" applyFill="1" applyAlignment="1">
      <alignment vertical="center"/>
    </xf>
    <xf numFmtId="0" fontId="227" fillId="18" borderId="0" xfId="0" applyFont="1" applyFill="1" applyAlignment="1">
      <alignment horizontal="center"/>
    </xf>
    <xf numFmtId="0" fontId="227" fillId="18" borderId="0" xfId="0" applyFont="1" applyFill="1" applyAlignment="1">
      <alignment vertical="center"/>
    </xf>
    <xf numFmtId="0" fontId="321" fillId="50" borderId="483" xfId="0" applyFont="1" applyFill="1" applyBorder="1" applyAlignment="1" applyProtection="1">
      <alignment horizontal="center" vertical="center" wrapText="1"/>
      <protection locked="0" hidden="1"/>
    </xf>
    <xf numFmtId="0" fontId="261" fillId="93" borderId="626" xfId="0" applyFont="1" applyFill="1" applyBorder="1" applyAlignment="1">
      <alignment horizontal="center" vertical="center" wrapText="1"/>
    </xf>
    <xf numFmtId="0" fontId="261" fillId="93" borderId="627" xfId="0" applyFont="1" applyFill="1" applyBorder="1" applyAlignment="1">
      <alignment horizontal="center" vertical="center" wrapText="1"/>
    </xf>
    <xf numFmtId="0" fontId="261" fillId="93" borderId="628" xfId="0" applyFont="1" applyFill="1" applyBorder="1" applyAlignment="1">
      <alignment horizontal="center" vertical="center" wrapText="1"/>
    </xf>
    <xf numFmtId="0" fontId="323" fillId="33" borderId="697" xfId="0" applyFont="1" applyFill="1" applyBorder="1" applyAlignment="1">
      <alignment horizontal="center" vertical="center"/>
    </xf>
    <xf numFmtId="0" fontId="323" fillId="33" borderId="698" xfId="0" applyFont="1" applyFill="1" applyBorder="1" applyAlignment="1">
      <alignment horizontal="center" vertical="center"/>
    </xf>
    <xf numFmtId="0" fontId="323" fillId="33" borderId="699" xfId="0" applyFont="1" applyFill="1" applyBorder="1" applyAlignment="1">
      <alignment horizontal="center" vertical="center"/>
    </xf>
    <xf numFmtId="0" fontId="323" fillId="55" borderId="704" xfId="0" applyFont="1" applyFill="1" applyBorder="1" applyAlignment="1">
      <alignment horizontal="center" vertical="center" wrapText="1"/>
    </xf>
    <xf numFmtId="0" fontId="323" fillId="55" borderId="705" xfId="0" applyFont="1" applyFill="1" applyBorder="1" applyAlignment="1">
      <alignment horizontal="center" vertical="center" wrapText="1"/>
    </xf>
    <xf numFmtId="0" fontId="323" fillId="55" borderId="706" xfId="0" applyFont="1" applyFill="1" applyBorder="1" applyAlignment="1">
      <alignment horizontal="center" vertical="center" wrapText="1"/>
    </xf>
    <xf numFmtId="0" fontId="323" fillId="55" borderId="318" xfId="0" applyFont="1" applyFill="1" applyBorder="1" applyAlignment="1" applyProtection="1">
      <alignment horizontal="left" vertical="center" wrapText="1"/>
      <protection hidden="1"/>
    </xf>
    <xf numFmtId="0" fontId="323" fillId="55" borderId="319" xfId="0" applyFont="1" applyFill="1" applyBorder="1" applyAlignment="1" applyProtection="1">
      <alignment horizontal="left" vertical="center" wrapText="1"/>
      <protection hidden="1"/>
    </xf>
    <xf numFmtId="0" fontId="323" fillId="55" borderId="320" xfId="0" applyFont="1" applyFill="1" applyBorder="1" applyAlignment="1" applyProtection="1">
      <alignment horizontal="left" vertical="center" wrapText="1"/>
      <protection hidden="1"/>
    </xf>
    <xf numFmtId="0" fontId="419" fillId="55" borderId="715" xfId="0" applyFont="1" applyFill="1" applyBorder="1" applyAlignment="1">
      <alignment horizontal="center" vertical="center"/>
    </xf>
    <xf numFmtId="0" fontId="419" fillId="55" borderId="716" xfId="0" applyFont="1" applyFill="1" applyBorder="1" applyAlignment="1">
      <alignment horizontal="center" vertical="center"/>
    </xf>
    <xf numFmtId="0" fontId="419" fillId="55" borderId="712" xfId="0" applyFont="1" applyFill="1" applyBorder="1" applyAlignment="1" applyProtection="1">
      <alignment horizontal="center" vertical="center"/>
      <protection hidden="1"/>
    </xf>
    <xf numFmtId="0" fontId="419" fillId="55" borderId="713" xfId="0" applyFont="1" applyFill="1" applyBorder="1" applyAlignment="1" applyProtection="1">
      <alignment horizontal="center" vertical="center"/>
      <protection hidden="1"/>
    </xf>
    <xf numFmtId="0" fontId="419" fillId="55" borderId="714" xfId="0" applyFont="1" applyFill="1" applyBorder="1" applyAlignment="1" applyProtection="1">
      <alignment horizontal="center" vertical="center"/>
      <protection hidden="1"/>
    </xf>
    <xf numFmtId="0" fontId="140" fillId="6" borderId="0" xfId="0" applyFont="1" applyFill="1" applyAlignment="1">
      <alignment horizontal="center"/>
    </xf>
    <xf numFmtId="3" fontId="140" fillId="6" borderId="0" xfId="0" applyNumberFormat="1" applyFont="1" applyFill="1" applyAlignment="1">
      <alignment horizontal="center"/>
    </xf>
    <xf numFmtId="0" fontId="327" fillId="39" borderId="219" xfId="0" applyFont="1" applyFill="1" applyBorder="1" applyAlignment="1" applyProtection="1">
      <alignment horizontal="center" vertical="center"/>
      <protection hidden="1"/>
    </xf>
    <xf numFmtId="0" fontId="336" fillId="31" borderId="123" xfId="0" applyFont="1" applyFill="1" applyBorder="1" applyAlignment="1">
      <alignment horizontal="left" vertical="center" wrapText="1"/>
    </xf>
    <xf numFmtId="0" fontId="336" fillId="31" borderId="0" xfId="0" applyFont="1" applyFill="1" applyAlignment="1">
      <alignment horizontal="left" vertical="center" wrapText="1"/>
    </xf>
    <xf numFmtId="0" fontId="336" fillId="31" borderId="124" xfId="0" applyFont="1" applyFill="1" applyBorder="1" applyAlignment="1">
      <alignment horizontal="left" vertical="center" wrapText="1"/>
    </xf>
    <xf numFmtId="0" fontId="504" fillId="31" borderId="123" xfId="0" applyFont="1" applyFill="1" applyBorder="1" applyAlignment="1">
      <alignment horizontal="left" vertical="center" wrapText="1"/>
    </xf>
    <xf numFmtId="0" fontId="504" fillId="31" borderId="0" xfId="0" applyFont="1" applyFill="1" applyAlignment="1">
      <alignment horizontal="left" vertical="center" wrapText="1"/>
    </xf>
    <xf numFmtId="0" fontId="504" fillId="31" borderId="124" xfId="0" applyFont="1" applyFill="1" applyBorder="1" applyAlignment="1">
      <alignment horizontal="left" vertical="center" wrapText="1"/>
    </xf>
    <xf numFmtId="0" fontId="336" fillId="31" borderId="77" xfId="0" applyFont="1" applyFill="1" applyBorder="1" applyAlignment="1" applyProtection="1">
      <alignment horizontal="left" vertical="center" wrapText="1"/>
      <protection hidden="1"/>
    </xf>
    <xf numFmtId="0" fontId="336" fillId="31" borderId="0" xfId="0" applyFont="1" applyFill="1" applyAlignment="1" applyProtection="1">
      <alignment horizontal="left" vertical="center" wrapText="1"/>
      <protection hidden="1"/>
    </xf>
    <xf numFmtId="0" fontId="336" fillId="31" borderId="75" xfId="0" applyFont="1" applyFill="1" applyBorder="1" applyAlignment="1" applyProtection="1">
      <alignment horizontal="left" vertical="center" wrapText="1"/>
      <protection hidden="1"/>
    </xf>
    <xf numFmtId="0" fontId="336" fillId="31" borderId="77" xfId="0" applyFont="1" applyFill="1" applyBorder="1" applyAlignment="1" applyProtection="1">
      <alignment horizontal="center" vertical="center"/>
      <protection hidden="1"/>
    </xf>
    <xf numFmtId="0" fontId="336" fillId="31" borderId="0" xfId="0" applyFont="1" applyFill="1" applyAlignment="1" applyProtection="1">
      <alignment horizontal="center" vertical="center"/>
      <protection hidden="1"/>
    </xf>
    <xf numFmtId="0" fontId="336" fillId="31" borderId="75" xfId="0" applyFont="1" applyFill="1" applyBorder="1" applyAlignment="1" applyProtection="1">
      <alignment horizontal="center" vertical="center"/>
      <protection hidden="1"/>
    </xf>
    <xf numFmtId="0" fontId="336" fillId="33" borderId="697" xfId="0" applyFont="1" applyFill="1" applyBorder="1" applyAlignment="1">
      <alignment horizontal="center" vertical="center"/>
    </xf>
    <xf numFmtId="0" fontId="336" fillId="33" borderId="698" xfId="0" applyFont="1" applyFill="1" applyBorder="1" applyAlignment="1">
      <alignment horizontal="center" vertical="center"/>
    </xf>
    <xf numFmtId="0" fontId="336" fillId="33" borderId="699" xfId="0" applyFont="1" applyFill="1" applyBorder="1" applyAlignment="1">
      <alignment horizontal="center" vertical="center"/>
    </xf>
    <xf numFmtId="0" fontId="419" fillId="55" borderId="482" xfId="0" applyFont="1" applyFill="1" applyBorder="1" applyAlignment="1" applyProtection="1">
      <alignment horizontal="center" vertical="center" wrapText="1"/>
      <protection hidden="1"/>
    </xf>
    <xf numFmtId="0" fontId="323" fillId="55" borderId="441" xfId="0" applyFont="1" applyFill="1" applyBorder="1" applyAlignment="1">
      <alignment horizontal="left" vertical="center" wrapText="1"/>
    </xf>
    <xf numFmtId="0" fontId="323" fillId="55" borderId="355" xfId="0" applyFont="1" applyFill="1" applyBorder="1" applyAlignment="1">
      <alignment horizontal="left" vertical="center" wrapText="1"/>
    </xf>
    <xf numFmtId="0" fontId="323" fillId="55" borderId="490" xfId="0" applyFont="1" applyFill="1" applyBorder="1" applyAlignment="1">
      <alignment horizontal="left" vertical="center" wrapText="1"/>
    </xf>
    <xf numFmtId="0" fontId="327" fillId="55" borderId="319" xfId="0" applyFont="1" applyFill="1" applyBorder="1" applyAlignment="1" applyProtection="1">
      <alignment horizontal="center" vertical="center" wrapText="1"/>
      <protection hidden="1"/>
    </xf>
    <xf numFmtId="0" fontId="323" fillId="102" borderId="427" xfId="0" applyFont="1" applyFill="1" applyBorder="1" applyAlignment="1">
      <alignment horizontal="left" vertical="center" wrapText="1"/>
    </xf>
    <xf numFmtId="0" fontId="323" fillId="102" borderId="428" xfId="0" applyFont="1" applyFill="1" applyBorder="1" applyAlignment="1">
      <alignment horizontal="left" vertical="center" wrapText="1"/>
    </xf>
    <xf numFmtId="0" fontId="323" fillId="102" borderId="429" xfId="0" applyFont="1" applyFill="1" applyBorder="1" applyAlignment="1">
      <alignment horizontal="left" vertical="center" wrapText="1"/>
    </xf>
    <xf numFmtId="0" fontId="323" fillId="102" borderId="430" xfId="0" applyFont="1" applyFill="1" applyBorder="1" applyAlignment="1">
      <alignment horizontal="left" vertical="center" wrapText="1"/>
    </xf>
    <xf numFmtId="0" fontId="323" fillId="102" borderId="431" xfId="0" applyFont="1" applyFill="1" applyBorder="1" applyAlignment="1">
      <alignment horizontal="left" vertical="center" wrapText="1"/>
    </xf>
    <xf numFmtId="0" fontId="323" fillId="102" borderId="432" xfId="0" applyFont="1" applyFill="1" applyBorder="1" applyAlignment="1">
      <alignment horizontal="left" vertical="center" wrapText="1"/>
    </xf>
    <xf numFmtId="0" fontId="0" fillId="32" borderId="430" xfId="0" applyFill="1" applyBorder="1" applyAlignment="1" applyProtection="1">
      <alignment horizontal="center"/>
      <protection locked="0" hidden="1"/>
    </xf>
    <xf numFmtId="0" fontId="0" fillId="32" borderId="431" xfId="0" applyFill="1" applyBorder="1" applyAlignment="1" applyProtection="1">
      <alignment horizontal="center"/>
      <protection locked="0" hidden="1"/>
    </xf>
    <xf numFmtId="0" fontId="0" fillId="32" borderId="432" xfId="0" applyFill="1" applyBorder="1" applyAlignment="1" applyProtection="1">
      <alignment horizontal="center"/>
      <protection locked="0" hidden="1"/>
    </xf>
    <xf numFmtId="0" fontId="506" fillId="31" borderId="318" xfId="0" applyFont="1" applyFill="1" applyBorder="1" applyAlignment="1">
      <alignment horizontal="center" vertical="center"/>
    </xf>
    <xf numFmtId="0" fontId="506" fillId="31" borderId="319" xfId="0" applyFont="1" applyFill="1" applyBorder="1" applyAlignment="1">
      <alignment horizontal="center" vertical="center"/>
    </xf>
    <xf numFmtId="0" fontId="506" fillId="31" borderId="320" xfId="0" applyFont="1" applyFill="1" applyBorder="1" applyAlignment="1">
      <alignment horizontal="center" vertical="center"/>
    </xf>
    <xf numFmtId="0" fontId="323" fillId="33" borderId="318" xfId="0" applyFont="1" applyFill="1" applyBorder="1" applyAlignment="1">
      <alignment horizontal="center" vertical="center"/>
    </xf>
    <xf numFmtId="0" fontId="323" fillId="33" borderId="319" xfId="0" applyFont="1" applyFill="1" applyBorder="1" applyAlignment="1">
      <alignment horizontal="center" vertical="center"/>
    </xf>
    <xf numFmtId="0" fontId="323" fillId="33" borderId="320" xfId="0" applyFont="1" applyFill="1" applyBorder="1" applyAlignment="1">
      <alignment horizontal="center" vertical="center"/>
    </xf>
    <xf numFmtId="0" fontId="140" fillId="2" borderId="0" xfId="0" applyFont="1" applyFill="1" applyAlignment="1">
      <alignment horizontal="center"/>
    </xf>
    <xf numFmtId="0" fontId="223" fillId="18" borderId="0" xfId="0" applyFont="1" applyFill="1" applyAlignment="1">
      <alignment horizontal="left" vertical="top" wrapText="1"/>
    </xf>
    <xf numFmtId="0" fontId="0" fillId="4" borderId="93" xfId="0" applyFill="1" applyBorder="1" applyAlignment="1">
      <alignment horizontal="center" vertical="center"/>
    </xf>
    <xf numFmtId="0" fontId="0" fillId="4" borderId="12" xfId="0" applyFill="1" applyBorder="1" applyAlignment="1">
      <alignment horizontal="center" vertical="center"/>
    </xf>
    <xf numFmtId="0" fontId="251" fillId="2" borderId="0" xfId="0" applyFont="1" applyFill="1" applyAlignment="1">
      <alignment horizontal="left" vertical="center" wrapText="1"/>
    </xf>
    <xf numFmtId="0" fontId="227" fillId="18" borderId="0" xfId="0" applyFont="1" applyFill="1" applyAlignment="1">
      <alignment horizontal="left"/>
    </xf>
    <xf numFmtId="0" fontId="223" fillId="18" borderId="0" xfId="0" applyFont="1" applyFill="1" applyAlignment="1">
      <alignment horizontal="left" vertical="center" wrapText="1"/>
    </xf>
    <xf numFmtId="0" fontId="287" fillId="2" borderId="0" xfId="0" applyFont="1" applyFill="1" applyAlignment="1">
      <alignment horizontal="left" vertical="center" wrapText="1"/>
    </xf>
    <xf numFmtId="0" fontId="0" fillId="2" borderId="0" xfId="0" applyFill="1" applyAlignment="1">
      <alignment horizontal="center"/>
    </xf>
    <xf numFmtId="0" fontId="220" fillId="9" borderId="0" xfId="0" applyFont="1" applyFill="1" applyAlignment="1" applyProtection="1">
      <alignment horizontal="left" vertical="center"/>
      <protection hidden="1"/>
    </xf>
    <xf numFmtId="0" fontId="179" fillId="6" borderId="0" xfId="0" applyFont="1" applyFill="1" applyAlignment="1">
      <alignment horizontal="center"/>
    </xf>
    <xf numFmtId="0" fontId="225" fillId="18" borderId="0" xfId="0" applyFont="1" applyFill="1" applyAlignment="1">
      <alignment horizontal="left" vertical="top" wrapText="1"/>
    </xf>
    <xf numFmtId="0" fontId="0" fillId="4" borderId="92" xfId="0" applyFill="1" applyBorder="1" applyAlignment="1">
      <alignment horizontal="center" vertical="center"/>
    </xf>
    <xf numFmtId="0" fontId="0" fillId="4" borderId="127" xfId="0" applyFill="1" applyBorder="1" applyAlignment="1">
      <alignment horizontal="center" vertical="center"/>
    </xf>
    <xf numFmtId="0" fontId="233" fillId="4" borderId="93" xfId="0" applyFont="1" applyFill="1" applyBorder="1" applyAlignment="1">
      <alignment horizontal="center" vertical="center"/>
    </xf>
    <xf numFmtId="0" fontId="233" fillId="4" borderId="12" xfId="0" applyFont="1" applyFill="1" applyBorder="1" applyAlignment="1">
      <alignment horizontal="center" vertical="center"/>
    </xf>
    <xf numFmtId="0" fontId="271" fillId="4" borderId="22" xfId="0" applyFont="1" applyFill="1" applyBorder="1" applyAlignment="1">
      <alignment horizontal="center"/>
    </xf>
    <xf numFmtId="0" fontId="271" fillId="4" borderId="25" xfId="0" applyFont="1" applyFill="1" applyBorder="1" applyAlignment="1">
      <alignment horizontal="center"/>
    </xf>
    <xf numFmtId="0" fontId="271" fillId="4" borderId="73" xfId="0" applyFont="1" applyFill="1" applyBorder="1" applyAlignment="1">
      <alignment horizontal="center"/>
    </xf>
    <xf numFmtId="0" fontId="271" fillId="4" borderId="22" xfId="0" applyFont="1" applyFill="1" applyBorder="1" applyAlignment="1">
      <alignment horizontal="center" vertical="center"/>
    </xf>
    <xf numFmtId="0" fontId="271" fillId="4" borderId="73" xfId="0" applyFont="1" applyFill="1" applyBorder="1" applyAlignment="1">
      <alignment horizontal="center" vertical="center"/>
    </xf>
    <xf numFmtId="0" fontId="144" fillId="4" borderId="128" xfId="0" applyFont="1" applyFill="1" applyBorder="1" applyAlignment="1">
      <alignment horizontal="left" vertical="center"/>
    </xf>
    <xf numFmtId="0" fontId="144" fillId="4" borderId="91" xfId="0" applyFont="1" applyFill="1" applyBorder="1" applyAlignment="1">
      <alignment horizontal="left" vertical="center"/>
    </xf>
    <xf numFmtId="0" fontId="271" fillId="4" borderId="12" xfId="0" applyFont="1" applyFill="1" applyBorder="1" applyAlignment="1">
      <alignment horizontal="center"/>
    </xf>
    <xf numFmtId="0" fontId="271" fillId="4" borderId="25" xfId="0" applyFont="1" applyFill="1" applyBorder="1" applyAlignment="1">
      <alignment horizontal="center" vertical="center"/>
    </xf>
    <xf numFmtId="1" fontId="271" fillId="4" borderId="12" xfId="0" applyNumberFormat="1" applyFont="1" applyFill="1" applyBorder="1" applyAlignment="1">
      <alignment horizontal="center"/>
    </xf>
    <xf numFmtId="0" fontId="0" fillId="4" borderId="93" xfId="0" applyFill="1" applyBorder="1" applyAlignment="1">
      <alignment horizontal="center"/>
    </xf>
    <xf numFmtId="0" fontId="0" fillId="4" borderId="12" xfId="0" applyFill="1" applyBorder="1" applyAlignment="1">
      <alignment horizontal="center"/>
    </xf>
    <xf numFmtId="0" fontId="0" fillId="4" borderId="94" xfId="0" applyFill="1" applyBorder="1" applyAlignment="1">
      <alignment horizontal="center" vertical="center"/>
    </xf>
    <xf numFmtId="0" fontId="0" fillId="4" borderId="128" xfId="0" applyFill="1" applyBorder="1" applyAlignment="1">
      <alignment horizontal="center" vertical="center"/>
    </xf>
    <xf numFmtId="0" fontId="144" fillId="4" borderId="0" xfId="0" applyFont="1" applyFill="1" applyAlignment="1">
      <alignment horizontal="center" vertical="center"/>
    </xf>
    <xf numFmtId="0" fontId="0" fillId="4" borderId="0" xfId="0" applyFill="1" applyAlignment="1">
      <alignment horizontal="center"/>
    </xf>
    <xf numFmtId="0" fontId="233" fillId="4" borderId="127" xfId="0" applyFont="1" applyFill="1" applyBorder="1" applyAlignment="1">
      <alignment horizontal="left" vertical="center"/>
    </xf>
    <xf numFmtId="0" fontId="233" fillId="4" borderId="89" xfId="0" applyFont="1" applyFill="1" applyBorder="1" applyAlignment="1">
      <alignment horizontal="left" vertical="center"/>
    </xf>
    <xf numFmtId="0" fontId="144" fillId="4" borderId="12" xfId="0" applyFont="1" applyFill="1" applyBorder="1" applyAlignment="1">
      <alignment horizontal="left" vertical="center"/>
    </xf>
    <xf numFmtId="0" fontId="144" fillId="4" borderId="90" xfId="0" applyFont="1" applyFill="1" applyBorder="1" applyAlignment="1">
      <alignment horizontal="left" vertical="center"/>
    </xf>
    <xf numFmtId="0" fontId="233" fillId="4" borderId="12" xfId="0" applyFont="1" applyFill="1" applyBorder="1" applyAlignment="1">
      <alignment horizontal="center"/>
    </xf>
    <xf numFmtId="0" fontId="176" fillId="50" borderId="0" xfId="0" applyFont="1" applyFill="1" applyAlignment="1">
      <alignment horizontal="center"/>
    </xf>
    <xf numFmtId="0" fontId="218" fillId="33" borderId="0" xfId="0" applyFont="1" applyFill="1" applyAlignment="1">
      <alignment horizontal="center" vertical="center"/>
    </xf>
    <xf numFmtId="0" fontId="216" fillId="33" borderId="0" xfId="0" applyFont="1" applyFill="1" applyAlignment="1">
      <alignment horizontal="center"/>
    </xf>
    <xf numFmtId="0" fontId="323" fillId="33" borderId="77" xfId="0" applyFont="1" applyFill="1" applyBorder="1" applyAlignment="1">
      <alignment horizontal="center" vertical="center" wrapText="1"/>
    </xf>
    <xf numFmtId="0" fontId="323" fillId="33" borderId="0" xfId="0" applyFont="1" applyFill="1" applyAlignment="1">
      <alignment horizontal="center" vertical="center" wrapText="1"/>
    </xf>
    <xf numFmtId="0" fontId="323" fillId="33" borderId="75" xfId="0" applyFont="1" applyFill="1" applyBorder="1" applyAlignment="1">
      <alignment horizontal="center" vertical="center" wrapText="1"/>
    </xf>
    <xf numFmtId="0" fontId="327" fillId="39" borderId="431" xfId="0" applyFont="1" applyFill="1" applyBorder="1" applyAlignment="1" applyProtection="1">
      <alignment horizontal="center" vertical="center"/>
      <protection hidden="1"/>
    </xf>
    <xf numFmtId="0" fontId="325" fillId="49" borderId="427" xfId="0" applyFont="1" applyFill="1" applyBorder="1" applyAlignment="1" applyProtection="1">
      <alignment horizontal="center" vertical="center" wrapText="1"/>
      <protection hidden="1"/>
    </xf>
    <xf numFmtId="0" fontId="325" fillId="49" borderId="428" xfId="0" applyFont="1" applyFill="1" applyBorder="1" applyAlignment="1" applyProtection="1">
      <alignment horizontal="center" vertical="center" wrapText="1"/>
      <protection hidden="1"/>
    </xf>
    <xf numFmtId="0" fontId="325" fillId="49" borderId="429" xfId="0" applyFont="1" applyFill="1" applyBorder="1" applyAlignment="1" applyProtection="1">
      <alignment horizontal="center" vertical="center" wrapText="1"/>
      <protection hidden="1"/>
    </xf>
    <xf numFmtId="0" fontId="505" fillId="31" borderId="484" xfId="0" applyFont="1" applyFill="1" applyBorder="1" applyAlignment="1">
      <alignment horizontal="left" vertical="center" wrapText="1"/>
    </xf>
    <xf numFmtId="0" fontId="505" fillId="31" borderId="76" xfId="0" applyFont="1" applyFill="1" applyBorder="1" applyAlignment="1">
      <alignment horizontal="left" vertical="center" wrapText="1"/>
    </xf>
    <xf numFmtId="0" fontId="505" fillId="31" borderId="632" xfId="0" applyFont="1" applyFill="1" applyBorder="1" applyAlignment="1">
      <alignment horizontal="left" vertical="center" wrapText="1"/>
    </xf>
    <xf numFmtId="0" fontId="504" fillId="31" borderId="441" xfId="0" applyFont="1" applyFill="1" applyBorder="1" applyAlignment="1">
      <alignment horizontal="left" vertical="center" wrapText="1"/>
    </xf>
    <xf numFmtId="0" fontId="504" fillId="31" borderId="355" xfId="0" applyFont="1" applyFill="1" applyBorder="1" applyAlignment="1">
      <alignment horizontal="left" vertical="center" wrapText="1"/>
    </xf>
    <xf numFmtId="0" fontId="504" fillId="31" borderId="490" xfId="0" applyFont="1" applyFill="1" applyBorder="1" applyAlignment="1">
      <alignment horizontal="left" vertical="center" wrapText="1"/>
    </xf>
    <xf numFmtId="0" fontId="47" fillId="93" borderId="88" xfId="0" applyFont="1" applyFill="1" applyBorder="1" applyAlignment="1">
      <alignment horizontal="center" vertical="center" wrapText="1"/>
    </xf>
    <xf numFmtId="0" fontId="47" fillId="93" borderId="76" xfId="0" applyFont="1" applyFill="1" applyBorder="1" applyAlignment="1">
      <alignment horizontal="center" vertical="center" wrapText="1"/>
    </xf>
    <xf numFmtId="0" fontId="47" fillId="93" borderId="84" xfId="0" applyFont="1" applyFill="1" applyBorder="1" applyAlignment="1">
      <alignment horizontal="center" vertical="center" wrapText="1"/>
    </xf>
    <xf numFmtId="0" fontId="47" fillId="32" borderId="107" xfId="0" applyFont="1" applyFill="1" applyBorder="1" applyAlignment="1">
      <alignment horizontal="center" vertical="center"/>
    </xf>
    <xf numFmtId="0" fontId="47" fillId="32" borderId="108" xfId="0" applyFont="1" applyFill="1" applyBorder="1" applyAlignment="1">
      <alignment horizontal="center" vertical="center"/>
    </xf>
    <xf numFmtId="0" fontId="47" fillId="32" borderId="109" xfId="0" applyFont="1" applyFill="1" applyBorder="1" applyAlignment="1">
      <alignment horizontal="center" vertical="center"/>
    </xf>
    <xf numFmtId="0" fontId="323" fillId="33" borderId="107" xfId="0" applyFont="1" applyFill="1" applyBorder="1" applyAlignment="1">
      <alignment horizontal="center" vertical="center" wrapText="1"/>
    </xf>
    <xf numFmtId="0" fontId="323" fillId="33" borderId="108" xfId="0" applyFont="1" applyFill="1" applyBorder="1" applyAlignment="1">
      <alignment horizontal="center" vertical="center" wrapText="1"/>
    </xf>
    <xf numFmtId="0" fontId="323" fillId="33" borderId="109" xfId="0" applyFont="1" applyFill="1" applyBorder="1" applyAlignment="1">
      <alignment horizontal="center" vertical="center" wrapText="1"/>
    </xf>
    <xf numFmtId="0" fontId="336" fillId="55" borderId="484" xfId="0" applyFont="1" applyFill="1" applyBorder="1" applyAlignment="1">
      <alignment horizontal="left" vertical="center" wrapText="1"/>
    </xf>
    <xf numFmtId="0" fontId="336" fillId="55" borderId="76" xfId="0" applyFont="1" applyFill="1" applyBorder="1" applyAlignment="1">
      <alignment horizontal="left" vertical="center" wrapText="1"/>
    </xf>
    <xf numFmtId="0" fontId="336" fillId="55" borderId="632" xfId="0" applyFont="1" applyFill="1" applyBorder="1" applyAlignment="1">
      <alignment horizontal="left" vertical="center" wrapText="1"/>
    </xf>
    <xf numFmtId="0" fontId="506" fillId="32" borderId="318" xfId="0" applyFont="1" applyFill="1" applyBorder="1" applyAlignment="1">
      <alignment horizontal="center" vertical="center"/>
    </xf>
    <xf numFmtId="0" fontId="506" fillId="32" borderId="319" xfId="0" applyFont="1" applyFill="1" applyBorder="1" applyAlignment="1">
      <alignment horizontal="center" vertical="center"/>
    </xf>
    <xf numFmtId="0" fontId="506" fillId="32" borderId="320" xfId="0" applyFont="1" applyFill="1" applyBorder="1" applyAlignment="1">
      <alignment horizontal="center" vertical="center"/>
    </xf>
    <xf numFmtId="0" fontId="323" fillId="102" borderId="318" xfId="0" applyFont="1" applyFill="1" applyBorder="1" applyAlignment="1">
      <alignment horizontal="center" vertical="center"/>
    </xf>
    <xf numFmtId="0" fontId="323" fillId="102" borderId="319" xfId="0" applyFont="1" applyFill="1" applyBorder="1" applyAlignment="1">
      <alignment horizontal="center" vertical="center"/>
    </xf>
    <xf numFmtId="0" fontId="323" fillId="102" borderId="320" xfId="0" applyFont="1" applyFill="1" applyBorder="1" applyAlignment="1">
      <alignment horizontal="center" vertical="center"/>
    </xf>
    <xf numFmtId="0" fontId="323" fillId="102" borderId="318" xfId="0" applyFont="1" applyFill="1" applyBorder="1" applyAlignment="1">
      <alignment horizontal="left" vertical="center" wrapText="1"/>
    </xf>
    <xf numFmtId="0" fontId="323" fillId="102" borderId="319" xfId="0" applyFont="1" applyFill="1" applyBorder="1" applyAlignment="1">
      <alignment horizontal="left" vertical="center" wrapText="1"/>
    </xf>
    <xf numFmtId="0" fontId="323" fillId="102" borderId="320" xfId="0" applyFont="1" applyFill="1" applyBorder="1" applyAlignment="1">
      <alignment horizontal="left" vertical="center" wrapText="1"/>
    </xf>
    <xf numFmtId="0" fontId="322" fillId="32" borderId="642" xfId="0" applyFont="1" applyFill="1" applyBorder="1" applyAlignment="1">
      <alignment horizontal="center" vertical="center" wrapText="1"/>
    </xf>
    <xf numFmtId="0" fontId="323" fillId="102" borderId="427" xfId="0" applyFont="1" applyFill="1" applyBorder="1" applyAlignment="1">
      <alignment vertical="center" wrapText="1"/>
    </xf>
    <xf numFmtId="0" fontId="323" fillId="102" borderId="428" xfId="0" applyFont="1" applyFill="1" applyBorder="1" applyAlignment="1">
      <alignment vertical="center" wrapText="1"/>
    </xf>
    <xf numFmtId="0" fontId="323" fillId="102" borderId="429" xfId="0" applyFont="1" applyFill="1" applyBorder="1" applyAlignment="1">
      <alignment vertical="center" wrapText="1"/>
    </xf>
    <xf numFmtId="0" fontId="323" fillId="102" borderId="430" xfId="0" applyFont="1" applyFill="1" applyBorder="1" applyAlignment="1">
      <alignment vertical="center" wrapText="1"/>
    </xf>
    <xf numFmtId="0" fontId="323" fillId="102" borderId="431" xfId="0" applyFont="1" applyFill="1" applyBorder="1" applyAlignment="1">
      <alignment vertical="center" wrapText="1"/>
    </xf>
    <xf numFmtId="0" fontId="323" fillId="102" borderId="432" xfId="0" applyFont="1" applyFill="1" applyBorder="1" applyAlignment="1">
      <alignment vertical="center" wrapText="1"/>
    </xf>
    <xf numFmtId="0" fontId="322" fillId="32" borderId="642" xfId="0" applyFont="1" applyFill="1" applyBorder="1" applyAlignment="1" applyProtection="1">
      <alignment horizontal="center" vertical="center"/>
      <protection hidden="1"/>
    </xf>
    <xf numFmtId="0" fontId="261" fillId="93" borderId="481" xfId="0" applyFont="1" applyFill="1" applyBorder="1" applyAlignment="1">
      <alignment horizontal="center" vertical="center" wrapText="1"/>
    </xf>
    <xf numFmtId="0" fontId="261" fillId="93" borderId="108" xfId="0" applyFont="1" applyFill="1" applyBorder="1" applyAlignment="1">
      <alignment horizontal="center" vertical="center" wrapText="1"/>
    </xf>
    <xf numFmtId="0" fontId="261" fillId="93" borderId="559" xfId="0" applyFont="1" applyFill="1" applyBorder="1" applyAlignment="1">
      <alignment horizontal="center" vertical="center" wrapText="1"/>
    </xf>
    <xf numFmtId="0" fontId="336" fillId="33" borderId="318" xfId="0" applyFont="1" applyFill="1" applyBorder="1" applyAlignment="1" applyProtection="1">
      <alignment horizontal="left" vertical="center" wrapText="1"/>
      <protection hidden="1"/>
    </xf>
    <xf numFmtId="0" fontId="336" fillId="33" borderId="319" xfId="0" applyFont="1" applyFill="1" applyBorder="1" applyAlignment="1" applyProtection="1">
      <alignment horizontal="left" vertical="center" wrapText="1"/>
      <protection hidden="1"/>
    </xf>
    <xf numFmtId="0" fontId="345" fillId="33" borderId="319" xfId="0" applyFont="1" applyFill="1" applyBorder="1" applyAlignment="1">
      <alignment horizontal="center" vertical="center"/>
    </xf>
    <xf numFmtId="0" fontId="345" fillId="33" borderId="320" xfId="0" applyFont="1" applyFill="1" applyBorder="1" applyAlignment="1">
      <alignment horizontal="center" vertical="center"/>
    </xf>
    <xf numFmtId="0" fontId="511" fillId="33" borderId="318" xfId="0" applyFont="1" applyFill="1" applyBorder="1" applyAlignment="1" applyProtection="1">
      <alignment horizontal="center" vertical="center" wrapText="1"/>
      <protection hidden="1"/>
    </xf>
    <xf numFmtId="0" fontId="511" fillId="33" borderId="320" xfId="0" applyFont="1" applyFill="1" applyBorder="1" applyAlignment="1" applyProtection="1">
      <alignment horizontal="center" vertical="center" wrapText="1"/>
      <protection hidden="1"/>
    </xf>
    <xf numFmtId="0" fontId="419" fillId="33" borderId="624" xfId="0" applyFont="1" applyFill="1" applyBorder="1" applyAlignment="1">
      <alignment horizontal="center" vertical="center" wrapText="1"/>
    </xf>
    <xf numFmtId="0" fontId="419" fillId="33" borderId="642" xfId="0" applyFont="1" applyFill="1" applyBorder="1" applyAlignment="1">
      <alignment horizontal="center" vertical="center" wrapText="1"/>
    </xf>
    <xf numFmtId="0" fontId="217" fillId="4" borderId="318" xfId="0" applyFont="1" applyFill="1" applyBorder="1" applyAlignment="1">
      <alignment horizontal="center" vertical="center"/>
    </xf>
    <xf numFmtId="0" fontId="217" fillId="4" borderId="319" xfId="0" applyFont="1" applyFill="1" applyBorder="1" applyAlignment="1">
      <alignment horizontal="center" vertical="center"/>
    </xf>
    <xf numFmtId="0" fontId="217" fillId="4" borderId="320" xfId="0" applyFont="1" applyFill="1" applyBorder="1" applyAlignment="1">
      <alignment horizontal="center" vertical="center"/>
    </xf>
    <xf numFmtId="0" fontId="336" fillId="105" borderId="318" xfId="0" applyFont="1" applyFill="1" applyBorder="1" applyAlignment="1" applyProtection="1">
      <alignment horizontal="left" vertical="center" wrapText="1"/>
      <protection hidden="1"/>
    </xf>
    <xf numFmtId="0" fontId="336" fillId="105" borderId="319" xfId="0" applyFont="1" applyFill="1" applyBorder="1" applyAlignment="1" applyProtection="1">
      <alignment horizontal="left" vertical="center" wrapText="1"/>
      <protection hidden="1"/>
    </xf>
    <xf numFmtId="0" fontId="323" fillId="33" borderId="318" xfId="0" applyFont="1" applyFill="1" applyBorder="1" applyAlignment="1">
      <alignment horizontal="left" vertical="center" wrapText="1"/>
    </xf>
    <xf numFmtId="0" fontId="323" fillId="33" borderId="319" xfId="0" applyFont="1" applyFill="1" applyBorder="1" applyAlignment="1">
      <alignment horizontal="left" vertical="center" wrapText="1"/>
    </xf>
    <xf numFmtId="0" fontId="323" fillId="33" borderId="320" xfId="0" applyFont="1" applyFill="1" applyBorder="1" applyAlignment="1">
      <alignment horizontal="left" vertical="center" wrapText="1"/>
    </xf>
    <xf numFmtId="0" fontId="322" fillId="31" borderId="642" xfId="0" applyFont="1" applyFill="1" applyBorder="1" applyAlignment="1">
      <alignment horizontal="center" vertical="center" wrapText="1"/>
    </xf>
    <xf numFmtId="0" fontId="322" fillId="31" borderId="642" xfId="0" applyFont="1" applyFill="1" applyBorder="1" applyAlignment="1" applyProtection="1">
      <alignment horizontal="center" vertical="center"/>
      <protection hidden="1"/>
    </xf>
    <xf numFmtId="0" fontId="218" fillId="107" borderId="220" xfId="0" applyFont="1" applyFill="1" applyBorder="1" applyAlignment="1" applyProtection="1">
      <alignment horizontal="center" vertical="center"/>
      <protection hidden="1"/>
    </xf>
    <xf numFmtId="0" fontId="218" fillId="107" borderId="219" xfId="0" applyFont="1" applyFill="1" applyBorder="1" applyAlignment="1" applyProtection="1">
      <alignment horizontal="center" vertical="center"/>
      <protection hidden="1"/>
    </xf>
    <xf numFmtId="0" fontId="216" fillId="107" borderId="724" xfId="0" applyFont="1" applyFill="1" applyBorder="1" applyAlignment="1" applyProtection="1">
      <alignment horizontal="center" vertical="center"/>
      <protection hidden="1"/>
    </xf>
    <xf numFmtId="0" fontId="328" fillId="0" borderId="611" xfId="0" applyFont="1" applyBorder="1" applyAlignment="1" applyProtection="1">
      <alignment horizontal="center"/>
      <protection locked="0"/>
    </xf>
    <xf numFmtId="0" fontId="328" fillId="0" borderId="14" xfId="0" applyFont="1" applyBorder="1" applyAlignment="1" applyProtection="1">
      <alignment horizontal="center"/>
      <protection locked="0"/>
    </xf>
    <xf numFmtId="0" fontId="328" fillId="0" borderId="612" xfId="0" applyFont="1" applyBorder="1" applyAlignment="1" applyProtection="1">
      <alignment horizontal="center"/>
      <protection locked="0"/>
    </xf>
    <xf numFmtId="0" fontId="338" fillId="31" borderId="0" xfId="0" applyFont="1" applyFill="1" applyAlignment="1">
      <alignment horizontal="center" vertical="center"/>
    </xf>
    <xf numFmtId="0" fontId="216" fillId="31" borderId="0" xfId="0" applyFont="1" applyFill="1" applyAlignment="1">
      <alignment horizontal="center" vertical="center"/>
    </xf>
    <xf numFmtId="0" fontId="328" fillId="0" borderId="608" xfId="0" applyFont="1" applyBorder="1" applyAlignment="1" applyProtection="1">
      <alignment horizontal="center"/>
      <protection locked="0"/>
    </xf>
    <xf numFmtId="0" fontId="328" fillId="0" borderId="609" xfId="0" applyFont="1" applyBorder="1" applyAlignment="1" applyProtection="1">
      <alignment horizontal="center"/>
      <protection locked="0"/>
    </xf>
    <xf numFmtId="0" fontId="328" fillId="0" borderId="610" xfId="0" applyFont="1" applyBorder="1" applyAlignment="1" applyProtection="1">
      <alignment horizontal="center"/>
      <protection locked="0"/>
    </xf>
    <xf numFmtId="0" fontId="213" fillId="4" borderId="88" xfId="0" applyFont="1" applyFill="1" applyBorder="1" applyAlignment="1">
      <alignment horizontal="center" vertical="center"/>
    </xf>
    <xf numFmtId="0" fontId="213" fillId="4" borderId="76" xfId="0" applyFont="1" applyFill="1" applyBorder="1" applyAlignment="1">
      <alignment horizontal="center" vertical="center"/>
    </xf>
    <xf numFmtId="0" fontId="213" fillId="4" borderId="84" xfId="0" applyFont="1" applyFill="1" applyBorder="1" applyAlignment="1">
      <alignment horizontal="center" vertical="center"/>
    </xf>
    <xf numFmtId="0" fontId="213" fillId="4" borderId="78" xfId="0" applyFont="1" applyFill="1" applyBorder="1" applyAlignment="1">
      <alignment horizontal="center" vertical="center"/>
    </xf>
    <xf numFmtId="0" fontId="213" fillId="4" borderId="79" xfId="0" applyFont="1" applyFill="1" applyBorder="1" applyAlignment="1">
      <alignment horizontal="center" vertical="center"/>
    </xf>
    <xf numFmtId="0" fontId="213" fillId="4" borderId="0" xfId="0" applyFont="1" applyFill="1" applyAlignment="1">
      <alignment horizontal="center" vertical="center"/>
    </xf>
    <xf numFmtId="0" fontId="213" fillId="4" borderId="80" xfId="0" applyFont="1" applyFill="1" applyBorder="1" applyAlignment="1">
      <alignment horizontal="center" vertical="center"/>
    </xf>
    <xf numFmtId="0" fontId="213" fillId="4" borderId="77" xfId="0" applyFont="1" applyFill="1" applyBorder="1" applyAlignment="1">
      <alignment horizontal="center" vertical="center"/>
    </xf>
    <xf numFmtId="0" fontId="213" fillId="4" borderId="75" xfId="0" applyFont="1" applyFill="1" applyBorder="1" applyAlignment="1">
      <alignment horizontal="center" vertical="center"/>
    </xf>
    <xf numFmtId="0" fontId="203" fillId="103" borderId="77" xfId="0" applyFont="1" applyFill="1" applyBorder="1" applyAlignment="1" applyProtection="1">
      <alignment horizontal="right" vertical="center"/>
      <protection hidden="1"/>
    </xf>
    <xf numFmtId="0" fontId="203" fillId="103" borderId="0" xfId="0" applyFont="1" applyFill="1" applyAlignment="1" applyProtection="1">
      <alignment horizontal="right" vertical="center"/>
      <protection hidden="1"/>
    </xf>
    <xf numFmtId="0" fontId="203" fillId="103" borderId="75" xfId="0" applyFont="1" applyFill="1" applyBorder="1" applyAlignment="1" applyProtection="1">
      <alignment horizontal="right" vertical="center"/>
      <protection hidden="1"/>
    </xf>
    <xf numFmtId="0" fontId="343" fillId="103" borderId="77" xfId="0" applyFont="1" applyFill="1" applyBorder="1" applyAlignment="1" applyProtection="1">
      <alignment horizontal="right" vertical="center"/>
      <protection hidden="1"/>
    </xf>
    <xf numFmtId="0" fontId="343" fillId="103" borderId="0" xfId="0" applyFont="1" applyFill="1" applyAlignment="1" applyProtection="1">
      <alignment horizontal="right" vertical="center"/>
      <protection hidden="1"/>
    </xf>
    <xf numFmtId="0" fontId="343" fillId="103" borderId="75" xfId="0" applyFont="1" applyFill="1" applyBorder="1" applyAlignment="1" applyProtection="1">
      <alignment horizontal="right" vertical="center"/>
      <protection hidden="1"/>
    </xf>
    <xf numFmtId="0" fontId="203" fillId="33" borderId="427" xfId="0" applyFont="1" applyFill="1" applyBorder="1" applyAlignment="1">
      <alignment horizontal="center" vertical="center" wrapText="1"/>
    </xf>
    <xf numFmtId="0" fontId="203" fillId="33" borderId="428" xfId="0" applyFont="1" applyFill="1" applyBorder="1" applyAlignment="1">
      <alignment horizontal="center" vertical="center" wrapText="1"/>
    </xf>
    <xf numFmtId="0" fontId="203" fillId="33" borderId="429" xfId="0" applyFont="1" applyFill="1" applyBorder="1" applyAlignment="1">
      <alignment horizontal="center" vertical="center" wrapText="1"/>
    </xf>
    <xf numFmtId="0" fontId="203" fillId="33" borderId="433" xfId="0" applyFont="1" applyFill="1" applyBorder="1" applyAlignment="1">
      <alignment horizontal="center" vertical="center" wrapText="1"/>
    </xf>
    <xf numFmtId="0" fontId="203" fillId="33" borderId="0" xfId="0" applyFont="1" applyFill="1" applyAlignment="1">
      <alignment horizontal="center" vertical="center" wrapText="1"/>
    </xf>
    <xf numFmtId="0" fontId="203" fillId="33" borderId="434" xfId="0" applyFont="1" applyFill="1" applyBorder="1" applyAlignment="1">
      <alignment horizontal="center" vertical="center" wrapText="1"/>
    </xf>
    <xf numFmtId="0" fontId="277" fillId="4" borderId="107" xfId="0" applyFont="1" applyFill="1" applyBorder="1" applyAlignment="1">
      <alignment horizontal="center" vertical="center"/>
    </xf>
    <xf numFmtId="0" fontId="277" fillId="4" borderId="108" xfId="0" applyFont="1" applyFill="1" applyBorder="1" applyAlignment="1">
      <alignment horizontal="center" vertical="center"/>
    </xf>
    <xf numFmtId="0" fontId="277" fillId="4" borderId="109" xfId="0" applyFont="1" applyFill="1" applyBorder="1" applyAlignment="1">
      <alignment horizontal="center" vertical="center"/>
    </xf>
    <xf numFmtId="0" fontId="277" fillId="4" borderId="107" xfId="0" applyFont="1" applyFill="1" applyBorder="1" applyAlignment="1">
      <alignment horizontal="center"/>
    </xf>
    <xf numFmtId="0" fontId="277" fillId="4" borderId="108" xfId="0" applyFont="1" applyFill="1" applyBorder="1" applyAlignment="1">
      <alignment horizontal="center"/>
    </xf>
    <xf numFmtId="0" fontId="277" fillId="4" borderId="76" xfId="0" applyFont="1" applyFill="1" applyBorder="1" applyAlignment="1">
      <alignment horizontal="center"/>
    </xf>
    <xf numFmtId="0" fontId="277" fillId="4" borderId="109" xfId="0" applyFont="1" applyFill="1" applyBorder="1" applyAlignment="1">
      <alignment horizontal="center"/>
    </xf>
    <xf numFmtId="0" fontId="169" fillId="103" borderId="42" xfId="0" applyFont="1" applyFill="1" applyBorder="1" applyAlignment="1">
      <alignment horizontal="center"/>
    </xf>
    <xf numFmtId="0" fontId="328" fillId="0" borderId="96" xfId="0" applyFont="1" applyBorder="1" applyAlignment="1" applyProtection="1">
      <alignment horizontal="center"/>
      <protection locked="0"/>
    </xf>
    <xf numFmtId="0" fontId="328" fillId="0" borderId="24" xfId="0" applyFont="1" applyBorder="1" applyAlignment="1" applyProtection="1">
      <alignment horizontal="center"/>
      <protection locked="0"/>
    </xf>
    <xf numFmtId="0" fontId="328" fillId="0" borderId="66" xfId="0" applyFont="1" applyBorder="1" applyAlignment="1" applyProtection="1">
      <alignment horizontal="center"/>
      <protection locked="0"/>
    </xf>
    <xf numFmtId="0" fontId="169" fillId="103" borderId="77" xfId="0" applyFont="1" applyFill="1" applyBorder="1" applyAlignment="1" applyProtection="1">
      <alignment horizontal="right" vertical="center"/>
      <protection hidden="1"/>
    </xf>
    <xf numFmtId="0" fontId="169" fillId="103" borderId="0" xfId="0" applyFont="1" applyFill="1" applyAlignment="1" applyProtection="1">
      <alignment horizontal="right" vertical="center"/>
      <protection hidden="1"/>
    </xf>
    <xf numFmtId="0" fontId="169" fillId="103" borderId="75" xfId="0" applyFont="1" applyFill="1" applyBorder="1" applyAlignment="1" applyProtection="1">
      <alignment horizontal="right" vertical="center"/>
      <protection hidden="1"/>
    </xf>
    <xf numFmtId="0" fontId="345" fillId="103" borderId="77" xfId="0" applyFont="1" applyFill="1" applyBorder="1" applyAlignment="1" applyProtection="1">
      <alignment horizontal="right" vertical="center" wrapText="1"/>
      <protection hidden="1"/>
    </xf>
    <xf numFmtId="0" fontId="345" fillId="103" borderId="0" xfId="0" applyFont="1" applyFill="1" applyAlignment="1" applyProtection="1">
      <alignment horizontal="right" vertical="center" wrapText="1"/>
      <protection hidden="1"/>
    </xf>
    <xf numFmtId="0" fontId="345" fillId="103" borderId="75" xfId="0" applyFont="1" applyFill="1" applyBorder="1" applyAlignment="1" applyProtection="1">
      <alignment horizontal="right" vertical="center" wrapText="1"/>
      <protection hidden="1"/>
    </xf>
    <xf numFmtId="49" fontId="328" fillId="0" borderId="29" xfId="0" applyNumberFormat="1" applyFont="1" applyBorder="1" applyAlignment="1" applyProtection="1">
      <alignment horizontal="center"/>
      <protection locked="0"/>
    </xf>
    <xf numFmtId="49" fontId="328" fillId="0" borderId="14" xfId="0" applyNumberFormat="1" applyFont="1" applyBorder="1" applyAlignment="1" applyProtection="1">
      <alignment horizontal="center"/>
      <protection locked="0"/>
    </xf>
    <xf numFmtId="49" fontId="328" fillId="0" borderId="67" xfId="0" applyNumberFormat="1" applyFont="1" applyBorder="1" applyAlignment="1" applyProtection="1">
      <alignment horizontal="center"/>
      <protection locked="0"/>
    </xf>
    <xf numFmtId="0" fontId="0" fillId="39" borderId="77" xfId="0" applyFill="1" applyBorder="1" applyAlignment="1" applyProtection="1">
      <alignment horizontal="center"/>
      <protection hidden="1"/>
    </xf>
    <xf numFmtId="0" fontId="0" fillId="39" borderId="75" xfId="0" applyFill="1" applyBorder="1" applyAlignment="1" applyProtection="1">
      <alignment horizontal="center"/>
      <protection hidden="1"/>
    </xf>
    <xf numFmtId="0" fontId="328" fillId="0" borderId="68" xfId="0" applyFont="1" applyBorder="1" applyAlignment="1" applyProtection="1">
      <alignment horizontal="center"/>
      <protection locked="0"/>
    </xf>
    <xf numFmtId="0" fontId="328" fillId="0" borderId="69" xfId="0" applyFont="1" applyBorder="1" applyAlignment="1" applyProtection="1">
      <alignment horizontal="center"/>
      <protection locked="0"/>
    </xf>
    <xf numFmtId="0" fontId="202" fillId="39" borderId="77" xfId="0" applyFont="1" applyFill="1" applyBorder="1" applyAlignment="1" applyProtection="1">
      <alignment horizontal="center" vertical="center" wrapText="1"/>
      <protection hidden="1"/>
    </xf>
    <xf numFmtId="0" fontId="202" fillId="39" borderId="75" xfId="0" applyFont="1" applyFill="1" applyBorder="1" applyAlignment="1" applyProtection="1">
      <alignment horizontal="center" vertical="center" wrapText="1"/>
      <protection hidden="1"/>
    </xf>
    <xf numFmtId="0" fontId="415" fillId="41" borderId="0" xfId="0" applyFont="1" applyFill="1" applyAlignment="1">
      <alignment horizontal="center" vertical="center"/>
    </xf>
    <xf numFmtId="0" fontId="338" fillId="4" borderId="427" xfId="0" applyFont="1" applyFill="1" applyBorder="1" applyAlignment="1">
      <alignment horizontal="center"/>
    </xf>
    <xf numFmtId="0" fontId="338" fillId="4" borderId="428" xfId="0" applyFont="1" applyFill="1" applyBorder="1" applyAlignment="1">
      <alignment horizontal="center"/>
    </xf>
    <xf numFmtId="0" fontId="338" fillId="4" borderId="429" xfId="0" applyFont="1" applyFill="1" applyBorder="1" applyAlignment="1">
      <alignment horizontal="center"/>
    </xf>
    <xf numFmtId="0" fontId="328" fillId="0" borderId="29" xfId="0" applyFont="1" applyBorder="1" applyAlignment="1" applyProtection="1">
      <alignment horizontal="center"/>
      <protection locked="0"/>
    </xf>
    <xf numFmtId="0" fontId="328" fillId="0" borderId="67" xfId="0" applyFont="1" applyBorder="1" applyAlignment="1" applyProtection="1">
      <alignment horizontal="center"/>
      <protection locked="0"/>
    </xf>
    <xf numFmtId="0" fontId="323" fillId="43" borderId="216" xfId="0" applyFont="1" applyFill="1" applyBorder="1" applyAlignment="1" applyProtection="1">
      <alignment horizontal="center" vertical="center"/>
      <protection hidden="1"/>
    </xf>
    <xf numFmtId="0" fontId="323" fillId="43" borderId="217" xfId="0" applyFont="1" applyFill="1" applyBorder="1" applyAlignment="1" applyProtection="1">
      <alignment horizontal="center" vertical="center"/>
      <protection hidden="1"/>
    </xf>
    <xf numFmtId="0" fontId="169" fillId="103" borderId="88" xfId="0" applyFont="1" applyFill="1" applyBorder="1" applyAlignment="1" applyProtection="1">
      <alignment horizontal="right" vertical="center"/>
      <protection hidden="1"/>
    </xf>
    <xf numFmtId="0" fontId="169" fillId="103" borderId="76" xfId="0" applyFont="1" applyFill="1" applyBorder="1" applyAlignment="1" applyProtection="1">
      <alignment horizontal="right" vertical="center"/>
      <protection hidden="1"/>
    </xf>
    <xf numFmtId="0" fontId="169" fillId="103" borderId="84" xfId="0" applyFont="1" applyFill="1" applyBorder="1" applyAlignment="1" applyProtection="1">
      <alignment horizontal="right" vertical="center"/>
      <protection hidden="1"/>
    </xf>
    <xf numFmtId="0" fontId="514" fillId="35" borderId="433" xfId="0" applyFont="1" applyFill="1" applyBorder="1" applyAlignment="1">
      <alignment horizontal="center" vertical="center"/>
    </xf>
    <xf numFmtId="0" fontId="514" fillId="35" borderId="0" xfId="0" applyFont="1" applyFill="1" applyAlignment="1">
      <alignment horizontal="center" vertical="center"/>
    </xf>
    <xf numFmtId="0" fontId="514" fillId="35" borderId="434" xfId="0" applyFont="1" applyFill="1" applyBorder="1" applyAlignment="1">
      <alignment horizontal="center" vertical="center"/>
    </xf>
    <xf numFmtId="0" fontId="328" fillId="0" borderId="656" xfId="0" applyFont="1" applyBorder="1" applyAlignment="1" applyProtection="1">
      <alignment horizontal="center"/>
      <protection locked="0"/>
    </xf>
    <xf numFmtId="0" fontId="328" fillId="0" borderId="16" xfId="0" applyFont="1" applyBorder="1" applyAlignment="1" applyProtection="1">
      <alignment horizontal="center"/>
      <protection locked="0"/>
    </xf>
    <xf numFmtId="0" fontId="328" fillId="0" borderId="657" xfId="0" applyFont="1" applyBorder="1" applyAlignment="1" applyProtection="1">
      <alignment horizontal="center"/>
      <protection locked="0"/>
    </xf>
    <xf numFmtId="0" fontId="261" fillId="103" borderId="222" xfId="0" applyFont="1" applyFill="1" applyBorder="1" applyAlignment="1">
      <alignment horizontal="center" vertical="center" wrapText="1"/>
    </xf>
    <xf numFmtId="0" fontId="261" fillId="103" borderId="0" xfId="0" applyFont="1" applyFill="1" applyAlignment="1">
      <alignment horizontal="center" vertical="center" wrapText="1"/>
    </xf>
    <xf numFmtId="0" fontId="261" fillId="103" borderId="223" xfId="0" applyFont="1" applyFill="1" applyBorder="1" applyAlignment="1">
      <alignment horizontal="center" vertical="center" wrapText="1"/>
    </xf>
    <xf numFmtId="0" fontId="213" fillId="4" borderId="355" xfId="0" applyFont="1" applyFill="1" applyBorder="1" applyAlignment="1">
      <alignment horizontal="center"/>
    </xf>
    <xf numFmtId="0" fontId="4" fillId="103" borderId="222" xfId="0" applyFont="1" applyFill="1" applyBorder="1" applyAlignment="1">
      <alignment horizontal="right" vertical="center"/>
    </xf>
    <xf numFmtId="0" fontId="4" fillId="103" borderId="0" xfId="0" applyFont="1" applyFill="1" applyAlignment="1">
      <alignment horizontal="right" vertical="center"/>
    </xf>
    <xf numFmtId="0" fontId="4" fillId="103" borderId="223" xfId="0" applyFont="1" applyFill="1" applyBorder="1" applyAlignment="1">
      <alignment horizontal="right" vertical="center"/>
    </xf>
    <xf numFmtId="0" fontId="176" fillId="4" borderId="0" xfId="0" applyFont="1" applyFill="1" applyAlignment="1">
      <alignment horizontal="center"/>
    </xf>
    <xf numFmtId="5" fontId="323" fillId="43" borderId="218" xfId="0" applyNumberFormat="1" applyFont="1" applyFill="1" applyBorder="1" applyAlignment="1" applyProtection="1">
      <alignment horizontal="center" vertical="center"/>
      <protection hidden="1"/>
    </xf>
    <xf numFmtId="166" fontId="211" fillId="2" borderId="77" xfId="0" applyNumberFormat="1" applyFont="1" applyFill="1" applyBorder="1" applyAlignment="1">
      <alignment horizontal="right"/>
    </xf>
    <xf numFmtId="166" fontId="211" fillId="2" borderId="0" xfId="0" applyNumberFormat="1" applyFont="1" applyFill="1" applyAlignment="1">
      <alignment horizontal="right"/>
    </xf>
    <xf numFmtId="0" fontId="323" fillId="41" borderId="318" xfId="0" applyFont="1" applyFill="1" applyBorder="1" applyAlignment="1" applyProtection="1">
      <alignment horizontal="center" vertical="center" wrapText="1"/>
      <protection hidden="1"/>
    </xf>
    <xf numFmtId="0" fontId="323" fillId="41" borderId="319" xfId="0" applyFont="1" applyFill="1" applyBorder="1" applyAlignment="1" applyProtection="1">
      <alignment horizontal="center" vertical="center" wrapText="1"/>
      <protection hidden="1"/>
    </xf>
    <xf numFmtId="0" fontId="323" fillId="41" borderId="320" xfId="0" applyFont="1" applyFill="1" applyBorder="1" applyAlignment="1" applyProtection="1">
      <alignment horizontal="center" vertical="center" wrapText="1"/>
      <protection hidden="1"/>
    </xf>
    <xf numFmtId="0" fontId="261" fillId="103" borderId="222" xfId="0" applyFont="1" applyFill="1" applyBorder="1" applyAlignment="1">
      <alignment horizontal="left" vertical="center" wrapText="1"/>
    </xf>
    <xf numFmtId="0" fontId="261" fillId="103" borderId="0" xfId="0" applyFont="1" applyFill="1" applyAlignment="1">
      <alignment horizontal="left" vertical="center" wrapText="1"/>
    </xf>
    <xf numFmtId="0" fontId="261" fillId="103" borderId="223" xfId="0" applyFont="1" applyFill="1" applyBorder="1" applyAlignment="1">
      <alignment horizontal="left" vertical="center" wrapText="1"/>
    </xf>
    <xf numFmtId="166" fontId="501" fillId="33" borderId="107" xfId="0" applyNumberFormat="1" applyFont="1" applyFill="1" applyBorder="1" applyAlignment="1">
      <alignment horizontal="center" vertical="center"/>
    </xf>
    <xf numFmtId="166" fontId="501" fillId="33" borderId="108" xfId="0" applyNumberFormat="1" applyFont="1" applyFill="1" applyBorder="1" applyAlignment="1">
      <alignment horizontal="center" vertical="center"/>
    </xf>
    <xf numFmtId="166" fontId="501" fillId="33" borderId="109" xfId="0" applyNumberFormat="1" applyFont="1" applyFill="1" applyBorder="1" applyAlignment="1">
      <alignment horizontal="center" vertical="center"/>
    </xf>
    <xf numFmtId="0" fontId="47" fillId="103" borderId="431" xfId="0" applyFont="1" applyFill="1" applyBorder="1" applyAlignment="1">
      <alignment horizontal="left" vertical="center" wrapText="1"/>
    </xf>
    <xf numFmtId="0" fontId="335" fillId="35" borderId="318" xfId="0" applyFont="1" applyFill="1" applyBorder="1" applyAlignment="1">
      <alignment horizontal="center" vertical="center"/>
    </xf>
    <xf numFmtId="0" fontId="335" fillId="35" borderId="319" xfId="0" applyFont="1" applyFill="1" applyBorder="1" applyAlignment="1">
      <alignment horizontal="center" vertical="center"/>
    </xf>
    <xf numFmtId="0" fontId="335" fillId="35" borderId="320" xfId="0" applyFont="1" applyFill="1" applyBorder="1" applyAlignment="1">
      <alignment horizontal="center" vertical="center"/>
    </xf>
    <xf numFmtId="0" fontId="336" fillId="31" borderId="430" xfId="0" applyFont="1" applyFill="1" applyBorder="1" applyAlignment="1">
      <alignment horizontal="left" vertical="center"/>
    </xf>
    <xf numFmtId="0" fontId="336" fillId="31" borderId="431" xfId="0" applyFont="1" applyFill="1" applyBorder="1" applyAlignment="1">
      <alignment horizontal="left" vertical="center"/>
    </xf>
    <xf numFmtId="0" fontId="336" fillId="31" borderId="432" xfId="0" applyFont="1" applyFill="1" applyBorder="1" applyAlignment="1">
      <alignment horizontal="left" vertical="center"/>
    </xf>
    <xf numFmtId="0" fontId="265" fillId="60" borderId="236" xfId="0" applyFont="1" applyFill="1" applyBorder="1" applyAlignment="1" applyProtection="1">
      <alignment horizontal="center" vertical="center"/>
      <protection hidden="1"/>
    </xf>
    <xf numFmtId="0" fontId="265" fillId="60" borderId="126" xfId="0" applyFont="1" applyFill="1" applyBorder="1" applyAlignment="1" applyProtection="1">
      <alignment horizontal="center" vertical="center"/>
      <protection hidden="1"/>
    </xf>
    <xf numFmtId="0" fontId="266" fillId="60" borderId="236" xfId="0" applyFont="1" applyFill="1" applyBorder="1" applyAlignment="1" applyProtection="1">
      <alignment horizontal="center"/>
      <protection hidden="1"/>
    </xf>
    <xf numFmtId="0" fontId="266" fillId="60" borderId="126" xfId="0" applyFont="1" applyFill="1" applyBorder="1" applyAlignment="1" applyProtection="1">
      <alignment horizontal="center"/>
      <protection hidden="1"/>
    </xf>
    <xf numFmtId="0" fontId="50" fillId="60" borderId="236" xfId="0" applyFont="1" applyFill="1" applyBorder="1" applyAlignment="1" applyProtection="1">
      <alignment horizontal="center"/>
      <protection hidden="1"/>
    </xf>
    <xf numFmtId="0" fontId="265" fillId="60" borderId="236" xfId="0" applyFont="1" applyFill="1" applyBorder="1" applyAlignment="1" applyProtection="1">
      <alignment horizontal="center"/>
      <protection hidden="1"/>
    </xf>
    <xf numFmtId="0" fontId="265" fillId="60" borderId="126" xfId="0" applyFont="1" applyFill="1" applyBorder="1" applyAlignment="1" applyProtection="1">
      <alignment horizontal="center"/>
      <protection hidden="1"/>
    </xf>
    <xf numFmtId="0" fontId="262" fillId="60" borderId="236" xfId="0" applyFont="1" applyFill="1" applyBorder="1" applyAlignment="1" applyProtection="1">
      <alignment horizontal="center"/>
      <protection hidden="1"/>
    </xf>
    <xf numFmtId="0" fontId="262" fillId="60" borderId="126" xfId="0" applyFont="1" applyFill="1" applyBorder="1" applyAlignment="1" applyProtection="1">
      <alignment horizontal="center"/>
      <protection hidden="1"/>
    </xf>
    <xf numFmtId="0" fontId="266" fillId="60" borderId="236" xfId="0" applyFont="1" applyFill="1" applyBorder="1" applyAlignment="1" applyProtection="1">
      <alignment horizontal="center" vertical="center"/>
      <protection hidden="1"/>
    </xf>
    <xf numFmtId="0" fontId="266" fillId="60" borderId="126" xfId="0" applyFont="1" applyFill="1" applyBorder="1" applyAlignment="1" applyProtection="1">
      <alignment horizontal="center" vertical="center"/>
      <protection hidden="1"/>
    </xf>
    <xf numFmtId="0" fontId="323" fillId="31" borderId="216" xfId="0" applyFont="1" applyFill="1" applyBorder="1" applyAlignment="1" applyProtection="1">
      <alignment horizontal="center" vertical="center" wrapText="1"/>
      <protection hidden="1"/>
    </xf>
    <xf numFmtId="0" fontId="323" fillId="31" borderId="218" xfId="0" applyFont="1" applyFill="1" applyBorder="1" applyAlignment="1" applyProtection="1">
      <alignment horizontal="center" vertical="center" wrapText="1"/>
      <protection hidden="1"/>
    </xf>
    <xf numFmtId="0" fontId="323" fillId="31" borderId="217" xfId="0" applyFont="1" applyFill="1" applyBorder="1" applyAlignment="1" applyProtection="1">
      <alignment horizontal="center" vertical="center" wrapText="1"/>
      <protection hidden="1"/>
    </xf>
    <xf numFmtId="0" fontId="47" fillId="103" borderId="222" xfId="0" applyFont="1" applyFill="1" applyBorder="1" applyAlignment="1">
      <alignment horizontal="left" vertical="center"/>
    </xf>
    <xf numFmtId="0" fontId="47" fillId="103" borderId="0" xfId="0" applyFont="1" applyFill="1" applyAlignment="1">
      <alignment horizontal="left" vertical="center"/>
    </xf>
    <xf numFmtId="0" fontId="47" fillId="103" borderId="223" xfId="0" applyFont="1" applyFill="1" applyBorder="1" applyAlignment="1">
      <alignment horizontal="left" vertical="center"/>
    </xf>
    <xf numFmtId="166" fontId="211" fillId="33" borderId="77" xfId="0" applyNumberFormat="1" applyFont="1" applyFill="1" applyBorder="1" applyAlignment="1">
      <alignment horizontal="right"/>
    </xf>
    <xf numFmtId="166" fontId="211" fillId="33" borderId="0" xfId="0" applyNumberFormat="1" applyFont="1" applyFill="1" applyAlignment="1">
      <alignment horizontal="right"/>
    </xf>
    <xf numFmtId="0" fontId="323" fillId="31" borderId="318" xfId="0" applyFont="1" applyFill="1" applyBorder="1" applyAlignment="1" applyProtection="1">
      <alignment horizontal="center" vertical="center" wrapText="1"/>
      <protection hidden="1"/>
    </xf>
    <xf numFmtId="0" fontId="323" fillId="31" borderId="319" xfId="0" applyFont="1" applyFill="1" applyBorder="1" applyAlignment="1" applyProtection="1">
      <alignment horizontal="center" vertical="center" wrapText="1"/>
      <protection hidden="1"/>
    </xf>
    <xf numFmtId="0" fontId="323" fillId="31" borderId="320" xfId="0" applyFont="1" applyFill="1" applyBorder="1" applyAlignment="1" applyProtection="1">
      <alignment horizontal="center" vertical="center" wrapText="1"/>
      <protection hidden="1"/>
    </xf>
    <xf numFmtId="166" fontId="352" fillId="33" borderId="77" xfId="0" applyNumberFormat="1" applyFont="1" applyFill="1" applyBorder="1" applyAlignment="1">
      <alignment horizontal="center" vertical="center"/>
    </xf>
    <xf numFmtId="166" fontId="352" fillId="33" borderId="0" xfId="0" applyNumberFormat="1" applyFont="1" applyFill="1" applyAlignment="1">
      <alignment horizontal="center" vertical="center"/>
    </xf>
    <xf numFmtId="166" fontId="352" fillId="33" borderId="75" xfId="0" applyNumberFormat="1" applyFont="1" applyFill="1" applyBorder="1" applyAlignment="1">
      <alignment horizontal="center" vertical="center"/>
    </xf>
    <xf numFmtId="0" fontId="338" fillId="33" borderId="224" xfId="0" applyFont="1" applyFill="1" applyBorder="1" applyAlignment="1">
      <alignment horizontal="center" vertical="center"/>
    </xf>
    <xf numFmtId="0" fontId="338" fillId="33" borderId="226" xfId="0" applyFont="1" applyFill="1" applyBorder="1" applyAlignment="1">
      <alignment horizontal="center" vertical="center"/>
    </xf>
    <xf numFmtId="0" fontId="323" fillId="39" borderId="216" xfId="0" applyFont="1" applyFill="1" applyBorder="1" applyAlignment="1" applyProtection="1">
      <alignment horizontal="center" vertical="center"/>
      <protection hidden="1"/>
    </xf>
    <xf numFmtId="0" fontId="323" fillId="39" borderId="217" xfId="0" applyFont="1" applyFill="1" applyBorder="1" applyAlignment="1" applyProtection="1">
      <alignment horizontal="center" vertical="center"/>
      <protection hidden="1"/>
    </xf>
    <xf numFmtId="0" fontId="216" fillId="31" borderId="0" xfId="0" applyFont="1" applyFill="1" applyAlignment="1">
      <alignment horizontal="center"/>
    </xf>
    <xf numFmtId="0" fontId="3" fillId="103" borderId="222" xfId="0" applyFont="1" applyFill="1" applyBorder="1" applyAlignment="1">
      <alignment horizontal="center" vertical="center" wrapText="1"/>
    </xf>
    <xf numFmtId="0" fontId="3" fillId="103" borderId="0" xfId="0" applyFont="1" applyFill="1" applyAlignment="1">
      <alignment horizontal="center" vertical="center" wrapText="1"/>
    </xf>
    <xf numFmtId="0" fontId="3" fillId="103" borderId="223" xfId="0" applyFont="1" applyFill="1" applyBorder="1" applyAlignment="1">
      <alignment horizontal="center" vertical="center" wrapText="1"/>
    </xf>
    <xf numFmtId="0" fontId="345" fillId="104" borderId="319" xfId="0" applyFont="1" applyFill="1" applyBorder="1" applyAlignment="1">
      <alignment horizontal="center" vertical="center"/>
    </xf>
    <xf numFmtId="0" fontId="345" fillId="104" borderId="320" xfId="0" applyFont="1" applyFill="1" applyBorder="1" applyAlignment="1">
      <alignment horizontal="center" vertical="center"/>
    </xf>
    <xf numFmtId="0" fontId="339" fillId="104" borderId="318" xfId="0" applyFont="1" applyFill="1" applyBorder="1" applyAlignment="1" applyProtection="1">
      <alignment horizontal="center" vertical="center" wrapText="1"/>
      <protection hidden="1"/>
    </xf>
    <xf numFmtId="0" fontId="339" fillId="104" borderId="320" xfId="0" applyFont="1" applyFill="1" applyBorder="1" applyAlignment="1" applyProtection="1">
      <alignment horizontal="center" vertical="center" wrapText="1"/>
      <protection hidden="1"/>
    </xf>
    <xf numFmtId="0" fontId="419" fillId="104" borderId="624" xfId="0" applyFont="1" applyFill="1" applyBorder="1" applyAlignment="1">
      <alignment horizontal="center" vertical="center" wrapText="1"/>
    </xf>
    <xf numFmtId="0" fontId="419" fillId="104" borderId="482" xfId="0" applyFont="1" applyFill="1" applyBorder="1" applyAlignment="1">
      <alignment horizontal="center" vertical="center" wrapText="1"/>
    </xf>
    <xf numFmtId="0" fontId="336" fillId="104" borderId="318" xfId="0" applyFont="1" applyFill="1" applyBorder="1" applyAlignment="1" applyProtection="1">
      <alignment horizontal="center" vertical="center" wrapText="1"/>
      <protection hidden="1"/>
    </xf>
    <xf numFmtId="0" fontId="336" fillId="104" borderId="319" xfId="0" applyFont="1" applyFill="1" applyBorder="1" applyAlignment="1" applyProtection="1">
      <alignment horizontal="center" vertical="center" wrapText="1"/>
      <protection hidden="1"/>
    </xf>
    <xf numFmtId="0" fontId="336" fillId="104" borderId="320" xfId="0" applyFont="1" applyFill="1" applyBorder="1" applyAlignment="1" applyProtection="1">
      <alignment horizontal="center" vertical="center" wrapText="1"/>
      <protection hidden="1"/>
    </xf>
    <xf numFmtId="0" fontId="459" fillId="104" borderId="664" xfId="0" applyFont="1" applyFill="1" applyBorder="1" applyAlignment="1">
      <alignment horizontal="left" vertical="center" wrapText="1"/>
    </xf>
    <xf numFmtId="0" fontId="459" fillId="104" borderId="428" xfId="0" applyFont="1" applyFill="1" applyBorder="1" applyAlignment="1">
      <alignment horizontal="left" vertical="center" wrapText="1"/>
    </xf>
    <xf numFmtId="0" fontId="459" fillId="104" borderId="665" xfId="0" applyFont="1" applyFill="1" applyBorder="1" applyAlignment="1">
      <alignment horizontal="left" vertical="center" wrapText="1"/>
    </xf>
    <xf numFmtId="0" fontId="459" fillId="104" borderId="424" xfId="0" applyFont="1" applyFill="1" applyBorder="1" applyAlignment="1">
      <alignment horizontal="left" vertical="center" wrapText="1"/>
    </xf>
    <xf numFmtId="0" fontId="459" fillId="104" borderId="355" xfId="0" applyFont="1" applyFill="1" applyBorder="1" applyAlignment="1">
      <alignment horizontal="left" vertical="center" wrapText="1"/>
    </xf>
    <xf numFmtId="0" fontId="459" fillId="104" borderId="0" xfId="0" applyFont="1" applyFill="1" applyAlignment="1">
      <alignment horizontal="left" vertical="center" wrapText="1"/>
    </xf>
    <xf numFmtId="0" fontId="459" fillId="104" borderId="358" xfId="0" applyFont="1" applyFill="1" applyBorder="1" applyAlignment="1">
      <alignment horizontal="left" vertical="center" wrapText="1"/>
    </xf>
    <xf numFmtId="0" fontId="336" fillId="104" borderId="318" xfId="0" applyFont="1" applyFill="1" applyBorder="1" applyAlignment="1" applyProtection="1">
      <alignment horizontal="left" vertical="center" wrapText="1"/>
      <protection hidden="1"/>
    </xf>
    <xf numFmtId="0" fontId="336" fillId="104" borderId="319" xfId="0" applyFont="1" applyFill="1" applyBorder="1" applyAlignment="1" applyProtection="1">
      <alignment horizontal="left" vertical="center" wrapText="1"/>
      <protection hidden="1"/>
    </xf>
    <xf numFmtId="0" fontId="511" fillId="105" borderId="318" xfId="0" applyFont="1" applyFill="1" applyBorder="1" applyAlignment="1" applyProtection="1">
      <alignment horizontal="center" vertical="center" wrapText="1"/>
      <protection hidden="1"/>
    </xf>
    <xf numFmtId="0" fontId="511" fillId="105" borderId="320" xfId="0" applyFont="1" applyFill="1" applyBorder="1" applyAlignment="1" applyProtection="1">
      <alignment horizontal="center" vertical="center" wrapText="1"/>
      <protection hidden="1"/>
    </xf>
    <xf numFmtId="0" fontId="419" fillId="105" borderId="624" xfId="0" applyFont="1" applyFill="1" applyBorder="1" applyAlignment="1">
      <alignment horizontal="center" vertical="center" wrapText="1"/>
    </xf>
    <xf numFmtId="0" fontId="419" fillId="105" borderId="642" xfId="0" applyFont="1" applyFill="1" applyBorder="1" applyAlignment="1">
      <alignment horizontal="center" vertical="center" wrapText="1"/>
    </xf>
    <xf numFmtId="0" fontId="459" fillId="33" borderId="427" xfId="0" applyFont="1" applyFill="1" applyBorder="1" applyAlignment="1">
      <alignment horizontal="left" vertical="center" wrapText="1"/>
    </xf>
    <xf numFmtId="0" fontId="459" fillId="33" borderId="428" xfId="0" applyFont="1" applyFill="1" applyBorder="1" applyAlignment="1">
      <alignment horizontal="left" vertical="center" wrapText="1"/>
    </xf>
    <xf numFmtId="0" fontId="459" fillId="33" borderId="429" xfId="0" applyFont="1" applyFill="1" applyBorder="1" applyAlignment="1">
      <alignment horizontal="left" vertical="center" wrapText="1"/>
    </xf>
    <xf numFmtId="0" fontId="459" fillId="33" borderId="430" xfId="0" applyFont="1" applyFill="1" applyBorder="1" applyAlignment="1">
      <alignment horizontal="left" vertical="center" wrapText="1"/>
    </xf>
    <xf numFmtId="0" fontId="459" fillId="33" borderId="431" xfId="0" applyFont="1" applyFill="1" applyBorder="1" applyAlignment="1">
      <alignment horizontal="left" vertical="center" wrapText="1"/>
    </xf>
    <xf numFmtId="0" fontId="459" fillId="33" borderId="0" xfId="0" applyFont="1" applyFill="1" applyAlignment="1">
      <alignment horizontal="left" vertical="center" wrapText="1"/>
    </xf>
    <xf numFmtId="0" fontId="459" fillId="33" borderId="432" xfId="0" applyFont="1" applyFill="1" applyBorder="1" applyAlignment="1">
      <alignment horizontal="left" vertical="center" wrapText="1"/>
    </xf>
    <xf numFmtId="0" fontId="321" fillId="50" borderId="224" xfId="0" applyFont="1" applyFill="1" applyBorder="1" applyAlignment="1" applyProtection="1">
      <alignment horizontal="center" vertical="center"/>
      <protection locked="0" hidden="1"/>
    </xf>
    <xf numFmtId="0" fontId="321" fillId="50" borderId="225" xfId="0" applyFont="1" applyFill="1" applyBorder="1" applyAlignment="1" applyProtection="1">
      <alignment horizontal="center" vertical="center"/>
      <protection locked="0" hidden="1"/>
    </xf>
    <xf numFmtId="0" fontId="327" fillId="55" borderId="428" xfId="0" applyFont="1" applyFill="1" applyBorder="1" applyAlignment="1" applyProtection="1">
      <alignment horizontal="center" vertical="center" wrapText="1"/>
      <protection hidden="1"/>
    </xf>
    <xf numFmtId="0" fontId="321" fillId="39" borderId="428" xfId="0" applyFont="1" applyFill="1" applyBorder="1" applyAlignment="1" applyProtection="1">
      <alignment horizontal="center" vertical="center" wrapText="1"/>
      <protection hidden="1"/>
    </xf>
    <xf numFmtId="0" fontId="325" fillId="35" borderId="318" xfId="0" applyFont="1" applyFill="1" applyBorder="1" applyAlignment="1" applyProtection="1">
      <alignment horizontal="center" vertical="center" wrapText="1"/>
      <protection hidden="1"/>
    </xf>
    <xf numFmtId="0" fontId="325" fillId="35" borderId="319" xfId="0" applyFont="1" applyFill="1" applyBorder="1" applyAlignment="1" applyProtection="1">
      <alignment horizontal="center" vertical="center" wrapText="1"/>
      <protection hidden="1"/>
    </xf>
    <xf numFmtId="0" fontId="325" fillId="35" borderId="320" xfId="0" applyFont="1" applyFill="1" applyBorder="1" applyAlignment="1" applyProtection="1">
      <alignment horizontal="center" vertical="center" wrapText="1"/>
      <protection hidden="1"/>
    </xf>
    <xf numFmtId="0" fontId="335" fillId="35" borderId="318" xfId="0" applyFont="1" applyFill="1" applyBorder="1" applyAlignment="1">
      <alignment horizontal="center" vertical="center" wrapText="1"/>
    </xf>
    <xf numFmtId="0" fontId="335" fillId="35" borderId="319" xfId="0" applyFont="1" applyFill="1" applyBorder="1" applyAlignment="1">
      <alignment horizontal="center" vertical="center" wrapText="1"/>
    </xf>
    <xf numFmtId="0" fontId="335" fillId="35" borderId="320" xfId="0" applyFont="1" applyFill="1" applyBorder="1" applyAlignment="1">
      <alignment horizontal="center" vertical="center" wrapText="1"/>
    </xf>
    <xf numFmtId="0" fontId="251" fillId="4" borderId="618" xfId="0" applyFont="1" applyFill="1" applyBorder="1" applyAlignment="1">
      <alignment horizontal="center" vertical="center" wrapText="1"/>
    </xf>
    <xf numFmtId="0" fontId="251" fillId="4" borderId="0" xfId="0" applyFont="1" applyFill="1" applyAlignment="1">
      <alignment horizontal="center" vertical="center" wrapText="1"/>
    </xf>
    <xf numFmtId="5" fontId="336" fillId="43" borderId="224" xfId="0" applyNumberFormat="1" applyFont="1" applyFill="1" applyBorder="1" applyAlignment="1" applyProtection="1">
      <alignment horizontal="center" vertical="center"/>
      <protection hidden="1"/>
    </xf>
    <xf numFmtId="5" fontId="336" fillId="43" borderId="225" xfId="0" applyNumberFormat="1" applyFont="1" applyFill="1" applyBorder="1" applyAlignment="1" applyProtection="1">
      <alignment horizontal="center" vertical="center"/>
      <protection hidden="1"/>
    </xf>
    <xf numFmtId="0" fontId="500" fillId="103" borderId="431" xfId="0" applyFont="1" applyFill="1" applyBorder="1" applyAlignment="1">
      <alignment horizontal="center" vertical="center" wrapText="1"/>
    </xf>
    <xf numFmtId="0" fontId="346" fillId="33" borderId="224" xfId="0" applyFont="1" applyFill="1" applyBorder="1" applyAlignment="1">
      <alignment horizontal="center" vertical="center"/>
    </xf>
    <xf numFmtId="0" fontId="346" fillId="33" borderId="226" xfId="0" applyFont="1" applyFill="1" applyBorder="1" applyAlignment="1">
      <alignment horizontal="center" vertical="center"/>
    </xf>
    <xf numFmtId="0" fontId="346" fillId="33" borderId="225" xfId="0" applyFont="1" applyFill="1" applyBorder="1" applyAlignment="1">
      <alignment horizontal="center" vertical="center"/>
    </xf>
    <xf numFmtId="0" fontId="10" fillId="50" borderId="457" xfId="0" applyFont="1" applyFill="1" applyBorder="1" applyAlignment="1" applyProtection="1">
      <alignment horizontal="center"/>
      <protection hidden="1"/>
    </xf>
    <xf numFmtId="0" fontId="10" fillId="50" borderId="458" xfId="0" applyFont="1" applyFill="1" applyBorder="1" applyAlignment="1" applyProtection="1">
      <alignment horizontal="center"/>
      <protection hidden="1"/>
    </xf>
    <xf numFmtId="0" fontId="261" fillId="103" borderId="219" xfId="0" applyFont="1" applyFill="1" applyBorder="1" applyAlignment="1">
      <alignment horizontal="right" vertical="center"/>
    </xf>
    <xf numFmtId="0" fontId="261" fillId="103" borderId="123" xfId="0" applyFont="1" applyFill="1" applyBorder="1" applyAlignment="1" applyProtection="1">
      <alignment horizontal="right" vertical="center"/>
      <protection hidden="1"/>
    </xf>
    <xf numFmtId="0" fontId="261" fillId="103" borderId="0" xfId="0" applyFont="1" applyFill="1" applyAlignment="1" applyProtection="1">
      <alignment horizontal="right" vertical="center"/>
      <protection hidden="1"/>
    </xf>
    <xf numFmtId="0" fontId="261" fillId="103" borderId="123" xfId="0" applyFont="1" applyFill="1" applyBorder="1" applyAlignment="1" applyProtection="1">
      <alignment horizontal="right" vertical="center"/>
      <protection locked="0" hidden="1"/>
    </xf>
    <xf numFmtId="0" fontId="261" fillId="103" borderId="0" xfId="0" applyFont="1" applyFill="1" applyAlignment="1" applyProtection="1">
      <alignment horizontal="right" vertical="center"/>
      <protection locked="0" hidden="1"/>
    </xf>
    <xf numFmtId="0" fontId="336" fillId="33" borderId="427" xfId="0" applyFont="1" applyFill="1" applyBorder="1" applyAlignment="1" applyProtection="1">
      <alignment horizontal="center" vertical="center" wrapText="1"/>
      <protection hidden="1"/>
    </xf>
    <xf numFmtId="0" fontId="336" fillId="33" borderId="428" xfId="0" applyFont="1" applyFill="1" applyBorder="1" applyAlignment="1" applyProtection="1">
      <alignment horizontal="center" vertical="center" wrapText="1"/>
      <protection hidden="1"/>
    </xf>
    <xf numFmtId="0" fontId="345" fillId="105" borderId="319" xfId="0" applyFont="1" applyFill="1" applyBorder="1" applyAlignment="1">
      <alignment horizontal="center" vertical="center"/>
    </xf>
    <xf numFmtId="0" fontId="345" fillId="105" borderId="320" xfId="0" applyFont="1" applyFill="1" applyBorder="1" applyAlignment="1">
      <alignment horizontal="center" vertical="center"/>
    </xf>
    <xf numFmtId="0" fontId="336" fillId="105" borderId="427" xfId="0" applyFont="1" applyFill="1" applyBorder="1" applyAlignment="1" applyProtection="1">
      <alignment horizontal="center" vertical="center" wrapText="1"/>
      <protection hidden="1"/>
    </xf>
    <xf numFmtId="0" fontId="336" fillId="105" borderId="428" xfId="0" applyFont="1" applyFill="1" applyBorder="1" applyAlignment="1" applyProtection="1">
      <alignment horizontal="center" vertical="center" wrapText="1"/>
      <protection hidden="1"/>
    </xf>
    <xf numFmtId="0" fontId="459" fillId="78" borderId="664" xfId="0" applyFont="1" applyFill="1" applyBorder="1" applyAlignment="1">
      <alignment horizontal="left" vertical="center" wrapText="1"/>
    </xf>
    <xf numFmtId="0" fontId="459" fillId="78" borderId="428" xfId="0" applyFont="1" applyFill="1" applyBorder="1" applyAlignment="1">
      <alignment horizontal="left" vertical="center" wrapText="1"/>
    </xf>
    <xf numFmtId="0" fontId="459" fillId="78" borderId="665" xfId="0" applyFont="1" applyFill="1" applyBorder="1" applyAlignment="1">
      <alignment horizontal="left" vertical="center" wrapText="1"/>
    </xf>
    <xf numFmtId="0" fontId="459" fillId="78" borderId="424" xfId="0" applyFont="1" applyFill="1" applyBorder="1" applyAlignment="1">
      <alignment horizontal="left" vertical="center" wrapText="1"/>
    </xf>
    <xf numFmtId="0" fontId="459" fillId="78" borderId="355" xfId="0" applyFont="1" applyFill="1" applyBorder="1" applyAlignment="1">
      <alignment horizontal="left" vertical="center" wrapText="1"/>
    </xf>
    <xf numFmtId="0" fontId="459" fillId="78" borderId="0" xfId="0" applyFont="1" applyFill="1" applyAlignment="1">
      <alignment horizontal="left" vertical="center" wrapText="1"/>
    </xf>
    <xf numFmtId="0" fontId="459" fillId="78" borderId="358" xfId="0" applyFont="1" applyFill="1" applyBorder="1" applyAlignment="1">
      <alignment horizontal="left" vertical="center" wrapText="1"/>
    </xf>
    <xf numFmtId="0" fontId="336" fillId="78" borderId="318" xfId="0" applyFont="1" applyFill="1" applyBorder="1" applyAlignment="1" applyProtection="1">
      <alignment horizontal="left" vertical="center" wrapText="1"/>
      <protection hidden="1"/>
    </xf>
    <xf numFmtId="0" fontId="336" fillId="78" borderId="319" xfId="0" applyFont="1" applyFill="1" applyBorder="1" applyAlignment="1" applyProtection="1">
      <alignment horizontal="left" vertical="center" wrapText="1"/>
      <protection hidden="1"/>
    </xf>
    <xf numFmtId="0" fontId="345" fillId="78" borderId="319" xfId="0" applyFont="1" applyFill="1" applyBorder="1" applyAlignment="1">
      <alignment horizontal="center" vertical="center"/>
    </xf>
    <xf numFmtId="0" fontId="345" fillId="78" borderId="320" xfId="0" applyFont="1" applyFill="1" applyBorder="1" applyAlignment="1">
      <alignment horizontal="center" vertical="center"/>
    </xf>
    <xf numFmtId="0" fontId="339" fillId="78" borderId="318" xfId="0" applyFont="1" applyFill="1" applyBorder="1" applyAlignment="1" applyProtection="1">
      <alignment horizontal="center" vertical="center" wrapText="1"/>
      <protection hidden="1"/>
    </xf>
    <xf numFmtId="0" fontId="339" fillId="78" borderId="320" xfId="0" applyFont="1" applyFill="1" applyBorder="1" applyAlignment="1" applyProtection="1">
      <alignment horizontal="center" vertical="center" wrapText="1"/>
      <protection hidden="1"/>
    </xf>
    <xf numFmtId="0" fontId="419" fillId="78" borderId="624" xfId="0" applyFont="1" applyFill="1" applyBorder="1" applyAlignment="1">
      <alignment horizontal="center" vertical="center" wrapText="1"/>
    </xf>
    <xf numFmtId="0" fontId="419" fillId="78" borderId="482" xfId="0" applyFont="1" applyFill="1" applyBorder="1" applyAlignment="1">
      <alignment horizontal="center" vertical="center" wrapText="1"/>
    </xf>
    <xf numFmtId="0" fontId="336" fillId="78" borderId="318" xfId="0" applyFont="1" applyFill="1" applyBorder="1" applyAlignment="1" applyProtection="1">
      <alignment horizontal="center" vertical="center" wrapText="1"/>
      <protection hidden="1"/>
    </xf>
    <xf numFmtId="0" fontId="336" fillId="78" borderId="319" xfId="0" applyFont="1" applyFill="1" applyBorder="1" applyAlignment="1" applyProtection="1">
      <alignment horizontal="center" vertical="center" wrapText="1"/>
      <protection hidden="1"/>
    </xf>
    <xf numFmtId="0" fontId="336" fillId="78" borderId="320" xfId="0" applyFont="1" applyFill="1" applyBorder="1" applyAlignment="1" applyProtection="1">
      <alignment horizontal="center" vertical="center" wrapText="1"/>
      <protection hidden="1"/>
    </xf>
    <xf numFmtId="0" fontId="113" fillId="40" borderId="562" xfId="0" applyFont="1" applyFill="1" applyBorder="1" applyAlignment="1" applyProtection="1">
      <alignment horizontal="center"/>
      <protection hidden="1"/>
    </xf>
    <xf numFmtId="0" fontId="113" fillId="40" borderId="0" xfId="0" applyFont="1" applyFill="1" applyAlignment="1" applyProtection="1">
      <alignment horizontal="center"/>
      <protection hidden="1"/>
    </xf>
    <xf numFmtId="0" fontId="251" fillId="4" borderId="674" xfId="0" applyFont="1" applyFill="1" applyBorder="1" applyAlignment="1">
      <alignment horizontal="center" vertical="center" wrapText="1"/>
    </xf>
    <xf numFmtId="0" fontId="251" fillId="4" borderId="675" xfId="0" applyFont="1" applyFill="1" applyBorder="1" applyAlignment="1">
      <alignment horizontal="center" vertical="center" wrapText="1"/>
    </xf>
    <xf numFmtId="0" fontId="251" fillId="4" borderId="676" xfId="0" applyFont="1" applyFill="1" applyBorder="1" applyAlignment="1">
      <alignment horizontal="center" vertical="center" wrapText="1"/>
    </xf>
    <xf numFmtId="0" fontId="251" fillId="4" borderId="677" xfId="0" applyFont="1" applyFill="1" applyBorder="1" applyAlignment="1">
      <alignment horizontal="center" vertical="center" wrapText="1"/>
    </xf>
    <xf numFmtId="0" fontId="251" fillId="4" borderId="678" xfId="0" applyFont="1" applyFill="1" applyBorder="1" applyAlignment="1">
      <alignment horizontal="center" vertical="center" wrapText="1"/>
    </xf>
    <xf numFmtId="0" fontId="251" fillId="4" borderId="682" xfId="0" applyFont="1" applyFill="1" applyBorder="1" applyAlignment="1">
      <alignment horizontal="center" vertical="center" wrapText="1"/>
    </xf>
    <xf numFmtId="0" fontId="251" fillId="4" borderId="39" xfId="0" applyFont="1" applyFill="1" applyBorder="1" applyAlignment="1">
      <alignment horizontal="center" vertical="center" wrapText="1"/>
    </xf>
    <xf numFmtId="0" fontId="251" fillId="4" borderId="683" xfId="0" applyFont="1" applyFill="1" applyBorder="1" applyAlignment="1">
      <alignment horizontal="center" vertical="center" wrapText="1"/>
    </xf>
    <xf numFmtId="0" fontId="323" fillId="31" borderId="222" xfId="0" applyFont="1" applyFill="1" applyBorder="1" applyAlignment="1" applyProtection="1">
      <alignment horizontal="center" vertical="center"/>
      <protection hidden="1"/>
    </xf>
    <xf numFmtId="0" fontId="323" fillId="31" borderId="0" xfId="0" applyFont="1" applyFill="1" applyAlignment="1" applyProtection="1">
      <alignment horizontal="center" vertical="center"/>
      <protection hidden="1"/>
    </xf>
    <xf numFmtId="0" fontId="324" fillId="33" borderId="224" xfId="0" applyFont="1" applyFill="1" applyBorder="1" applyAlignment="1" applyProtection="1">
      <alignment horizontal="center" vertical="center"/>
      <protection hidden="1"/>
    </xf>
    <xf numFmtId="0" fontId="324" fillId="33" borderId="226" xfId="0" applyFont="1" applyFill="1" applyBorder="1" applyAlignment="1" applyProtection="1">
      <alignment horizontal="center" vertical="center"/>
      <protection hidden="1"/>
    </xf>
    <xf numFmtId="0" fontId="265" fillId="40" borderId="592" xfId="0" applyFont="1" applyFill="1" applyBorder="1" applyAlignment="1" applyProtection="1">
      <alignment horizontal="center"/>
      <protection hidden="1"/>
    </xf>
    <xf numFmtId="0" fontId="265" fillId="40" borderId="561" xfId="0" applyFont="1" applyFill="1" applyBorder="1" applyAlignment="1" applyProtection="1">
      <alignment horizontal="center"/>
      <protection hidden="1"/>
    </xf>
    <xf numFmtId="0" fontId="323" fillId="33" borderId="579" xfId="0" applyFont="1" applyFill="1" applyBorder="1" applyAlignment="1" applyProtection="1">
      <alignment horizontal="center" vertical="center" wrapText="1"/>
      <protection hidden="1"/>
    </xf>
    <xf numFmtId="0" fontId="323" fillId="33" borderId="580" xfId="0" applyFont="1" applyFill="1" applyBorder="1" applyAlignment="1" applyProtection="1">
      <alignment horizontal="center" vertical="center" wrapText="1"/>
      <protection hidden="1"/>
    </xf>
    <xf numFmtId="0" fontId="323" fillId="33" borderId="581" xfId="0" applyFont="1" applyFill="1" applyBorder="1" applyAlignment="1" applyProtection="1">
      <alignment horizontal="center" vertical="center" wrapText="1"/>
      <protection hidden="1"/>
    </xf>
    <xf numFmtId="0" fontId="323" fillId="60" borderId="107" xfId="0" applyFont="1" applyFill="1" applyBorder="1" applyAlignment="1" applyProtection="1">
      <alignment horizontal="center" vertical="center"/>
      <protection hidden="1"/>
    </xf>
    <xf numFmtId="0" fontId="323" fillId="60" borderId="108" xfId="0" applyFont="1" applyFill="1" applyBorder="1" applyAlignment="1" applyProtection="1">
      <alignment horizontal="center" vertical="center"/>
      <protection hidden="1"/>
    </xf>
    <xf numFmtId="0" fontId="323" fillId="60" borderId="109" xfId="0" applyFont="1" applyFill="1" applyBorder="1" applyAlignment="1" applyProtection="1">
      <alignment horizontal="center" vertical="center"/>
      <protection hidden="1"/>
    </xf>
    <xf numFmtId="0" fontId="50" fillId="60" borderId="481" xfId="0" applyFont="1" applyFill="1" applyBorder="1" applyAlignment="1" applyProtection="1">
      <alignment horizontal="center" vertical="center"/>
      <protection hidden="1"/>
    </xf>
    <xf numFmtId="0" fontId="50" fillId="60" borderId="108" xfId="0" applyFont="1" applyFill="1" applyBorder="1" applyAlignment="1" applyProtection="1">
      <alignment horizontal="center" vertical="center"/>
      <protection hidden="1"/>
    </xf>
    <xf numFmtId="0" fontId="50" fillId="60" borderId="109" xfId="0" applyFont="1" applyFill="1" applyBorder="1" applyAlignment="1" applyProtection="1">
      <alignment horizontal="center" vertical="center"/>
      <protection hidden="1"/>
    </xf>
    <xf numFmtId="0" fontId="323" fillId="60" borderId="481" xfId="0" applyFont="1" applyFill="1" applyBorder="1" applyAlignment="1" applyProtection="1">
      <alignment horizontal="center" vertical="center"/>
      <protection hidden="1"/>
    </xf>
    <xf numFmtId="0" fontId="324" fillId="60" borderId="107" xfId="0" applyFont="1" applyFill="1" applyBorder="1" applyAlignment="1" applyProtection="1">
      <alignment horizontal="center" vertical="center"/>
      <protection hidden="1"/>
    </xf>
    <xf numFmtId="0" fontId="324" fillId="60" borderId="108" xfId="0" applyFont="1" applyFill="1" applyBorder="1" applyAlignment="1" applyProtection="1">
      <alignment horizontal="center" vertical="center"/>
      <protection hidden="1"/>
    </xf>
    <xf numFmtId="0" fontId="324" fillId="60" borderId="109" xfId="0" applyFont="1" applyFill="1" applyBorder="1" applyAlignment="1" applyProtection="1">
      <alignment horizontal="center" vertical="center"/>
      <protection hidden="1"/>
    </xf>
    <xf numFmtId="0" fontId="323" fillId="60" borderId="481" xfId="0" applyFont="1" applyFill="1" applyBorder="1" applyAlignment="1" applyProtection="1">
      <alignment horizontal="center"/>
      <protection hidden="1"/>
    </xf>
    <xf numFmtId="0" fontId="323" fillId="60" borderId="108" xfId="0" applyFont="1" applyFill="1" applyBorder="1" applyAlignment="1" applyProtection="1">
      <alignment horizontal="center"/>
      <protection hidden="1"/>
    </xf>
    <xf numFmtId="0" fontId="323" fillId="60" borderId="109" xfId="0" applyFont="1" applyFill="1" applyBorder="1" applyAlignment="1" applyProtection="1">
      <alignment horizontal="center"/>
      <protection hidden="1"/>
    </xf>
    <xf numFmtId="0" fontId="265" fillId="60" borderId="481" xfId="0" applyFont="1" applyFill="1" applyBorder="1" applyAlignment="1" applyProtection="1">
      <alignment horizontal="center"/>
      <protection hidden="1"/>
    </xf>
    <xf numFmtId="0" fontId="265" fillId="60" borderId="108" xfId="0" applyFont="1" applyFill="1" applyBorder="1" applyAlignment="1" applyProtection="1">
      <alignment horizontal="center"/>
      <protection hidden="1"/>
    </xf>
    <xf numFmtId="0" fontId="265" fillId="60" borderId="109" xfId="0" applyFont="1" applyFill="1" applyBorder="1" applyAlignment="1" applyProtection="1">
      <alignment horizontal="center"/>
      <protection hidden="1"/>
    </xf>
    <xf numFmtId="0" fontId="265" fillId="60" borderId="481" xfId="0" applyFont="1" applyFill="1" applyBorder="1" applyAlignment="1" applyProtection="1">
      <alignment horizontal="center" vertical="center"/>
      <protection hidden="1"/>
    </xf>
    <xf numFmtId="0" fontId="265" fillId="60" borderId="108" xfId="0" applyFont="1" applyFill="1" applyBorder="1" applyAlignment="1" applyProtection="1">
      <alignment horizontal="center" vertical="center"/>
      <protection hidden="1"/>
    </xf>
    <xf numFmtId="0" fontId="50" fillId="60" borderId="481" xfId="0" applyFont="1" applyFill="1" applyBorder="1" applyAlignment="1" applyProtection="1">
      <alignment horizontal="left" vertical="center"/>
      <protection hidden="1"/>
    </xf>
    <xf numFmtId="0" fontId="50" fillId="60" borderId="108" xfId="0" applyFont="1" applyFill="1" applyBorder="1" applyAlignment="1" applyProtection="1">
      <alignment horizontal="left" vertical="center"/>
      <protection hidden="1"/>
    </xf>
    <xf numFmtId="0" fontId="50" fillId="60" borderId="109" xfId="0" applyFont="1" applyFill="1" applyBorder="1" applyAlignment="1" applyProtection="1">
      <alignment horizontal="left" vertical="center"/>
      <protection hidden="1"/>
    </xf>
    <xf numFmtId="0" fontId="50" fillId="60" borderId="485" xfId="0" applyFont="1" applyFill="1" applyBorder="1" applyAlignment="1" applyProtection="1">
      <alignment horizontal="left" vertical="center"/>
      <protection hidden="1"/>
    </xf>
    <xf numFmtId="0" fontId="50" fillId="60" borderId="486" xfId="0" applyFont="1" applyFill="1" applyBorder="1" applyAlignment="1" applyProtection="1">
      <alignment horizontal="left" vertical="center"/>
      <protection hidden="1"/>
    </xf>
    <xf numFmtId="0" fontId="50" fillId="60" borderId="553" xfId="0" applyFont="1" applyFill="1" applyBorder="1" applyAlignment="1" applyProtection="1">
      <alignment horizontal="left" vertical="center"/>
      <protection hidden="1"/>
    </xf>
    <xf numFmtId="0" fontId="50" fillId="60" borderId="555" xfId="0" applyFont="1" applyFill="1" applyBorder="1" applyAlignment="1" applyProtection="1">
      <alignment horizontal="left" vertical="center"/>
      <protection hidden="1"/>
    </xf>
    <xf numFmtId="0" fontId="50" fillId="60" borderId="556" xfId="0" applyFont="1" applyFill="1" applyBorder="1" applyAlignment="1" applyProtection="1">
      <alignment horizontal="left" vertical="center"/>
      <protection hidden="1"/>
    </xf>
    <xf numFmtId="0" fontId="50" fillId="60" borderId="557" xfId="0" applyFont="1" applyFill="1" applyBorder="1" applyAlignment="1" applyProtection="1">
      <alignment horizontal="left" vertical="center"/>
      <protection hidden="1"/>
    </xf>
    <xf numFmtId="0" fontId="50" fillId="60" borderId="108" xfId="0" applyFont="1" applyFill="1" applyBorder="1" applyAlignment="1" applyProtection="1">
      <alignment horizontal="center"/>
      <protection hidden="1"/>
    </xf>
    <xf numFmtId="0" fontId="50" fillId="60" borderId="109" xfId="0" applyFont="1" applyFill="1" applyBorder="1" applyAlignment="1" applyProtection="1">
      <alignment horizontal="center"/>
      <protection hidden="1"/>
    </xf>
    <xf numFmtId="0" fontId="323" fillId="33" borderId="107" xfId="0" applyFont="1" applyFill="1" applyBorder="1" applyAlignment="1" applyProtection="1">
      <alignment horizontal="center"/>
      <protection hidden="1"/>
    </xf>
    <xf numFmtId="0" fontId="323" fillId="33" borderId="109" xfId="0" applyFont="1" applyFill="1" applyBorder="1" applyAlignment="1" applyProtection="1">
      <alignment horizontal="center"/>
      <protection hidden="1"/>
    </xf>
    <xf numFmtId="0" fontId="50" fillId="60" borderId="88" xfId="0" applyFont="1" applyFill="1" applyBorder="1" applyAlignment="1" applyProtection="1">
      <alignment horizontal="center" vertical="center"/>
      <protection hidden="1"/>
    </xf>
    <xf numFmtId="0" fontId="50" fillId="60" borderId="84" xfId="0" applyFont="1" applyFill="1" applyBorder="1" applyAlignment="1" applyProtection="1">
      <alignment horizontal="center" vertical="center"/>
      <protection hidden="1"/>
    </xf>
    <xf numFmtId="0" fontId="50" fillId="60" borderId="77" xfId="0" applyFont="1" applyFill="1" applyBorder="1" applyAlignment="1" applyProtection="1">
      <alignment horizontal="center" vertical="center"/>
      <protection hidden="1"/>
    </xf>
    <xf numFmtId="0" fontId="50" fillId="60" borderId="75" xfId="0" applyFont="1" applyFill="1" applyBorder="1" applyAlignment="1" applyProtection="1">
      <alignment horizontal="center" vertical="center"/>
      <protection hidden="1"/>
    </xf>
    <xf numFmtId="0" fontId="323" fillId="60" borderId="563" xfId="0" applyFont="1" applyFill="1" applyBorder="1" applyAlignment="1" applyProtection="1">
      <alignment horizontal="center"/>
      <protection hidden="1"/>
    </xf>
    <xf numFmtId="0" fontId="323" fillId="60" borderId="564" xfId="0" applyFont="1" applyFill="1" applyBorder="1" applyAlignment="1" applyProtection="1">
      <alignment horizontal="center"/>
      <protection hidden="1"/>
    </xf>
    <xf numFmtId="0" fontId="323" fillId="60" borderId="567" xfId="0" applyFont="1" applyFill="1" applyBorder="1" applyAlignment="1" applyProtection="1">
      <alignment horizontal="center"/>
      <protection hidden="1"/>
    </xf>
    <xf numFmtId="0" fontId="323" fillId="60" borderId="76" xfId="0" applyFont="1" applyFill="1" applyBorder="1" applyAlignment="1" applyProtection="1">
      <alignment horizontal="center"/>
      <protection hidden="1"/>
    </xf>
    <xf numFmtId="0" fontId="323" fillId="60" borderId="559" xfId="0" applyFont="1" applyFill="1" applyBorder="1" applyAlignment="1" applyProtection="1">
      <alignment horizontal="center"/>
      <protection hidden="1"/>
    </xf>
    <xf numFmtId="0" fontId="322" fillId="33" borderId="254" xfId="0" applyFont="1" applyFill="1" applyBorder="1" applyAlignment="1">
      <alignment horizontal="center"/>
    </xf>
    <xf numFmtId="0" fontId="322" fillId="33" borderId="356" xfId="0" applyFont="1" applyFill="1" applyBorder="1" applyAlignment="1">
      <alignment horizontal="center"/>
    </xf>
    <xf numFmtId="0" fontId="322" fillId="33" borderId="357" xfId="0" applyFont="1" applyFill="1" applyBorder="1" applyAlignment="1">
      <alignment horizontal="center"/>
    </xf>
    <xf numFmtId="0" fontId="265" fillId="60" borderId="109" xfId="0" applyFont="1" applyFill="1" applyBorder="1" applyAlignment="1" applyProtection="1">
      <alignment horizontal="center" vertical="center"/>
      <protection hidden="1"/>
    </xf>
    <xf numFmtId="0" fontId="50" fillId="60" borderId="559" xfId="0" applyFont="1" applyFill="1" applyBorder="1" applyAlignment="1" applyProtection="1">
      <alignment horizontal="center" vertical="center"/>
      <protection hidden="1"/>
    </xf>
    <xf numFmtId="0" fontId="45" fillId="7" borderId="421" xfId="0" applyFont="1" applyFill="1" applyBorder="1" applyAlignment="1">
      <alignment horizontal="left" vertical="center" wrapText="1"/>
    </xf>
    <xf numFmtId="0" fontId="45" fillId="7" borderId="209" xfId="0" applyFont="1" applyFill="1" applyBorder="1" applyAlignment="1">
      <alignment horizontal="left" vertical="center" wrapText="1"/>
    </xf>
    <xf numFmtId="0" fontId="45" fillId="7" borderId="210" xfId="0" applyFont="1" applyFill="1" applyBorder="1" applyAlignment="1">
      <alignment horizontal="left" vertical="center" wrapText="1"/>
    </xf>
    <xf numFmtId="0" fontId="10" fillId="49" borderId="422" xfId="0" applyFont="1" applyFill="1" applyBorder="1" applyAlignment="1" applyProtection="1">
      <alignment horizontal="center" vertical="center"/>
      <protection locked="0" hidden="1"/>
    </xf>
    <xf numFmtId="0" fontId="10" fillId="49" borderId="412" xfId="0" applyFont="1" applyFill="1" applyBorder="1" applyAlignment="1" applyProtection="1">
      <alignment horizontal="center" vertical="center"/>
      <protection locked="0" hidden="1"/>
    </xf>
    <xf numFmtId="184" fontId="321" fillId="0" borderId="414" xfId="0" applyNumberFormat="1" applyFont="1" applyBorder="1" applyAlignment="1" applyProtection="1">
      <alignment horizontal="center"/>
      <protection locked="0" hidden="1"/>
    </xf>
    <xf numFmtId="184" fontId="321" fillId="0" borderId="415" xfId="0" applyNumberFormat="1" applyFont="1" applyBorder="1" applyAlignment="1" applyProtection="1">
      <alignment horizontal="center"/>
      <protection locked="0" hidden="1"/>
    </xf>
    <xf numFmtId="0" fontId="338" fillId="33" borderId="299" xfId="0" applyFont="1" applyFill="1" applyBorder="1" applyAlignment="1">
      <alignment horizontal="center" vertical="center"/>
    </xf>
    <xf numFmtId="0" fontId="338" fillId="33" borderId="300" xfId="0" applyFont="1" applyFill="1" applyBorder="1" applyAlignment="1">
      <alignment horizontal="center" vertical="center"/>
    </xf>
    <xf numFmtId="0" fontId="338" fillId="33" borderId="301" xfId="0" applyFont="1" applyFill="1" applyBorder="1" applyAlignment="1">
      <alignment horizontal="center" vertical="center"/>
    </xf>
    <xf numFmtId="0" fontId="3" fillId="39" borderId="367" xfId="0" applyFont="1" applyFill="1" applyBorder="1" applyAlignment="1">
      <alignment horizontal="center" vertical="center" textRotation="90"/>
    </xf>
    <xf numFmtId="0" fontId="3" fillId="39" borderId="373" xfId="0" applyFont="1" applyFill="1" applyBorder="1" applyAlignment="1">
      <alignment horizontal="center" vertical="center" textRotation="90"/>
    </xf>
    <xf numFmtId="0" fontId="3" fillId="39" borderId="374" xfId="0" applyFont="1" applyFill="1" applyBorder="1" applyAlignment="1">
      <alignment horizontal="center" vertical="center" textRotation="90"/>
    </xf>
    <xf numFmtId="0" fontId="332" fillId="100" borderId="410" xfId="0" applyFont="1" applyFill="1" applyBorder="1" applyAlignment="1">
      <alignment horizontal="left" vertical="center"/>
    </xf>
    <xf numFmtId="0" fontId="332" fillId="100" borderId="183" xfId="0" applyFont="1" applyFill="1" applyBorder="1" applyAlignment="1">
      <alignment horizontal="left" vertical="center"/>
    </xf>
    <xf numFmtId="0" fontId="332" fillId="100" borderId="296" xfId="0" applyFont="1" applyFill="1" applyBorder="1" applyAlignment="1">
      <alignment horizontal="left" vertical="center"/>
    </xf>
    <xf numFmtId="184" fontId="321" fillId="0" borderId="396" xfId="0" applyNumberFormat="1" applyFont="1" applyBorder="1" applyAlignment="1" applyProtection="1">
      <alignment horizontal="center"/>
      <protection locked="0" hidden="1"/>
    </xf>
    <xf numFmtId="184" fontId="321" fillId="0" borderId="397" xfId="0" applyNumberFormat="1" applyFont="1" applyBorder="1" applyAlignment="1" applyProtection="1">
      <alignment horizontal="center"/>
      <protection locked="0" hidden="1"/>
    </xf>
    <xf numFmtId="184" fontId="321" fillId="0" borderId="398" xfId="0" applyNumberFormat="1" applyFont="1" applyBorder="1" applyAlignment="1" applyProtection="1">
      <alignment horizontal="center"/>
      <protection locked="0" hidden="1"/>
    </xf>
    <xf numFmtId="184" fontId="321" fillId="0" borderId="399" xfId="0" applyNumberFormat="1" applyFont="1" applyBorder="1" applyAlignment="1" applyProtection="1">
      <alignment horizontal="center"/>
      <protection locked="0" hidden="1"/>
    </xf>
    <xf numFmtId="0" fontId="328" fillId="39" borderId="409" xfId="0" applyFont="1" applyFill="1" applyBorder="1" applyAlignment="1">
      <alignment horizontal="center" vertical="center"/>
    </xf>
    <xf numFmtId="0" fontId="328" fillId="39" borderId="394" xfId="0" applyFont="1" applyFill="1" applyBorder="1" applyAlignment="1">
      <alignment horizontal="center" vertical="center"/>
    </xf>
    <xf numFmtId="0" fontId="322" fillId="33" borderId="304" xfId="0" applyFont="1" applyFill="1" applyBorder="1" applyAlignment="1">
      <alignment horizontal="center" vertical="center" wrapText="1"/>
    </xf>
    <xf numFmtId="0" fontId="322" fillId="33" borderId="305" xfId="0" applyFont="1" applyFill="1" applyBorder="1" applyAlignment="1">
      <alignment horizontal="center" vertical="center" wrapText="1"/>
    </xf>
    <xf numFmtId="0" fontId="322" fillId="33" borderId="306" xfId="0" applyFont="1" applyFill="1" applyBorder="1" applyAlignment="1">
      <alignment horizontal="center" vertical="center" wrapText="1"/>
    </xf>
    <xf numFmtId="0" fontId="322" fillId="33" borderId="307" xfId="0" applyFont="1" applyFill="1" applyBorder="1" applyAlignment="1">
      <alignment horizontal="center" vertical="center" wrapText="1"/>
    </xf>
    <xf numFmtId="0" fontId="322" fillId="33" borderId="0" xfId="0" applyFont="1" applyFill="1" applyAlignment="1">
      <alignment horizontal="center" vertical="center" wrapText="1"/>
    </xf>
    <xf numFmtId="0" fontId="322" fillId="33" borderId="308" xfId="0" applyFont="1" applyFill="1" applyBorder="1" applyAlignment="1">
      <alignment horizontal="center" vertical="center" wrapText="1"/>
    </xf>
    <xf numFmtId="0" fontId="322" fillId="33" borderId="309" xfId="0" applyFont="1" applyFill="1" applyBorder="1" applyAlignment="1">
      <alignment horizontal="center" vertical="center" wrapText="1"/>
    </xf>
    <xf numFmtId="0" fontId="322" fillId="33" borderId="310" xfId="0" applyFont="1" applyFill="1" applyBorder="1" applyAlignment="1">
      <alignment horizontal="center" vertical="center" wrapText="1"/>
    </xf>
    <xf numFmtId="0" fontId="322" fillId="33" borderId="311" xfId="0" applyFont="1" applyFill="1" applyBorder="1" applyAlignment="1">
      <alignment horizontal="center" vertical="center" wrapText="1"/>
    </xf>
    <xf numFmtId="0" fontId="10" fillId="49" borderId="418" xfId="0" applyFont="1" applyFill="1" applyBorder="1" applyAlignment="1" applyProtection="1">
      <alignment horizontal="center" vertical="center"/>
      <protection locked="0" hidden="1"/>
    </xf>
    <xf numFmtId="0" fontId="10" fillId="49" borderId="407" xfId="0" applyFont="1" applyFill="1" applyBorder="1" applyAlignment="1" applyProtection="1">
      <alignment horizontal="center" vertical="center"/>
      <protection locked="0" hidden="1"/>
    </xf>
    <xf numFmtId="0" fontId="45" fillId="7" borderId="386" xfId="0" applyFont="1" applyFill="1" applyBorder="1" applyAlignment="1">
      <alignment horizontal="center" vertical="center"/>
    </xf>
    <xf numFmtId="0" fontId="45" fillId="7" borderId="352" xfId="0" applyFont="1" applyFill="1" applyBorder="1" applyAlignment="1">
      <alignment horizontal="center" vertical="center"/>
    </xf>
    <xf numFmtId="0" fontId="45" fillId="7" borderId="354" xfId="0" applyFont="1" applyFill="1" applyBorder="1" applyAlignment="1">
      <alignment horizontal="center" vertical="center"/>
    </xf>
    <xf numFmtId="0" fontId="47" fillId="57" borderId="400" xfId="0" applyFont="1" applyFill="1" applyBorder="1" applyAlignment="1" applyProtection="1">
      <alignment horizontal="center"/>
      <protection hidden="1"/>
    </xf>
    <xf numFmtId="0" fontId="47" fillId="57" borderId="401" xfId="0" applyFont="1" applyFill="1" applyBorder="1" applyAlignment="1" applyProtection="1">
      <alignment horizontal="center"/>
      <protection hidden="1"/>
    </xf>
    <xf numFmtId="0" fontId="47" fillId="57" borderId="402" xfId="0" applyFont="1" applyFill="1" applyBorder="1" applyAlignment="1" applyProtection="1">
      <alignment horizontal="center"/>
      <protection hidden="1"/>
    </xf>
    <xf numFmtId="0" fontId="88" fillId="31" borderId="107" xfId="0" applyFont="1" applyFill="1" applyBorder="1" applyAlignment="1" applyProtection="1">
      <alignment horizontal="center" vertical="center"/>
      <protection locked="0" hidden="1"/>
    </xf>
    <xf numFmtId="0" fontId="88" fillId="31" borderId="108" xfId="0" applyFont="1" applyFill="1" applyBorder="1" applyAlignment="1" applyProtection="1">
      <alignment horizontal="center" vertical="center"/>
      <protection locked="0" hidden="1"/>
    </xf>
    <xf numFmtId="0" fontId="88" fillId="31" borderId="109" xfId="0" applyFont="1" applyFill="1" applyBorder="1" applyAlignment="1" applyProtection="1">
      <alignment horizontal="center" vertical="center"/>
      <protection locked="0" hidden="1"/>
    </xf>
    <xf numFmtId="0" fontId="45" fillId="39" borderId="186" xfId="0" applyFont="1" applyFill="1" applyBorder="1" applyAlignment="1">
      <alignment horizontal="left" vertical="center" wrapText="1"/>
    </xf>
    <xf numFmtId="0" fontId="45" fillId="39" borderId="352" xfId="0" applyFont="1" applyFill="1" applyBorder="1" applyAlignment="1">
      <alignment horizontal="left" vertical="center" wrapText="1"/>
    </xf>
    <xf numFmtId="0" fontId="45" fillId="39" borderId="410" xfId="0" applyFont="1" applyFill="1" applyBorder="1" applyAlignment="1">
      <alignment horizontal="left" vertical="center"/>
    </xf>
    <xf numFmtId="0" fontId="45" fillId="39" borderId="213" xfId="0" applyFont="1" applyFill="1" applyBorder="1" applyAlignment="1">
      <alignment horizontal="left" vertical="center"/>
    </xf>
    <xf numFmtId="0" fontId="45" fillId="39" borderId="25" xfId="0" applyFont="1" applyFill="1" applyBorder="1" applyAlignment="1">
      <alignment horizontal="left" vertical="center"/>
    </xf>
    <xf numFmtId="0" fontId="45" fillId="7" borderId="410" xfId="0" applyFont="1" applyFill="1" applyBorder="1" applyAlignment="1">
      <alignment horizontal="left" vertical="center"/>
    </xf>
    <xf numFmtId="0" fontId="45" fillId="7" borderId="213" xfId="0" applyFont="1" applyFill="1" applyBorder="1" applyAlignment="1">
      <alignment horizontal="left" vertical="center"/>
    </xf>
    <xf numFmtId="0" fontId="45" fillId="7" borderId="25" xfId="0" applyFont="1" applyFill="1" applyBorder="1" applyAlignment="1">
      <alignment horizontal="left" vertical="center"/>
    </xf>
    <xf numFmtId="0" fontId="45" fillId="7" borderId="208" xfId="0" applyFont="1" applyFill="1" applyBorder="1" applyAlignment="1">
      <alignment horizontal="left" vertical="center"/>
    </xf>
    <xf numFmtId="0" fontId="45" fillId="7" borderId="209" xfId="0" applyFont="1" applyFill="1" applyBorder="1" applyAlignment="1">
      <alignment horizontal="left" vertical="center"/>
    </xf>
    <xf numFmtId="0" fontId="45" fillId="50" borderId="453" xfId="0" applyFont="1" applyFill="1" applyBorder="1" applyAlignment="1" applyProtection="1">
      <alignment horizontal="center" vertical="center"/>
      <protection hidden="1"/>
    </xf>
    <xf numFmtId="0" fontId="45" fillId="50" borderId="454" xfId="0" applyFont="1" applyFill="1" applyBorder="1" applyAlignment="1" applyProtection="1">
      <alignment horizontal="center" vertical="center"/>
      <protection hidden="1"/>
    </xf>
    <xf numFmtId="0" fontId="447" fillId="31" borderId="410" xfId="0" applyFont="1" applyFill="1" applyBorder="1" applyAlignment="1" applyProtection="1">
      <alignment horizontal="left" vertical="center"/>
      <protection hidden="1"/>
    </xf>
    <xf numFmtId="0" fontId="447" fillId="31" borderId="213" xfId="0" applyFont="1" applyFill="1" applyBorder="1" applyAlignment="1" applyProtection="1">
      <alignment horizontal="left" vertical="center"/>
      <protection hidden="1"/>
    </xf>
    <xf numFmtId="0" fontId="447" fillId="31" borderId="209" xfId="0" applyFont="1" applyFill="1" applyBorder="1" applyAlignment="1" applyProtection="1">
      <alignment horizontal="left" vertical="center"/>
      <protection hidden="1"/>
    </xf>
    <xf numFmtId="0" fontId="447" fillId="31" borderId="411" xfId="0" applyFont="1" applyFill="1" applyBorder="1" applyAlignment="1" applyProtection="1">
      <alignment horizontal="left" vertical="center"/>
      <protection hidden="1"/>
    </xf>
    <xf numFmtId="0" fontId="45" fillId="7" borderId="211" xfId="0" applyFont="1" applyFill="1" applyBorder="1" applyAlignment="1">
      <alignment horizontal="left" vertical="center"/>
    </xf>
    <xf numFmtId="0" fontId="45" fillId="50" borderId="413" xfId="0" applyFont="1" applyFill="1" applyBorder="1" applyAlignment="1" applyProtection="1">
      <alignment horizontal="center" vertical="center"/>
      <protection hidden="1"/>
    </xf>
    <xf numFmtId="0" fontId="271" fillId="33" borderId="12" xfId="0" applyFont="1" applyFill="1" applyBorder="1" applyAlignment="1">
      <alignment horizontal="center"/>
    </xf>
    <xf numFmtId="0" fontId="271" fillId="33" borderId="22" xfId="0" applyFont="1" applyFill="1" applyBorder="1" applyAlignment="1">
      <alignment horizontal="center"/>
    </xf>
    <xf numFmtId="0" fontId="271" fillId="33" borderId="73" xfId="0" applyFont="1" applyFill="1" applyBorder="1" applyAlignment="1">
      <alignment horizontal="center"/>
    </xf>
    <xf numFmtId="0" fontId="233" fillId="33" borderId="12" xfId="0" applyFont="1" applyFill="1" applyBorder="1" applyAlignment="1">
      <alignment horizontal="center"/>
    </xf>
    <xf numFmtId="0" fontId="271" fillId="33" borderId="22" xfId="0" applyFont="1" applyFill="1" applyBorder="1" applyAlignment="1">
      <alignment horizontal="center" vertical="center"/>
    </xf>
    <xf numFmtId="0" fontId="271" fillId="33" borderId="25" xfId="0" applyFont="1" applyFill="1" applyBorder="1" applyAlignment="1">
      <alignment horizontal="center" vertical="center"/>
    </xf>
    <xf numFmtId="0" fontId="271" fillId="33" borderId="73" xfId="0" applyFont="1" applyFill="1" applyBorder="1" applyAlignment="1">
      <alignment horizontal="center" vertical="center"/>
    </xf>
    <xf numFmtId="1" fontId="271" fillId="33" borderId="12" xfId="0" applyNumberFormat="1" applyFont="1" applyFill="1" applyBorder="1" applyAlignment="1">
      <alignment horizontal="center"/>
    </xf>
    <xf numFmtId="0" fontId="271" fillId="33" borderId="25" xfId="0" applyFont="1" applyFill="1" applyBorder="1" applyAlignment="1">
      <alignment horizontal="center"/>
    </xf>
    <xf numFmtId="0" fontId="144" fillId="33" borderId="128" xfId="0" applyFont="1" applyFill="1" applyBorder="1" applyAlignment="1">
      <alignment horizontal="left" vertical="center"/>
    </xf>
    <xf numFmtId="0" fontId="144" fillId="33" borderId="91" xfId="0" applyFont="1" applyFill="1" applyBorder="1" applyAlignment="1">
      <alignment horizontal="left" vertical="center"/>
    </xf>
    <xf numFmtId="0" fontId="0" fillId="33" borderId="93" xfId="0" applyFill="1" applyBorder="1" applyAlignment="1">
      <alignment horizontal="center"/>
    </xf>
    <xf numFmtId="0" fontId="0" fillId="33" borderId="12" xfId="0" applyFill="1" applyBorder="1" applyAlignment="1">
      <alignment horizontal="center"/>
    </xf>
    <xf numFmtId="0" fontId="0" fillId="33" borderId="94" xfId="0" applyFill="1" applyBorder="1" applyAlignment="1">
      <alignment horizontal="center" vertical="center"/>
    </xf>
    <xf numFmtId="0" fontId="0" fillId="33" borderId="128" xfId="0" applyFill="1" applyBorder="1" applyAlignment="1">
      <alignment horizontal="center" vertical="center"/>
    </xf>
    <xf numFmtId="0" fontId="144" fillId="33" borderId="0" xfId="0" applyFont="1" applyFill="1" applyAlignment="1">
      <alignment horizontal="center" vertical="center"/>
    </xf>
    <xf numFmtId="0" fontId="0" fillId="33" borderId="0" xfId="0" applyFill="1" applyAlignment="1">
      <alignment horizontal="center"/>
    </xf>
    <xf numFmtId="0" fontId="233" fillId="33" borderId="127" xfId="0" applyFont="1" applyFill="1" applyBorder="1" applyAlignment="1">
      <alignment horizontal="left" vertical="center"/>
    </xf>
    <xf numFmtId="0" fontId="233" fillId="33" borderId="89" xfId="0" applyFont="1" applyFill="1" applyBorder="1" applyAlignment="1">
      <alignment horizontal="left" vertical="center"/>
    </xf>
    <xf numFmtId="0" fontId="144" fillId="33" borderId="12" xfId="0" applyFont="1" applyFill="1" applyBorder="1" applyAlignment="1">
      <alignment horizontal="left" vertical="center"/>
    </xf>
    <xf numFmtId="0" fontId="144" fillId="33" borderId="90" xfId="0" applyFont="1" applyFill="1" applyBorder="1" applyAlignment="1">
      <alignment horizontal="left" vertical="center"/>
    </xf>
    <xf numFmtId="0" fontId="0" fillId="33" borderId="93" xfId="0" applyFill="1" applyBorder="1" applyAlignment="1">
      <alignment horizontal="center" vertical="center"/>
    </xf>
    <xf numFmtId="0" fontId="0" fillId="33" borderId="12" xfId="0" applyFill="1" applyBorder="1" applyAlignment="1">
      <alignment horizontal="center" vertical="center"/>
    </xf>
    <xf numFmtId="0" fontId="0" fillId="33" borderId="92" xfId="0" applyFill="1" applyBorder="1" applyAlignment="1">
      <alignment horizontal="center" vertical="center"/>
    </xf>
    <xf numFmtId="0" fontId="0" fillId="33" borderId="127" xfId="0" applyFill="1" applyBorder="1" applyAlignment="1">
      <alignment horizontal="center" vertical="center"/>
    </xf>
    <xf numFmtId="0" fontId="233" fillId="33" borderId="93" xfId="0" applyFont="1" applyFill="1" applyBorder="1" applyAlignment="1">
      <alignment horizontal="center" vertical="center"/>
    </xf>
    <xf numFmtId="0" fontId="233" fillId="33" borderId="12" xfId="0" applyFont="1" applyFill="1" applyBorder="1" applyAlignment="1">
      <alignment horizontal="center" vertical="center"/>
    </xf>
    <xf numFmtId="0" fontId="261" fillId="7" borderId="208" xfId="0" applyFont="1" applyFill="1" applyBorder="1" applyAlignment="1" applyProtection="1">
      <alignment horizontal="center" vertical="center"/>
      <protection hidden="1"/>
    </xf>
    <xf numFmtId="0" fontId="261" fillId="7" borderId="209" xfId="0" applyFont="1" applyFill="1" applyBorder="1" applyAlignment="1" applyProtection="1">
      <alignment horizontal="center" vertical="center"/>
      <protection hidden="1"/>
    </xf>
    <xf numFmtId="0" fontId="261" fillId="7" borderId="210" xfId="0" applyFont="1" applyFill="1" applyBorder="1" applyAlignment="1" applyProtection="1">
      <alignment horizontal="center" vertical="center"/>
      <protection hidden="1"/>
    </xf>
    <xf numFmtId="0" fontId="321" fillId="49" borderId="387" xfId="0" applyFont="1" applyFill="1" applyBorder="1" applyAlignment="1" applyProtection="1">
      <alignment horizontal="center" vertical="center"/>
      <protection hidden="1"/>
    </xf>
    <xf numFmtId="0" fontId="321" fillId="49" borderId="76" xfId="0" applyFont="1" applyFill="1" applyBorder="1" applyAlignment="1" applyProtection="1">
      <alignment horizontal="center" vertical="center"/>
      <protection hidden="1"/>
    </xf>
    <xf numFmtId="0" fontId="322" fillId="33" borderId="361" xfId="0" applyFont="1" applyFill="1" applyBorder="1" applyAlignment="1" applyProtection="1">
      <alignment horizontal="center" vertical="center"/>
      <protection hidden="1"/>
    </xf>
    <xf numFmtId="0" fontId="261" fillId="33" borderId="361" xfId="0" applyFont="1" applyFill="1" applyBorder="1" applyAlignment="1" applyProtection="1">
      <alignment horizontal="center" vertical="center"/>
      <protection hidden="1"/>
    </xf>
    <xf numFmtId="0" fontId="322" fillId="33" borderId="299" xfId="0" applyFont="1" applyFill="1" applyBorder="1" applyAlignment="1" applyProtection="1">
      <alignment horizontal="center" vertical="center" wrapText="1"/>
      <protection hidden="1"/>
    </xf>
    <xf numFmtId="0" fontId="261" fillId="33" borderId="300" xfId="0" applyFont="1" applyFill="1" applyBorder="1" applyAlignment="1" applyProtection="1">
      <alignment horizontal="center" vertical="center" wrapText="1"/>
      <protection hidden="1"/>
    </xf>
    <xf numFmtId="0" fontId="261" fillId="33" borderId="301" xfId="0" applyFont="1" applyFill="1" applyBorder="1" applyAlignment="1" applyProtection="1">
      <alignment horizontal="center" vertical="center" wrapText="1"/>
      <protection hidden="1"/>
    </xf>
    <xf numFmtId="0" fontId="272" fillId="4" borderId="238" xfId="0" applyFont="1" applyFill="1" applyBorder="1" applyAlignment="1" applyProtection="1">
      <alignment horizontal="center" vertical="center"/>
      <protection hidden="1"/>
    </xf>
    <xf numFmtId="0" fontId="272" fillId="4" borderId="239" xfId="0" applyFont="1" applyFill="1" applyBorder="1" applyAlignment="1" applyProtection="1">
      <alignment horizontal="center" vertical="center"/>
      <protection hidden="1"/>
    </xf>
    <xf numFmtId="0" fontId="272" fillId="4" borderId="240" xfId="0" applyFont="1" applyFill="1" applyBorder="1" applyAlignment="1" applyProtection="1">
      <alignment horizontal="center" vertical="center"/>
      <protection hidden="1"/>
    </xf>
    <xf numFmtId="0" fontId="460" fillId="33" borderId="377" xfId="0" applyFont="1" applyFill="1" applyBorder="1" applyAlignment="1">
      <alignment horizontal="center"/>
    </xf>
    <xf numFmtId="0" fontId="460" fillId="33" borderId="375" xfId="0" applyFont="1" applyFill="1" applyBorder="1" applyAlignment="1">
      <alignment horizontal="center"/>
    </xf>
    <xf numFmtId="0" fontId="322" fillId="33" borderId="588" xfId="0" applyFont="1" applyFill="1" applyBorder="1" applyAlignment="1" applyProtection="1">
      <alignment horizontal="center"/>
      <protection hidden="1"/>
    </xf>
    <xf numFmtId="0" fontId="322" fillId="33" borderId="589" xfId="0" applyFont="1" applyFill="1" applyBorder="1" applyAlignment="1" applyProtection="1">
      <alignment horizontal="center"/>
      <protection hidden="1"/>
    </xf>
    <xf numFmtId="0" fontId="322" fillId="33" borderId="590" xfId="0" applyFont="1" applyFill="1" applyBorder="1" applyAlignment="1" applyProtection="1">
      <alignment horizontal="center"/>
      <protection hidden="1"/>
    </xf>
    <xf numFmtId="0" fontId="415" fillId="55" borderId="77" xfId="0" applyFont="1" applyFill="1" applyBorder="1" applyAlignment="1">
      <alignment horizontal="center" vertical="center"/>
    </xf>
    <xf numFmtId="0" fontId="415" fillId="55" borderId="0" xfId="0" applyFont="1" applyFill="1" applyAlignment="1">
      <alignment horizontal="center" vertical="center"/>
    </xf>
    <xf numFmtId="0" fontId="415" fillId="55" borderId="75" xfId="0" applyFont="1" applyFill="1" applyBorder="1" applyAlignment="1">
      <alignment horizontal="center" vertical="center"/>
    </xf>
    <xf numFmtId="0" fontId="415" fillId="55" borderId="424" xfId="0" applyFont="1" applyFill="1" applyBorder="1" applyAlignment="1">
      <alignment horizontal="center" vertical="center"/>
    </xf>
    <xf numFmtId="0" fontId="415" fillId="55" borderId="355" xfId="0" applyFont="1" applyFill="1" applyBorder="1" applyAlignment="1">
      <alignment horizontal="center" vertical="center"/>
    </xf>
    <xf numFmtId="0" fontId="415" fillId="55" borderId="358" xfId="0" applyFont="1" applyFill="1" applyBorder="1" applyAlignment="1">
      <alignment horizontal="center" vertical="center"/>
    </xf>
    <xf numFmtId="0" fontId="202" fillId="41" borderId="0" xfId="0" applyFont="1" applyFill="1" applyAlignment="1">
      <alignment horizontal="center" vertical="center" wrapText="1"/>
    </xf>
    <xf numFmtId="0" fontId="202" fillId="41" borderId="434" xfId="0" applyFont="1" applyFill="1" applyBorder="1" applyAlignment="1">
      <alignment horizontal="center" vertical="center" wrapText="1"/>
    </xf>
    <xf numFmtId="0" fontId="10" fillId="33" borderId="356" xfId="0" applyFont="1" applyFill="1" applyBorder="1" applyAlignment="1">
      <alignment horizontal="center" vertical="center"/>
    </xf>
    <xf numFmtId="0" fontId="10" fillId="33" borderId="357" xfId="0" applyFont="1" applyFill="1" applyBorder="1" applyAlignment="1">
      <alignment horizontal="center" vertical="center"/>
    </xf>
    <xf numFmtId="184" fontId="332" fillId="32" borderId="403" xfId="0" applyNumberFormat="1" applyFont="1" applyFill="1" applyBorder="1" applyAlignment="1" applyProtection="1">
      <alignment horizontal="center"/>
      <protection hidden="1"/>
    </xf>
    <xf numFmtId="184" fontId="332" fillId="32" borderId="404" xfId="0" applyNumberFormat="1" applyFont="1" applyFill="1" applyBorder="1" applyAlignment="1" applyProtection="1">
      <alignment horizontal="center"/>
      <protection hidden="1"/>
    </xf>
    <xf numFmtId="0" fontId="3" fillId="90" borderId="356" xfId="0" applyFont="1" applyFill="1" applyBorder="1" applyAlignment="1">
      <alignment horizontal="center" vertical="center"/>
    </xf>
    <xf numFmtId="0" fontId="3" fillId="90" borderId="357" xfId="0" applyFont="1" applyFill="1" applyBorder="1" applyAlignment="1">
      <alignment horizontal="center" vertical="center"/>
    </xf>
    <xf numFmtId="0" fontId="247" fillId="4" borderId="77" xfId="0" applyFont="1" applyFill="1" applyBorder="1" applyAlignment="1">
      <alignment horizontal="center" vertical="center"/>
    </xf>
    <xf numFmtId="0" fontId="247" fillId="4" borderId="0" xfId="0" applyFont="1" applyFill="1" applyAlignment="1">
      <alignment horizontal="center" vertical="center"/>
    </xf>
    <xf numFmtId="0" fontId="247" fillId="4" borderId="75" xfId="0" applyFont="1" applyFill="1" applyBorder="1" applyAlignment="1">
      <alignment horizontal="center" vertical="center"/>
    </xf>
    <xf numFmtId="0" fontId="247" fillId="4" borderId="355" xfId="0" applyFont="1" applyFill="1" applyBorder="1" applyAlignment="1">
      <alignment horizontal="center" vertical="center"/>
    </xf>
    <xf numFmtId="0" fontId="247" fillId="4" borderId="358" xfId="0" applyFont="1" applyFill="1" applyBorder="1" applyAlignment="1">
      <alignment horizontal="center" vertical="center"/>
    </xf>
    <xf numFmtId="0" fontId="88" fillId="66" borderId="254" xfId="0" applyFont="1" applyFill="1" applyBorder="1" applyAlignment="1" applyProtection="1">
      <alignment horizontal="center" vertical="center"/>
      <protection hidden="1"/>
    </xf>
    <xf numFmtId="0" fontId="88" fillId="66" borderId="356" xfId="0" applyFont="1" applyFill="1" applyBorder="1" applyAlignment="1" applyProtection="1">
      <alignment horizontal="center" vertical="center"/>
      <protection hidden="1"/>
    </xf>
    <xf numFmtId="0" fontId="88" fillId="66" borderId="357" xfId="0" applyFont="1" applyFill="1" applyBorder="1" applyAlignment="1" applyProtection="1">
      <alignment horizontal="center" vertical="center"/>
      <protection hidden="1"/>
    </xf>
    <xf numFmtId="0" fontId="336" fillId="33" borderId="405" xfId="0" applyFont="1" applyFill="1" applyBorder="1" applyAlignment="1">
      <alignment horizontal="center" vertical="center"/>
    </xf>
    <xf numFmtId="0" fontId="336" fillId="33" borderId="423" xfId="0" applyFont="1" applyFill="1" applyBorder="1" applyAlignment="1">
      <alignment horizontal="center" vertical="center"/>
    </xf>
    <xf numFmtId="0" fontId="45" fillId="49" borderId="450" xfId="0" applyFont="1" applyFill="1" applyBorder="1" applyAlignment="1" applyProtection="1">
      <alignment horizontal="center" vertical="center"/>
      <protection locked="0" hidden="1"/>
    </xf>
    <xf numFmtId="0" fontId="45" fillId="49" borderId="451" xfId="0" applyFont="1" applyFill="1" applyBorder="1" applyAlignment="1" applyProtection="1">
      <alignment horizontal="center" vertical="center"/>
      <protection locked="0" hidden="1"/>
    </xf>
    <xf numFmtId="0" fontId="45" fillId="49" borderId="452" xfId="0" applyFont="1" applyFill="1" applyBorder="1" applyAlignment="1" applyProtection="1">
      <alignment horizontal="center" vertical="center"/>
      <protection locked="0" hidden="1"/>
    </xf>
    <xf numFmtId="0" fontId="45" fillId="49" borderId="408" xfId="0" applyFont="1" applyFill="1" applyBorder="1" applyAlignment="1" applyProtection="1">
      <alignment horizontal="center" vertical="center"/>
      <protection locked="0" hidden="1"/>
    </xf>
    <xf numFmtId="0" fontId="47" fillId="90" borderId="254" xfId="0" applyFont="1" applyFill="1" applyBorder="1" applyAlignment="1" applyProtection="1">
      <alignment horizontal="center" vertical="center"/>
      <protection hidden="1"/>
    </xf>
    <xf numFmtId="0" fontId="47" fillId="90" borderId="356" xfId="0" applyFont="1" applyFill="1" applyBorder="1" applyAlignment="1" applyProtection="1">
      <alignment horizontal="center" vertical="center"/>
      <protection hidden="1"/>
    </xf>
    <xf numFmtId="0" fontId="47" fillId="90" borderId="357" xfId="0" applyFont="1" applyFill="1" applyBorder="1" applyAlignment="1" applyProtection="1">
      <alignment horizontal="center" vertical="center"/>
      <protection hidden="1"/>
    </xf>
    <xf numFmtId="0" fontId="457" fillId="55" borderId="356" xfId="0" applyFont="1" applyFill="1" applyBorder="1" applyAlignment="1">
      <alignment horizontal="center" vertical="center"/>
    </xf>
    <xf numFmtId="0" fontId="457" fillId="55" borderId="357" xfId="0" applyFont="1" applyFill="1" applyBorder="1" applyAlignment="1">
      <alignment horizontal="center" vertical="center"/>
    </xf>
    <xf numFmtId="0" fontId="457" fillId="55" borderId="356" xfId="0" applyFont="1" applyFill="1" applyBorder="1" applyAlignment="1" applyProtection="1">
      <alignment horizontal="center" vertical="center"/>
      <protection hidden="1"/>
    </xf>
    <xf numFmtId="0" fontId="457" fillId="55" borderId="357" xfId="0" applyFont="1" applyFill="1" applyBorder="1" applyAlignment="1" applyProtection="1">
      <alignment horizontal="center" vertical="center"/>
      <protection hidden="1"/>
    </xf>
    <xf numFmtId="0" fontId="0" fillId="55" borderId="427" xfId="0" applyFill="1" applyBorder="1" applyAlignment="1">
      <alignment horizontal="center"/>
    </xf>
    <xf numFmtId="0" fontId="0" fillId="55" borderId="428" xfId="0" applyFill="1" applyBorder="1" applyAlignment="1">
      <alignment horizontal="center"/>
    </xf>
    <xf numFmtId="0" fontId="0" fillId="55" borderId="429" xfId="0" applyFill="1" applyBorder="1" applyAlignment="1">
      <alignment horizontal="center"/>
    </xf>
    <xf numFmtId="0" fontId="0" fillId="55" borderId="430" xfId="0" applyFill="1" applyBorder="1" applyAlignment="1">
      <alignment horizontal="center"/>
    </xf>
    <xf numFmtId="0" fontId="0" fillId="55" borderId="431" xfId="0" applyFill="1" applyBorder="1" applyAlignment="1">
      <alignment horizontal="center"/>
    </xf>
    <xf numFmtId="0" fontId="0" fillId="55" borderId="432" xfId="0" applyFill="1" applyBorder="1" applyAlignment="1">
      <alignment horizontal="center"/>
    </xf>
    <xf numFmtId="166" fontId="489" fillId="33" borderId="107" xfId="0" applyNumberFormat="1" applyFont="1" applyFill="1" applyBorder="1" applyAlignment="1">
      <alignment horizontal="center" vertical="center"/>
    </xf>
    <xf numFmtId="166" fontId="489" fillId="33" borderId="108" xfId="0" applyNumberFormat="1" applyFont="1" applyFill="1" applyBorder="1" applyAlignment="1">
      <alignment horizontal="center" vertical="center"/>
    </xf>
    <xf numFmtId="166" fontId="489" fillId="33" borderId="109" xfId="0" applyNumberFormat="1" applyFont="1" applyFill="1" applyBorder="1" applyAlignment="1">
      <alignment horizontal="center" vertical="center"/>
    </xf>
    <xf numFmtId="0" fontId="45" fillId="49" borderId="413" xfId="0" applyFont="1" applyFill="1" applyBorder="1" applyAlignment="1" applyProtection="1">
      <alignment horizontal="center" vertical="center"/>
      <protection locked="0" hidden="1"/>
    </xf>
    <xf numFmtId="0" fontId="45" fillId="7" borderId="447" xfId="0" applyFont="1" applyFill="1" applyBorder="1" applyAlignment="1">
      <alignment horizontal="left" vertical="center" wrapText="1"/>
    </xf>
    <xf numFmtId="0" fontId="45" fillId="7" borderId="594" xfId="0" applyFont="1" applyFill="1" applyBorder="1" applyAlignment="1">
      <alignment horizontal="left" vertical="center" wrapText="1"/>
    </xf>
    <xf numFmtId="0" fontId="45" fillId="7" borderId="595" xfId="0" applyFont="1" applyFill="1" applyBorder="1" applyAlignment="1">
      <alignment horizontal="left" vertical="center" wrapText="1"/>
    </xf>
    <xf numFmtId="0" fontId="45" fillId="50" borderId="416" xfId="0" applyFont="1" applyFill="1" applyBorder="1" applyAlignment="1" applyProtection="1">
      <alignment horizontal="center" vertical="center"/>
      <protection hidden="1"/>
    </xf>
    <xf numFmtId="0" fontId="336" fillId="50" borderId="426" xfId="0" applyFont="1" applyFill="1" applyBorder="1" applyAlignment="1">
      <alignment horizontal="center" vertical="center"/>
    </xf>
    <xf numFmtId="0" fontId="336" fillId="50" borderId="394" xfId="0" applyFont="1" applyFill="1" applyBorder="1" applyAlignment="1">
      <alignment horizontal="center" vertical="center"/>
    </xf>
    <xf numFmtId="0" fontId="455" fillId="42" borderId="295" xfId="0" applyFont="1" applyFill="1" applyBorder="1" applyAlignment="1" applyProtection="1">
      <alignment horizontal="left" vertical="center"/>
      <protection hidden="1"/>
    </xf>
    <xf numFmtId="0" fontId="455" fillId="42" borderId="25" xfId="0" applyFont="1" applyFill="1" applyBorder="1" applyAlignment="1" applyProtection="1">
      <alignment horizontal="left" vertical="center"/>
      <protection hidden="1"/>
    </xf>
    <xf numFmtId="0" fontId="455" fillId="42" borderId="372" xfId="0" applyFont="1" applyFill="1" applyBorder="1" applyAlignment="1" applyProtection="1">
      <alignment horizontal="left" vertical="center"/>
      <protection hidden="1"/>
    </xf>
    <xf numFmtId="0" fontId="455" fillId="42" borderId="295" xfId="0" applyFont="1" applyFill="1" applyBorder="1" applyAlignment="1" applyProtection="1">
      <alignment horizontal="left"/>
      <protection hidden="1"/>
    </xf>
    <xf numFmtId="0" fontId="455" fillId="42" borderId="25" xfId="0" applyFont="1" applyFill="1" applyBorder="1" applyAlignment="1" applyProtection="1">
      <alignment horizontal="left"/>
      <protection hidden="1"/>
    </xf>
    <xf numFmtId="0" fontId="455" fillId="42" borderId="372" xfId="0" applyFont="1" applyFill="1" applyBorder="1" applyAlignment="1" applyProtection="1">
      <alignment horizontal="left"/>
      <protection hidden="1"/>
    </xf>
    <xf numFmtId="0" fontId="455" fillId="42" borderId="368" xfId="0" applyFont="1" applyFill="1" applyBorder="1" applyAlignment="1">
      <alignment horizontal="center" wrapText="1"/>
    </xf>
    <xf numFmtId="0" fontId="455" fillId="42" borderId="305" xfId="0" applyFont="1" applyFill="1" applyBorder="1" applyAlignment="1">
      <alignment horizontal="center" wrapText="1"/>
    </xf>
    <xf numFmtId="0" fontId="455" fillId="42" borderId="306" xfId="0" applyFont="1" applyFill="1" applyBorder="1" applyAlignment="1">
      <alignment horizontal="center" wrapText="1"/>
    </xf>
    <xf numFmtId="0" fontId="455" fillId="42" borderId="12" xfId="0" applyFont="1" applyFill="1" applyBorder="1" applyAlignment="1">
      <alignment horizontal="center" vertical="center"/>
    </xf>
    <xf numFmtId="0" fontId="455" fillId="42" borderId="370" xfId="0" applyFont="1" applyFill="1" applyBorder="1" applyAlignment="1">
      <alignment horizontal="center" vertical="center"/>
    </xf>
    <xf numFmtId="0" fontId="455" fillId="42" borderId="295" xfId="0" applyFont="1" applyFill="1" applyBorder="1" applyAlignment="1">
      <alignment horizontal="center"/>
    </xf>
    <xf numFmtId="0" fontId="455" fillId="42" borderId="25" xfId="0" applyFont="1" applyFill="1" applyBorder="1" applyAlignment="1">
      <alignment horizontal="center"/>
    </xf>
    <xf numFmtId="0" fontId="455" fillId="42" borderId="372" xfId="0" applyFont="1" applyFill="1" applyBorder="1" applyAlignment="1">
      <alignment horizontal="center"/>
    </xf>
    <xf numFmtId="0" fontId="322" fillId="31" borderId="218" xfId="0" applyFont="1" applyFill="1" applyBorder="1" applyAlignment="1" applyProtection="1">
      <alignment horizontal="center" vertical="center"/>
      <protection hidden="1"/>
    </xf>
    <xf numFmtId="0" fontId="322" fillId="31" borderId="215" xfId="0" applyFont="1" applyFill="1" applyBorder="1" applyAlignment="1" applyProtection="1">
      <alignment horizontal="center" vertical="center"/>
      <protection hidden="1"/>
    </xf>
    <xf numFmtId="0" fontId="321" fillId="68" borderId="425" xfId="0" applyFont="1" applyFill="1" applyBorder="1" applyAlignment="1" applyProtection="1">
      <alignment horizontal="center" vertical="center"/>
      <protection locked="0" hidden="1"/>
    </xf>
    <xf numFmtId="0" fontId="321" fillId="68" borderId="215" xfId="0" applyFont="1" applyFill="1" applyBorder="1" applyAlignment="1" applyProtection="1">
      <alignment horizontal="center" vertical="center"/>
      <protection locked="0" hidden="1"/>
    </xf>
    <xf numFmtId="0" fontId="321" fillId="68" borderId="218" xfId="0" applyFont="1" applyFill="1" applyBorder="1" applyAlignment="1" applyProtection="1">
      <alignment horizontal="center" vertical="center"/>
      <protection locked="0" hidden="1"/>
    </xf>
    <xf numFmtId="0" fontId="321" fillId="68" borderId="366" xfId="0" applyFont="1" applyFill="1" applyBorder="1" applyAlignment="1" applyProtection="1">
      <alignment horizontal="center" vertical="center"/>
      <protection locked="0" hidden="1"/>
    </xf>
    <xf numFmtId="0" fontId="321" fillId="68" borderId="328" xfId="0" applyFont="1" applyFill="1" applyBorder="1" applyAlignment="1" applyProtection="1">
      <alignment horizontal="center" vertical="center"/>
      <protection locked="0" hidden="1"/>
    </xf>
    <xf numFmtId="0" fontId="203" fillId="33" borderId="430" xfId="0" applyFont="1" applyFill="1" applyBorder="1" applyAlignment="1">
      <alignment horizontal="center" vertical="center" wrapText="1"/>
    </xf>
    <xf numFmtId="0" fontId="203" fillId="33" borderId="431" xfId="0" applyFont="1" applyFill="1" applyBorder="1" applyAlignment="1">
      <alignment horizontal="center" vertical="center" wrapText="1"/>
    </xf>
    <xf numFmtId="0" fontId="203" fillId="33" borderId="432" xfId="0" applyFont="1" applyFill="1" applyBorder="1" applyAlignment="1">
      <alignment horizontal="center" vertical="center" wrapText="1"/>
    </xf>
    <xf numFmtId="0" fontId="425" fillId="33" borderId="299" xfId="0" applyFont="1" applyFill="1" applyBorder="1" applyAlignment="1">
      <alignment horizontal="center" vertical="center" wrapText="1"/>
    </xf>
    <xf numFmtId="0" fontId="425" fillId="33" borderId="300" xfId="0" applyFont="1" applyFill="1" applyBorder="1" applyAlignment="1">
      <alignment horizontal="center" vertical="center" wrapText="1"/>
    </xf>
    <xf numFmtId="0" fontId="425" fillId="33" borderId="388" xfId="0" applyFont="1" applyFill="1" applyBorder="1" applyAlignment="1">
      <alignment horizontal="center" vertical="center" wrapText="1"/>
    </xf>
    <xf numFmtId="0" fontId="261" fillId="7" borderId="308" xfId="0" applyFont="1" applyFill="1" applyBorder="1" applyAlignment="1">
      <alignment horizontal="center" vertical="center"/>
    </xf>
    <xf numFmtId="0" fontId="261" fillId="7" borderId="392" xfId="0" applyFont="1" applyFill="1" applyBorder="1" applyAlignment="1">
      <alignment horizontal="center" vertical="center"/>
    </xf>
    <xf numFmtId="0" fontId="460" fillId="33" borderId="447" xfId="0" applyFont="1" applyFill="1" applyBorder="1" applyAlignment="1">
      <alignment horizontal="center" vertical="center"/>
    </xf>
    <xf numFmtId="0" fontId="460" fillId="33" borderId="448" xfId="0" applyFont="1" applyFill="1" applyBorder="1" applyAlignment="1">
      <alignment horizontal="center" vertical="center"/>
    </xf>
    <xf numFmtId="0" fontId="460" fillId="33" borderId="449" xfId="0" applyFont="1" applyFill="1" applyBorder="1" applyAlignment="1">
      <alignment horizontal="center" vertical="center"/>
    </xf>
    <xf numFmtId="0" fontId="336" fillId="31" borderId="304" xfId="0" applyFont="1" applyFill="1" applyBorder="1" applyAlignment="1">
      <alignment horizontal="center" vertical="center"/>
    </xf>
    <xf numFmtId="0" fontId="336" fillId="31" borderId="305" xfId="0" applyFont="1" applyFill="1" applyBorder="1" applyAlignment="1">
      <alignment horizontal="center" vertical="center"/>
    </xf>
    <xf numFmtId="0" fontId="328" fillId="0" borderId="518" xfId="0" applyFont="1" applyBorder="1" applyAlignment="1" applyProtection="1">
      <alignment horizontal="center" vertical="center"/>
      <protection locked="0"/>
    </xf>
    <xf numFmtId="0" fontId="328" fillId="0" borderId="385" xfId="0" applyFont="1" applyBorder="1" applyAlignment="1" applyProtection="1">
      <alignment horizontal="center" vertical="center"/>
      <protection locked="0"/>
    </xf>
    <xf numFmtId="0" fontId="332" fillId="31" borderId="108" xfId="0" applyFont="1" applyFill="1" applyBorder="1" applyAlignment="1" applyProtection="1">
      <alignment horizontal="center"/>
      <protection hidden="1"/>
    </xf>
    <xf numFmtId="0" fontId="8" fillId="39" borderId="394" xfId="0" applyFont="1" applyFill="1" applyBorder="1" applyAlignment="1">
      <alignment horizontal="center"/>
    </xf>
    <xf numFmtId="0" fontId="8" fillId="39" borderId="393" xfId="0" applyFont="1" applyFill="1" applyBorder="1" applyAlignment="1">
      <alignment horizontal="center"/>
    </xf>
    <xf numFmtId="0" fontId="460" fillId="33" borderId="25" xfId="0" applyFont="1" applyFill="1" applyBorder="1" applyAlignment="1">
      <alignment horizontal="center"/>
    </xf>
    <xf numFmtId="0" fontId="460" fillId="33" borderId="73" xfId="0" applyFont="1" applyFill="1" applyBorder="1" applyAlignment="1">
      <alignment horizontal="center"/>
    </xf>
    <xf numFmtId="0" fontId="261" fillId="7" borderId="0" xfId="0" applyFont="1" applyFill="1" applyAlignment="1">
      <alignment horizontal="center" vertical="center"/>
    </xf>
    <xf numFmtId="0" fontId="261" fillId="7" borderId="355" xfId="0" applyFont="1" applyFill="1" applyBorder="1" applyAlignment="1">
      <alignment horizontal="center" vertical="center"/>
    </xf>
    <xf numFmtId="0" fontId="169" fillId="90" borderId="362" xfId="0" applyFont="1" applyFill="1" applyBorder="1" applyAlignment="1">
      <alignment horizontal="center"/>
    </xf>
    <xf numFmtId="0" fontId="169" fillId="90" borderId="364" xfId="0" applyFont="1" applyFill="1" applyBorder="1" applyAlignment="1">
      <alignment horizontal="center"/>
    </xf>
    <xf numFmtId="0" fontId="328" fillId="0" borderId="390" xfId="0" applyFont="1" applyBorder="1" applyAlignment="1" applyProtection="1">
      <alignment horizontal="center" vertical="center"/>
      <protection locked="0"/>
    </xf>
    <xf numFmtId="0" fontId="328" fillId="0" borderId="391" xfId="0" applyFont="1" applyBorder="1" applyAlignment="1" applyProtection="1">
      <alignment horizontal="center" vertical="center"/>
      <protection locked="0"/>
    </xf>
    <xf numFmtId="0" fontId="336" fillId="31" borderId="108" xfId="0" applyFont="1" applyFill="1" applyBorder="1" applyAlignment="1" applyProtection="1">
      <alignment horizontal="center"/>
      <protection hidden="1"/>
    </xf>
    <xf numFmtId="0" fontId="332" fillId="31" borderId="395" xfId="0" applyFont="1" applyFill="1" applyBorder="1" applyAlignment="1" applyProtection="1">
      <alignment horizontal="center" vertical="center"/>
      <protection hidden="1"/>
    </xf>
    <xf numFmtId="0" fontId="332" fillId="31" borderId="108" xfId="0" applyFont="1" applyFill="1" applyBorder="1" applyAlignment="1" applyProtection="1">
      <alignment horizontal="center" vertical="center"/>
      <protection hidden="1"/>
    </xf>
    <xf numFmtId="0" fontId="335" fillId="35" borderId="515" xfId="0" applyFont="1" applyFill="1" applyBorder="1" applyAlignment="1" applyProtection="1">
      <alignment horizontal="center" vertical="center"/>
      <protection hidden="1"/>
    </xf>
    <xf numFmtId="0" fontId="8" fillId="39" borderId="305" xfId="0" applyFont="1" applyFill="1" applyBorder="1" applyAlignment="1">
      <alignment horizontal="center"/>
    </xf>
    <xf numFmtId="0" fontId="321" fillId="68" borderId="330" xfId="0" applyFont="1" applyFill="1" applyBorder="1" applyAlignment="1" applyProtection="1">
      <alignment horizontal="center" vertical="center"/>
      <protection locked="0" hidden="1"/>
    </xf>
    <xf numFmtId="0" fontId="322" fillId="33" borderId="214" xfId="0" applyFont="1" applyFill="1" applyBorder="1" applyAlignment="1" applyProtection="1">
      <alignment horizontal="center" vertical="center"/>
      <protection hidden="1"/>
    </xf>
    <xf numFmtId="0" fontId="322" fillId="33" borderId="327" xfId="0" applyFont="1" applyFill="1" applyBorder="1" applyAlignment="1" applyProtection="1">
      <alignment horizontal="center" vertical="center"/>
      <protection hidden="1"/>
    </xf>
    <xf numFmtId="0" fontId="10" fillId="68" borderId="214" xfId="0" applyFont="1" applyFill="1" applyBorder="1" applyAlignment="1" applyProtection="1">
      <alignment horizontal="center" vertical="center"/>
      <protection locked="0" hidden="1"/>
    </xf>
    <xf numFmtId="0" fontId="10" fillId="68" borderId="327" xfId="0" applyFont="1" applyFill="1" applyBorder="1" applyAlignment="1" applyProtection="1">
      <alignment horizontal="center" vertical="center"/>
      <protection locked="0" hidden="1"/>
    </xf>
    <xf numFmtId="0" fontId="322" fillId="45" borderId="219" xfId="0" applyFont="1" applyFill="1" applyBorder="1" applyAlignment="1" applyProtection="1">
      <alignment horizontal="center" vertical="center"/>
      <protection hidden="1"/>
    </xf>
    <xf numFmtId="0" fontId="322" fillId="45" borderId="329" xfId="0" applyFont="1" applyFill="1" applyBorder="1" applyAlignment="1" applyProtection="1">
      <alignment horizontal="center" vertical="center"/>
      <protection hidden="1"/>
    </xf>
    <xf numFmtId="0" fontId="10" fillId="66" borderId="76" xfId="0" applyFont="1" applyFill="1" applyBorder="1" applyAlignment="1">
      <alignment horizontal="center" vertical="center"/>
    </xf>
    <xf numFmtId="0" fontId="10" fillId="66" borderId="0" xfId="0" applyFont="1" applyFill="1" applyAlignment="1">
      <alignment horizontal="center" vertical="center"/>
    </xf>
    <xf numFmtId="0" fontId="169" fillId="50" borderId="379" xfId="0" applyFont="1" applyFill="1" applyBorder="1" applyAlignment="1">
      <alignment horizontal="center"/>
    </xf>
    <xf numFmtId="0" fontId="169" fillId="50" borderId="380" xfId="0" applyFont="1" applyFill="1" applyBorder="1" applyAlignment="1">
      <alignment horizontal="center"/>
    </xf>
    <xf numFmtId="0" fontId="169" fillId="50" borderId="381" xfId="0" applyFont="1" applyFill="1" applyBorder="1" applyAlignment="1">
      <alignment horizontal="center"/>
    </xf>
    <xf numFmtId="0" fontId="455" fillId="42" borderId="295" xfId="0" applyFont="1" applyFill="1" applyBorder="1" applyAlignment="1" applyProtection="1">
      <alignment horizontal="center" vertical="center"/>
      <protection hidden="1"/>
    </xf>
    <xf numFmtId="0" fontId="455" fillId="42" borderId="25" xfId="0" applyFont="1" applyFill="1" applyBorder="1" applyAlignment="1" applyProtection="1">
      <alignment horizontal="center" vertical="center"/>
      <protection hidden="1"/>
    </xf>
    <xf numFmtId="0" fontId="455" fillId="42" borderId="372" xfId="0" applyFont="1" applyFill="1" applyBorder="1" applyAlignment="1" applyProtection="1">
      <alignment horizontal="center" vertical="center"/>
      <protection hidden="1"/>
    </xf>
    <xf numFmtId="0" fontId="45" fillId="7" borderId="362" xfId="0" applyFont="1" applyFill="1" applyBorder="1" applyAlignment="1">
      <alignment horizontal="center" vertical="center"/>
    </xf>
    <xf numFmtId="0" fontId="45" fillId="7" borderId="364" xfId="0" applyFont="1" applyFill="1" applyBorder="1" applyAlignment="1">
      <alignment horizontal="center" vertical="center"/>
    </xf>
    <xf numFmtId="0" fontId="328" fillId="0" borderId="108" xfId="0" applyFont="1" applyBorder="1" applyAlignment="1" applyProtection="1">
      <alignment horizontal="center"/>
      <protection locked="0"/>
    </xf>
    <xf numFmtId="0" fontId="323" fillId="31" borderId="214" xfId="0" applyFont="1" applyFill="1" applyBorder="1" applyAlignment="1" applyProtection="1">
      <alignment horizontal="center" vertical="center"/>
      <protection hidden="1"/>
    </xf>
    <xf numFmtId="0" fontId="323" fillId="31" borderId="215" xfId="0" applyFont="1" applyFill="1" applyBorder="1" applyAlignment="1" applyProtection="1">
      <alignment horizontal="center" vertical="center"/>
      <protection hidden="1"/>
    </xf>
    <xf numFmtId="0" fontId="8" fillId="39" borderId="25" xfId="0" applyFont="1" applyFill="1" applyBorder="1" applyAlignment="1">
      <alignment horizontal="center" vertical="center" wrapText="1"/>
    </xf>
    <xf numFmtId="0" fontId="8" fillId="39" borderId="73" xfId="0" applyFont="1" applyFill="1" applyBorder="1" applyAlignment="1">
      <alignment horizontal="center" vertical="center" wrapText="1"/>
    </xf>
    <xf numFmtId="0" fontId="328" fillId="0" borderId="390" xfId="0" applyFont="1" applyBorder="1" applyAlignment="1" applyProtection="1">
      <alignment horizontal="center"/>
      <protection locked="0"/>
    </xf>
    <xf numFmtId="0" fontId="328" fillId="0" borderId="391" xfId="0" applyFont="1" applyBorder="1" applyAlignment="1" applyProtection="1">
      <alignment horizontal="center"/>
      <protection locked="0"/>
    </xf>
    <xf numFmtId="3" fontId="328" fillId="50" borderId="570" xfId="0" applyNumberFormat="1" applyFont="1" applyFill="1" applyBorder="1" applyAlignment="1" applyProtection="1">
      <alignment horizontal="center" vertical="center"/>
      <protection hidden="1"/>
    </xf>
    <xf numFmtId="0" fontId="328" fillId="50" borderId="571" xfId="0" applyFont="1" applyFill="1" applyBorder="1" applyAlignment="1" applyProtection="1">
      <alignment horizontal="center" vertical="center"/>
      <protection hidden="1"/>
    </xf>
    <xf numFmtId="3" fontId="328" fillId="50" borderId="483" xfId="0" applyNumberFormat="1" applyFont="1" applyFill="1" applyBorder="1" applyAlignment="1" applyProtection="1">
      <alignment horizontal="center" vertical="center"/>
      <protection hidden="1"/>
    </xf>
    <xf numFmtId="0" fontId="328" fillId="50" borderId="573" xfId="0" applyFont="1" applyFill="1" applyBorder="1" applyAlignment="1" applyProtection="1">
      <alignment horizontal="center" vertical="center"/>
      <protection hidden="1"/>
    </xf>
    <xf numFmtId="0" fontId="328" fillId="49" borderId="575" xfId="0" applyFont="1" applyFill="1" applyBorder="1" applyAlignment="1" applyProtection="1">
      <alignment horizontal="center" vertical="center"/>
      <protection locked="0" hidden="1"/>
    </xf>
    <xf numFmtId="0" fontId="328" fillId="49" borderId="576" xfId="0" applyFont="1" applyFill="1" applyBorder="1" applyAlignment="1" applyProtection="1">
      <alignment horizontal="center" vertical="center"/>
      <protection locked="0" hidden="1"/>
    </xf>
    <xf numFmtId="0" fontId="45" fillId="42" borderId="577" xfId="0" applyFont="1" applyFill="1" applyBorder="1" applyAlignment="1">
      <alignment horizontal="left" vertical="center" wrapText="1"/>
    </xf>
    <xf numFmtId="0" fontId="45" fillId="42" borderId="578" xfId="0" applyFont="1" applyFill="1" applyBorder="1" applyAlignment="1">
      <alignment horizontal="left" vertical="center" wrapText="1"/>
    </xf>
    <xf numFmtId="0" fontId="455" fillId="42" borderId="376" xfId="0" applyFont="1" applyFill="1" applyBorder="1" applyAlignment="1" applyProtection="1">
      <alignment horizontal="left"/>
      <protection hidden="1"/>
    </xf>
    <xf numFmtId="0" fontId="455" fillId="42" borderId="377" xfId="0" applyFont="1" applyFill="1" applyBorder="1" applyAlignment="1" applyProtection="1">
      <alignment horizontal="left"/>
      <protection hidden="1"/>
    </xf>
    <xf numFmtId="0" fontId="455" fillId="42" borderId="378" xfId="0" applyFont="1" applyFill="1" applyBorder="1" applyAlignment="1" applyProtection="1">
      <alignment horizontal="left"/>
      <protection hidden="1"/>
    </xf>
    <xf numFmtId="0" fontId="517" fillId="42" borderId="427" xfId="0" applyFont="1" applyFill="1" applyBorder="1" applyAlignment="1" applyProtection="1">
      <alignment horizontal="left" vertical="center" wrapText="1"/>
      <protection locked="0" hidden="1"/>
    </xf>
    <xf numFmtId="0" fontId="517" fillId="42" borderId="428" xfId="0" applyFont="1" applyFill="1" applyBorder="1" applyAlignment="1" applyProtection="1">
      <alignment horizontal="left" vertical="center" wrapText="1"/>
      <protection locked="0" hidden="1"/>
    </xf>
    <xf numFmtId="0" fontId="517" fillId="42" borderId="429" xfId="0" applyFont="1" applyFill="1" applyBorder="1" applyAlignment="1" applyProtection="1">
      <alignment horizontal="left" vertical="center" wrapText="1"/>
      <protection locked="0" hidden="1"/>
    </xf>
    <xf numFmtId="0" fontId="517" fillId="42" borderId="433" xfId="0" applyFont="1" applyFill="1" applyBorder="1" applyAlignment="1" applyProtection="1">
      <alignment horizontal="left" vertical="center" wrapText="1"/>
      <protection locked="0" hidden="1"/>
    </xf>
    <xf numFmtId="0" fontId="517" fillId="42" borderId="0" xfId="0" applyFont="1" applyFill="1" applyAlignment="1" applyProtection="1">
      <alignment horizontal="left" vertical="center" wrapText="1"/>
      <protection locked="0" hidden="1"/>
    </xf>
    <xf numFmtId="0" fontId="517" fillId="42" borderId="434" xfId="0" applyFont="1" applyFill="1" applyBorder="1" applyAlignment="1" applyProtection="1">
      <alignment horizontal="left" vertical="center" wrapText="1"/>
      <protection locked="0" hidden="1"/>
    </xf>
    <xf numFmtId="0" fontId="517" fillId="42" borderId="430" xfId="0" applyFont="1" applyFill="1" applyBorder="1" applyAlignment="1" applyProtection="1">
      <alignment horizontal="left" vertical="center" wrapText="1"/>
      <protection locked="0" hidden="1"/>
    </xf>
    <xf numFmtId="0" fontId="517" fillId="42" borderId="431" xfId="0" applyFont="1" applyFill="1" applyBorder="1" applyAlignment="1" applyProtection="1">
      <alignment horizontal="left" vertical="center" wrapText="1"/>
      <protection locked="0" hidden="1"/>
    </xf>
    <xf numFmtId="0" fontId="517" fillId="42" borderId="432" xfId="0" applyFont="1" applyFill="1" applyBorder="1" applyAlignment="1" applyProtection="1">
      <alignment horizontal="left" vertical="center" wrapText="1"/>
      <protection locked="0" hidden="1"/>
    </xf>
    <xf numFmtId="0" fontId="460" fillId="33" borderId="304" xfId="0" applyFont="1" applyFill="1" applyBorder="1" applyAlignment="1">
      <alignment horizontal="center" vertical="center"/>
    </xf>
    <xf numFmtId="0" fontId="460" fillId="33" borderId="305" xfId="0" applyFont="1" applyFill="1" applyBorder="1" applyAlignment="1">
      <alignment horizontal="center" vertical="center"/>
    </xf>
    <xf numFmtId="0" fontId="460" fillId="33" borderId="306" xfId="0" applyFont="1" applyFill="1" applyBorder="1" applyAlignment="1">
      <alignment horizontal="center" vertical="center"/>
    </xf>
    <xf numFmtId="0" fontId="45" fillId="39" borderId="386" xfId="0" applyFont="1" applyFill="1" applyBorder="1" applyAlignment="1">
      <alignment horizontal="center" vertical="center" wrapText="1"/>
    </xf>
    <xf numFmtId="0" fontId="45" fillId="39" borderId="352" xfId="0" applyFont="1" applyFill="1" applyBorder="1" applyAlignment="1">
      <alignment horizontal="center" vertical="center" wrapText="1"/>
    </xf>
    <xf numFmtId="0" fontId="45" fillId="39" borderId="354" xfId="0" applyFont="1" applyFill="1" applyBorder="1" applyAlignment="1">
      <alignment horizontal="center" vertical="center" wrapText="1"/>
    </xf>
    <xf numFmtId="0" fontId="88" fillId="7" borderId="362" xfId="0" applyFont="1" applyFill="1" applyBorder="1" applyAlignment="1">
      <alignment horizontal="center" vertical="center"/>
    </xf>
    <xf numFmtId="0" fontId="88" fillId="7" borderId="363" xfId="0" applyFont="1" applyFill="1" applyBorder="1" applyAlignment="1">
      <alignment horizontal="center" vertical="center"/>
    </xf>
    <xf numFmtId="0" fontId="88" fillId="7" borderId="389" xfId="0" applyFont="1" applyFill="1" applyBorder="1" applyAlignment="1">
      <alignment horizontal="center" vertical="center"/>
    </xf>
    <xf numFmtId="0" fontId="328" fillId="0" borderId="385" xfId="0" applyFont="1" applyBorder="1" applyAlignment="1" applyProtection="1">
      <alignment horizontal="center" vertical="center"/>
      <protection locked="0" hidden="1"/>
    </xf>
    <xf numFmtId="0" fontId="328" fillId="0" borderId="513" xfId="0" applyFont="1" applyBorder="1" applyAlignment="1" applyProtection="1">
      <alignment horizontal="center" vertical="center"/>
      <protection locked="0"/>
    </xf>
    <xf numFmtId="0" fontId="328" fillId="0" borderId="514" xfId="0" applyFont="1" applyBorder="1" applyAlignment="1" applyProtection="1">
      <alignment horizontal="center" vertical="center"/>
      <protection locked="0"/>
    </xf>
    <xf numFmtId="0" fontId="169" fillId="90" borderId="363" xfId="0" applyFont="1" applyFill="1" applyBorder="1" applyAlignment="1">
      <alignment horizontal="center"/>
    </xf>
    <xf numFmtId="0" fontId="460" fillId="33" borderId="384" xfId="0" applyFont="1" applyFill="1" applyBorder="1" applyAlignment="1">
      <alignment horizontal="center" vertical="center"/>
    </xf>
    <xf numFmtId="0" fontId="460" fillId="33" borderId="25" xfId="0" applyFont="1" applyFill="1" applyBorder="1" applyAlignment="1">
      <alignment horizontal="center" vertical="center"/>
    </xf>
    <xf numFmtId="0" fontId="460" fillId="33" borderId="365" xfId="0" applyFont="1" applyFill="1" applyBorder="1" applyAlignment="1">
      <alignment horizontal="center" vertical="center"/>
    </xf>
    <xf numFmtId="0" fontId="332" fillId="33" borderId="0" xfId="0" applyFont="1" applyFill="1" applyAlignment="1">
      <alignment horizontal="left" vertical="center" wrapText="1"/>
    </xf>
    <xf numFmtId="0" fontId="169" fillId="55" borderId="299" xfId="0" applyFont="1" applyFill="1" applyBorder="1" applyAlignment="1">
      <alignment horizontal="center"/>
    </xf>
    <xf numFmtId="0" fontId="169" fillId="55" borderId="300" xfId="0" applyFont="1" applyFill="1" applyBorder="1" applyAlignment="1">
      <alignment horizontal="center"/>
    </xf>
    <xf numFmtId="0" fontId="169" fillId="55" borderId="301" xfId="0" applyFont="1" applyFill="1" applyBorder="1" applyAlignment="1">
      <alignment horizontal="center"/>
    </xf>
    <xf numFmtId="0" fontId="0" fillId="0" borderId="355" xfId="0" applyBorder="1" applyAlignment="1" applyProtection="1">
      <alignment horizontal="center"/>
      <protection locked="0"/>
    </xf>
    <xf numFmtId="0" fontId="8" fillId="39" borderId="352" xfId="0" applyFont="1" applyFill="1" applyBorder="1" applyAlignment="1">
      <alignment horizontal="center" vertical="center" wrapText="1"/>
    </xf>
    <xf numFmtId="0" fontId="8" fillId="39" borderId="354" xfId="0" applyFont="1" applyFill="1" applyBorder="1" applyAlignment="1">
      <alignment horizontal="center" vertical="center" wrapText="1"/>
    </xf>
    <xf numFmtId="0" fontId="460" fillId="33" borderId="209" xfId="0" applyFont="1" applyFill="1" applyBorder="1" applyAlignment="1">
      <alignment horizontal="center"/>
    </xf>
    <xf numFmtId="0" fontId="460" fillId="33" borderId="210" xfId="0" applyFont="1" applyFill="1" applyBorder="1" applyAlignment="1">
      <alignment horizontal="center"/>
    </xf>
    <xf numFmtId="0" fontId="332" fillId="31" borderId="395" xfId="0" applyFont="1" applyFill="1" applyBorder="1" applyAlignment="1" applyProtection="1">
      <alignment horizontal="center"/>
      <protection hidden="1"/>
    </xf>
    <xf numFmtId="0" fontId="236" fillId="61" borderId="438" xfId="0" applyFont="1" applyFill="1" applyBorder="1" applyAlignment="1">
      <alignment horizontal="center" vertical="center"/>
    </xf>
    <xf numFmtId="0" fontId="236" fillId="61" borderId="439" xfId="0" applyFont="1" applyFill="1" applyBorder="1" applyAlignment="1">
      <alignment horizontal="center" vertical="center"/>
    </xf>
    <xf numFmtId="0" fontId="236" fillId="61" borderId="440" xfId="0" applyFont="1" applyFill="1" applyBorder="1" applyAlignment="1">
      <alignment horizontal="center" vertical="center"/>
    </xf>
    <xf numFmtId="0" fontId="236" fillId="61" borderId="6" xfId="0" applyFont="1" applyFill="1" applyBorder="1" applyAlignment="1">
      <alignment horizontal="center" vertical="center"/>
    </xf>
    <xf numFmtId="0" fontId="236" fillId="61" borderId="0" xfId="0" applyFont="1" applyFill="1" applyAlignment="1">
      <alignment horizontal="center" vertical="center"/>
    </xf>
    <xf numFmtId="0" fontId="236" fillId="61" borderId="4" xfId="0" applyFont="1" applyFill="1" applyBorder="1" applyAlignment="1">
      <alignment horizontal="center" vertical="center"/>
    </xf>
    <xf numFmtId="0" fontId="45" fillId="7" borderId="382" xfId="0" applyFont="1" applyFill="1" applyBorder="1" applyAlignment="1">
      <alignment horizontal="center" vertical="center"/>
    </xf>
    <xf numFmtId="0" fontId="45" fillId="7" borderId="311" xfId="0" applyFont="1" applyFill="1" applyBorder="1" applyAlignment="1">
      <alignment horizontal="center" vertical="center"/>
    </xf>
    <xf numFmtId="0" fontId="332" fillId="33" borderId="299" xfId="0" applyFont="1" applyFill="1" applyBorder="1" applyAlignment="1">
      <alignment horizontal="center"/>
    </xf>
    <xf numFmtId="0" fontId="332" fillId="33" borderId="300" xfId="0" applyFont="1" applyFill="1" applyBorder="1" applyAlignment="1">
      <alignment horizontal="center"/>
    </xf>
    <xf numFmtId="0" fontId="332" fillId="33" borderId="301" xfId="0" applyFont="1" applyFill="1" applyBorder="1" applyAlignment="1">
      <alignment horizontal="center"/>
    </xf>
    <xf numFmtId="0" fontId="460" fillId="33" borderId="307" xfId="0" applyFont="1" applyFill="1" applyBorder="1" applyAlignment="1">
      <alignment horizontal="center"/>
    </xf>
    <xf numFmtId="0" fontId="460" fillId="33" borderId="0" xfId="0" applyFont="1" applyFill="1" applyAlignment="1">
      <alignment horizontal="center"/>
    </xf>
    <xf numFmtId="0" fontId="0" fillId="31" borderId="24" xfId="0" applyFill="1" applyBorder="1" applyAlignment="1" applyProtection="1">
      <alignment horizontal="center"/>
      <protection locked="0"/>
    </xf>
    <xf numFmtId="0" fontId="0" fillId="31" borderId="66" xfId="0" applyFill="1" applyBorder="1" applyAlignment="1" applyProtection="1">
      <alignment horizontal="center"/>
      <protection locked="0"/>
    </xf>
    <xf numFmtId="0" fontId="88" fillId="7" borderId="308" xfId="0" applyFont="1" applyFill="1" applyBorder="1" applyAlignment="1">
      <alignment horizontal="center" vertical="center"/>
    </xf>
    <xf numFmtId="0" fontId="88" fillId="7" borderId="311" xfId="0" applyFont="1" applyFill="1" applyBorder="1" applyAlignment="1">
      <alignment horizontal="center" vertical="center"/>
    </xf>
    <xf numFmtId="0" fontId="332" fillId="33" borderId="299" xfId="0" applyFont="1" applyFill="1" applyBorder="1" applyAlignment="1">
      <alignment horizontal="center" vertical="center" wrapText="1"/>
    </xf>
    <xf numFmtId="0" fontId="332" fillId="33" borderId="300" xfId="0" applyFont="1" applyFill="1" applyBorder="1" applyAlignment="1">
      <alignment horizontal="center" vertical="center" wrapText="1"/>
    </xf>
    <xf numFmtId="0" fontId="332" fillId="33" borderId="301" xfId="0" applyFont="1" applyFill="1" applyBorder="1" applyAlignment="1">
      <alignment horizontal="center" vertical="center" wrapText="1"/>
    </xf>
    <xf numFmtId="0" fontId="45" fillId="39" borderId="383" xfId="0" applyFont="1" applyFill="1" applyBorder="1" applyAlignment="1">
      <alignment horizontal="center" vertical="center" wrapText="1"/>
    </xf>
    <xf numFmtId="0" fontId="45" fillId="39" borderId="194" xfId="0" applyFont="1" applyFill="1" applyBorder="1" applyAlignment="1">
      <alignment horizontal="center" vertical="center" wrapText="1"/>
    </xf>
    <xf numFmtId="0" fontId="323" fillId="31" borderId="220" xfId="0" applyFont="1" applyFill="1" applyBorder="1" applyAlignment="1" applyProtection="1">
      <alignment horizontal="center" vertical="center"/>
      <protection hidden="1"/>
    </xf>
    <xf numFmtId="0" fontId="323" fillId="31" borderId="221" xfId="0" applyFont="1" applyFill="1" applyBorder="1" applyAlignment="1" applyProtection="1">
      <alignment horizontal="center" vertical="center"/>
      <protection hidden="1"/>
    </xf>
    <xf numFmtId="0" fontId="88" fillId="7" borderId="364" xfId="0" applyFont="1" applyFill="1" applyBorder="1" applyAlignment="1">
      <alignment horizontal="center" vertical="center"/>
    </xf>
    <xf numFmtId="0" fontId="57" fillId="4" borderId="0" xfId="0" applyFont="1" applyFill="1" applyAlignment="1" applyProtection="1">
      <alignment horizontal="center" vertical="center" wrapText="1"/>
      <protection hidden="1"/>
    </xf>
    <xf numFmtId="0" fontId="50" fillId="4" borderId="0" xfId="3" applyFont="1" applyFill="1" applyBorder="1" applyAlignment="1" applyProtection="1">
      <alignment horizontal="center" vertical="center" wrapText="1"/>
      <protection hidden="1"/>
    </xf>
    <xf numFmtId="0" fontId="60" fillId="0" borderId="12" xfId="0" applyFont="1" applyBorder="1" applyAlignment="1" applyProtection="1">
      <alignment horizontal="center"/>
      <protection hidden="1"/>
    </xf>
    <xf numFmtId="0" fontId="60" fillId="0" borderId="22" xfId="0" applyFont="1" applyBorder="1" applyAlignment="1" applyProtection="1">
      <alignment horizontal="center"/>
      <protection hidden="1"/>
    </xf>
    <xf numFmtId="0" fontId="60" fillId="0" borderId="25" xfId="0" applyFont="1" applyBorder="1" applyAlignment="1" applyProtection="1">
      <alignment horizontal="center"/>
      <protection hidden="1"/>
    </xf>
    <xf numFmtId="0" fontId="60" fillId="0" borderId="73" xfId="0" applyFont="1" applyBorder="1" applyAlignment="1" applyProtection="1">
      <alignment horizontal="center"/>
      <protection hidden="1"/>
    </xf>
    <xf numFmtId="0" fontId="50" fillId="72" borderId="654" xfId="0" applyFont="1" applyFill="1" applyBorder="1" applyAlignment="1" applyProtection="1">
      <alignment horizontal="center" textRotation="255"/>
      <protection hidden="1"/>
    </xf>
    <xf numFmtId="0" fontId="50" fillId="72" borderId="655" xfId="0" applyFont="1" applyFill="1" applyBorder="1" applyAlignment="1" applyProtection="1">
      <alignment horizontal="center" textRotation="255"/>
      <protection hidden="1"/>
    </xf>
    <xf numFmtId="0" fontId="4" fillId="0" borderId="0" xfId="0" applyFont="1" applyAlignment="1" applyProtection="1">
      <alignment horizontal="center" vertical="center"/>
      <protection hidden="1"/>
    </xf>
    <xf numFmtId="0" fontId="522" fillId="0" borderId="256" xfId="0" applyFont="1" applyBorder="1" applyAlignment="1" applyProtection="1">
      <alignment horizontal="center" vertical="center"/>
      <protection hidden="1"/>
    </xf>
    <xf numFmtId="0" fontId="522" fillId="0" borderId="352" xfId="0" applyFont="1" applyBorder="1" applyAlignment="1" applyProtection="1">
      <alignment horizontal="center" vertical="center"/>
      <protection hidden="1"/>
    </xf>
    <xf numFmtId="0" fontId="152" fillId="0" borderId="241" xfId="0" applyFont="1" applyBorder="1" applyAlignment="1" applyProtection="1">
      <alignment horizontal="center" vertical="center"/>
      <protection hidden="1"/>
    </xf>
    <xf numFmtId="0" fontId="152" fillId="0" borderId="242" xfId="0" applyFont="1" applyBorder="1" applyAlignment="1" applyProtection="1">
      <alignment horizontal="center" vertical="center"/>
      <protection hidden="1"/>
    </xf>
    <xf numFmtId="0" fontId="152" fillId="0" borderId="243" xfId="0" applyFont="1" applyBorder="1" applyAlignment="1" applyProtection="1">
      <alignment horizontal="center" vertical="center"/>
      <protection hidden="1"/>
    </xf>
    <xf numFmtId="0" fontId="527" fillId="0" borderId="352" xfId="0" applyFont="1" applyBorder="1" applyAlignment="1" applyProtection="1">
      <alignment horizontal="left"/>
      <protection hidden="1"/>
    </xf>
    <xf numFmtId="0" fontId="30" fillId="12" borderId="0" xfId="3" applyFont="1" applyFill="1" applyBorder="1" applyAlignment="1" applyProtection="1">
      <alignment horizontal="center" vertical="center"/>
      <protection locked="0" hidden="1"/>
    </xf>
    <xf numFmtId="0" fontId="78" fillId="12" borderId="0" xfId="3" applyFont="1" applyFill="1" applyBorder="1" applyAlignment="1" applyProtection="1">
      <alignment horizontal="center" vertical="center"/>
      <protection locked="0" hidden="1"/>
    </xf>
    <xf numFmtId="0" fontId="61" fillId="12" borderId="701" xfId="0" applyFont="1" applyFill="1" applyBorder="1" applyAlignment="1" applyProtection="1">
      <alignment horizontal="center"/>
      <protection hidden="1"/>
    </xf>
    <xf numFmtId="0" fontId="61" fillId="12" borderId="352" xfId="0" applyFont="1" applyFill="1" applyBorder="1" applyAlignment="1" applyProtection="1">
      <alignment horizontal="center"/>
      <protection hidden="1"/>
    </xf>
    <xf numFmtId="0" fontId="73" fillId="0" borderId="0" xfId="0" applyFont="1" applyAlignment="1" applyProtection="1">
      <alignment horizontal="center"/>
      <protection hidden="1"/>
    </xf>
    <xf numFmtId="0" fontId="73" fillId="0" borderId="12" xfId="0" applyFont="1" applyBorder="1" applyAlignment="1" applyProtection="1">
      <alignment horizontal="center"/>
      <protection hidden="1"/>
    </xf>
    <xf numFmtId="0" fontId="135" fillId="0" borderId="12" xfId="0" applyFont="1" applyBorder="1" applyAlignment="1" applyProtection="1">
      <alignment horizontal="center"/>
      <protection hidden="1"/>
    </xf>
    <xf numFmtId="0" fontId="135" fillId="0" borderId="410" xfId="0" applyFont="1" applyBorder="1" applyAlignment="1" applyProtection="1">
      <alignment horizontal="center"/>
      <protection hidden="1"/>
    </xf>
    <xf numFmtId="0" fontId="135" fillId="0" borderId="213" xfId="0" applyFont="1" applyBorder="1" applyAlignment="1" applyProtection="1">
      <alignment horizontal="center"/>
      <protection hidden="1"/>
    </xf>
    <xf numFmtId="0" fontId="135" fillId="0" borderId="296" xfId="0" applyFont="1" applyBorder="1" applyAlignment="1" applyProtection="1">
      <alignment horizontal="center"/>
      <protection hidden="1"/>
    </xf>
    <xf numFmtId="0" fontId="323" fillId="32" borderId="0" xfId="0" applyFont="1" applyFill="1" applyAlignment="1">
      <alignment horizontal="center" vertical="center" wrapText="1"/>
    </xf>
    <xf numFmtId="0" fontId="47" fillId="7" borderId="597" xfId="0" applyFont="1" applyFill="1" applyBorder="1" applyAlignment="1">
      <alignment horizontal="center" vertical="center" wrapText="1"/>
    </xf>
    <xf numFmtId="0" fontId="47" fillId="7" borderId="596" xfId="0" applyFont="1" applyFill="1" applyBorder="1" applyAlignment="1">
      <alignment horizontal="center" vertical="center" wrapText="1"/>
    </xf>
    <xf numFmtId="0" fontId="47" fillId="7" borderId="566" xfId="0" applyFont="1" applyFill="1" applyBorder="1" applyAlignment="1">
      <alignment horizontal="center" vertical="center" wrapText="1"/>
    </xf>
    <xf numFmtId="0" fontId="335" fillId="83" borderId="597" xfId="0" applyFont="1" applyFill="1" applyBorder="1" applyAlignment="1">
      <alignment horizontal="center" vertical="center" wrapText="1"/>
    </xf>
    <xf numFmtId="0" fontId="335" fillId="83" borderId="596" xfId="0" applyFont="1" applyFill="1" applyBorder="1" applyAlignment="1">
      <alignment horizontal="center" vertical="center" wrapText="1"/>
    </xf>
    <xf numFmtId="0" fontId="335" fillId="83" borderId="566" xfId="0" applyFont="1" applyFill="1" applyBorder="1" applyAlignment="1">
      <alignment horizontal="center" vertical="center" wrapText="1"/>
    </xf>
    <xf numFmtId="0" fontId="233" fillId="16" borderId="185" xfId="0" applyFont="1" applyFill="1" applyBorder="1" applyAlignment="1">
      <alignment horizontal="center"/>
    </xf>
    <xf numFmtId="0" fontId="233" fillId="16" borderId="0" xfId="0" applyFont="1" applyFill="1" applyAlignment="1">
      <alignment horizontal="center"/>
    </xf>
    <xf numFmtId="0" fontId="233" fillId="16" borderId="479" xfId="0" applyFont="1" applyFill="1" applyBorder="1" applyAlignment="1">
      <alignment horizontal="center"/>
    </xf>
    <xf numFmtId="0" fontId="345" fillId="0" borderId="410" xfId="0" applyFont="1" applyBorder="1" applyAlignment="1">
      <alignment horizontal="center"/>
    </xf>
    <xf numFmtId="0" fontId="345" fillId="0" borderId="213" xfId="0" applyFont="1" applyBorder="1" applyAlignment="1">
      <alignment horizontal="center"/>
    </xf>
    <xf numFmtId="0" fontId="345" fillId="0" borderId="596" xfId="0" applyFont="1" applyBorder="1" applyAlignment="1">
      <alignment horizontal="center"/>
    </xf>
    <xf numFmtId="0" fontId="345" fillId="0" borderId="296" xfId="0" applyFont="1" applyBorder="1" applyAlignment="1">
      <alignment horizontal="center"/>
    </xf>
    <xf numFmtId="0" fontId="88" fillId="0" borderId="321" xfId="0" applyFont="1" applyBorder="1" applyAlignment="1">
      <alignment horizontal="center" vertical="center"/>
    </xf>
    <xf numFmtId="0" fontId="88" fillId="0" borderId="550" xfId="0" applyFont="1" applyBorder="1" applyAlignment="1">
      <alignment horizontal="center" vertical="center"/>
    </xf>
    <xf numFmtId="0" fontId="328" fillId="0" borderId="321" xfId="0" applyFont="1" applyBorder="1" applyAlignment="1">
      <alignment horizontal="center" vertical="center"/>
    </xf>
    <xf numFmtId="0" fontId="321" fillId="0" borderId="321" xfId="0" applyFont="1" applyBorder="1" applyAlignment="1">
      <alignment horizontal="center" vertical="center"/>
    </xf>
    <xf numFmtId="0" fontId="328" fillId="0" borderId="321" xfId="0" applyFont="1" applyBorder="1" applyAlignment="1">
      <alignment horizontal="center"/>
    </xf>
    <xf numFmtId="0" fontId="328" fillId="87" borderId="410" xfId="0" applyFont="1" applyFill="1" applyBorder="1" applyAlignment="1">
      <alignment horizontal="center" vertical="center"/>
    </xf>
    <xf numFmtId="0" fontId="328" fillId="87" borderId="213" xfId="0" applyFont="1" applyFill="1" applyBorder="1" applyAlignment="1">
      <alignment horizontal="center" vertical="center"/>
    </xf>
    <xf numFmtId="0" fontId="328" fillId="87" borderId="296" xfId="0" applyFont="1" applyFill="1" applyBorder="1" applyAlignment="1">
      <alignment horizontal="center" vertical="center"/>
    </xf>
    <xf numFmtId="0" fontId="318" fillId="45" borderId="185" xfId="0" applyFont="1" applyFill="1" applyBorder="1" applyAlignment="1">
      <alignment horizontal="center" vertical="center"/>
    </xf>
    <xf numFmtId="0" fontId="318" fillId="45" borderId="0" xfId="0" applyFont="1" applyFill="1" applyAlignment="1">
      <alignment horizontal="center" vertical="center"/>
    </xf>
    <xf numFmtId="0" fontId="318" fillId="45" borderId="479" xfId="0" applyFont="1" applyFill="1" applyBorder="1" applyAlignment="1">
      <alignment horizontal="center" vertical="center"/>
    </xf>
    <xf numFmtId="0" fontId="88" fillId="12" borderId="321" xfId="0" applyFont="1" applyFill="1" applyBorder="1" applyAlignment="1">
      <alignment horizontal="center" vertical="center"/>
    </xf>
    <xf numFmtId="0" fontId="328" fillId="0" borderId="410" xfId="0" applyFont="1" applyBorder="1" applyAlignment="1">
      <alignment horizontal="center" vertical="center" wrapText="1"/>
    </xf>
    <xf numFmtId="0" fontId="328" fillId="0" borderId="213" xfId="0" applyFont="1" applyBorder="1" applyAlignment="1">
      <alignment horizontal="center" vertical="center" wrapText="1"/>
    </xf>
    <xf numFmtId="0" fontId="328" fillId="0" borderId="296" xfId="0" applyFont="1" applyBorder="1" applyAlignment="1">
      <alignment horizontal="center" vertical="center" wrapText="1"/>
    </xf>
    <xf numFmtId="0" fontId="321" fillId="0" borderId="321" xfId="0" applyFont="1" applyBorder="1" applyAlignment="1">
      <alignment horizontal="left" vertical="top" wrapText="1"/>
    </xf>
    <xf numFmtId="0" fontId="335" fillId="35" borderId="209" xfId="0" applyFont="1" applyFill="1" applyBorder="1" applyAlignment="1">
      <alignment horizontal="center" vertical="center"/>
    </xf>
    <xf numFmtId="0" fontId="513" fillId="41" borderId="321" xfId="0" applyFont="1" applyFill="1" applyBorder="1" applyAlignment="1">
      <alignment horizontal="center" vertical="center"/>
    </xf>
    <xf numFmtId="0" fontId="332" fillId="72" borderId="0" xfId="0" applyFont="1" applyFill="1" applyAlignment="1">
      <alignment horizontal="center" vertical="center"/>
    </xf>
    <xf numFmtId="0" fontId="328" fillId="0" borderId="550" xfId="0" applyFont="1" applyBorder="1" applyAlignment="1">
      <alignment horizontal="center" vertical="center"/>
    </xf>
    <xf numFmtId="0" fontId="328" fillId="0" borderId="550" xfId="0" applyFont="1" applyBorder="1" applyAlignment="1">
      <alignment horizontal="center"/>
    </xf>
    <xf numFmtId="0" fontId="322" fillId="31" borderId="0" xfId="0" applyFont="1" applyFill="1" applyAlignment="1">
      <alignment horizontal="center" vertical="center"/>
    </xf>
    <xf numFmtId="0" fontId="322" fillId="41" borderId="0" xfId="0" applyFont="1" applyFill="1" applyAlignment="1">
      <alignment horizontal="center" vertical="center"/>
    </xf>
    <xf numFmtId="0" fontId="321" fillId="36" borderId="0" xfId="0" applyFont="1" applyFill="1" applyAlignment="1">
      <alignment horizontal="center"/>
    </xf>
    <xf numFmtId="0" fontId="322" fillId="55" borderId="0" xfId="0" applyFont="1" applyFill="1" applyAlignment="1">
      <alignment horizontal="center" vertical="center"/>
    </xf>
    <xf numFmtId="0" fontId="335" fillId="58" borderId="321" xfId="0" applyFont="1" applyFill="1" applyBorder="1" applyAlignment="1">
      <alignment horizontal="center" vertical="center"/>
    </xf>
    <xf numFmtId="0" fontId="323" fillId="33" borderId="352" xfId="0" applyFont="1" applyFill="1" applyBorder="1" applyAlignment="1">
      <alignment horizontal="center" vertical="center" wrapText="1"/>
    </xf>
    <xf numFmtId="0" fontId="322" fillId="33" borderId="187" xfId="0" applyFont="1" applyFill="1" applyBorder="1" applyAlignment="1">
      <alignment horizontal="center" vertical="center" wrapText="1"/>
    </xf>
    <xf numFmtId="0" fontId="322" fillId="50" borderId="0" xfId="0" applyFont="1" applyFill="1" applyAlignment="1">
      <alignment vertical="center" wrapText="1"/>
    </xf>
    <xf numFmtId="0" fontId="323" fillId="50" borderId="0" xfId="0" applyFont="1" applyFill="1" applyAlignment="1">
      <alignment horizontal="center" vertical="center" wrapText="1"/>
    </xf>
    <xf numFmtId="0" fontId="305" fillId="11" borderId="1" xfId="0" applyFont="1" applyFill="1" applyBorder="1" applyAlignment="1">
      <alignment horizontal="center" vertical="center"/>
    </xf>
    <xf numFmtId="0" fontId="305" fillId="11" borderId="0" xfId="0" applyFont="1" applyFill="1" applyAlignment="1">
      <alignment horizontal="center" vertical="center"/>
    </xf>
    <xf numFmtId="0" fontId="208" fillId="4" borderId="12" xfId="0" applyFont="1" applyFill="1" applyBorder="1" applyAlignment="1">
      <alignment horizontal="center" vertical="center"/>
    </xf>
    <xf numFmtId="0" fontId="271" fillId="4" borderId="0" xfId="0" applyFont="1" applyFill="1" applyAlignment="1">
      <alignment horizontal="center" vertical="center"/>
    </xf>
    <xf numFmtId="0" fontId="271" fillId="4" borderId="3" xfId="0" applyFont="1" applyFill="1" applyBorder="1" applyAlignment="1">
      <alignment horizontal="center" vertical="center"/>
    </xf>
    <xf numFmtId="0" fontId="322" fillId="33" borderId="0" xfId="0" applyFont="1" applyFill="1" applyAlignment="1">
      <alignment horizontal="center" vertical="center"/>
    </xf>
    <xf numFmtId="0" fontId="322" fillId="33" borderId="187" xfId="0" applyFont="1" applyFill="1" applyBorder="1" applyAlignment="1">
      <alignment horizontal="center" vertical="center"/>
    </xf>
    <xf numFmtId="0" fontId="322" fillId="50" borderId="0" xfId="0" applyFont="1" applyFill="1" applyAlignment="1">
      <alignment horizontal="center" vertical="center"/>
    </xf>
    <xf numFmtId="0" fontId="218" fillId="2" borderId="0" xfId="0" applyFont="1" applyFill="1" applyAlignment="1">
      <alignment horizontal="center" vertical="center"/>
    </xf>
    <xf numFmtId="0" fontId="218" fillId="2" borderId="3" xfId="0" applyFont="1" applyFill="1" applyBorder="1" applyAlignment="1">
      <alignment horizontal="center" vertical="center"/>
    </xf>
    <xf numFmtId="0" fontId="218" fillId="4" borderId="185" xfId="0" applyFont="1" applyFill="1" applyBorder="1" applyAlignment="1">
      <alignment horizontal="center" vertical="center"/>
    </xf>
    <xf numFmtId="0" fontId="218" fillId="4" borderId="0" xfId="0" applyFont="1" applyFill="1" applyAlignment="1">
      <alignment horizontal="center" vertical="center"/>
    </xf>
    <xf numFmtId="0" fontId="218" fillId="4" borderId="479" xfId="0" applyFont="1" applyFill="1" applyBorder="1" applyAlignment="1">
      <alignment horizontal="center" vertical="center"/>
    </xf>
    <xf numFmtId="0" fontId="336" fillId="33" borderId="0" xfId="0" applyFont="1" applyFill="1" applyAlignment="1">
      <alignment horizontal="center" vertical="center"/>
    </xf>
    <xf numFmtId="0" fontId="323" fillId="33" borderId="321" xfId="0" applyFont="1" applyFill="1" applyBorder="1" applyAlignment="1">
      <alignment horizontal="center" vertical="center" wrapText="1"/>
    </xf>
    <xf numFmtId="0" fontId="323" fillId="33" borderId="401" xfId="0" applyFont="1" applyFill="1" applyBorder="1" applyAlignment="1">
      <alignment horizontal="center" vertical="center" wrapText="1"/>
    </xf>
    <xf numFmtId="0" fontId="88" fillId="7" borderId="185" xfId="0" applyFont="1" applyFill="1" applyBorder="1" applyAlignment="1">
      <alignment horizontal="center" vertical="center"/>
    </xf>
    <xf numFmtId="0" fontId="88" fillId="7" borderId="0" xfId="0" applyFont="1" applyFill="1" applyAlignment="1">
      <alignment horizontal="center" vertical="center"/>
    </xf>
    <xf numFmtId="0" fontId="88" fillId="7" borderId="479" xfId="0" applyFont="1" applyFill="1" applyBorder="1" applyAlignment="1">
      <alignment horizontal="center" vertical="center"/>
    </xf>
    <xf numFmtId="0" fontId="88" fillId="8" borderId="20" xfId="0" applyFont="1" applyFill="1" applyBorder="1" applyAlignment="1">
      <alignment horizontal="center" vertical="center"/>
    </xf>
    <xf numFmtId="0" fontId="88" fillId="8" borderId="352" xfId="0" applyFont="1" applyFill="1" applyBorder="1" applyAlignment="1">
      <alignment horizontal="center" vertical="center"/>
    </xf>
    <xf numFmtId="0" fontId="88" fillId="8" borderId="354" xfId="0" applyFont="1" applyFill="1" applyBorder="1" applyAlignment="1">
      <alignment horizontal="center" vertical="center"/>
    </xf>
    <xf numFmtId="0" fontId="88" fillId="18" borderId="261" xfId="0" applyFont="1" applyFill="1" applyBorder="1" applyAlignment="1">
      <alignment horizontal="center" vertical="center"/>
    </xf>
    <xf numFmtId="0" fontId="88" fillId="18" borderId="260" xfId="0" applyFont="1" applyFill="1" applyBorder="1" applyAlignment="1">
      <alignment horizontal="center" vertical="center"/>
    </xf>
    <xf numFmtId="0" fontId="126" fillId="4" borderId="261" xfId="0" applyFont="1" applyFill="1" applyBorder="1" applyAlignment="1">
      <alignment horizontal="center" vertical="center"/>
    </xf>
    <xf numFmtId="0" fontId="126" fillId="4" borderId="260" xfId="0" applyFont="1" applyFill="1" applyBorder="1" applyAlignment="1">
      <alignment horizontal="center" vertical="center"/>
    </xf>
    <xf numFmtId="0" fontId="126" fillId="4" borderId="262" xfId="0" applyFont="1" applyFill="1" applyBorder="1" applyAlignment="1">
      <alignment horizontal="center" vertical="center"/>
    </xf>
    <xf numFmtId="0" fontId="126" fillId="4" borderId="185" xfId="0" applyFont="1" applyFill="1" applyBorder="1" applyAlignment="1">
      <alignment horizontal="center" vertical="center"/>
    </xf>
    <xf numFmtId="0" fontId="126" fillId="4" borderId="0" xfId="0" applyFont="1" applyFill="1" applyAlignment="1">
      <alignment horizontal="center" vertical="center"/>
    </xf>
    <xf numFmtId="0" fontId="126" fillId="4" borderId="619" xfId="0" applyFont="1" applyFill="1" applyBorder="1" applyAlignment="1">
      <alignment horizontal="center" vertical="center"/>
    </xf>
    <xf numFmtId="0" fontId="323" fillId="33" borderId="187" xfId="0" applyFont="1" applyFill="1" applyBorder="1" applyAlignment="1">
      <alignment horizontal="left" vertical="center" wrapText="1"/>
    </xf>
    <xf numFmtId="0" fontId="322" fillId="41" borderId="18" xfId="0" applyFont="1" applyFill="1" applyBorder="1" applyAlignment="1">
      <alignment horizontal="center" vertical="center"/>
    </xf>
    <xf numFmtId="0" fontId="322" fillId="41" borderId="209" xfId="0" applyFont="1" applyFill="1" applyBorder="1" applyAlignment="1">
      <alignment horizontal="center" vertical="center"/>
    </xf>
    <xf numFmtId="0" fontId="321" fillId="35" borderId="598" xfId="0" applyFont="1" applyFill="1" applyBorder="1" applyAlignment="1">
      <alignment horizontal="center"/>
    </xf>
    <xf numFmtId="0" fontId="321" fillId="35" borderId="187" xfId="0" applyFont="1" applyFill="1" applyBorder="1" applyAlignment="1">
      <alignment horizontal="center"/>
    </xf>
    <xf numFmtId="0" fontId="321" fillId="35" borderId="597" xfId="0" applyFont="1" applyFill="1" applyBorder="1" applyAlignment="1">
      <alignment horizontal="center" vertical="center"/>
    </xf>
    <xf numFmtId="0" fontId="321" fillId="35" borderId="596" xfId="0" applyFont="1" applyFill="1" applyBorder="1" applyAlignment="1">
      <alignment horizontal="center" vertical="center"/>
    </xf>
    <xf numFmtId="0" fontId="321" fillId="35" borderId="566" xfId="0" applyFont="1" applyFill="1" applyBorder="1" applyAlignment="1">
      <alignment horizontal="center" vertical="center"/>
    </xf>
    <xf numFmtId="0" fontId="4" fillId="0" borderId="410" xfId="0" applyFont="1" applyBorder="1" applyAlignment="1">
      <alignment horizontal="center" vertical="center"/>
    </xf>
    <xf numFmtId="0" fontId="4" fillId="0" borderId="296" xfId="0" applyFont="1" applyBorder="1" applyAlignment="1">
      <alignment horizontal="center" vertical="center"/>
    </xf>
    <xf numFmtId="0" fontId="0" fillId="38" borderId="0" xfId="0" applyFill="1" applyAlignment="1">
      <alignment horizontal="center"/>
    </xf>
    <xf numFmtId="0" fontId="321" fillId="36" borderId="598" xfId="0" applyFont="1" applyFill="1" applyBorder="1" applyAlignment="1">
      <alignment horizontal="center"/>
    </xf>
    <xf numFmtId="0" fontId="321" fillId="36" borderId="187" xfId="0" applyFont="1" applyFill="1" applyBorder="1" applyAlignment="1">
      <alignment horizontal="center"/>
    </xf>
    <xf numFmtId="0" fontId="336" fillId="33" borderId="0" xfId="0" applyFont="1" applyFill="1" applyAlignment="1">
      <alignment horizontal="center" vertical="center" wrapText="1"/>
    </xf>
    <xf numFmtId="0" fontId="321" fillId="36" borderId="597" xfId="0" applyFont="1" applyFill="1" applyBorder="1" applyAlignment="1">
      <alignment horizontal="center" vertical="center"/>
    </xf>
    <xf numFmtId="0" fontId="321" fillId="36" borderId="596" xfId="0" applyFont="1" applyFill="1" applyBorder="1" applyAlignment="1">
      <alignment horizontal="center" vertical="center"/>
    </xf>
    <xf numFmtId="0" fontId="321" fillId="36" borderId="566" xfId="0" applyFont="1" applyFill="1" applyBorder="1" applyAlignment="1">
      <alignment horizontal="center" vertical="center"/>
    </xf>
    <xf numFmtId="0" fontId="419" fillId="33" borderId="187" xfId="0" applyFont="1" applyFill="1" applyBorder="1" applyAlignment="1">
      <alignment horizontal="left" vertical="center" wrapText="1"/>
    </xf>
    <xf numFmtId="0" fontId="332" fillId="0" borderId="0" xfId="0" applyFont="1" applyAlignment="1">
      <alignment horizontal="center" vertical="center"/>
    </xf>
    <xf numFmtId="0" fontId="88" fillId="0" borderId="410" xfId="0" applyFont="1" applyBorder="1" applyAlignment="1">
      <alignment horizontal="center"/>
    </xf>
    <xf numFmtId="0" fontId="88" fillId="0" borderId="296" xfId="0" applyFont="1" applyBorder="1" applyAlignment="1">
      <alignment horizontal="center"/>
    </xf>
    <xf numFmtId="0" fontId="88" fillId="0" borderId="410" xfId="0" applyFont="1" applyBorder="1" applyAlignment="1">
      <alignment horizontal="center" vertical="center"/>
    </xf>
    <xf numFmtId="0" fontId="88" fillId="0" borderId="213" xfId="0" applyFont="1" applyBorder="1" applyAlignment="1">
      <alignment horizontal="center" vertical="center"/>
    </xf>
    <xf numFmtId="0" fontId="88" fillId="0" borderId="296" xfId="0" applyFont="1" applyBorder="1" applyAlignment="1">
      <alignment horizontal="center" vertical="center"/>
    </xf>
    <xf numFmtId="0" fontId="44" fillId="0" borderId="321" xfId="0" applyFont="1" applyBorder="1" applyAlignment="1">
      <alignment horizontal="center" vertical="center"/>
    </xf>
    <xf numFmtId="0" fontId="328" fillId="35" borderId="410" xfId="0" applyFont="1" applyFill="1" applyBorder="1" applyAlignment="1">
      <alignment horizontal="center" vertical="center"/>
    </xf>
    <xf numFmtId="0" fontId="328" fillId="35" borderId="213" xfId="0" applyFont="1" applyFill="1" applyBorder="1" applyAlignment="1">
      <alignment horizontal="center" vertical="center"/>
    </xf>
    <xf numFmtId="0" fontId="328" fillId="35" borderId="296" xfId="0" applyFont="1" applyFill="1" applyBorder="1" applyAlignment="1">
      <alignment horizontal="center" vertical="center"/>
    </xf>
    <xf numFmtId="0" fontId="328" fillId="49" borderId="410" xfId="0" applyFont="1" applyFill="1" applyBorder="1" applyAlignment="1">
      <alignment horizontal="center" vertical="center"/>
    </xf>
    <xf numFmtId="0" fontId="328" fillId="49" borderId="213" xfId="0" applyFont="1" applyFill="1" applyBorder="1" applyAlignment="1">
      <alignment horizontal="center" vertical="center"/>
    </xf>
    <xf numFmtId="0" fontId="328" fillId="49" borderId="296" xfId="0" applyFont="1" applyFill="1" applyBorder="1" applyAlignment="1">
      <alignment horizontal="center" vertical="center"/>
    </xf>
    <xf numFmtId="0" fontId="328" fillId="96" borderId="410" xfId="0" applyFont="1" applyFill="1" applyBorder="1" applyAlignment="1">
      <alignment horizontal="center"/>
    </xf>
    <xf numFmtId="0" fontId="328" fillId="96" borderId="213" xfId="0" applyFont="1" applyFill="1" applyBorder="1" applyAlignment="1">
      <alignment horizontal="center"/>
    </xf>
    <xf numFmtId="0" fontId="328" fillId="96" borderId="296" xfId="0" applyFont="1" applyFill="1" applyBorder="1" applyAlignment="1">
      <alignment horizontal="center"/>
    </xf>
    <xf numFmtId="0" fontId="321" fillId="59" borderId="321" xfId="0" applyFont="1" applyFill="1" applyBorder="1" applyAlignment="1">
      <alignment horizontal="center" vertical="center"/>
    </xf>
    <xf numFmtId="0" fontId="328" fillId="79" borderId="410" xfId="0" applyFont="1" applyFill="1" applyBorder="1" applyAlignment="1">
      <alignment horizontal="center" vertical="center"/>
    </xf>
    <xf numFmtId="0" fontId="328" fillId="79" borderId="213" xfId="0" applyFont="1" applyFill="1" applyBorder="1" applyAlignment="1">
      <alignment horizontal="center" vertical="center"/>
    </xf>
    <xf numFmtId="0" fontId="328" fillId="79" borderId="296" xfId="0" applyFont="1" applyFill="1" applyBorder="1" applyAlignment="1">
      <alignment horizontal="center" vertical="center"/>
    </xf>
    <xf numFmtId="0" fontId="328" fillId="81" borderId="321" xfId="0" applyFont="1" applyFill="1" applyBorder="1" applyAlignment="1">
      <alignment horizontal="center" vertical="center"/>
    </xf>
    <xf numFmtId="0" fontId="328" fillId="97" borderId="321" xfId="0" applyFont="1" applyFill="1" applyBorder="1" applyAlignment="1">
      <alignment horizontal="center" vertical="center"/>
    </xf>
    <xf numFmtId="0" fontId="464" fillId="95" borderId="480" xfId="5" applyAlignment="1">
      <alignment horizontal="center"/>
    </xf>
    <xf numFmtId="0" fontId="332" fillId="72" borderId="410" xfId="0" applyFont="1" applyFill="1" applyBorder="1" applyAlignment="1">
      <alignment horizontal="center" vertical="center"/>
    </xf>
    <xf numFmtId="0" fontId="332" fillId="72" borderId="213" xfId="0" applyFont="1" applyFill="1" applyBorder="1" applyAlignment="1">
      <alignment horizontal="center" vertical="center"/>
    </xf>
    <xf numFmtId="0" fontId="332" fillId="72" borderId="296" xfId="0" applyFont="1" applyFill="1" applyBorder="1" applyAlignment="1">
      <alignment horizontal="center" vertical="center"/>
    </xf>
    <xf numFmtId="0" fontId="328" fillId="74" borderId="321" xfId="0" applyFont="1" applyFill="1" applyBorder="1" applyAlignment="1">
      <alignment horizontal="center"/>
    </xf>
    <xf numFmtId="0" fontId="322" fillId="33" borderId="0" xfId="0" applyFont="1" applyFill="1" applyAlignment="1">
      <alignment vertical="center" wrapText="1"/>
    </xf>
    <xf numFmtId="0" fontId="322" fillId="0" borderId="185" xfId="0" applyFont="1" applyBorder="1" applyAlignment="1">
      <alignment vertical="center" wrapText="1"/>
    </xf>
    <xf numFmtId="0" fontId="322" fillId="0" borderId="0" xfId="0" applyFont="1" applyAlignment="1">
      <alignment vertical="center" wrapText="1"/>
    </xf>
    <xf numFmtId="0" fontId="88" fillId="0" borderId="22" xfId="0" applyFont="1" applyBorder="1" applyAlignment="1">
      <alignment horizontal="center" vertical="center"/>
    </xf>
    <xf numFmtId="0" fontId="233" fillId="0" borderId="25" xfId="0" applyFont="1" applyBorder="1" applyAlignment="1">
      <alignment horizontal="center" vertical="center"/>
    </xf>
    <xf numFmtId="0" fontId="233" fillId="0" borderId="73" xfId="0" applyFont="1" applyBorder="1" applyAlignment="1">
      <alignment horizontal="center" vertical="center"/>
    </xf>
    <xf numFmtId="0" fontId="328" fillId="50" borderId="182" xfId="0" applyFont="1" applyFill="1" applyBorder="1" applyAlignment="1">
      <alignment horizontal="left" vertical="center" wrapText="1"/>
    </xf>
    <xf numFmtId="0" fontId="328" fillId="50" borderId="213" xfId="0" applyFont="1" applyFill="1" applyBorder="1" applyAlignment="1">
      <alignment horizontal="left" vertical="center" wrapText="1"/>
    </xf>
    <xf numFmtId="0" fontId="328" fillId="50" borderId="184" xfId="0" applyFont="1" applyFill="1" applyBorder="1" applyAlignment="1">
      <alignment horizontal="left" vertical="center" wrapText="1"/>
    </xf>
    <xf numFmtId="0" fontId="322" fillId="50" borderId="0" xfId="0" applyFont="1" applyFill="1" applyAlignment="1">
      <alignment horizontal="center" wrapText="1"/>
    </xf>
    <xf numFmtId="0" fontId="328" fillId="0" borderId="321" xfId="0" applyFont="1" applyBorder="1" applyAlignment="1">
      <alignment horizontal="center" vertical="center" wrapText="1"/>
    </xf>
    <xf numFmtId="0" fontId="8" fillId="0" borderId="321" xfId="0" applyFont="1" applyBorder="1" applyAlignment="1">
      <alignment horizontal="center" vertical="center"/>
    </xf>
    <xf numFmtId="0" fontId="88" fillId="12" borderId="12" xfId="0" applyFont="1" applyFill="1" applyBorder="1" applyAlignment="1">
      <alignment horizontal="center" vertical="center"/>
    </xf>
    <xf numFmtId="0" fontId="233" fillId="12" borderId="12" xfId="0" applyFont="1" applyFill="1" applyBorder="1" applyAlignment="1">
      <alignment horizontal="center" vertical="center"/>
    </xf>
    <xf numFmtId="0" fontId="88" fillId="12" borderId="12" xfId="0" applyFont="1" applyFill="1" applyBorder="1" applyAlignment="1">
      <alignment horizontal="center" vertical="center" wrapText="1"/>
    </xf>
    <xf numFmtId="0" fontId="233" fillId="12" borderId="12" xfId="0" applyFont="1" applyFill="1" applyBorder="1" applyAlignment="1">
      <alignment horizontal="center" vertical="center" wrapText="1"/>
    </xf>
    <xf numFmtId="0" fontId="233" fillId="0" borderId="213" xfId="0" applyFont="1" applyBorder="1" applyAlignment="1">
      <alignment horizontal="center" vertical="center"/>
    </xf>
    <xf numFmtId="0" fontId="233" fillId="0" borderId="296" xfId="0" applyFont="1" applyBorder="1" applyAlignment="1">
      <alignment horizontal="center" vertical="center"/>
    </xf>
    <xf numFmtId="0" fontId="233" fillId="0" borderId="12" xfId="0" applyFont="1" applyBorder="1" applyAlignment="1">
      <alignment horizontal="center"/>
    </xf>
    <xf numFmtId="0" fontId="126" fillId="61" borderId="185" xfId="0" applyFont="1" applyFill="1" applyBorder="1" applyAlignment="1">
      <alignment horizontal="center" vertical="center"/>
    </xf>
    <xf numFmtId="0" fontId="126" fillId="61" borderId="0" xfId="0" applyFont="1" applyFill="1" applyAlignment="1">
      <alignment horizontal="center" vertical="center"/>
    </xf>
    <xf numFmtId="0" fontId="126" fillId="31" borderId="185" xfId="0" applyFont="1" applyFill="1" applyBorder="1" applyAlignment="1">
      <alignment horizontal="center" vertical="center"/>
    </xf>
    <xf numFmtId="0" fontId="126" fillId="31" borderId="0" xfId="0" applyFont="1" applyFill="1" applyAlignment="1">
      <alignment horizontal="center" vertical="center"/>
    </xf>
    <xf numFmtId="0" fontId="126" fillId="31" borderId="477" xfId="0" applyFont="1" applyFill="1" applyBorder="1" applyAlignment="1">
      <alignment horizontal="center" vertical="center"/>
    </xf>
    <xf numFmtId="0" fontId="321" fillId="32" borderId="550" xfId="0" applyFont="1" applyFill="1" applyBorder="1" applyAlignment="1">
      <alignment horizontal="center" vertical="center"/>
    </xf>
    <xf numFmtId="0" fontId="463" fillId="76" borderId="321" xfId="0" applyFont="1" applyFill="1" applyBorder="1" applyAlignment="1">
      <alignment horizontal="center"/>
    </xf>
    <xf numFmtId="0" fontId="10" fillId="93" borderId="321" xfId="0" applyFont="1" applyFill="1" applyBorder="1" applyAlignment="1">
      <alignment horizontal="center"/>
    </xf>
    <xf numFmtId="0" fontId="328" fillId="32" borderId="550" xfId="0" applyFont="1" applyFill="1" applyBorder="1" applyAlignment="1">
      <alignment horizontal="center" vertical="center" wrapText="1"/>
    </xf>
    <xf numFmtId="0" fontId="328" fillId="32" borderId="410" xfId="0" applyFont="1" applyFill="1" applyBorder="1" applyAlignment="1">
      <alignment horizontal="center" vertical="center" wrapText="1"/>
    </xf>
    <xf numFmtId="0" fontId="328" fillId="32" borderId="213" xfId="0" applyFont="1" applyFill="1" applyBorder="1" applyAlignment="1">
      <alignment horizontal="center" vertical="center" wrapText="1"/>
    </xf>
    <xf numFmtId="0" fontId="328" fillId="32" borderId="296" xfId="0" applyFont="1" applyFill="1" applyBorder="1" applyAlignment="1">
      <alignment horizontal="center" vertical="center" wrapText="1"/>
    </xf>
    <xf numFmtId="0" fontId="271" fillId="16" borderId="185" xfId="0" applyFont="1" applyFill="1" applyBorder="1" applyAlignment="1">
      <alignment horizontal="center" vertical="center"/>
    </xf>
    <xf numFmtId="0" fontId="271" fillId="16" borderId="0" xfId="0" applyFont="1" applyFill="1" applyAlignment="1">
      <alignment horizontal="center" vertical="center"/>
    </xf>
    <xf numFmtId="0" fontId="271" fillId="16" borderId="469" xfId="0" applyFont="1" applyFill="1" applyBorder="1" applyAlignment="1">
      <alignment horizontal="center" vertical="center"/>
    </xf>
    <xf numFmtId="0" fontId="88" fillId="8" borderId="185" xfId="0" applyFont="1" applyFill="1" applyBorder="1" applyAlignment="1">
      <alignment horizontal="center" vertical="center"/>
    </xf>
    <xf numFmtId="0" fontId="233" fillId="8" borderId="0" xfId="0" applyFont="1" applyFill="1" applyAlignment="1">
      <alignment horizontal="center" vertical="center"/>
    </xf>
    <xf numFmtId="0" fontId="233" fillId="8" borderId="469" xfId="0" applyFont="1" applyFill="1" applyBorder="1" applyAlignment="1">
      <alignment horizontal="center" vertical="center"/>
    </xf>
    <xf numFmtId="0" fontId="218" fillId="4" borderId="469" xfId="0" applyFont="1" applyFill="1" applyBorder="1" applyAlignment="1">
      <alignment horizontal="center" vertical="center"/>
    </xf>
    <xf numFmtId="0" fontId="126" fillId="59" borderId="185" xfId="0" applyFont="1" applyFill="1" applyBorder="1" applyAlignment="1">
      <alignment horizontal="center" vertical="center"/>
    </xf>
    <xf numFmtId="0" fontId="218" fillId="59" borderId="0" xfId="0" applyFont="1" applyFill="1" applyAlignment="1">
      <alignment horizontal="center" vertical="center"/>
    </xf>
    <xf numFmtId="0" fontId="218" fillId="59" borderId="469" xfId="0" applyFont="1" applyFill="1" applyBorder="1" applyAlignment="1">
      <alignment horizontal="center" vertical="center"/>
    </xf>
    <xf numFmtId="0" fontId="233" fillId="18" borderId="260" xfId="0" applyFont="1" applyFill="1" applyBorder="1" applyAlignment="1">
      <alignment horizontal="center" vertical="center"/>
    </xf>
    <xf numFmtId="0" fontId="233" fillId="18" borderId="262" xfId="0" applyFont="1" applyFill="1" applyBorder="1" applyAlignment="1">
      <alignment horizontal="center" vertical="center"/>
    </xf>
    <xf numFmtId="0" fontId="233" fillId="7" borderId="0" xfId="0" applyFont="1" applyFill="1" applyAlignment="1">
      <alignment horizontal="center" vertical="center"/>
    </xf>
    <xf numFmtId="0" fontId="233" fillId="7" borderId="469" xfId="0" applyFont="1" applyFill="1" applyBorder="1" applyAlignment="1">
      <alignment horizontal="center" vertical="center"/>
    </xf>
    <xf numFmtId="0" fontId="271" fillId="2" borderId="185" xfId="0" applyFont="1" applyFill="1" applyBorder="1" applyAlignment="1">
      <alignment horizontal="center" vertical="center"/>
    </xf>
    <xf numFmtId="0" fontId="271" fillId="2" borderId="0" xfId="0" applyFont="1" applyFill="1" applyAlignment="1">
      <alignment horizontal="center" vertical="center"/>
    </xf>
    <xf numFmtId="0" fontId="271" fillId="2" borderId="469" xfId="0" applyFont="1" applyFill="1" applyBorder="1" applyAlignment="1">
      <alignment horizontal="center" vertical="center"/>
    </xf>
    <xf numFmtId="0" fontId="126" fillId="11" borderId="185" xfId="0" applyFont="1" applyFill="1" applyBorder="1" applyAlignment="1">
      <alignment horizontal="center" vertical="center"/>
    </xf>
    <xf numFmtId="0" fontId="218" fillId="11" borderId="0" xfId="0" applyFont="1" applyFill="1" applyAlignment="1">
      <alignment horizontal="center" vertical="center"/>
    </xf>
    <xf numFmtId="0" fontId="218" fillId="11" borderId="469" xfId="0" applyFont="1" applyFill="1" applyBorder="1" applyAlignment="1">
      <alignment horizontal="center" vertical="center"/>
    </xf>
    <xf numFmtId="0" fontId="126" fillId="16" borderId="185" xfId="0" applyFont="1" applyFill="1" applyBorder="1" applyAlignment="1">
      <alignment horizontal="center" vertical="center"/>
    </xf>
    <xf numFmtId="0" fontId="218" fillId="16" borderId="0" xfId="0" applyFont="1" applyFill="1" applyAlignment="1">
      <alignment horizontal="center" vertical="center"/>
    </xf>
    <xf numFmtId="0" fontId="218" fillId="16" borderId="469" xfId="0" applyFont="1" applyFill="1" applyBorder="1" applyAlignment="1">
      <alignment horizontal="center" vertical="center"/>
    </xf>
    <xf numFmtId="0" fontId="322" fillId="6" borderId="20" xfId="0" applyFont="1" applyFill="1" applyBorder="1" applyAlignment="1">
      <alignment horizontal="center" vertical="center"/>
    </xf>
    <xf numFmtId="0" fontId="322" fillId="6" borderId="352" xfId="0" applyFont="1" applyFill="1" applyBorder="1" applyAlignment="1">
      <alignment horizontal="center" vertical="center"/>
    </xf>
    <xf numFmtId="0" fontId="322" fillId="6" borderId="354" xfId="0" applyFont="1" applyFill="1" applyBorder="1" applyAlignment="1">
      <alignment horizontal="center" vertical="center"/>
    </xf>
    <xf numFmtId="0" fontId="261" fillId="18" borderId="185" xfId="0" applyFont="1" applyFill="1" applyBorder="1" applyAlignment="1">
      <alignment horizontal="center" vertical="center"/>
    </xf>
    <xf numFmtId="0" fontId="261" fillId="18" borderId="0" xfId="0" applyFont="1" applyFill="1" applyAlignment="1">
      <alignment horizontal="center" vertical="center"/>
    </xf>
    <xf numFmtId="0" fontId="10" fillId="18" borderId="260" xfId="0" applyFont="1" applyFill="1" applyBorder="1" applyAlignment="1">
      <alignment horizontal="center"/>
    </xf>
    <xf numFmtId="0" fontId="10" fillId="18" borderId="262" xfId="0" applyFont="1" applyFill="1" applyBorder="1" applyAlignment="1">
      <alignment horizontal="center"/>
    </xf>
    <xf numFmtId="0" fontId="233" fillId="7" borderId="619" xfId="0" applyFont="1" applyFill="1" applyBorder="1" applyAlignment="1">
      <alignment horizontal="center" vertical="center"/>
    </xf>
    <xf numFmtId="0" fontId="218" fillId="4" borderId="619" xfId="0" applyFont="1" applyFill="1" applyBorder="1" applyAlignment="1">
      <alignment horizontal="center" vertical="center"/>
    </xf>
    <xf numFmtId="0" fontId="88" fillId="11" borderId="1" xfId="0" applyFont="1" applyFill="1" applyBorder="1" applyAlignment="1">
      <alignment horizontal="center" vertical="center"/>
    </xf>
    <xf numFmtId="0" fontId="88" fillId="11" borderId="0" xfId="0" applyFont="1" applyFill="1" applyAlignment="1">
      <alignment horizontal="center" vertical="center"/>
    </xf>
    <xf numFmtId="0" fontId="88" fillId="11" borderId="470" xfId="0" applyFont="1" applyFill="1" applyBorder="1" applyAlignment="1">
      <alignment horizontal="center" vertical="center"/>
    </xf>
    <xf numFmtId="0" fontId="322" fillId="45" borderId="0" xfId="0" applyFont="1" applyFill="1" applyAlignment="1">
      <alignment horizontal="center"/>
    </xf>
    <xf numFmtId="0" fontId="10" fillId="18" borderId="0" xfId="0" applyFont="1" applyFill="1" applyAlignment="1">
      <alignment horizontal="center"/>
    </xf>
    <xf numFmtId="0" fontId="233" fillId="7" borderId="0" xfId="0" applyFont="1" applyFill="1" applyAlignment="1">
      <alignment horizontal="center"/>
    </xf>
    <xf numFmtId="0" fontId="218" fillId="4" borderId="0" xfId="0" applyFont="1" applyFill="1" applyAlignment="1">
      <alignment horizontal="center"/>
    </xf>
    <xf numFmtId="0" fontId="233" fillId="35" borderId="1" xfId="0" applyFont="1" applyFill="1" applyBorder="1" applyAlignment="1">
      <alignment horizontal="center" vertical="center"/>
    </xf>
    <xf numFmtId="0" fontId="233" fillId="35" borderId="0" xfId="0" applyFont="1" applyFill="1" applyAlignment="1">
      <alignment horizontal="center" vertical="center"/>
    </xf>
    <xf numFmtId="0" fontId="233" fillId="35" borderId="470" xfId="0" applyFont="1" applyFill="1" applyBorder="1" applyAlignment="1">
      <alignment horizontal="center" vertical="center"/>
    </xf>
    <xf numFmtId="0" fontId="126" fillId="16" borderId="1" xfId="0" applyFont="1" applyFill="1" applyBorder="1" applyAlignment="1">
      <alignment horizontal="center" vertical="center"/>
    </xf>
    <xf numFmtId="0" fontId="126" fillId="16" borderId="0" xfId="0" applyFont="1" applyFill="1" applyAlignment="1">
      <alignment horizontal="center" vertical="center"/>
    </xf>
    <xf numFmtId="0" fontId="233" fillId="16" borderId="469" xfId="0" applyFont="1" applyFill="1" applyBorder="1" applyAlignment="1">
      <alignment horizontal="center"/>
    </xf>
    <xf numFmtId="0" fontId="88" fillId="8" borderId="0" xfId="0" applyFont="1" applyFill="1" applyAlignment="1">
      <alignment horizontal="center" vertical="center"/>
    </xf>
    <xf numFmtId="0" fontId="233" fillId="11" borderId="0" xfId="0" applyFont="1" applyFill="1" applyAlignment="1">
      <alignment horizontal="center" vertical="center"/>
    </xf>
    <xf numFmtId="0" fontId="206" fillId="18" borderId="12" xfId="0" applyFont="1" applyFill="1" applyBorder="1" applyAlignment="1">
      <alignment horizontal="center" vertical="center"/>
    </xf>
    <xf numFmtId="0" fontId="144" fillId="7" borderId="12" xfId="0" applyFont="1" applyFill="1" applyBorder="1" applyAlignment="1">
      <alignment horizontal="center"/>
    </xf>
    <xf numFmtId="0" fontId="196" fillId="4" borderId="213" xfId="0" applyFont="1" applyFill="1" applyBorder="1" applyAlignment="1">
      <alignment horizontal="center" vertical="center"/>
    </xf>
    <xf numFmtId="0" fontId="196" fillId="4" borderId="296" xfId="0" applyFont="1" applyFill="1" applyBorder="1" applyAlignment="1">
      <alignment horizontal="center" vertical="center"/>
    </xf>
    <xf numFmtId="0" fontId="322" fillId="16" borderId="12" xfId="0" applyFont="1" applyFill="1" applyBorder="1" applyAlignment="1">
      <alignment horizontal="center"/>
    </xf>
    <xf numFmtId="0" fontId="233" fillId="8" borderId="12" xfId="0" applyFont="1" applyFill="1" applyBorder="1" applyAlignment="1">
      <alignment horizontal="center"/>
    </xf>
    <xf numFmtId="0" fontId="88" fillId="11" borderId="550" xfId="0" applyFont="1" applyFill="1" applyBorder="1" applyAlignment="1">
      <alignment horizontal="center" vertical="center"/>
    </xf>
    <xf numFmtId="0" fontId="88" fillId="18" borderId="0" xfId="0" applyFont="1" applyFill="1" applyAlignment="1">
      <alignment horizontal="center"/>
    </xf>
    <xf numFmtId="0" fontId="233" fillId="18" borderId="0" xfId="0" applyFont="1" applyFill="1" applyAlignment="1">
      <alignment horizontal="center"/>
    </xf>
    <xf numFmtId="0" fontId="88" fillId="7" borderId="0" xfId="0" applyFont="1" applyFill="1" applyAlignment="1">
      <alignment horizontal="center"/>
    </xf>
    <xf numFmtId="0" fontId="126" fillId="4" borderId="0" xfId="0" applyFont="1" applyFill="1" applyAlignment="1">
      <alignment horizontal="center"/>
    </xf>
    <xf numFmtId="0" fontId="218" fillId="2" borderId="0" xfId="0" applyFont="1" applyFill="1" applyAlignment="1">
      <alignment horizontal="right" vertical="center"/>
    </xf>
    <xf numFmtId="15" fontId="322" fillId="46" borderId="213" xfId="0" applyNumberFormat="1" applyFont="1" applyFill="1" applyBorder="1" applyAlignment="1">
      <alignment horizontal="center" vertical="center"/>
    </xf>
    <xf numFmtId="17" fontId="322" fillId="4" borderId="213" xfId="0" applyNumberFormat="1" applyFont="1" applyFill="1" applyBorder="1" applyAlignment="1">
      <alignment horizontal="center" vertical="center"/>
    </xf>
    <xf numFmtId="0" fontId="23" fillId="18" borderId="12" xfId="0" applyFont="1" applyFill="1" applyBorder="1" applyAlignment="1">
      <alignment horizontal="center"/>
    </xf>
    <xf numFmtId="0" fontId="196" fillId="18" borderId="12" xfId="0" applyFont="1" applyFill="1" applyBorder="1" applyAlignment="1">
      <alignment horizontal="center"/>
    </xf>
    <xf numFmtId="15" fontId="322" fillId="4" borderId="213" xfId="0" applyNumberFormat="1" applyFont="1" applyFill="1" applyBorder="1" applyAlignment="1">
      <alignment horizontal="center" vertical="center"/>
    </xf>
    <xf numFmtId="15" fontId="322" fillId="41" borderId="213" xfId="0" applyNumberFormat="1" applyFont="1" applyFill="1" applyBorder="1" applyAlignment="1">
      <alignment horizontal="center" vertical="center"/>
    </xf>
    <xf numFmtId="0" fontId="322" fillId="11" borderId="0" xfId="0" applyFont="1" applyFill="1" applyAlignment="1">
      <alignment horizontal="center" vertical="center"/>
    </xf>
    <xf numFmtId="0" fontId="233" fillId="11" borderId="22" xfId="0" applyFont="1" applyFill="1" applyBorder="1" applyAlignment="1">
      <alignment horizontal="center"/>
    </xf>
    <xf numFmtId="0" fontId="233" fillId="11" borderId="25" xfId="0" applyFont="1" applyFill="1" applyBorder="1" applyAlignment="1">
      <alignment horizontal="center"/>
    </xf>
    <xf numFmtId="0" fontId="233" fillId="11" borderId="73" xfId="0" applyFont="1" applyFill="1" applyBorder="1" applyAlignment="1">
      <alignment horizontal="center"/>
    </xf>
    <xf numFmtId="0" fontId="196" fillId="11" borderId="12" xfId="0" applyFont="1" applyFill="1" applyBorder="1" applyAlignment="1">
      <alignment horizontal="center"/>
    </xf>
    <xf numFmtId="0" fontId="322" fillId="16" borderId="209" xfId="0" applyFont="1" applyFill="1" applyBorder="1" applyAlignment="1">
      <alignment horizontal="center" vertical="center"/>
    </xf>
    <xf numFmtId="0" fontId="233" fillId="8" borderId="550" xfId="0" applyFont="1" applyFill="1" applyBorder="1" applyAlignment="1">
      <alignment horizontal="center" vertical="center"/>
    </xf>
    <xf numFmtId="0" fontId="261" fillId="18" borderId="22" xfId="0" applyFont="1" applyFill="1" applyBorder="1" applyAlignment="1">
      <alignment horizontal="center" vertical="center"/>
    </xf>
    <xf numFmtId="0" fontId="261" fillId="18" borderId="25" xfId="0" applyFont="1" applyFill="1" applyBorder="1" applyAlignment="1">
      <alignment horizontal="center" vertical="center"/>
    </xf>
    <xf numFmtId="0" fontId="261" fillId="18" borderId="73" xfId="0" applyFont="1" applyFill="1" applyBorder="1" applyAlignment="1">
      <alignment horizontal="center" vertical="center"/>
    </xf>
    <xf numFmtId="0" fontId="322" fillId="4" borderId="0" xfId="0" applyFont="1" applyFill="1" applyAlignment="1">
      <alignment horizontal="center"/>
    </xf>
    <xf numFmtId="0" fontId="329" fillId="16" borderId="12" xfId="0" applyFont="1" applyFill="1" applyBorder="1" applyAlignment="1">
      <alignment horizontal="center"/>
    </xf>
    <xf numFmtId="0" fontId="271" fillId="16" borderId="22" xfId="0" applyFont="1" applyFill="1" applyBorder="1" applyAlignment="1">
      <alignment horizontal="center"/>
    </xf>
    <xf numFmtId="0" fontId="271" fillId="16" borderId="25" xfId="0" applyFont="1" applyFill="1" applyBorder="1" applyAlignment="1">
      <alignment horizontal="center"/>
    </xf>
    <xf numFmtId="0" fontId="271" fillId="16" borderId="73" xfId="0" applyFont="1" applyFill="1" applyBorder="1" applyAlignment="1">
      <alignment horizontal="center"/>
    </xf>
    <xf numFmtId="0" fontId="126" fillId="4" borderId="107" xfId="0" applyFont="1" applyFill="1" applyBorder="1" applyAlignment="1">
      <alignment horizontal="center" vertical="center" wrapText="1"/>
    </xf>
    <xf numFmtId="0" fontId="126" fillId="4" borderId="108" xfId="0" applyFont="1" applyFill="1" applyBorder="1" applyAlignment="1">
      <alignment horizontal="center" vertical="center" wrapText="1"/>
    </xf>
    <xf numFmtId="0" fontId="126" fillId="4" borderId="109" xfId="0" applyFont="1" applyFill="1" applyBorder="1" applyAlignment="1">
      <alignment horizontal="center" vertical="center" wrapText="1"/>
    </xf>
    <xf numFmtId="0" fontId="328" fillId="39" borderId="107" xfId="0" applyFont="1" applyFill="1" applyBorder="1" applyAlignment="1">
      <alignment horizontal="left" vertical="center"/>
    </xf>
    <xf numFmtId="0" fontId="328" fillId="39" borderId="108" xfId="0" applyFont="1" applyFill="1" applyBorder="1" applyAlignment="1">
      <alignment horizontal="left" vertical="center"/>
    </xf>
    <xf numFmtId="0" fontId="328" fillId="39" borderId="109" xfId="0" applyFont="1" applyFill="1" applyBorder="1" applyAlignment="1">
      <alignment horizontal="left" vertical="center"/>
    </xf>
    <xf numFmtId="0" fontId="322" fillId="16" borderId="0" xfId="0" applyFont="1" applyFill="1" applyAlignment="1">
      <alignment horizontal="center" vertical="center"/>
    </xf>
    <xf numFmtId="0" fontId="417" fillId="18" borderId="0" xfId="0" applyFont="1" applyFill="1" applyAlignment="1">
      <alignment horizontal="center" vertical="center"/>
    </xf>
    <xf numFmtId="0" fontId="13" fillId="33" borderId="0" xfId="0" applyFont="1" applyFill="1" applyAlignment="1">
      <alignment horizontal="center" vertical="center"/>
    </xf>
    <xf numFmtId="0" fontId="13" fillId="17" borderId="137" xfId="0" applyFont="1" applyFill="1" applyBorder="1" applyAlignment="1">
      <alignment horizontal="center" vertical="center"/>
    </xf>
    <xf numFmtId="0" fontId="13" fillId="17" borderId="121" xfId="0" applyFont="1" applyFill="1" applyBorder="1" applyAlignment="1">
      <alignment horizontal="center" vertical="center"/>
    </xf>
    <xf numFmtId="0" fontId="13" fillId="17" borderId="138" xfId="0" applyFont="1" applyFill="1" applyBorder="1" applyAlignment="1">
      <alignment horizontal="center" vertical="center"/>
    </xf>
    <xf numFmtId="0" fontId="126" fillId="18" borderId="0" xfId="0" applyFont="1" applyFill="1" applyAlignment="1">
      <alignment horizontal="center" vertical="center"/>
    </xf>
    <xf numFmtId="0" fontId="218" fillId="18" borderId="0" xfId="0" applyFont="1" applyFill="1" applyAlignment="1">
      <alignment horizontal="center" vertical="center"/>
    </xf>
    <xf numFmtId="0" fontId="218" fillId="18" borderId="13" xfId="0" applyFont="1" applyFill="1" applyBorder="1" applyAlignment="1">
      <alignment horizontal="center" vertical="center"/>
    </xf>
    <xf numFmtId="0" fontId="218" fillId="16" borderId="0" xfId="0" applyFont="1" applyFill="1" applyAlignment="1">
      <alignment horizontal="center"/>
    </xf>
    <xf numFmtId="0" fontId="233" fillId="8" borderId="0" xfId="0" applyFont="1" applyFill="1" applyAlignment="1">
      <alignment horizontal="center"/>
    </xf>
    <xf numFmtId="0" fontId="322" fillId="44" borderId="0" xfId="0" applyFont="1" applyFill="1" applyAlignment="1">
      <alignment horizontal="center" vertical="center"/>
    </xf>
    <xf numFmtId="0" fontId="218" fillId="45" borderId="0" xfId="0" applyFont="1" applyFill="1" applyAlignment="1">
      <alignment horizontal="center"/>
    </xf>
    <xf numFmtId="0" fontId="88" fillId="12" borderId="182" xfId="0" applyFont="1" applyFill="1" applyBorder="1" applyAlignment="1">
      <alignment horizontal="center" vertical="center" wrapText="1"/>
    </xf>
    <xf numFmtId="0" fontId="233" fillId="12" borderId="183" xfId="0" applyFont="1" applyFill="1" applyBorder="1" applyAlignment="1">
      <alignment horizontal="center" vertical="center" wrapText="1"/>
    </xf>
    <xf numFmtId="0" fontId="233" fillId="12" borderId="184" xfId="0" applyFont="1" applyFill="1" applyBorder="1" applyAlignment="1">
      <alignment horizontal="center" vertical="center" wrapText="1"/>
    </xf>
    <xf numFmtId="0" fontId="218" fillId="45" borderId="0" xfId="0" applyFont="1" applyFill="1" applyAlignment="1">
      <alignment horizontal="center" vertical="center"/>
    </xf>
    <xf numFmtId="0" fontId="218" fillId="6" borderId="0" xfId="0" applyFont="1" applyFill="1" applyAlignment="1">
      <alignment horizontal="center" vertical="center"/>
    </xf>
    <xf numFmtId="0" fontId="321" fillId="35" borderId="0" xfId="0" applyFont="1" applyFill="1" applyAlignment="1">
      <alignment horizontal="center" vertical="center" wrapText="1"/>
    </xf>
    <xf numFmtId="0" fontId="322" fillId="2" borderId="0" xfId="0" applyFont="1" applyFill="1" applyAlignment="1">
      <alignment horizontal="center"/>
    </xf>
    <xf numFmtId="0" fontId="88" fillId="18" borderId="0" xfId="0" applyFont="1" applyFill="1" applyAlignment="1">
      <alignment horizontal="center" vertical="center"/>
    </xf>
    <xf numFmtId="0" fontId="126" fillId="2" borderId="0" xfId="0" applyFont="1" applyFill="1" applyAlignment="1">
      <alignment horizontal="center" vertical="center"/>
    </xf>
    <xf numFmtId="0" fontId="321" fillId="39" borderId="0" xfId="0" applyFont="1" applyFill="1" applyAlignment="1">
      <alignment horizontal="center"/>
    </xf>
    <xf numFmtId="0" fontId="322" fillId="16" borderId="0" xfId="0" applyFont="1" applyFill="1" applyAlignment="1">
      <alignment horizontal="left" vertical="center" wrapText="1"/>
    </xf>
    <xf numFmtId="0" fontId="322" fillId="16" borderId="297" xfId="0" applyFont="1" applyFill="1" applyBorder="1" applyAlignment="1">
      <alignment horizontal="left" vertical="center" wrapText="1"/>
    </xf>
    <xf numFmtId="0" fontId="233" fillId="6" borderId="0" xfId="0" applyFont="1" applyFill="1" applyAlignment="1">
      <alignment horizontal="center"/>
    </xf>
    <xf numFmtId="0" fontId="233" fillId="0" borderId="22" xfId="0" applyFont="1" applyBorder="1" applyAlignment="1">
      <alignment horizontal="center" vertical="center"/>
    </xf>
    <xf numFmtId="0" fontId="233" fillId="0" borderId="22" xfId="0" applyFont="1" applyBorder="1" applyAlignment="1">
      <alignment horizontal="right" vertical="center"/>
    </xf>
    <xf numFmtId="0" fontId="233" fillId="0" borderId="25" xfId="0" applyFont="1" applyBorder="1" applyAlignment="1">
      <alignment horizontal="right" vertical="center"/>
    </xf>
    <xf numFmtId="0" fontId="233" fillId="0" borderId="73" xfId="0" applyFont="1" applyBorder="1" applyAlignment="1">
      <alignment horizontal="right" vertical="center"/>
    </xf>
    <xf numFmtId="0" fontId="262" fillId="4" borderId="0" xfId="0" applyFont="1" applyFill="1" applyAlignment="1">
      <alignment horizontal="center" vertical="center" wrapText="1"/>
    </xf>
    <xf numFmtId="0" fontId="266" fillId="4" borderId="0" xfId="0" applyFont="1" applyFill="1" applyAlignment="1">
      <alignment horizontal="center" vertical="center" wrapText="1"/>
    </xf>
    <xf numFmtId="0" fontId="266" fillId="4" borderId="0" xfId="0" applyFont="1" applyFill="1" applyAlignment="1">
      <alignment horizontal="center" wrapText="1"/>
    </xf>
    <xf numFmtId="0" fontId="0" fillId="0" borderId="0" xfId="0"/>
    <xf numFmtId="0" fontId="262" fillId="4" borderId="3" xfId="0" applyFont="1" applyFill="1" applyBorder="1" applyAlignment="1">
      <alignment horizontal="center" vertical="center" wrapText="1"/>
    </xf>
    <xf numFmtId="0" fontId="266" fillId="4" borderId="0" xfId="0" applyFont="1" applyFill="1" applyAlignment="1">
      <alignment horizontal="center" vertical="center"/>
    </xf>
    <xf numFmtId="0" fontId="266" fillId="4" borderId="3" xfId="0" applyFont="1" applyFill="1" applyBorder="1" applyAlignment="1">
      <alignment horizontal="center" vertical="center"/>
    </xf>
    <xf numFmtId="0" fontId="273" fillId="7" borderId="0" xfId="0" applyFont="1" applyFill="1" applyAlignment="1">
      <alignment horizontal="center" vertical="center"/>
    </xf>
    <xf numFmtId="0" fontId="322" fillId="32" borderId="12" xfId="0" applyFont="1" applyFill="1" applyBorder="1" applyAlignment="1">
      <alignment horizontal="center" wrapText="1"/>
    </xf>
    <xf numFmtId="0" fontId="262" fillId="4" borderId="0" xfId="0" applyFont="1" applyFill="1" applyAlignment="1">
      <alignment horizontal="center" vertical="center"/>
    </xf>
    <xf numFmtId="0" fontId="262" fillId="4" borderId="3" xfId="0" applyFont="1" applyFill="1" applyBorder="1" applyAlignment="1">
      <alignment horizontal="center" vertical="center"/>
    </xf>
    <xf numFmtId="0" fontId="233" fillId="12" borderId="22" xfId="0" applyFont="1" applyFill="1" applyBorder="1" applyAlignment="1">
      <alignment horizontal="left" vertical="center" wrapText="1"/>
    </xf>
    <xf numFmtId="0" fontId="233" fillId="12" borderId="25" xfId="0" applyFont="1" applyFill="1" applyBorder="1" applyAlignment="1">
      <alignment horizontal="left" vertical="center" wrapText="1"/>
    </xf>
    <xf numFmtId="0" fontId="233" fillId="12" borderId="73" xfId="0" applyFont="1" applyFill="1" applyBorder="1" applyAlignment="1">
      <alignment horizontal="left" vertical="center" wrapText="1"/>
    </xf>
    <xf numFmtId="0" fontId="198" fillId="4" borderId="0" xfId="0" applyFont="1" applyFill="1" applyAlignment="1">
      <alignment horizontal="center" vertical="center" wrapText="1"/>
    </xf>
    <xf numFmtId="0" fontId="198" fillId="4" borderId="3" xfId="0" applyFont="1" applyFill="1" applyBorder="1" applyAlignment="1">
      <alignment horizontal="center" vertical="center" wrapText="1"/>
    </xf>
    <xf numFmtId="0" fontId="233" fillId="36" borderId="474" xfId="0" applyFont="1" applyFill="1" applyBorder="1" applyAlignment="1">
      <alignment horizontal="center" vertical="center"/>
    </xf>
    <xf numFmtId="0" fontId="233" fillId="36" borderId="475" xfId="0" applyFont="1" applyFill="1" applyBorder="1" applyAlignment="1">
      <alignment horizontal="center" vertical="center"/>
    </xf>
    <xf numFmtId="0" fontId="233" fillId="36" borderId="476" xfId="0" applyFont="1" applyFill="1" applyBorder="1" applyAlignment="1">
      <alignment horizontal="center" vertical="center"/>
    </xf>
    <xf numFmtId="0" fontId="461" fillId="31" borderId="0" xfId="0" applyFont="1" applyFill="1" applyAlignment="1">
      <alignment horizontal="center" vertical="center"/>
    </xf>
    <xf numFmtId="0" fontId="322" fillId="32" borderId="0" xfId="0" applyFont="1" applyFill="1" applyAlignment="1">
      <alignment horizontal="center"/>
    </xf>
    <xf numFmtId="0" fontId="325" fillId="35" borderId="0" xfId="0" applyFont="1" applyFill="1" applyAlignment="1">
      <alignment horizontal="center" vertical="center" textRotation="90"/>
    </xf>
    <xf numFmtId="0" fontId="262" fillId="2" borderId="261" xfId="0" applyFont="1" applyFill="1" applyBorder="1" applyAlignment="1">
      <alignment horizontal="center" vertical="center"/>
    </xf>
    <xf numFmtId="0" fontId="262" fillId="2" borderId="186" xfId="0" applyFont="1" applyFill="1" applyBorder="1" applyAlignment="1">
      <alignment horizontal="center" vertical="center"/>
    </xf>
    <xf numFmtId="0" fontId="332" fillId="33" borderId="0" xfId="0" applyFont="1" applyFill="1" applyAlignment="1">
      <alignment horizontal="center" vertical="center"/>
    </xf>
    <xf numFmtId="0" fontId="332" fillId="33" borderId="352" xfId="0" applyFont="1" applyFill="1" applyBorder="1" applyAlignment="1">
      <alignment horizontal="center" vertical="center"/>
    </xf>
    <xf numFmtId="0" fontId="336" fillId="33" borderId="260" xfId="0" applyFont="1" applyFill="1" applyBorder="1" applyAlignment="1">
      <alignment horizontal="center" vertical="center"/>
    </xf>
    <xf numFmtId="0" fontId="336" fillId="33" borderId="187" xfId="0" applyFont="1" applyFill="1" applyBorder="1" applyAlignment="1">
      <alignment horizontal="center" vertical="center"/>
    </xf>
    <xf numFmtId="0" fontId="322" fillId="33" borderId="260" xfId="0" applyFont="1" applyFill="1" applyBorder="1" applyAlignment="1">
      <alignment horizontal="center" vertical="center"/>
    </xf>
    <xf numFmtId="0" fontId="322" fillId="33" borderId="262" xfId="0" applyFont="1" applyFill="1" applyBorder="1" applyAlignment="1">
      <alignment horizontal="center" vertical="center"/>
    </xf>
    <xf numFmtId="0" fontId="322" fillId="33" borderId="234" xfId="0" applyFont="1" applyFill="1" applyBorder="1" applyAlignment="1">
      <alignment horizontal="center" vertical="center"/>
    </xf>
    <xf numFmtId="0" fontId="336" fillId="0" borderId="185" xfId="0" applyFont="1" applyBorder="1" applyAlignment="1">
      <alignment horizontal="center" vertical="center"/>
    </xf>
    <xf numFmtId="0" fontId="218" fillId="4" borderId="13" xfId="0" applyFont="1" applyFill="1" applyBorder="1" applyAlignment="1">
      <alignment horizontal="center" vertical="center" wrapText="1"/>
    </xf>
    <xf numFmtId="0" fontId="318" fillId="32" borderId="0" xfId="0" applyFont="1" applyFill="1"/>
    <xf numFmtId="0" fontId="210" fillId="50" borderId="0" xfId="0" applyFont="1" applyFill="1" applyAlignment="1">
      <alignment horizontal="center" vertical="center"/>
    </xf>
    <xf numFmtId="0" fontId="322" fillId="50" borderId="0" xfId="0" applyFont="1" applyFill="1" applyAlignment="1">
      <alignment horizontal="center"/>
    </xf>
    <xf numFmtId="0" fontId="462" fillId="34" borderId="410" xfId="0" applyFont="1" applyFill="1" applyBorder="1" applyAlignment="1">
      <alignment horizontal="center" vertical="center"/>
    </xf>
    <xf numFmtId="0" fontId="462" fillId="34" borderId="213" xfId="0" applyFont="1" applyFill="1" applyBorder="1" applyAlignment="1">
      <alignment horizontal="center" vertical="center"/>
    </xf>
    <xf numFmtId="0" fontId="462" fillId="34" borderId="296" xfId="0" applyFont="1" applyFill="1" applyBorder="1" applyAlignment="1">
      <alignment horizontal="center" vertical="center"/>
    </xf>
    <xf numFmtId="0" fontId="233" fillId="3" borderId="0" xfId="0" applyFont="1" applyFill="1" applyAlignment="1">
      <alignment horizontal="center" vertical="center"/>
    </xf>
    <xf numFmtId="0" fontId="266" fillId="2" borderId="0" xfId="0" applyFont="1" applyFill="1" applyAlignment="1">
      <alignment horizontal="center" vertical="center" wrapText="1"/>
    </xf>
    <xf numFmtId="0" fontId="266" fillId="2" borderId="3" xfId="0" applyFont="1" applyFill="1" applyBorder="1" applyAlignment="1">
      <alignment horizontal="center" vertical="center" wrapText="1"/>
    </xf>
    <xf numFmtId="0" fontId="266" fillId="2" borderId="0" xfId="0" applyFont="1" applyFill="1" applyAlignment="1">
      <alignment horizontal="center" wrapText="1"/>
    </xf>
    <xf numFmtId="0" fontId="266" fillId="2" borderId="3" xfId="0" applyFont="1" applyFill="1" applyBorder="1" applyAlignment="1">
      <alignment horizontal="center" wrapText="1"/>
    </xf>
    <xf numFmtId="0" fontId="304" fillId="19" borderId="0" xfId="0" applyFont="1" applyFill="1" applyAlignment="1">
      <alignment horizontal="center" vertical="center"/>
    </xf>
    <xf numFmtId="0" fontId="266" fillId="2" borderId="410" xfId="0" applyFont="1" applyFill="1" applyBorder="1" applyAlignment="1">
      <alignment horizontal="center" vertical="center"/>
    </xf>
    <xf numFmtId="0" fontId="266" fillId="2" borderId="213" xfId="0" applyFont="1" applyFill="1" applyBorder="1" applyAlignment="1">
      <alignment horizontal="center" vertical="center"/>
    </xf>
    <xf numFmtId="0" fontId="266" fillId="2" borderId="296" xfId="0" applyFont="1" applyFill="1" applyBorder="1" applyAlignment="1">
      <alignment horizontal="center" vertical="center"/>
    </xf>
    <xf numFmtId="0" fontId="229" fillId="4" borderId="0" xfId="0" applyFont="1" applyFill="1" applyAlignment="1">
      <alignment horizontal="center" vertical="center"/>
    </xf>
    <xf numFmtId="0" fontId="229" fillId="4" borderId="3" xfId="0" applyFont="1" applyFill="1" applyBorder="1" applyAlignment="1">
      <alignment horizontal="center" vertical="center"/>
    </xf>
    <xf numFmtId="0" fontId="266" fillId="2" borderId="0" xfId="0" applyFont="1" applyFill="1" applyAlignment="1">
      <alignment horizontal="center" vertical="center"/>
    </xf>
    <xf numFmtId="0" fontId="266" fillId="2" borderId="3" xfId="0" applyFont="1" applyFill="1" applyBorder="1" applyAlignment="1">
      <alignment horizontal="center" vertical="center"/>
    </xf>
    <xf numFmtId="0" fontId="218" fillId="2" borderId="13" xfId="0" applyFont="1" applyFill="1" applyBorder="1" applyAlignment="1">
      <alignment horizontal="center" vertical="center" wrapText="1"/>
    </xf>
    <xf numFmtId="0" fontId="229" fillId="2" borderId="0" xfId="0" applyFont="1" applyFill="1" applyAlignment="1">
      <alignment horizontal="center" vertical="center"/>
    </xf>
    <xf numFmtId="0" fontId="229" fillId="2" borderId="3" xfId="0" applyFont="1" applyFill="1" applyBorder="1" applyAlignment="1">
      <alignment horizontal="center" vertical="center"/>
    </xf>
    <xf numFmtId="0" fontId="228" fillId="2" borderId="0" xfId="0" applyFont="1" applyFill="1" applyAlignment="1">
      <alignment horizontal="center" vertical="center"/>
    </xf>
    <xf numFmtId="0" fontId="228" fillId="2" borderId="3" xfId="0" applyFont="1" applyFill="1" applyBorder="1" applyAlignment="1">
      <alignment horizontal="center" vertical="center"/>
    </xf>
    <xf numFmtId="0" fontId="233" fillId="3" borderId="12" xfId="0" applyFont="1" applyFill="1" applyBorder="1" applyAlignment="1">
      <alignment horizontal="center" vertical="center"/>
    </xf>
    <xf numFmtId="0" fontId="233" fillId="0" borderId="410" xfId="0" applyFont="1" applyBorder="1" applyAlignment="1">
      <alignment horizontal="right" vertical="center"/>
    </xf>
    <xf numFmtId="0" fontId="233" fillId="0" borderId="213" xfId="0" applyFont="1" applyBorder="1" applyAlignment="1">
      <alignment horizontal="right" vertical="center"/>
    </xf>
    <xf numFmtId="0" fontId="88" fillId="6" borderId="1" xfId="0" applyFont="1" applyFill="1" applyBorder="1" applyAlignment="1">
      <alignment horizontal="center" vertical="center"/>
    </xf>
    <xf numFmtId="0" fontId="88" fillId="6" borderId="0" xfId="0" applyFont="1" applyFill="1" applyAlignment="1">
      <alignment horizontal="center" vertical="center"/>
    </xf>
    <xf numFmtId="0" fontId="88" fillId="6" borderId="470" xfId="0" applyFont="1" applyFill="1" applyBorder="1" applyAlignment="1">
      <alignment horizontal="center" vertical="center"/>
    </xf>
    <xf numFmtId="0" fontId="88" fillId="87" borderId="1" xfId="0" applyFont="1" applyFill="1" applyBorder="1" applyAlignment="1">
      <alignment horizontal="center"/>
    </xf>
    <xf numFmtId="0" fontId="88" fillId="87" borderId="0" xfId="0" applyFont="1" applyFill="1" applyAlignment="1">
      <alignment horizontal="center"/>
    </xf>
    <xf numFmtId="0" fontId="88" fillId="87" borderId="470" xfId="0" applyFont="1" applyFill="1" applyBorder="1" applyAlignment="1">
      <alignment horizontal="center"/>
    </xf>
    <xf numFmtId="0" fontId="233" fillId="0" borderId="597" xfId="0" applyFont="1" applyBorder="1" applyAlignment="1">
      <alignment horizontal="right" vertical="center"/>
    </xf>
    <xf numFmtId="0" fontId="233" fillId="0" borderId="596" xfId="0" applyFont="1" applyBorder="1" applyAlignment="1">
      <alignment horizontal="right" vertical="center"/>
    </xf>
    <xf numFmtId="0" fontId="233" fillId="0" borderId="566" xfId="0" applyFont="1" applyBorder="1" applyAlignment="1">
      <alignment horizontal="right" vertical="center"/>
    </xf>
    <xf numFmtId="0" fontId="233" fillId="0" borderId="410" xfId="0" applyFont="1" applyBorder="1" applyAlignment="1">
      <alignment horizontal="center" vertical="center"/>
    </xf>
    <xf numFmtId="0" fontId="233" fillId="0" borderId="260" xfId="0" applyFont="1" applyBorder="1" applyAlignment="1">
      <alignment horizontal="right"/>
    </xf>
    <xf numFmtId="0" fontId="10" fillId="0" borderId="597" xfId="0" applyFont="1" applyBorder="1" applyAlignment="1">
      <alignment horizontal="right" vertical="center"/>
    </xf>
    <xf numFmtId="0" fontId="10" fillId="0" borderId="596" xfId="0" applyFont="1" applyBorder="1" applyAlignment="1">
      <alignment horizontal="right" vertical="center"/>
    </xf>
    <xf numFmtId="0" fontId="10" fillId="0" borderId="566" xfId="0" applyFont="1" applyBorder="1" applyAlignment="1">
      <alignment horizontal="right" vertical="center"/>
    </xf>
    <xf numFmtId="0" fontId="233" fillId="0" borderId="0" xfId="0" applyFont="1" applyAlignment="1">
      <alignment horizontal="center"/>
    </xf>
    <xf numFmtId="0" fontId="322" fillId="32" borderId="20" xfId="0" applyFont="1" applyFill="1" applyBorder="1" applyAlignment="1">
      <alignment horizontal="center" vertical="center"/>
    </xf>
    <xf numFmtId="0" fontId="322" fillId="32" borderId="352" xfId="0" applyFont="1" applyFill="1" applyBorder="1" applyAlignment="1">
      <alignment horizontal="center" vertical="center"/>
    </xf>
    <xf numFmtId="0" fontId="322" fillId="32" borderId="354" xfId="0" applyFont="1" applyFill="1" applyBorder="1" applyAlignment="1">
      <alignment horizontal="center" vertical="center"/>
    </xf>
    <xf numFmtId="0" fontId="10" fillId="77" borderId="1" xfId="0" applyFont="1" applyFill="1" applyBorder="1" applyAlignment="1">
      <alignment horizontal="center" vertical="center"/>
    </xf>
    <xf numFmtId="0" fontId="10" fillId="77" borderId="0" xfId="0" applyFont="1" applyFill="1" applyAlignment="1">
      <alignment horizontal="center" vertical="center"/>
    </xf>
    <xf numFmtId="0" fontId="10" fillId="77" borderId="470" xfId="0" applyFont="1" applyFill="1" applyBorder="1" applyAlignment="1">
      <alignment horizontal="center" vertical="center"/>
    </xf>
    <xf numFmtId="166" fontId="322" fillId="58" borderId="261" xfId="0" applyNumberFormat="1" applyFont="1" applyFill="1" applyBorder="1" applyAlignment="1">
      <alignment horizontal="center"/>
    </xf>
    <xf numFmtId="166" fontId="322" fillId="58" borderId="260" xfId="0" applyNumberFormat="1" applyFont="1" applyFill="1" applyBorder="1" applyAlignment="1">
      <alignment horizontal="center"/>
    </xf>
    <xf numFmtId="0" fontId="88" fillId="35" borderId="1" xfId="0" applyFont="1" applyFill="1" applyBorder="1" applyAlignment="1">
      <alignment horizontal="center"/>
    </xf>
    <xf numFmtId="0" fontId="88" fillId="35" borderId="0" xfId="0" applyFont="1" applyFill="1" applyAlignment="1">
      <alignment horizontal="center"/>
    </xf>
    <xf numFmtId="0" fontId="322" fillId="2" borderId="1" xfId="0" applyFont="1" applyFill="1" applyBorder="1" applyAlignment="1">
      <alignment horizontal="center" vertical="center"/>
    </xf>
    <xf numFmtId="0" fontId="322" fillId="2" borderId="0" xfId="0" applyFont="1" applyFill="1" applyAlignment="1">
      <alignment horizontal="center" vertical="center"/>
    </xf>
    <xf numFmtId="0" fontId="322" fillId="2" borderId="470" xfId="0" applyFont="1" applyFill="1" applyBorder="1" applyAlignment="1">
      <alignment horizontal="center" vertical="center"/>
    </xf>
    <xf numFmtId="0" fontId="10" fillId="0" borderId="12" xfId="0" applyFont="1" applyBorder="1" applyAlignment="1">
      <alignment horizontal="right" vertical="center"/>
    </xf>
    <xf numFmtId="0" fontId="233" fillId="11" borderId="469" xfId="0" applyFont="1" applyFill="1" applyBorder="1" applyAlignment="1">
      <alignment horizontal="center" vertical="center"/>
    </xf>
    <xf numFmtId="0" fontId="126" fillId="18" borderId="261" xfId="0" applyFont="1" applyFill="1" applyBorder="1" applyAlignment="1">
      <alignment horizontal="center"/>
    </xf>
    <xf numFmtId="0" fontId="218" fillId="18" borderId="260" xfId="0" applyFont="1" applyFill="1" applyBorder="1" applyAlignment="1">
      <alignment horizontal="center"/>
    </xf>
    <xf numFmtId="0" fontId="218" fillId="18" borderId="262" xfId="0" applyFont="1" applyFill="1" applyBorder="1" applyAlignment="1">
      <alignment horizontal="center"/>
    </xf>
    <xf numFmtId="0" fontId="88" fillId="7" borderId="1" xfId="0" applyFont="1" applyFill="1" applyBorder="1" applyAlignment="1">
      <alignment horizontal="center"/>
    </xf>
    <xf numFmtId="0" fontId="233" fillId="7" borderId="470" xfId="0" applyFont="1" applyFill="1" applyBorder="1" applyAlignment="1">
      <alignment horizontal="center"/>
    </xf>
    <xf numFmtId="0" fontId="126" fillId="4" borderId="1" xfId="0" applyFont="1" applyFill="1" applyBorder="1" applyAlignment="1">
      <alignment horizontal="center" vertical="center"/>
    </xf>
    <xf numFmtId="0" fontId="218" fillId="4" borderId="470" xfId="0" applyFont="1" applyFill="1" applyBorder="1" applyAlignment="1">
      <alignment horizontal="center" vertical="center"/>
    </xf>
    <xf numFmtId="0" fontId="88" fillId="0" borderId="321" xfId="0" applyFont="1" applyBorder="1" applyAlignment="1">
      <alignment horizontal="center"/>
    </xf>
    <xf numFmtId="0" fontId="321" fillId="56" borderId="261" xfId="0" applyFont="1" applyFill="1" applyBorder="1" applyAlignment="1">
      <alignment horizontal="left" vertical="center" wrapText="1"/>
    </xf>
    <xf numFmtId="0" fontId="321" fillId="56" borderId="260" xfId="0" applyFont="1" applyFill="1" applyBorder="1" applyAlignment="1">
      <alignment horizontal="left" vertical="center" wrapText="1"/>
    </xf>
    <xf numFmtId="0" fontId="321" fillId="56" borderId="262" xfId="0" applyFont="1" applyFill="1" applyBorder="1" applyAlignment="1">
      <alignment horizontal="left" vertical="center" wrapText="1"/>
    </xf>
    <xf numFmtId="0" fontId="321" fillId="56" borderId="20" xfId="0" applyFont="1" applyFill="1" applyBorder="1" applyAlignment="1">
      <alignment horizontal="left" vertical="center" wrapText="1"/>
    </xf>
    <xf numFmtId="0" fontId="321" fillId="56" borderId="352" xfId="0" applyFont="1" applyFill="1" applyBorder="1" applyAlignment="1">
      <alignment horizontal="left" vertical="center" wrapText="1"/>
    </xf>
    <xf numFmtId="0" fontId="321" fillId="56" borderId="354" xfId="0" applyFont="1" applyFill="1" applyBorder="1" applyAlignment="1">
      <alignment horizontal="left" vertical="center" wrapText="1"/>
    </xf>
    <xf numFmtId="0" fontId="266" fillId="4" borderId="3" xfId="0" applyFont="1" applyFill="1" applyBorder="1" applyAlignment="1">
      <alignment horizontal="center" vertical="center" wrapText="1"/>
    </xf>
    <xf numFmtId="0" fontId="218" fillId="16" borderId="470" xfId="0" applyFont="1" applyFill="1" applyBorder="1" applyAlignment="1">
      <alignment horizontal="center" vertical="center"/>
    </xf>
    <xf numFmtId="0" fontId="144" fillId="0" borderId="0" xfId="0" applyFont="1" applyAlignment="1">
      <alignment horizontal="center" vertical="center"/>
    </xf>
    <xf numFmtId="0" fontId="88" fillId="8" borderId="0" xfId="0" applyFont="1" applyFill="1" applyAlignment="1">
      <alignment horizontal="center"/>
    </xf>
    <xf numFmtId="0" fontId="88" fillId="16" borderId="0" xfId="0" applyFont="1" applyFill="1" applyAlignment="1">
      <alignment horizontal="center"/>
    </xf>
    <xf numFmtId="0" fontId="322" fillId="16" borderId="410" xfId="0" applyFont="1" applyFill="1" applyBorder="1" applyAlignment="1">
      <alignment horizontal="center" vertical="center"/>
    </xf>
    <xf numFmtId="0" fontId="322" fillId="16" borderId="213" xfId="0" applyFont="1" applyFill="1" applyBorder="1" applyAlignment="1">
      <alignment horizontal="center" vertical="center"/>
    </xf>
    <xf numFmtId="0" fontId="322" fillId="16" borderId="296" xfId="0" applyFont="1" applyFill="1" applyBorder="1" applyAlignment="1">
      <alignment horizontal="center" vertical="center"/>
    </xf>
    <xf numFmtId="0" fontId="233" fillId="8" borderId="410" xfId="0" applyFont="1" applyFill="1" applyBorder="1" applyAlignment="1">
      <alignment horizontal="center" vertical="center"/>
    </xf>
    <xf numFmtId="0" fontId="233" fillId="8" borderId="213" xfId="0" applyFont="1" applyFill="1" applyBorder="1" applyAlignment="1">
      <alignment horizontal="center" vertical="center"/>
    </xf>
    <xf numFmtId="0" fontId="233" fillId="8" borderId="296" xfId="0" applyFont="1" applyFill="1" applyBorder="1" applyAlignment="1">
      <alignment horizontal="center" vertical="center"/>
    </xf>
    <xf numFmtId="0" fontId="321" fillId="37" borderId="0" xfId="0" applyFont="1" applyFill="1" applyAlignment="1">
      <alignment horizontal="center" vertical="center" wrapText="1"/>
    </xf>
    <xf numFmtId="0" fontId="321" fillId="37" borderId="297" xfId="0" applyFont="1" applyFill="1" applyBorder="1" applyAlignment="1">
      <alignment horizontal="center" vertical="center" wrapText="1"/>
    </xf>
    <xf numFmtId="0" fontId="10" fillId="37" borderId="0" xfId="0" applyFont="1" applyFill="1" applyAlignment="1">
      <alignment horizontal="center" vertical="center"/>
    </xf>
    <xf numFmtId="0" fontId="4" fillId="37" borderId="185" xfId="0" applyFont="1" applyFill="1" applyBorder="1" applyAlignment="1">
      <alignment horizontal="center" vertical="center" wrapText="1"/>
    </xf>
    <xf numFmtId="0" fontId="4" fillId="37" borderId="0" xfId="0" applyFont="1" applyFill="1" applyAlignment="1">
      <alignment horizontal="center" vertical="center" wrapText="1"/>
    </xf>
    <xf numFmtId="0" fontId="4" fillId="37" borderId="297" xfId="0" applyFont="1" applyFill="1" applyBorder="1" applyAlignment="1">
      <alignment horizontal="center" vertical="center" wrapText="1"/>
    </xf>
    <xf numFmtId="0" fontId="36" fillId="35" borderId="0" xfId="0" applyFont="1" applyFill="1" applyAlignment="1">
      <alignment horizontal="center" vertical="center"/>
    </xf>
    <xf numFmtId="0" fontId="36" fillId="34" borderId="316" xfId="0" applyFont="1" applyFill="1" applyBorder="1" applyAlignment="1">
      <alignment horizontal="left" vertical="center" wrapText="1"/>
    </xf>
    <xf numFmtId="0" fontId="36" fillId="34" borderId="312" xfId="0" applyFont="1" applyFill="1" applyBorder="1" applyAlignment="1">
      <alignment horizontal="left" vertical="center" wrapText="1"/>
    </xf>
    <xf numFmtId="0" fontId="36" fillId="34" borderId="313" xfId="0" applyFont="1" applyFill="1" applyBorder="1" applyAlignment="1">
      <alignment horizontal="left" vertical="center" wrapText="1"/>
    </xf>
    <xf numFmtId="0" fontId="36" fillId="34" borderId="317" xfId="0" applyFont="1" applyFill="1" applyBorder="1" applyAlignment="1">
      <alignment horizontal="left" vertical="center" wrapText="1"/>
    </xf>
    <xf numFmtId="0" fontId="36" fillId="34" borderId="314" xfId="0" applyFont="1" applyFill="1" applyBorder="1" applyAlignment="1">
      <alignment horizontal="left" vertical="center" wrapText="1"/>
    </xf>
    <xf numFmtId="0" fontId="36" fillId="34" borderId="315" xfId="0" applyFont="1" applyFill="1" applyBorder="1" applyAlignment="1">
      <alignment horizontal="left" vertical="center" wrapText="1"/>
    </xf>
    <xf numFmtId="0" fontId="325" fillId="44" borderId="0" xfId="0" applyFont="1" applyFill="1" applyAlignment="1">
      <alignment horizontal="center" vertical="center" wrapText="1"/>
    </xf>
    <xf numFmtId="0" fontId="325" fillId="44" borderId="297" xfId="0" applyFont="1" applyFill="1" applyBorder="1" applyAlignment="1">
      <alignment horizontal="center" vertical="center" wrapText="1"/>
    </xf>
    <xf numFmtId="0" fontId="322" fillId="46" borderId="0" xfId="0" applyFont="1" applyFill="1" applyAlignment="1">
      <alignment horizontal="center" vertical="center" wrapText="1"/>
    </xf>
    <xf numFmtId="0" fontId="322" fillId="46" borderId="297" xfId="0" applyFont="1" applyFill="1" applyBorder="1" applyAlignment="1">
      <alignment horizontal="center" vertical="center" wrapText="1"/>
    </xf>
    <xf numFmtId="0" fontId="328" fillId="0" borderId="0" xfId="0" applyFont="1" applyAlignment="1">
      <alignment horizontal="center" vertical="center"/>
    </xf>
    <xf numFmtId="0" fontId="328" fillId="37" borderId="0" xfId="0" applyFont="1" applyFill="1" applyAlignment="1">
      <alignment horizontal="left" wrapText="1"/>
    </xf>
    <xf numFmtId="0" fontId="328" fillId="37" borderId="297" xfId="0" applyFont="1" applyFill="1" applyBorder="1" applyAlignment="1">
      <alignment horizontal="left" wrapText="1"/>
    </xf>
    <xf numFmtId="0" fontId="321" fillId="37" borderId="0" xfId="0" applyFont="1" applyFill="1" applyAlignment="1">
      <alignment horizontal="center" vertical="center"/>
    </xf>
    <xf numFmtId="0" fontId="321" fillId="37" borderId="472" xfId="0" applyFont="1" applyFill="1" applyBorder="1" applyAlignment="1">
      <alignment horizontal="center" vertical="center"/>
    </xf>
    <xf numFmtId="177" fontId="0" fillId="0" borderId="0" xfId="0" applyNumberFormat="1" applyAlignment="1">
      <alignment horizontal="center"/>
    </xf>
    <xf numFmtId="0" fontId="328" fillId="0" borderId="0" xfId="0" applyFont="1" applyAlignment="1">
      <alignment horizontal="center"/>
    </xf>
    <xf numFmtId="0" fontId="328" fillId="92" borderId="410" xfId="0" applyFont="1" applyFill="1" applyBorder="1" applyAlignment="1">
      <alignment horizontal="center" vertical="center"/>
    </xf>
    <xf numFmtId="0" fontId="328" fillId="92" borderId="213" xfId="0" applyFont="1" applyFill="1" applyBorder="1" applyAlignment="1">
      <alignment horizontal="center" vertical="center"/>
    </xf>
    <xf numFmtId="0" fontId="429" fillId="0" borderId="321" xfId="0" applyFont="1" applyBorder="1" applyAlignment="1">
      <alignment horizontal="left" vertical="center"/>
    </xf>
    <xf numFmtId="0" fontId="0" fillId="37" borderId="0" xfId="0" applyFill="1" applyAlignment="1">
      <alignment horizontal="center"/>
    </xf>
    <xf numFmtId="0" fontId="349" fillId="35" borderId="0" xfId="0" applyFont="1" applyFill="1" applyAlignment="1">
      <alignment horizontal="center" vertical="center" wrapText="1"/>
    </xf>
    <xf numFmtId="0" fontId="266" fillId="4" borderId="3" xfId="0" applyFont="1" applyFill="1" applyBorder="1" applyAlignment="1">
      <alignment horizontal="center" wrapText="1"/>
    </xf>
    <xf numFmtId="0" fontId="228" fillId="4" borderId="0" xfId="0" applyFont="1" applyFill="1" applyAlignment="1">
      <alignment horizontal="center" vertical="center"/>
    </xf>
    <xf numFmtId="0" fontId="228" fillId="4" borderId="3" xfId="0" applyFont="1" applyFill="1" applyBorder="1" applyAlignment="1">
      <alignment horizontal="center" vertical="center"/>
    </xf>
    <xf numFmtId="0" fontId="321" fillId="47" borderId="0" xfId="0" applyFont="1" applyFill="1" applyAlignment="1">
      <alignment horizontal="center" vertical="center"/>
    </xf>
    <xf numFmtId="0" fontId="332" fillId="31" borderId="516" xfId="0" applyFont="1" applyFill="1" applyBorder="1" applyAlignment="1">
      <alignment horizontal="center" vertical="center"/>
    </xf>
    <xf numFmtId="0" fontId="325" fillId="32" borderId="0" xfId="0" applyFont="1" applyFill="1" applyAlignment="1">
      <alignment horizontal="center" vertical="center" textRotation="90"/>
    </xf>
    <xf numFmtId="0" fontId="339" fillId="55" borderId="0" xfId="0" applyFont="1" applyFill="1" applyAlignment="1">
      <alignment horizontal="center" vertical="center" wrapText="1"/>
    </xf>
    <xf numFmtId="0" fontId="328" fillId="92" borderId="410" xfId="0" applyFont="1" applyFill="1" applyBorder="1" applyAlignment="1">
      <alignment horizontal="center"/>
    </xf>
    <xf numFmtId="0" fontId="328" fillId="92" borderId="213" xfId="0" applyFont="1" applyFill="1" applyBorder="1" applyAlignment="1">
      <alignment horizontal="center"/>
    </xf>
    <xf numFmtId="0" fontId="328" fillId="58" borderId="401" xfId="0" applyFont="1" applyFill="1" applyBorder="1" applyAlignment="1">
      <alignment horizontal="center" vertical="center"/>
    </xf>
    <xf numFmtId="0" fontId="328" fillId="58" borderId="81" xfId="0" applyFont="1" applyFill="1" applyBorder="1" applyAlignment="1">
      <alignment horizontal="center" vertical="center"/>
    </xf>
    <xf numFmtId="0" fontId="328" fillId="58" borderId="298" xfId="0" applyFont="1" applyFill="1" applyBorder="1" applyAlignment="1">
      <alignment horizontal="center" vertical="center"/>
    </xf>
    <xf numFmtId="0" fontId="0" fillId="92" borderId="410" xfId="0" applyFill="1" applyBorder="1" applyAlignment="1">
      <alignment horizontal="center"/>
    </xf>
    <xf numFmtId="0" fontId="0" fillId="92" borderId="213" xfId="0" applyFill="1" applyBorder="1" applyAlignment="1">
      <alignment horizontal="center"/>
    </xf>
    <xf numFmtId="0" fontId="50" fillId="4" borderId="0" xfId="0" applyFont="1" applyFill="1" applyAlignment="1">
      <alignment horizontal="center" vertical="center"/>
    </xf>
    <xf numFmtId="0" fontId="50" fillId="4" borderId="13" xfId="0" applyFont="1" applyFill="1" applyBorder="1" applyAlignment="1">
      <alignment horizontal="center" vertical="center" wrapText="1"/>
    </xf>
    <xf numFmtId="0" fontId="429" fillId="0" borderId="295" xfId="0" applyFont="1" applyBorder="1" applyAlignment="1">
      <alignment horizontal="left" vertical="center"/>
    </xf>
    <xf numFmtId="0" fontId="429" fillId="0" borderId="25" xfId="0" applyFont="1" applyBorder="1" applyAlignment="1">
      <alignment horizontal="left" vertical="center"/>
    </xf>
    <xf numFmtId="0" fontId="429" fillId="0" borderId="296" xfId="0" applyFont="1" applyBorder="1" applyAlignment="1">
      <alignment horizontal="left" vertical="center"/>
    </xf>
    <xf numFmtId="0" fontId="321" fillId="35" borderId="0" xfId="0" applyFont="1" applyFill="1" applyAlignment="1">
      <alignment horizontal="center" vertical="center"/>
    </xf>
    <xf numFmtId="0" fontId="233" fillId="0" borderId="597" xfId="0" applyFont="1" applyBorder="1" applyAlignment="1">
      <alignment horizontal="left" vertical="center" wrapText="1"/>
    </xf>
    <xf numFmtId="0" fontId="233" fillId="0" borderId="596" xfId="0" applyFont="1" applyBorder="1" applyAlignment="1">
      <alignment horizontal="left" vertical="center" wrapText="1"/>
    </xf>
    <xf numFmtId="0" fontId="233" fillId="0" borderId="566" xfId="0" applyFont="1" applyBorder="1" applyAlignment="1">
      <alignment horizontal="left" vertical="center" wrapText="1"/>
    </xf>
    <xf numFmtId="0" fontId="322" fillId="33" borderId="0" xfId="0" applyFont="1" applyFill="1" applyAlignment="1">
      <alignment horizontal="center" vertical="center" textRotation="90"/>
    </xf>
    <xf numFmtId="0" fontId="321" fillId="87" borderId="410" xfId="0" applyFont="1" applyFill="1" applyBorder="1" applyAlignment="1">
      <alignment horizontal="center" vertical="center"/>
    </xf>
    <xf numFmtId="0" fontId="321" fillId="87" borderId="213" xfId="0" applyFont="1" applyFill="1" applyBorder="1" applyAlignment="1">
      <alignment horizontal="center" vertical="center"/>
    </xf>
    <xf numFmtId="0" fontId="321" fillId="87" borderId="296" xfId="0" applyFont="1" applyFill="1" applyBorder="1" applyAlignment="1">
      <alignment horizontal="center" vertical="center"/>
    </xf>
    <xf numFmtId="0" fontId="262" fillId="4" borderId="24" xfId="0" applyFont="1" applyFill="1" applyBorder="1" applyAlignment="1">
      <alignment horizontal="center" vertical="center" wrapText="1"/>
    </xf>
    <xf numFmtId="3" fontId="218" fillId="2" borderId="131" xfId="0" applyNumberFormat="1" applyFont="1" applyFill="1" applyBorder="1" applyAlignment="1" applyProtection="1">
      <alignment horizontal="center" vertical="center"/>
      <protection hidden="1"/>
    </xf>
    <xf numFmtId="3" fontId="218" fillId="2" borderId="115" xfId="0" applyNumberFormat="1" applyFont="1" applyFill="1" applyBorder="1" applyAlignment="1" applyProtection="1">
      <alignment horizontal="center" vertical="center"/>
      <protection hidden="1"/>
    </xf>
    <xf numFmtId="0" fontId="245" fillId="2" borderId="131" xfId="0" applyFont="1" applyFill="1" applyBorder="1" applyAlignment="1">
      <alignment horizontal="left"/>
    </xf>
    <xf numFmtId="3" fontId="10" fillId="2" borderId="131" xfId="0" applyNumberFormat="1" applyFont="1" applyFill="1" applyBorder="1" applyAlignment="1" applyProtection="1">
      <alignment horizontal="center" vertical="center"/>
      <protection hidden="1"/>
    </xf>
    <xf numFmtId="3" fontId="10" fillId="2" borderId="115" xfId="0" applyNumberFormat="1" applyFont="1" applyFill="1" applyBorder="1" applyAlignment="1" applyProtection="1">
      <alignment horizontal="center" vertical="center"/>
      <protection hidden="1"/>
    </xf>
    <xf numFmtId="0" fontId="321" fillId="0" borderId="321" xfId="0" applyFont="1" applyBorder="1" applyAlignment="1">
      <alignment horizontal="center"/>
    </xf>
    <xf numFmtId="0" fontId="349" fillId="0" borderId="321" xfId="0" applyFont="1" applyBorder="1" applyAlignment="1">
      <alignment horizontal="left" vertical="center"/>
    </xf>
    <xf numFmtId="0" fontId="21" fillId="0" borderId="321" xfId="0" applyFont="1" applyBorder="1" applyAlignment="1">
      <alignment horizontal="left" vertical="center"/>
    </xf>
    <xf numFmtId="0" fontId="429" fillId="0" borderId="295" xfId="0" applyFont="1" applyBorder="1" applyAlignment="1">
      <alignment horizontal="center" vertical="center"/>
    </xf>
    <xf numFmtId="0" fontId="429" fillId="0" borderId="25" xfId="0" applyFont="1" applyBorder="1" applyAlignment="1">
      <alignment horizontal="center" vertical="center"/>
    </xf>
    <xf numFmtId="0" fontId="429" fillId="0" borderId="296" xfId="0" applyFont="1" applyBorder="1" applyAlignment="1">
      <alignment horizontal="center" vertical="center"/>
    </xf>
    <xf numFmtId="0" fontId="328" fillId="50" borderId="410" xfId="0" applyFont="1" applyFill="1" applyBorder="1" applyAlignment="1">
      <alignment horizontal="left" vertical="center" wrapText="1"/>
    </xf>
    <xf numFmtId="0" fontId="328" fillId="50" borderId="296" xfId="0" applyFont="1" applyFill="1" applyBorder="1" applyAlignment="1">
      <alignment horizontal="left" vertical="center" wrapText="1"/>
    </xf>
    <xf numFmtId="0" fontId="321" fillId="50" borderId="410" xfId="0" applyFont="1" applyFill="1" applyBorder="1" applyAlignment="1">
      <alignment horizontal="left" vertical="center" wrapText="1"/>
    </xf>
    <xf numFmtId="0" fontId="321" fillId="50" borderId="213" xfId="0" applyFont="1" applyFill="1" applyBorder="1" applyAlignment="1">
      <alignment horizontal="left" vertical="center" wrapText="1"/>
    </xf>
    <xf numFmtId="0" fontId="321" fillId="50" borderId="296" xfId="0" applyFont="1" applyFill="1" applyBorder="1" applyAlignment="1">
      <alignment horizontal="left" vertical="center" wrapText="1"/>
    </xf>
    <xf numFmtId="0" fontId="350" fillId="31" borderId="12" xfId="0" applyFont="1" applyFill="1" applyBorder="1" applyAlignment="1">
      <alignment horizontal="center" vertical="center"/>
    </xf>
    <xf numFmtId="0" fontId="429" fillId="0" borderId="0" xfId="0" applyFont="1" applyAlignment="1">
      <alignment horizontal="left" vertical="center"/>
    </xf>
    <xf numFmtId="0" fontId="328" fillId="59" borderId="401" xfId="0" applyFont="1" applyFill="1" applyBorder="1" applyAlignment="1">
      <alignment horizontal="center" vertical="center"/>
    </xf>
    <xf numFmtId="0" fontId="328" fillId="59" borderId="81" xfId="0" applyFont="1" applyFill="1" applyBorder="1" applyAlignment="1">
      <alignment horizontal="center" vertical="center"/>
    </xf>
    <xf numFmtId="0" fontId="328" fillId="59" borderId="298" xfId="0" applyFont="1" applyFill="1" applyBorder="1" applyAlignment="1">
      <alignment horizontal="center" vertical="center"/>
    </xf>
    <xf numFmtId="0" fontId="0" fillId="35" borderId="0" xfId="0" applyFill="1" applyAlignment="1">
      <alignment horizontal="center"/>
    </xf>
    <xf numFmtId="0" fontId="88" fillId="0" borderId="182" xfId="0" applyFont="1" applyBorder="1" applyAlignment="1">
      <alignment horizontal="center"/>
    </xf>
    <xf numFmtId="0" fontId="233" fillId="0" borderId="183" xfId="0" applyFont="1" applyBorder="1" applyAlignment="1">
      <alignment horizontal="center"/>
    </xf>
    <xf numFmtId="0" fontId="233" fillId="0" borderId="184" xfId="0" applyFont="1" applyBorder="1" applyAlignment="1">
      <alignment horizontal="center"/>
    </xf>
    <xf numFmtId="0" fontId="218" fillId="2" borderId="131" xfId="0" applyFont="1" applyFill="1" applyBorder="1" applyAlignment="1" applyProtection="1">
      <alignment horizontal="center" vertical="center"/>
      <protection hidden="1"/>
    </xf>
    <xf numFmtId="0" fontId="218" fillId="2" borderId="115" xfId="0" applyFont="1" applyFill="1" applyBorder="1" applyAlignment="1" applyProtection="1">
      <alignment horizontal="center" vertical="center"/>
      <protection hidden="1"/>
    </xf>
    <xf numFmtId="0" fontId="437" fillId="56" borderId="0" xfId="0" applyFont="1" applyFill="1" applyAlignment="1">
      <alignment horizontal="center" vertical="center"/>
    </xf>
    <xf numFmtId="0" fontId="350" fillId="33" borderId="321" xfId="0" applyFont="1" applyFill="1" applyBorder="1" applyAlignment="1">
      <alignment horizontal="center" vertical="center"/>
    </xf>
    <xf numFmtId="0" fontId="233" fillId="0" borderId="12" xfId="0" applyFont="1" applyBorder="1" applyAlignment="1">
      <alignment horizontal="center" vertical="center"/>
    </xf>
    <xf numFmtId="0" fontId="273" fillId="0" borderId="12" xfId="0" applyFont="1" applyBorder="1" applyAlignment="1">
      <alignment horizontal="center" vertical="center"/>
    </xf>
    <xf numFmtId="0" fontId="438" fillId="45" borderId="321" xfId="0" applyFont="1" applyFill="1" applyBorder="1" applyAlignment="1">
      <alignment horizontal="center" vertical="center"/>
    </xf>
    <xf numFmtId="0" fontId="438" fillId="51" borderId="321" xfId="0" applyFont="1" applyFill="1" applyBorder="1" applyAlignment="1">
      <alignment horizontal="center" vertical="center"/>
    </xf>
    <xf numFmtId="0" fontId="350" fillId="41" borderId="321" xfId="0" applyFont="1" applyFill="1" applyBorder="1" applyAlignment="1">
      <alignment horizontal="center" vertical="center"/>
    </xf>
    <xf numFmtId="0" fontId="428" fillId="33" borderId="260" xfId="0" applyFont="1" applyFill="1" applyBorder="1" applyAlignment="1">
      <alignment horizontal="center" vertical="center"/>
    </xf>
    <xf numFmtId="0" fontId="271" fillId="6" borderId="110" xfId="0" applyFont="1" applyFill="1" applyBorder="1" applyAlignment="1">
      <alignment horizontal="center" vertical="center"/>
    </xf>
    <xf numFmtId="0" fontId="271" fillId="6" borderId="111" xfId="0" applyFont="1" applyFill="1" applyBorder="1" applyAlignment="1">
      <alignment horizontal="center" vertical="center"/>
    </xf>
    <xf numFmtId="0" fontId="271" fillId="6" borderId="135" xfId="0" applyFont="1" applyFill="1" applyBorder="1" applyAlignment="1">
      <alignment horizontal="center" vertical="center"/>
    </xf>
    <xf numFmtId="0" fontId="271" fillId="6" borderId="112" xfId="0" applyFont="1" applyFill="1" applyBorder="1" applyAlignment="1">
      <alignment horizontal="center" vertical="center"/>
    </xf>
    <xf numFmtId="0" fontId="271" fillId="6" borderId="113" xfId="0" applyFont="1" applyFill="1" applyBorder="1" applyAlignment="1">
      <alignment horizontal="center" vertical="center"/>
    </xf>
    <xf numFmtId="0" fontId="271" fillId="6" borderId="114" xfId="0" applyFont="1" applyFill="1" applyBorder="1" applyAlignment="1">
      <alignment horizontal="center" vertical="center"/>
    </xf>
    <xf numFmtId="0" fontId="218" fillId="2" borderId="115" xfId="0" applyFont="1" applyFill="1" applyBorder="1" applyAlignment="1" applyProtection="1">
      <alignment horizontal="center" vertical="center" wrapText="1"/>
      <protection hidden="1"/>
    </xf>
    <xf numFmtId="0" fontId="218" fillId="2" borderId="116" xfId="0" applyFont="1" applyFill="1" applyBorder="1" applyAlignment="1" applyProtection="1">
      <alignment horizontal="center" vertical="center" wrapText="1"/>
      <protection hidden="1"/>
    </xf>
    <xf numFmtId="0" fontId="428" fillId="33" borderId="259" xfId="0" applyFont="1" applyFill="1" applyBorder="1" applyAlignment="1">
      <alignment horizontal="center" vertical="center"/>
    </xf>
    <xf numFmtId="0" fontId="437" fillId="39" borderId="81" xfId="0" applyFont="1" applyFill="1" applyBorder="1" applyAlignment="1">
      <alignment horizontal="center" vertical="center"/>
    </xf>
    <xf numFmtId="0" fontId="55" fillId="81" borderId="298" xfId="0" applyFont="1" applyFill="1" applyBorder="1" applyAlignment="1">
      <alignment horizontal="center" vertical="center"/>
    </xf>
    <xf numFmtId="0" fontId="350" fillId="45" borderId="321" xfId="0" applyFont="1" applyFill="1" applyBorder="1" applyAlignment="1">
      <alignment horizontal="center" vertical="center"/>
    </xf>
    <xf numFmtId="0" fontId="438" fillId="85" borderId="321" xfId="0" applyFont="1" applyFill="1" applyBorder="1" applyAlignment="1">
      <alignment horizontal="center" vertical="center"/>
    </xf>
    <xf numFmtId="0" fontId="245" fillId="4" borderId="113" xfId="0" applyFont="1" applyFill="1" applyBorder="1" applyAlignment="1">
      <alignment horizontal="center" vertical="center"/>
    </xf>
    <xf numFmtId="0" fontId="306" fillId="4" borderId="115" xfId="0" applyFont="1" applyFill="1" applyBorder="1" applyAlignment="1">
      <alignment horizontal="center" vertical="center"/>
    </xf>
    <xf numFmtId="0" fontId="306" fillId="4" borderId="116" xfId="0" applyFont="1" applyFill="1" applyBorder="1" applyAlignment="1">
      <alignment horizontal="center" vertical="center"/>
    </xf>
    <xf numFmtId="0" fontId="299" fillId="7" borderId="111" xfId="0" applyFont="1" applyFill="1" applyBorder="1" applyAlignment="1">
      <alignment horizontal="center"/>
    </xf>
    <xf numFmtId="0" fontId="299" fillId="7" borderId="135" xfId="0" applyFont="1" applyFill="1" applyBorder="1" applyAlignment="1">
      <alignment horizontal="center"/>
    </xf>
    <xf numFmtId="0" fontId="245" fillId="4" borderId="115" xfId="0" applyFont="1" applyFill="1" applyBorder="1" applyAlignment="1">
      <alignment horizontal="center" vertical="center"/>
    </xf>
    <xf numFmtId="0" fontId="245" fillId="4" borderId="116" xfId="0" applyFont="1" applyFill="1" applyBorder="1" applyAlignment="1">
      <alignment horizontal="center" vertical="center"/>
    </xf>
    <xf numFmtId="0" fontId="245" fillId="4" borderId="134" xfId="0" applyFont="1" applyFill="1" applyBorder="1" applyAlignment="1">
      <alignment horizontal="center" vertical="center"/>
    </xf>
    <xf numFmtId="3" fontId="266" fillId="4" borderId="115" xfId="0" applyNumberFormat="1" applyFont="1" applyFill="1" applyBorder="1" applyAlignment="1" applyProtection="1">
      <alignment horizontal="center" vertical="center"/>
      <protection hidden="1"/>
    </xf>
    <xf numFmtId="0" fontId="266" fillId="4" borderId="116" xfId="0" applyFont="1" applyFill="1" applyBorder="1" applyAlignment="1" applyProtection="1">
      <alignment horizontal="center" vertical="center"/>
      <protection hidden="1"/>
    </xf>
    <xf numFmtId="0" fontId="306" fillId="2" borderId="131" xfId="0" applyFont="1" applyFill="1" applyBorder="1" applyAlignment="1" applyProtection="1">
      <alignment horizontal="center" vertical="center"/>
      <protection hidden="1"/>
    </xf>
    <xf numFmtId="0" fontId="306" fillId="2" borderId="115" xfId="0" applyFont="1" applyFill="1" applyBorder="1" applyAlignment="1" applyProtection="1">
      <alignment horizontal="center" vertical="center"/>
      <protection hidden="1"/>
    </xf>
    <xf numFmtId="0" fontId="296" fillId="2" borderId="131" xfId="0" applyFont="1" applyFill="1" applyBorder="1" applyAlignment="1">
      <alignment horizontal="center"/>
    </xf>
    <xf numFmtId="0" fontId="245" fillId="2" borderId="131" xfId="0" applyFont="1" applyFill="1" applyBorder="1" applyAlignment="1">
      <alignment horizontal="center"/>
    </xf>
    <xf numFmtId="0" fontId="428" fillId="31" borderId="261" xfId="0" applyFont="1" applyFill="1" applyBorder="1" applyAlignment="1">
      <alignment horizontal="center" vertical="center"/>
    </xf>
    <xf numFmtId="0" fontId="428" fillId="31" borderId="260" xfId="0" applyFont="1" applyFill="1" applyBorder="1" applyAlignment="1">
      <alignment horizontal="center" vertical="center"/>
    </xf>
    <xf numFmtId="0" fontId="321" fillId="39" borderId="0" xfId="0" applyFont="1" applyFill="1" applyAlignment="1">
      <alignment horizontal="center" vertical="center"/>
    </xf>
    <xf numFmtId="0" fontId="322" fillId="45" borderId="0" xfId="0" applyFont="1" applyFill="1" applyAlignment="1">
      <alignment horizontal="center" vertical="center"/>
    </xf>
    <xf numFmtId="0" fontId="55" fillId="86" borderId="321" xfId="0" applyFont="1" applyFill="1" applyBorder="1" applyAlignment="1">
      <alignment horizontal="center" vertical="center"/>
    </xf>
    <xf numFmtId="0" fontId="437" fillId="39" borderId="0" xfId="0" applyFont="1" applyFill="1" applyAlignment="1">
      <alignment horizontal="center" vertical="center"/>
    </xf>
    <xf numFmtId="0" fontId="428" fillId="31" borderId="137" xfId="0" applyFont="1" applyFill="1" applyBorder="1" applyAlignment="1">
      <alignment horizontal="center" vertical="center"/>
    </xf>
    <xf numFmtId="0" fontId="428" fillId="31" borderId="121" xfId="0" applyFont="1" applyFill="1" applyBorder="1" applyAlignment="1">
      <alignment horizontal="center" vertical="center"/>
    </xf>
    <xf numFmtId="0" fontId="437" fillId="39" borderId="185" xfId="0" applyFont="1" applyFill="1" applyBorder="1" applyAlignment="1">
      <alignment horizontal="center" vertical="center"/>
    </xf>
    <xf numFmtId="0" fontId="55" fillId="86" borderId="186" xfId="0" applyFont="1" applyFill="1" applyBorder="1" applyAlignment="1">
      <alignment horizontal="center" vertical="center"/>
    </xf>
    <xf numFmtId="0" fontId="55" fillId="86" borderId="187" xfId="0" applyFont="1" applyFill="1" applyBorder="1" applyAlignment="1">
      <alignment horizontal="center" vertical="center"/>
    </xf>
    <xf numFmtId="0" fontId="321" fillId="37" borderId="487" xfId="0" applyFont="1" applyFill="1" applyBorder="1" applyAlignment="1">
      <alignment horizontal="center" vertical="center"/>
    </xf>
    <xf numFmtId="0" fontId="321" fillId="37" borderId="488" xfId="0" applyFont="1" applyFill="1" applyBorder="1" applyAlignment="1">
      <alignment horizontal="center" vertical="center"/>
    </xf>
    <xf numFmtId="0" fontId="321" fillId="37" borderId="489" xfId="0" applyFont="1" applyFill="1" applyBorder="1" applyAlignment="1">
      <alignment horizontal="center" vertical="center"/>
    </xf>
    <xf numFmtId="0" fontId="438" fillId="58" borderId="0" xfId="0" applyFont="1" applyFill="1" applyAlignment="1">
      <alignment horizontal="center" vertical="center"/>
    </xf>
    <xf numFmtId="0" fontId="323" fillId="0" borderId="0" xfId="0" applyFont="1" applyAlignment="1">
      <alignment horizontal="center" vertical="center" wrapText="1"/>
    </xf>
    <xf numFmtId="0" fontId="322" fillId="0" borderId="0" xfId="0" applyFont="1" applyAlignment="1">
      <alignment horizontal="center" vertical="center" wrapText="1"/>
    </xf>
    <xf numFmtId="0" fontId="88" fillId="42" borderId="0" xfId="0" applyFont="1" applyFill="1" applyAlignment="1">
      <alignment horizontal="center"/>
    </xf>
    <xf numFmtId="0" fontId="233" fillId="42" borderId="0" xfId="0" applyFont="1" applyFill="1" applyAlignment="1">
      <alignment horizontal="center"/>
    </xf>
    <xf numFmtId="0" fontId="126" fillId="33" borderId="0" xfId="0" applyFont="1" applyFill="1" applyAlignment="1">
      <alignment horizontal="center"/>
    </xf>
    <xf numFmtId="0" fontId="218" fillId="33" borderId="0" xfId="0" applyFont="1" applyFill="1" applyAlignment="1">
      <alignment horizontal="center"/>
    </xf>
    <xf numFmtId="0" fontId="210" fillId="4" borderId="0" xfId="0" applyFont="1" applyFill="1" applyAlignment="1">
      <alignment horizontal="center" vertical="center"/>
    </xf>
    <xf numFmtId="0" fontId="210" fillId="4" borderId="352" xfId="0" applyFont="1" applyFill="1" applyBorder="1" applyAlignment="1">
      <alignment horizontal="center" vertical="center"/>
    </xf>
    <xf numFmtId="0" fontId="322" fillId="33" borderId="354" xfId="0" applyFont="1" applyFill="1" applyBorder="1" applyAlignment="1">
      <alignment horizontal="center" vertical="center"/>
    </xf>
    <xf numFmtId="0" fontId="47" fillId="7" borderId="550" xfId="0" applyFont="1" applyFill="1" applyBorder="1" applyAlignment="1">
      <alignment horizontal="left" vertical="center" wrapText="1"/>
    </xf>
    <xf numFmtId="0" fontId="323" fillId="45" borderId="550" xfId="0" applyFont="1" applyFill="1" applyBorder="1" applyAlignment="1">
      <alignment horizontal="left" vertical="center" wrapText="1"/>
    </xf>
    <xf numFmtId="0" fontId="3" fillId="37" borderId="0" xfId="0" applyFont="1" applyFill="1" applyAlignment="1">
      <alignment horizontal="left" vertical="center" wrapText="1"/>
    </xf>
    <xf numFmtId="0" fontId="3" fillId="37" borderId="630" xfId="0" applyFont="1" applyFill="1" applyBorder="1" applyAlignment="1">
      <alignment horizontal="left" vertical="center" wrapText="1"/>
    </xf>
    <xf numFmtId="0" fontId="335" fillId="83" borderId="0" xfId="0" applyFont="1" applyFill="1" applyAlignment="1">
      <alignment horizontal="left" vertical="center" wrapText="1"/>
    </xf>
    <xf numFmtId="0" fontId="335" fillId="83" borderId="630" xfId="0" applyFont="1" applyFill="1" applyBorder="1" applyAlignment="1">
      <alignment horizontal="left" vertical="center" wrapText="1"/>
    </xf>
    <xf numFmtId="0" fontId="322" fillId="33" borderId="550" xfId="0" applyFont="1" applyFill="1" applyBorder="1" applyAlignment="1">
      <alignment horizontal="left" vertical="center" wrapText="1"/>
    </xf>
    <xf numFmtId="0" fontId="323" fillId="32" borderId="597" xfId="0" applyFont="1" applyFill="1" applyBorder="1" applyAlignment="1">
      <alignment horizontal="center" vertical="center" wrapText="1"/>
    </xf>
    <xf numFmtId="0" fontId="323" fillId="32" borderId="596" xfId="0" applyFont="1" applyFill="1" applyBorder="1" applyAlignment="1">
      <alignment horizontal="center" vertical="center" wrapText="1"/>
    </xf>
    <xf numFmtId="0" fontId="323" fillId="32" borderId="566" xfId="0" applyFont="1" applyFill="1" applyBorder="1" applyAlignment="1">
      <alignment horizontal="center" vertical="center" wrapText="1"/>
    </xf>
    <xf numFmtId="0" fontId="4" fillId="35" borderId="550" xfId="0" applyFont="1" applyFill="1" applyBorder="1" applyAlignment="1">
      <alignment horizontal="left" vertical="center" wrapText="1"/>
    </xf>
    <xf numFmtId="0" fontId="323" fillId="77" borderId="260" xfId="0" applyFont="1" applyFill="1" applyBorder="1" applyAlignment="1">
      <alignment horizontal="left" vertical="center" wrapText="1"/>
    </xf>
    <xf numFmtId="0" fontId="321" fillId="0" borderId="520" xfId="0" applyFont="1" applyBorder="1" applyAlignment="1">
      <alignment horizontal="center" vertical="center"/>
    </xf>
    <xf numFmtId="0" fontId="321" fillId="0" borderId="551" xfId="0" applyFont="1" applyBorder="1" applyAlignment="1">
      <alignment horizontal="center" vertical="center"/>
    </xf>
    <xf numFmtId="0" fontId="321" fillId="0" borderId="491" xfId="0" applyFont="1" applyBorder="1" applyAlignment="1">
      <alignment horizontal="center" vertical="center"/>
    </xf>
    <xf numFmtId="0" fontId="321" fillId="0" borderId="552" xfId="0" applyFont="1" applyBorder="1" applyAlignment="1">
      <alignment horizontal="center" vertical="center"/>
    </xf>
    <xf numFmtId="0" fontId="323" fillId="32" borderId="0" xfId="0" applyFont="1" applyFill="1" applyAlignment="1">
      <alignment horizontal="center" vertical="center"/>
    </xf>
    <xf numFmtId="166" fontId="328" fillId="0" borderId="18" xfId="0" applyNumberFormat="1" applyFont="1" applyBorder="1" applyAlignment="1">
      <alignment horizontal="center" vertical="center" wrapText="1"/>
    </xf>
    <xf numFmtId="166" fontId="328" fillId="0" borderId="260" xfId="0" applyNumberFormat="1" applyFont="1" applyBorder="1" applyAlignment="1">
      <alignment horizontal="center" vertical="center" wrapText="1"/>
    </xf>
    <xf numFmtId="166" fontId="328" fillId="0" borderId="262" xfId="0" applyNumberFormat="1" applyFont="1" applyBorder="1" applyAlignment="1">
      <alignment horizontal="center" vertical="center" wrapText="1"/>
    </xf>
    <xf numFmtId="166" fontId="328" fillId="0" borderId="598" xfId="0" applyNumberFormat="1" applyFont="1" applyBorder="1" applyAlignment="1">
      <alignment horizontal="center" vertical="center" wrapText="1"/>
    </xf>
    <xf numFmtId="166" fontId="328" fillId="0" borderId="187" xfId="0" applyNumberFormat="1" applyFont="1" applyBorder="1" applyAlignment="1">
      <alignment horizontal="center" vertical="center" wrapText="1"/>
    </xf>
    <xf numFmtId="166" fontId="328" fillId="0" borderId="354" xfId="0" applyNumberFormat="1" applyFont="1" applyBorder="1" applyAlignment="1">
      <alignment horizontal="center" vertical="center" wrapText="1"/>
    </xf>
    <xf numFmtId="0" fontId="218" fillId="6" borderId="187" xfId="0" applyFont="1" applyFill="1" applyBorder="1" applyAlignment="1">
      <alignment horizontal="center" vertical="center"/>
    </xf>
    <xf numFmtId="166" fontId="328" fillId="0" borderId="18" xfId="0" applyNumberFormat="1" applyFont="1" applyBorder="1" applyAlignment="1">
      <alignment horizontal="left" vertical="center" wrapText="1"/>
    </xf>
    <xf numFmtId="166" fontId="328" fillId="0" borderId="260" xfId="0" applyNumberFormat="1" applyFont="1" applyBorder="1" applyAlignment="1">
      <alignment horizontal="left" vertical="center" wrapText="1"/>
    </xf>
    <xf numFmtId="166" fontId="328" fillId="0" borderId="262" xfId="0" applyNumberFormat="1" applyFont="1" applyBorder="1" applyAlignment="1">
      <alignment horizontal="left" vertical="center" wrapText="1"/>
    </xf>
    <xf numFmtId="166" fontId="328" fillId="0" borderId="598" xfId="0" applyNumberFormat="1" applyFont="1" applyBorder="1" applyAlignment="1">
      <alignment horizontal="left" vertical="center" wrapText="1"/>
    </xf>
    <xf numFmtId="166" fontId="328" fillId="0" borderId="187" xfId="0" applyNumberFormat="1" applyFont="1" applyBorder="1" applyAlignment="1">
      <alignment horizontal="left" vertical="center" wrapText="1"/>
    </xf>
    <xf numFmtId="166" fontId="328" fillId="0" borderId="354" xfId="0" applyNumberFormat="1" applyFont="1" applyBorder="1" applyAlignment="1">
      <alignment horizontal="left" vertical="center" wrapText="1"/>
    </xf>
    <xf numFmtId="0" fontId="126" fillId="16" borderId="0" xfId="0" applyFont="1" applyFill="1" applyAlignment="1">
      <alignment horizontal="right" vertical="center"/>
    </xf>
    <xf numFmtId="0" fontId="88" fillId="22" borderId="597" xfId="0" applyFont="1" applyFill="1" applyBorder="1" applyAlignment="1">
      <alignment horizontal="center" vertical="center"/>
    </xf>
    <xf numFmtId="0" fontId="88" fillId="22" borderId="596" xfId="0" applyFont="1" applyFill="1" applyBorder="1" applyAlignment="1">
      <alignment horizontal="center" vertical="center"/>
    </xf>
    <xf numFmtId="0" fontId="88" fillId="22" borderId="566" xfId="0" applyFont="1" applyFill="1" applyBorder="1" applyAlignment="1">
      <alignment horizontal="center" vertical="center"/>
    </xf>
    <xf numFmtId="0" fontId="126" fillId="6" borderId="598" xfId="0" applyFont="1" applyFill="1" applyBorder="1" applyAlignment="1">
      <alignment horizontal="center" vertical="center"/>
    </xf>
    <xf numFmtId="0" fontId="126" fillId="6" borderId="187" xfId="0" applyFont="1" applyFill="1" applyBorder="1" applyAlignment="1">
      <alignment horizontal="center" vertical="center"/>
    </xf>
    <xf numFmtId="0" fontId="126" fillId="6" borderId="354" xfId="0" applyFont="1" applyFill="1" applyBorder="1" applyAlignment="1">
      <alignment horizontal="center" vertical="center"/>
    </xf>
    <xf numFmtId="0" fontId="336" fillId="0" borderId="0" xfId="0" applyFont="1" applyAlignment="1">
      <alignment horizontal="center" vertical="center" wrapText="1"/>
    </xf>
    <xf numFmtId="0" fontId="335" fillId="35" borderId="550" xfId="0" applyFont="1" applyFill="1" applyBorder="1" applyAlignment="1">
      <alignment horizontal="center" vertical="center"/>
    </xf>
    <xf numFmtId="0" fontId="337" fillId="50" borderId="597" xfId="0" applyFont="1" applyFill="1" applyBorder="1" applyAlignment="1">
      <alignment horizontal="left" vertical="center" wrapText="1"/>
    </xf>
    <xf numFmtId="0" fontId="337" fillId="50" borderId="596" xfId="0" applyFont="1" applyFill="1" applyBorder="1" applyAlignment="1">
      <alignment horizontal="left" vertical="center" wrapText="1"/>
    </xf>
    <xf numFmtId="0" fontId="337" fillId="50" borderId="566" xfId="0" applyFont="1" applyFill="1" applyBorder="1" applyAlignment="1">
      <alignment horizontal="left" vertical="center" wrapText="1"/>
    </xf>
    <xf numFmtId="0" fontId="328" fillId="50" borderId="597" xfId="0" applyFont="1" applyFill="1" applyBorder="1" applyAlignment="1">
      <alignment horizontal="center" vertical="center"/>
    </xf>
    <xf numFmtId="0" fontId="328" fillId="50" borderId="596" xfId="0" applyFont="1" applyFill="1" applyBorder="1" applyAlignment="1">
      <alignment horizontal="center" vertical="center"/>
    </xf>
    <xf numFmtId="0" fontId="328" fillId="50" borderId="566" xfId="0" applyFont="1" applyFill="1" applyBorder="1" applyAlignment="1">
      <alignment horizontal="center" vertical="center"/>
    </xf>
    <xf numFmtId="0" fontId="328" fillId="0" borderId="550" xfId="0" applyFont="1" applyBorder="1" applyAlignment="1">
      <alignment horizontal="left"/>
    </xf>
    <xf numFmtId="0" fontId="332" fillId="32" borderId="0" xfId="0" applyFont="1" applyFill="1" applyAlignment="1">
      <alignment horizontal="center" vertical="center"/>
    </xf>
    <xf numFmtId="0" fontId="228" fillId="4" borderId="187" xfId="0" applyFont="1" applyFill="1" applyBorder="1" applyAlignment="1">
      <alignment horizontal="center" vertical="center"/>
    </xf>
    <xf numFmtId="0" fontId="229" fillId="4" borderId="187" xfId="0" applyFont="1" applyFill="1" applyBorder="1" applyAlignment="1">
      <alignment horizontal="center" vertical="center"/>
    </xf>
    <xf numFmtId="0" fontId="325" fillId="0" borderId="650" xfId="0" applyFont="1" applyBorder="1" applyAlignment="1">
      <alignment horizontal="center" vertical="center"/>
    </xf>
    <xf numFmtId="0" fontId="325" fillId="0" borderId="651" xfId="0" applyFont="1" applyBorder="1" applyAlignment="1">
      <alignment horizontal="center" vertical="center"/>
    </xf>
    <xf numFmtId="0" fontId="322" fillId="32" borderId="0" xfId="0" applyFont="1" applyFill="1" applyAlignment="1">
      <alignment horizontal="center" vertical="center" wrapText="1"/>
    </xf>
    <xf numFmtId="0" fontId="328" fillId="0" borderId="550" xfId="0" applyFont="1" applyBorder="1" applyAlignment="1">
      <alignment horizontal="left" vertical="center"/>
    </xf>
    <xf numFmtId="0" fontId="325" fillId="0" borderId="550" xfId="0" applyFont="1" applyBorder="1" applyAlignment="1">
      <alignment horizontal="center" vertical="center"/>
    </xf>
    <xf numFmtId="0" fontId="0" fillId="0" borderId="691" xfId="0" applyBorder="1" applyAlignment="1">
      <alignment horizontal="center"/>
    </xf>
    <xf numFmtId="0" fontId="0" fillId="0" borderId="213" xfId="0" applyBorder="1" applyAlignment="1">
      <alignment horizontal="center"/>
    </xf>
    <xf numFmtId="0" fontId="0" fillId="0" borderId="694" xfId="0" applyBorder="1" applyAlignment="1">
      <alignment horizontal="center"/>
    </xf>
    <xf numFmtId="0" fontId="328" fillId="0" borderId="691" xfId="0" applyFont="1" applyBorder="1" applyAlignment="1">
      <alignment horizontal="center" vertical="center"/>
    </xf>
    <xf numFmtId="0" fontId="328" fillId="0" borderId="694" xfId="0" applyFont="1" applyBorder="1" applyAlignment="1">
      <alignment horizontal="center" vertical="center"/>
    </xf>
    <xf numFmtId="3" fontId="172" fillId="2" borderId="0" xfId="0" applyNumberFormat="1" applyFont="1" applyFill="1" applyAlignment="1" applyProtection="1">
      <alignment horizontal="center"/>
      <protection hidden="1"/>
    </xf>
    <xf numFmtId="0" fontId="172" fillId="2" borderId="0" xfId="0" applyFont="1" applyFill="1" applyAlignment="1" applyProtection="1">
      <alignment horizontal="center"/>
      <protection hidden="1"/>
    </xf>
    <xf numFmtId="0" fontId="178" fillId="2" borderId="0" xfId="0" applyFont="1" applyFill="1" applyAlignment="1" applyProtection="1">
      <alignment horizontal="center"/>
      <protection hidden="1"/>
    </xf>
    <xf numFmtId="0" fontId="28" fillId="50" borderId="39" xfId="0" applyFont="1" applyFill="1" applyBorder="1" applyAlignment="1" applyProtection="1">
      <alignment horizontal="center" vertical="center" wrapText="1"/>
      <protection hidden="1"/>
    </xf>
    <xf numFmtId="0" fontId="28" fillId="50" borderId="5" xfId="0" applyFont="1" applyFill="1" applyBorder="1" applyAlignment="1" applyProtection="1">
      <alignment horizontal="center" vertical="center" wrapText="1"/>
      <protection hidden="1"/>
    </xf>
    <xf numFmtId="0" fontId="26" fillId="2" borderId="0" xfId="0" applyFont="1" applyFill="1" applyAlignment="1" applyProtection="1">
      <alignment horizontal="left" vertical="center" wrapText="1"/>
      <protection hidden="1"/>
    </xf>
    <xf numFmtId="0" fontId="29" fillId="2" borderId="0" xfId="0" applyFont="1" applyFill="1" applyAlignment="1" applyProtection="1">
      <alignment horizontal="right"/>
      <protection hidden="1"/>
    </xf>
    <xf numFmtId="0" fontId="30" fillId="2" borderId="0" xfId="3" applyFont="1" applyFill="1" applyBorder="1" applyAlignment="1" applyProtection="1">
      <alignment horizontal="left"/>
      <protection hidden="1"/>
    </xf>
    <xf numFmtId="0" fontId="31" fillId="2" borderId="0" xfId="3" applyFont="1" applyFill="1" applyBorder="1" applyAlignment="1" applyProtection="1">
      <alignment horizontal="left"/>
      <protection hidden="1"/>
    </xf>
    <xf numFmtId="0" fontId="197" fillId="2" borderId="119" xfId="0" applyFont="1" applyFill="1" applyBorder="1" applyAlignment="1" applyProtection="1">
      <alignment horizontal="center"/>
      <protection hidden="1"/>
    </xf>
    <xf numFmtId="3" fontId="2" fillId="2" borderId="0" xfId="0" applyNumberFormat="1" applyFont="1" applyFill="1" applyAlignment="1" applyProtection="1">
      <alignment horizontal="left" vertical="center"/>
      <protection hidden="1"/>
    </xf>
    <xf numFmtId="3" fontId="2" fillId="2" borderId="0" xfId="0" applyNumberFormat="1" applyFont="1" applyFill="1" applyAlignment="1" applyProtection="1">
      <alignment horizontal="center" vertical="center"/>
      <protection hidden="1"/>
    </xf>
    <xf numFmtId="0" fontId="197" fillId="2" borderId="250" xfId="0" applyFont="1" applyFill="1" applyBorder="1" applyAlignment="1" applyProtection="1">
      <alignment horizontal="center"/>
      <protection hidden="1"/>
    </xf>
    <xf numFmtId="0" fontId="197" fillId="2" borderId="253" xfId="0" applyFont="1" applyFill="1" applyBorder="1" applyAlignment="1" applyProtection="1">
      <alignment horizontal="center"/>
      <protection hidden="1"/>
    </xf>
    <xf numFmtId="0" fontId="197" fillId="2" borderId="249" xfId="0" applyFont="1" applyFill="1" applyBorder="1" applyAlignment="1" applyProtection="1">
      <alignment horizontal="center"/>
      <protection hidden="1"/>
    </xf>
    <xf numFmtId="0" fontId="178" fillId="2" borderId="0" xfId="0" applyFont="1" applyFill="1" applyAlignment="1" applyProtection="1">
      <alignment horizontal="right"/>
      <protection hidden="1"/>
    </xf>
    <xf numFmtId="0" fontId="1" fillId="50" borderId="0" xfId="0" applyFont="1" applyFill="1" applyAlignment="1" applyProtection="1">
      <alignment horizontal="center" wrapText="1"/>
      <protection hidden="1"/>
    </xf>
    <xf numFmtId="0" fontId="1" fillId="50" borderId="502" xfId="0" applyFont="1" applyFill="1" applyBorder="1" applyAlignment="1" applyProtection="1">
      <alignment horizontal="center" vertical="center"/>
      <protection hidden="1"/>
    </xf>
    <xf numFmtId="0" fontId="1" fillId="50" borderId="503" xfId="0" applyFont="1" applyFill="1" applyBorder="1" applyAlignment="1" applyProtection="1">
      <alignment horizontal="center" vertical="center"/>
      <protection hidden="1"/>
    </xf>
    <xf numFmtId="0" fontId="1" fillId="12" borderId="501" xfId="0" applyFont="1" applyFill="1" applyBorder="1" applyAlignment="1" applyProtection="1">
      <alignment horizontal="center" wrapText="1"/>
      <protection hidden="1"/>
    </xf>
    <xf numFmtId="0" fontId="412" fillId="0" borderId="501" xfId="0" applyFont="1" applyBorder="1" applyAlignment="1" applyProtection="1">
      <alignment horizontal="center"/>
      <protection hidden="1"/>
    </xf>
    <xf numFmtId="0" fontId="412" fillId="0" borderId="504" xfId="0" applyFont="1" applyBorder="1" applyAlignment="1" applyProtection="1">
      <alignment horizontal="center"/>
      <protection hidden="1"/>
    </xf>
    <xf numFmtId="0" fontId="6" fillId="0" borderId="261" xfId="0" applyFont="1" applyBorder="1" applyAlignment="1" applyProtection="1">
      <alignment horizontal="center"/>
      <protection hidden="1"/>
    </xf>
    <xf numFmtId="0" fontId="6" fillId="0" borderId="495" xfId="0" applyFont="1" applyBorder="1" applyAlignment="1" applyProtection="1">
      <alignment horizontal="center"/>
      <protection hidden="1"/>
    </xf>
    <xf numFmtId="0" fontId="6" fillId="0" borderId="185" xfId="0" applyFont="1" applyBorder="1" applyAlignment="1" applyProtection="1">
      <alignment horizontal="center"/>
      <protection hidden="1"/>
    </xf>
    <xf numFmtId="0" fontId="6" fillId="0" borderId="4" xfId="0" applyFont="1" applyBorder="1" applyAlignment="1" applyProtection="1">
      <alignment horizontal="center"/>
      <protection hidden="1"/>
    </xf>
    <xf numFmtId="0" fontId="469" fillId="0" borderId="18" xfId="0" applyFont="1" applyBorder="1" applyAlignment="1" applyProtection="1">
      <alignment horizontal="center" vertical="center" wrapText="1"/>
      <protection hidden="1"/>
    </xf>
    <xf numFmtId="0" fontId="469" fillId="0" borderId="260" xfId="0" applyFont="1" applyBorder="1" applyAlignment="1" applyProtection="1">
      <alignment horizontal="center" vertical="center" wrapText="1"/>
      <protection hidden="1"/>
    </xf>
    <xf numFmtId="0" fontId="469" fillId="0" borderId="262" xfId="0" applyFont="1" applyBorder="1" applyAlignment="1" applyProtection="1">
      <alignment horizontal="center" vertical="center" wrapText="1"/>
      <protection hidden="1"/>
    </xf>
    <xf numFmtId="0" fontId="469" fillId="0" borderId="661" xfId="0" applyFont="1" applyBorder="1" applyAlignment="1" applyProtection="1">
      <alignment horizontal="center" vertical="center" wrapText="1"/>
      <protection hidden="1"/>
    </xf>
    <xf numFmtId="0" fontId="469" fillId="0" borderId="0" xfId="0" applyFont="1" applyAlignment="1" applyProtection="1">
      <alignment horizontal="center" vertical="center" wrapText="1"/>
      <protection hidden="1"/>
    </xf>
    <xf numFmtId="0" fontId="469" fillId="0" borderId="630" xfId="0" applyFont="1" applyBorder="1" applyAlignment="1" applyProtection="1">
      <alignment horizontal="center" vertical="center" wrapText="1"/>
      <protection hidden="1"/>
    </xf>
    <xf numFmtId="0" fontId="2" fillId="0" borderId="550" xfId="0" applyFont="1" applyBorder="1" applyAlignment="1" applyProtection="1">
      <alignment horizontal="center" vertical="center"/>
      <protection hidden="1"/>
    </xf>
    <xf numFmtId="0" fontId="2" fillId="0" borderId="321" xfId="0" applyFont="1" applyBorder="1" applyAlignment="1" applyProtection="1">
      <alignment horizontal="center" vertical="center"/>
      <protection hidden="1"/>
    </xf>
    <xf numFmtId="0" fontId="2" fillId="0" borderId="512" xfId="0" applyFont="1" applyBorder="1" applyAlignment="1" applyProtection="1">
      <alignment horizontal="center" vertical="center"/>
      <protection hidden="1"/>
    </xf>
    <xf numFmtId="0" fontId="1" fillId="0" borderId="321" xfId="0" applyFont="1" applyBorder="1" applyAlignment="1" applyProtection="1">
      <alignment vertical="center"/>
      <protection hidden="1"/>
    </xf>
    <xf numFmtId="0" fontId="21" fillId="0" borderId="352" xfId="0" applyFont="1" applyBorder="1" applyAlignment="1" applyProtection="1">
      <alignment horizontal="center" vertical="center"/>
      <protection hidden="1"/>
    </xf>
    <xf numFmtId="0" fontId="21" fillId="0" borderId="354" xfId="0" applyFont="1" applyBorder="1" applyAlignment="1" applyProtection="1">
      <alignment horizontal="center" vertical="center"/>
      <protection hidden="1"/>
    </xf>
    <xf numFmtId="0" fontId="1" fillId="0" borderId="183" xfId="0" applyFont="1" applyBorder="1" applyAlignment="1" applyProtection="1">
      <alignment horizontal="center" vertical="center"/>
      <protection hidden="1"/>
    </xf>
    <xf numFmtId="0" fontId="1" fillId="0" borderId="493" xfId="0" applyFont="1" applyBorder="1" applyAlignment="1" applyProtection="1">
      <alignment horizontal="center" vertical="center"/>
      <protection hidden="1"/>
    </xf>
    <xf numFmtId="0" fontId="1" fillId="0" borderId="321" xfId="0" applyFont="1" applyBorder="1" applyAlignment="1" applyProtection="1">
      <alignment horizontal="center" vertical="center"/>
      <protection hidden="1"/>
    </xf>
    <xf numFmtId="0" fontId="218" fillId="2" borderId="131" xfId="0" applyFont="1" applyFill="1" applyBorder="1" applyAlignment="1" applyProtection="1">
      <alignment horizontal="center"/>
      <protection hidden="1"/>
    </xf>
    <xf numFmtId="0" fontId="1" fillId="50" borderId="185" xfId="0" applyFont="1" applyFill="1" applyBorder="1" applyAlignment="1" applyProtection="1">
      <alignment horizontal="left" vertical="center"/>
      <protection hidden="1"/>
    </xf>
    <xf numFmtId="0" fontId="1" fillId="50" borderId="0" xfId="0" applyFont="1" applyFill="1" applyAlignment="1" applyProtection="1">
      <alignment horizontal="left" vertical="center"/>
      <protection hidden="1"/>
    </xf>
    <xf numFmtId="0" fontId="2" fillId="0" borderId="321" xfId="0" applyFont="1" applyBorder="1" applyAlignment="1" applyProtection="1">
      <alignment horizontal="left" vertical="center"/>
      <protection hidden="1"/>
    </xf>
    <xf numFmtId="0" fontId="2" fillId="0" borderId="296" xfId="0" applyFont="1" applyBorder="1" applyAlignment="1" applyProtection="1">
      <alignment horizontal="center"/>
      <protection hidden="1"/>
    </xf>
    <xf numFmtId="0" fontId="2" fillId="0" borderId="512" xfId="0" applyFont="1" applyBorder="1" applyAlignment="1" applyProtection="1">
      <alignment horizontal="center"/>
      <protection hidden="1"/>
    </xf>
    <xf numFmtId="0" fontId="1" fillId="0" borderId="296" xfId="0" applyFont="1" applyBorder="1" applyAlignment="1" applyProtection="1">
      <alignment horizontal="center" vertical="center"/>
      <protection hidden="1"/>
    </xf>
    <xf numFmtId="0" fontId="1" fillId="0" borderId="512" xfId="0" applyFont="1" applyBorder="1" applyAlignment="1" applyProtection="1">
      <alignment horizontal="center" vertical="center"/>
      <protection hidden="1"/>
    </xf>
    <xf numFmtId="0" fontId="2" fillId="12" borderId="321" xfId="0" applyFont="1" applyFill="1" applyBorder="1" applyAlignment="1" applyProtection="1">
      <alignment horizontal="center" vertical="center"/>
      <protection hidden="1"/>
    </xf>
    <xf numFmtId="0" fontId="2" fillId="12" borderId="512" xfId="0" applyFont="1" applyFill="1" applyBorder="1" applyAlignment="1" applyProtection="1">
      <alignment horizontal="center" vertical="center"/>
      <protection hidden="1"/>
    </xf>
    <xf numFmtId="0" fontId="1" fillId="0" borderId="321" xfId="0" applyFont="1" applyBorder="1" applyAlignment="1" applyProtection="1">
      <alignment horizontal="left" vertical="center"/>
      <protection hidden="1"/>
    </xf>
    <xf numFmtId="0" fontId="70" fillId="0" borderId="321" xfId="0" applyFont="1" applyBorder="1" applyAlignment="1" applyProtection="1">
      <alignment horizontal="center" vertical="center"/>
      <protection hidden="1"/>
    </xf>
    <xf numFmtId="0" fontId="302" fillId="2" borderId="131" xfId="0" applyFont="1" applyFill="1" applyBorder="1" applyAlignment="1">
      <alignment horizontal="left"/>
    </xf>
    <xf numFmtId="0" fontId="245" fillId="4" borderId="115" xfId="0" applyFont="1" applyFill="1" applyBorder="1" applyAlignment="1">
      <alignment horizontal="center"/>
    </xf>
    <xf numFmtId="0" fontId="245" fillId="4" borderId="116" xfId="0" applyFont="1" applyFill="1" applyBorder="1" applyAlignment="1">
      <alignment horizontal="center"/>
    </xf>
    <xf numFmtId="0" fontId="245" fillId="4" borderId="134" xfId="0" applyFont="1" applyFill="1" applyBorder="1" applyAlignment="1">
      <alignment horizontal="center"/>
    </xf>
    <xf numFmtId="3" fontId="266" fillId="4" borderId="115" xfId="0" applyNumberFormat="1" applyFont="1" applyFill="1" applyBorder="1" applyAlignment="1" applyProtection="1">
      <alignment horizontal="center"/>
      <protection hidden="1"/>
    </xf>
    <xf numFmtId="0" fontId="266" fillId="4" borderId="134" xfId="0" applyFont="1" applyFill="1" applyBorder="1" applyAlignment="1" applyProtection="1">
      <alignment horizontal="center"/>
      <protection hidden="1"/>
    </xf>
    <xf numFmtId="0" fontId="21" fillId="0" borderId="296" xfId="0" applyFont="1" applyBorder="1" applyAlignment="1" applyProtection="1">
      <alignment horizontal="center" vertical="center"/>
      <protection hidden="1"/>
    </xf>
    <xf numFmtId="0" fontId="21" fillId="0" borderId="512" xfId="0" applyFont="1" applyBorder="1" applyAlignment="1" applyProtection="1">
      <alignment horizontal="center" vertical="center"/>
      <protection hidden="1"/>
    </xf>
    <xf numFmtId="0" fontId="412" fillId="0" borderId="296" xfId="0" applyFont="1" applyBorder="1" applyAlignment="1" applyProtection="1">
      <alignment horizontal="center" vertical="center"/>
      <protection hidden="1"/>
    </xf>
    <xf numFmtId="0" fontId="412" fillId="0" borderId="512" xfId="0" applyFont="1" applyBorder="1" applyAlignment="1" applyProtection="1">
      <alignment horizontal="center" vertical="center"/>
      <protection hidden="1"/>
    </xf>
    <xf numFmtId="0" fontId="337" fillId="0" borderId="296" xfId="0" applyFont="1" applyBorder="1" applyAlignment="1" applyProtection="1">
      <alignment horizontal="center"/>
      <protection hidden="1"/>
    </xf>
    <xf numFmtId="0" fontId="337" fillId="0" borderId="512" xfId="0" applyFont="1" applyBorder="1" applyAlignment="1" applyProtection="1">
      <alignment horizontal="center"/>
      <protection hidden="1"/>
    </xf>
    <xf numFmtId="0" fontId="247" fillId="2" borderId="115" xfId="0" applyFont="1" applyFill="1" applyBorder="1" applyAlignment="1" applyProtection="1">
      <alignment horizontal="center" vertical="center" wrapText="1"/>
      <protection hidden="1"/>
    </xf>
    <xf numFmtId="0" fontId="247" fillId="2" borderId="134" xfId="0" applyFont="1" applyFill="1" applyBorder="1" applyAlignment="1" applyProtection="1">
      <alignment horizontal="center" vertical="center" wrapText="1"/>
      <protection hidden="1"/>
    </xf>
    <xf numFmtId="3" fontId="197" fillId="2" borderId="54" xfId="0" applyNumberFormat="1" applyFont="1" applyFill="1" applyBorder="1" applyAlignment="1" applyProtection="1">
      <alignment horizontal="left" vertical="top"/>
      <protection hidden="1"/>
    </xf>
    <xf numFmtId="3" fontId="197" fillId="2" borderId="56" xfId="0" applyNumberFormat="1" applyFont="1" applyFill="1" applyBorder="1" applyAlignment="1" applyProtection="1">
      <alignment horizontal="left" vertical="top"/>
      <protection hidden="1"/>
    </xf>
    <xf numFmtId="0" fontId="197" fillId="2" borderId="103" xfId="0" applyFont="1" applyFill="1" applyBorder="1" applyAlignment="1" applyProtection="1">
      <alignment horizontal="center" vertical="center"/>
      <protection hidden="1"/>
    </xf>
    <xf numFmtId="0" fontId="245" fillId="4" borderId="131" xfId="0" applyFont="1" applyFill="1" applyBorder="1" applyAlignment="1">
      <alignment horizontal="center"/>
    </xf>
    <xf numFmtId="0" fontId="2" fillId="0" borderId="185" xfId="0" applyFont="1" applyBorder="1" applyAlignment="1" applyProtection="1">
      <alignment horizontal="center" vertical="center"/>
      <protection hidden="1"/>
    </xf>
    <xf numFmtId="0" fontId="2" fillId="0" borderId="479" xfId="0" applyFont="1" applyBorder="1" applyAlignment="1" applyProtection="1">
      <alignment horizontal="center" vertical="center"/>
      <protection hidden="1"/>
    </xf>
    <xf numFmtId="0" fontId="2" fillId="0" borderId="209" xfId="0" applyFont="1" applyBorder="1" applyAlignment="1" applyProtection="1">
      <alignment horizontal="center" vertical="center"/>
      <protection hidden="1"/>
    </xf>
    <xf numFmtId="0" fontId="2" fillId="0" borderId="262" xfId="0" applyFont="1" applyBorder="1" applyAlignment="1" applyProtection="1">
      <alignment horizontal="center" vertical="center"/>
      <protection hidden="1"/>
    </xf>
    <xf numFmtId="0" fontId="2" fillId="0" borderId="352" xfId="0" applyFont="1" applyBorder="1" applyAlignment="1" applyProtection="1">
      <alignment horizontal="center" vertical="center"/>
      <protection hidden="1"/>
    </xf>
    <xf numFmtId="0" fontId="2" fillId="0" borderId="354" xfId="0" applyFont="1" applyBorder="1" applyAlignment="1" applyProtection="1">
      <alignment horizontal="center" vertical="center"/>
      <protection hidden="1"/>
    </xf>
    <xf numFmtId="3" fontId="197" fillId="2" borderId="57" xfId="0" applyNumberFormat="1" applyFont="1" applyFill="1" applyBorder="1" applyAlignment="1" applyProtection="1">
      <alignment horizontal="left" vertical="top"/>
      <protection hidden="1"/>
    </xf>
    <xf numFmtId="3" fontId="197" fillId="2" borderId="59" xfId="0" applyNumberFormat="1" applyFont="1" applyFill="1" applyBorder="1" applyAlignment="1" applyProtection="1">
      <alignment horizontal="left" vertical="top"/>
      <protection hidden="1"/>
    </xf>
    <xf numFmtId="0" fontId="2" fillId="0" borderId="186" xfId="0" applyFont="1" applyBorder="1" applyAlignment="1" applyProtection="1">
      <alignment horizontal="center" vertical="center"/>
      <protection hidden="1"/>
    </xf>
    <xf numFmtId="0" fontId="245" fillId="2" borderId="334" xfId="0" applyFont="1" applyFill="1" applyBorder="1" applyAlignment="1">
      <alignment horizontal="left"/>
    </xf>
    <xf numFmtId="0" fontId="245" fillId="2" borderId="333" xfId="0" applyFont="1" applyFill="1" applyBorder="1" applyAlignment="1">
      <alignment horizontal="left"/>
    </xf>
    <xf numFmtId="0" fontId="245" fillId="2" borderId="332" xfId="0" applyFont="1" applyFill="1" applyBorder="1" applyAlignment="1" applyProtection="1">
      <alignment horizontal="center" vertical="center"/>
      <protection hidden="1"/>
    </xf>
    <xf numFmtId="0" fontId="245" fillId="2" borderId="333" xfId="0" applyFont="1" applyFill="1" applyBorder="1" applyAlignment="1" applyProtection="1">
      <alignment horizontal="center" vertical="center"/>
      <protection hidden="1"/>
    </xf>
    <xf numFmtId="0" fontId="21" fillId="0" borderId="661" xfId="0" applyFont="1" applyBorder="1" applyAlignment="1" applyProtection="1">
      <alignment horizontal="left" vertical="center"/>
      <protection hidden="1"/>
    </xf>
    <xf numFmtId="0" fontId="21" fillId="0" borderId="0" xfId="0" applyFont="1" applyAlignment="1" applyProtection="1">
      <alignment horizontal="left" vertical="center"/>
      <protection hidden="1"/>
    </xf>
    <xf numFmtId="0" fontId="21" fillId="0" borderId="718" xfId="0" applyFont="1" applyBorder="1" applyAlignment="1" applyProtection="1">
      <alignment horizontal="left" vertical="center"/>
      <protection hidden="1"/>
    </xf>
    <xf numFmtId="0" fontId="21" fillId="0" borderId="701" xfId="0" applyFont="1" applyBorder="1" applyAlignment="1" applyProtection="1">
      <alignment horizontal="left" vertical="center"/>
      <protection hidden="1"/>
    </xf>
    <xf numFmtId="0" fontId="21" fillId="0" borderId="352" xfId="0" applyFont="1" applyBorder="1" applyAlignment="1" applyProtection="1">
      <alignment horizontal="left" vertical="center"/>
      <protection hidden="1"/>
    </xf>
    <xf numFmtId="0" fontId="21" fillId="0" borderId="354" xfId="0" applyFont="1" applyBorder="1" applyAlignment="1" applyProtection="1">
      <alignment horizontal="left" vertical="center"/>
      <protection hidden="1"/>
    </xf>
    <xf numFmtId="164" fontId="21" fillId="2" borderId="103" xfId="0" applyNumberFormat="1" applyFont="1" applyFill="1" applyBorder="1" applyAlignment="1" applyProtection="1">
      <alignment horizontal="center" vertical="center"/>
      <protection hidden="1"/>
    </xf>
    <xf numFmtId="164" fontId="196" fillId="41" borderId="0" xfId="0" applyNumberFormat="1" applyFont="1" applyFill="1" applyAlignment="1" applyProtection="1">
      <alignment horizontal="center" vertical="center"/>
      <protection hidden="1"/>
    </xf>
    <xf numFmtId="0" fontId="295" fillId="4" borderId="337" xfId="0" applyFont="1" applyFill="1" applyBorder="1" applyAlignment="1">
      <alignment horizontal="center" vertical="center"/>
    </xf>
    <xf numFmtId="0" fontId="295" fillId="4" borderId="331" xfId="0" applyFont="1" applyFill="1" applyBorder="1" applyAlignment="1">
      <alignment horizontal="center" vertical="center"/>
    </xf>
    <xf numFmtId="164" fontId="196" fillId="4" borderId="337" xfId="0" applyNumberFormat="1" applyFont="1" applyFill="1" applyBorder="1" applyAlignment="1" applyProtection="1">
      <alignment horizontal="center" vertical="center"/>
      <protection hidden="1"/>
    </xf>
    <xf numFmtId="164" fontId="196" fillId="4" borderId="331" xfId="0" applyNumberFormat="1" applyFont="1" applyFill="1" applyBorder="1" applyAlignment="1" applyProtection="1">
      <alignment horizontal="center" vertical="center"/>
      <protection hidden="1"/>
    </xf>
    <xf numFmtId="0" fontId="1" fillId="0" borderId="410" xfId="0" applyFont="1" applyBorder="1" applyAlignment="1" applyProtection="1">
      <alignment horizontal="center" vertical="center"/>
      <protection hidden="1"/>
    </xf>
    <xf numFmtId="0" fontId="22" fillId="0" borderId="296" xfId="0" applyFont="1" applyBorder="1" applyAlignment="1" applyProtection="1">
      <alignment horizontal="center" vertical="center"/>
      <protection hidden="1"/>
    </xf>
    <xf numFmtId="0" fontId="22" fillId="0" borderId="512" xfId="0" applyFont="1" applyBorder="1" applyAlignment="1" applyProtection="1">
      <alignment horizontal="center" vertical="center"/>
      <protection hidden="1"/>
    </xf>
    <xf numFmtId="0" fontId="1" fillId="0" borderId="401" xfId="0" applyFont="1" applyBorder="1" applyAlignment="1" applyProtection="1">
      <alignment horizontal="center" vertical="center"/>
      <protection hidden="1"/>
    </xf>
    <xf numFmtId="0" fontId="3" fillId="0" borderId="321" xfId="0" applyFont="1" applyBorder="1" applyAlignment="1" applyProtection="1">
      <alignment horizontal="center" vertical="center"/>
      <protection hidden="1"/>
    </xf>
    <xf numFmtId="0" fontId="2" fillId="0" borderId="261" xfId="0" applyFont="1" applyBorder="1" applyAlignment="1" applyProtection="1">
      <alignment horizontal="center" vertical="center"/>
      <protection hidden="1"/>
    </xf>
    <xf numFmtId="0" fontId="8" fillId="50" borderId="410" xfId="0" applyFont="1" applyFill="1" applyBorder="1" applyAlignment="1" applyProtection="1">
      <alignment horizontal="center" vertical="center"/>
      <protection hidden="1"/>
    </xf>
    <xf numFmtId="0" fontId="8" fillId="50" borderId="183" xfId="0" applyFont="1" applyFill="1" applyBorder="1" applyAlignment="1" applyProtection="1">
      <alignment horizontal="center" vertical="center"/>
      <protection hidden="1"/>
    </xf>
    <xf numFmtId="0" fontId="8" fillId="50" borderId="296" xfId="0" applyFont="1" applyFill="1" applyBorder="1" applyAlignment="1" applyProtection="1">
      <alignment horizontal="center" vertical="center"/>
      <protection hidden="1"/>
    </xf>
    <xf numFmtId="0" fontId="22" fillId="0" borderId="261" xfId="0" applyFont="1" applyBorder="1" applyAlignment="1" applyProtection="1">
      <alignment horizontal="center" vertical="center"/>
      <protection hidden="1"/>
    </xf>
    <xf numFmtId="0" fontId="22" fillId="0" borderId="495" xfId="0" applyFont="1" applyBorder="1" applyAlignment="1" applyProtection="1">
      <alignment horizontal="center" vertical="center"/>
      <protection hidden="1"/>
    </xf>
    <xf numFmtId="0" fontId="22" fillId="0" borderId="185" xfId="0" applyFont="1" applyBorder="1" applyAlignment="1" applyProtection="1">
      <alignment horizontal="center" vertical="center"/>
      <protection hidden="1"/>
    </xf>
    <xf numFmtId="0" fontId="22" fillId="0" borderId="4" xfId="0" applyFont="1" applyBorder="1" applyAlignment="1" applyProtection="1">
      <alignment horizontal="center" vertical="center"/>
      <protection hidden="1"/>
    </xf>
    <xf numFmtId="0" fontId="22" fillId="0" borderId="186" xfId="0" applyFont="1" applyBorder="1" applyAlignment="1" applyProtection="1">
      <alignment horizontal="center" vertical="center"/>
      <protection hidden="1"/>
    </xf>
    <xf numFmtId="0" fontId="22" fillId="0" borderId="505" xfId="0" applyFont="1" applyBorder="1" applyAlignment="1" applyProtection="1">
      <alignment horizontal="center" vertical="center"/>
      <protection hidden="1"/>
    </xf>
    <xf numFmtId="0" fontId="2" fillId="0" borderId="208" xfId="0" applyFont="1" applyBorder="1" applyAlignment="1" applyProtection="1">
      <alignment horizontal="left" vertical="center"/>
      <protection hidden="1"/>
    </xf>
    <xf numFmtId="0" fontId="2" fillId="0" borderId="209" xfId="0" applyFont="1" applyBorder="1" applyAlignment="1" applyProtection="1">
      <alignment horizontal="left" vertical="center"/>
      <protection hidden="1"/>
    </xf>
    <xf numFmtId="0" fontId="2" fillId="0" borderId="210" xfId="0" applyFont="1" applyBorder="1" applyAlignment="1" applyProtection="1">
      <alignment horizontal="left" vertical="center"/>
      <protection hidden="1"/>
    </xf>
    <xf numFmtId="0" fontId="2" fillId="0" borderId="661" xfId="0" applyFont="1" applyBorder="1" applyAlignment="1" applyProtection="1">
      <alignment horizontal="left" vertical="center"/>
      <protection hidden="1"/>
    </xf>
    <xf numFmtId="0" fontId="2" fillId="0" borderId="0" xfId="0" applyFont="1" applyAlignment="1" applyProtection="1">
      <alignment horizontal="left" vertical="center"/>
      <protection hidden="1"/>
    </xf>
    <xf numFmtId="0" fontId="2" fillId="0" borderId="718" xfId="0" applyFont="1" applyBorder="1" applyAlignment="1" applyProtection="1">
      <alignment horizontal="left" vertical="center"/>
      <protection hidden="1"/>
    </xf>
    <xf numFmtId="0" fontId="2" fillId="0" borderId="410" xfId="0" applyFont="1" applyBorder="1" applyAlignment="1" applyProtection="1">
      <alignment horizontal="center" vertical="center"/>
      <protection hidden="1"/>
    </xf>
    <xf numFmtId="0" fontId="2" fillId="0" borderId="493" xfId="0" applyFont="1" applyBorder="1" applyAlignment="1" applyProtection="1">
      <alignment horizontal="center" vertical="center"/>
      <protection hidden="1"/>
    </xf>
    <xf numFmtId="164" fontId="2" fillId="0" borderId="410" xfId="0" applyNumberFormat="1" applyFont="1" applyBorder="1" applyAlignment="1" applyProtection="1">
      <alignment horizontal="center" vertical="center"/>
      <protection hidden="1"/>
    </xf>
    <xf numFmtId="164" fontId="2" fillId="0" borderId="296" xfId="0" applyNumberFormat="1" applyFont="1" applyBorder="1" applyAlignment="1" applyProtection="1">
      <alignment horizontal="center" vertical="center"/>
      <protection hidden="1"/>
    </xf>
    <xf numFmtId="0" fontId="2" fillId="0" borderId="296" xfId="0" applyFont="1" applyBorder="1" applyAlignment="1" applyProtection="1">
      <alignment horizontal="center" vertical="center"/>
      <protection hidden="1"/>
    </xf>
    <xf numFmtId="0" fontId="142" fillId="4" borderId="0" xfId="0" applyFont="1" applyFill="1" applyAlignment="1">
      <alignment horizontal="center"/>
    </xf>
    <xf numFmtId="164" fontId="262" fillId="2" borderId="54" xfId="0" applyNumberFormat="1" applyFont="1" applyFill="1" applyBorder="1" applyAlignment="1" applyProtection="1">
      <alignment horizontal="right" vertical="center"/>
      <protection hidden="1"/>
    </xf>
    <xf numFmtId="164" fontId="262" fillId="2" borderId="0" xfId="0" applyNumberFormat="1" applyFont="1" applyFill="1" applyAlignment="1" applyProtection="1">
      <alignment horizontal="right" vertical="center"/>
      <protection hidden="1"/>
    </xf>
    <xf numFmtId="164" fontId="197" fillId="4" borderId="0" xfId="0" applyNumberFormat="1" applyFont="1" applyFill="1" applyAlignment="1" applyProtection="1">
      <alignment horizontal="center" vertical="center"/>
      <protection hidden="1"/>
    </xf>
    <xf numFmtId="3" fontId="181" fillId="2" borderId="0" xfId="0" applyNumberFormat="1" applyFont="1" applyFill="1" applyAlignment="1" applyProtection="1">
      <alignment horizontal="center"/>
      <protection hidden="1"/>
    </xf>
    <xf numFmtId="0" fontId="412" fillId="0" borderId="410" xfId="0" applyFont="1" applyBorder="1" applyAlignment="1" applyProtection="1">
      <alignment horizontal="left" vertical="center"/>
      <protection hidden="1"/>
    </xf>
    <xf numFmtId="0" fontId="412" fillId="0" borderId="183" xfId="0" applyFont="1" applyBorder="1" applyAlignment="1" applyProtection="1">
      <alignment horizontal="left" vertical="center"/>
      <protection hidden="1"/>
    </xf>
    <xf numFmtId="0" fontId="2" fillId="0" borderId="410" xfId="0" applyFont="1" applyBorder="1" applyAlignment="1" applyProtection="1">
      <alignment horizontal="left" vertical="center"/>
      <protection hidden="1"/>
    </xf>
    <xf numFmtId="0" fontId="412" fillId="0" borderId="321" xfId="0" applyFont="1" applyBorder="1" applyAlignment="1" applyProtection="1">
      <alignment horizontal="left" vertical="center"/>
      <protection hidden="1"/>
    </xf>
    <xf numFmtId="0" fontId="181" fillId="2" borderId="0" xfId="0" applyFont="1" applyFill="1" applyAlignment="1" applyProtection="1">
      <alignment horizontal="center"/>
      <protection hidden="1"/>
    </xf>
    <xf numFmtId="0" fontId="293" fillId="4" borderId="0" xfId="0" applyFont="1" applyFill="1" applyAlignment="1" applyProtection="1">
      <alignment horizontal="center" vertical="center"/>
      <protection hidden="1"/>
    </xf>
    <xf numFmtId="0" fontId="294" fillId="4" borderId="0" xfId="0" applyFont="1" applyFill="1" applyAlignment="1" applyProtection="1">
      <alignment horizontal="left" vertical="center" wrapText="1"/>
      <protection hidden="1"/>
    </xf>
    <xf numFmtId="164" fontId="197" fillId="2" borderId="54" xfId="0" applyNumberFormat="1" applyFont="1" applyFill="1" applyBorder="1" applyAlignment="1" applyProtection="1">
      <alignment horizontal="right" vertical="center"/>
      <protection hidden="1"/>
    </xf>
    <xf numFmtId="164" fontId="197" fillId="2" borderId="0" xfId="0" applyNumberFormat="1" applyFont="1" applyFill="1" applyAlignment="1" applyProtection="1">
      <alignment horizontal="right" vertical="center"/>
      <protection hidden="1"/>
    </xf>
    <xf numFmtId="0" fontId="187" fillId="2" borderId="0" xfId="0" applyFont="1" applyFill="1" applyAlignment="1" applyProtection="1">
      <alignment horizontal="center" vertical="top" wrapText="1"/>
      <protection hidden="1"/>
    </xf>
    <xf numFmtId="164" fontId="197" fillId="4" borderId="54" xfId="0" applyNumberFormat="1" applyFont="1" applyFill="1" applyBorder="1" applyAlignment="1" applyProtection="1">
      <alignment horizontal="center" vertical="center" wrapText="1"/>
      <protection hidden="1"/>
    </xf>
    <xf numFmtId="164" fontId="197" fillId="4" borderId="0" xfId="0" applyNumberFormat="1" applyFont="1" applyFill="1" applyAlignment="1" applyProtection="1">
      <alignment horizontal="center" vertical="center" wrapText="1"/>
      <protection hidden="1"/>
    </xf>
    <xf numFmtId="0" fontId="1" fillId="0" borderId="410" xfId="0" applyFont="1" applyBorder="1" applyAlignment="1" applyProtection="1">
      <alignment horizontal="left" vertical="center"/>
      <protection hidden="1"/>
    </xf>
    <xf numFmtId="0" fontId="1" fillId="0" borderId="183" xfId="0" applyFont="1" applyBorder="1" applyAlignment="1" applyProtection="1">
      <alignment horizontal="left" vertical="center"/>
      <protection hidden="1"/>
    </xf>
    <xf numFmtId="0" fontId="1" fillId="0" borderId="296" xfId="0" applyFont="1" applyBorder="1" applyAlignment="1" applyProtection="1">
      <alignment horizontal="left" vertical="center"/>
      <protection hidden="1"/>
    </xf>
    <xf numFmtId="0" fontId="8" fillId="50" borderId="261" xfId="0" applyFont="1" applyFill="1" applyBorder="1" applyAlignment="1" applyProtection="1">
      <alignment horizontal="center" vertical="center"/>
      <protection hidden="1"/>
    </xf>
    <xf numFmtId="0" fontId="8" fillId="50" borderId="495" xfId="0" applyFont="1" applyFill="1" applyBorder="1" applyAlignment="1" applyProtection="1">
      <alignment horizontal="center" vertical="center"/>
      <protection hidden="1"/>
    </xf>
    <xf numFmtId="164" fontId="41" fillId="2" borderId="54" xfId="0" applyNumberFormat="1" applyFont="1" applyFill="1" applyBorder="1" applyAlignment="1" applyProtection="1">
      <alignment horizontal="right" vertical="center"/>
      <protection hidden="1"/>
    </xf>
    <xf numFmtId="164" fontId="197" fillId="33" borderId="0" xfId="0" applyNumberFormat="1" applyFont="1" applyFill="1" applyAlignment="1" applyProtection="1">
      <alignment horizontal="center" vertical="center"/>
      <protection hidden="1"/>
    </xf>
    <xf numFmtId="0" fontId="348" fillId="11" borderId="8" xfId="0" applyFont="1" applyFill="1" applyBorder="1" applyAlignment="1" applyProtection="1">
      <alignment horizontal="center" vertical="center" wrapText="1"/>
      <protection hidden="1"/>
    </xf>
    <xf numFmtId="0" fontId="348" fillId="11" borderId="9" xfId="0" applyFont="1" applyFill="1" applyBorder="1" applyAlignment="1" applyProtection="1">
      <alignment horizontal="center" vertical="center" wrapText="1"/>
      <protection hidden="1"/>
    </xf>
    <xf numFmtId="0" fontId="348" fillId="11" borderId="10" xfId="0" applyFont="1" applyFill="1" applyBorder="1" applyAlignment="1" applyProtection="1">
      <alignment horizontal="center" vertical="center" wrapText="1"/>
      <protection hidden="1"/>
    </xf>
    <xf numFmtId="0" fontId="348" fillId="11" borderId="6" xfId="0" applyFont="1" applyFill="1" applyBorder="1" applyAlignment="1" applyProtection="1">
      <alignment horizontal="center" vertical="center" wrapText="1"/>
      <protection hidden="1"/>
    </xf>
    <xf numFmtId="0" fontId="348" fillId="11" borderId="0" xfId="0" applyFont="1" applyFill="1" applyAlignment="1" applyProtection="1">
      <alignment horizontal="center" vertical="center" wrapText="1"/>
      <protection hidden="1"/>
    </xf>
    <xf numFmtId="0" fontId="348" fillId="11" borderId="4" xfId="0" applyFont="1" applyFill="1" applyBorder="1" applyAlignment="1" applyProtection="1">
      <alignment horizontal="center" vertical="center" wrapText="1"/>
      <protection hidden="1"/>
    </xf>
    <xf numFmtId="0" fontId="348" fillId="11" borderId="7" xfId="0" applyFont="1" applyFill="1" applyBorder="1" applyAlignment="1" applyProtection="1">
      <alignment horizontal="center" vertical="center" wrapText="1"/>
      <protection hidden="1"/>
    </xf>
    <xf numFmtId="0" fontId="348" fillId="11" borderId="39" xfId="0" applyFont="1" applyFill="1" applyBorder="1" applyAlignment="1" applyProtection="1">
      <alignment horizontal="center" vertical="center" wrapText="1"/>
      <protection hidden="1"/>
    </xf>
    <xf numFmtId="0" fontId="348" fillId="11" borderId="5" xfId="0" applyFont="1" applyFill="1" applyBorder="1" applyAlignment="1" applyProtection="1">
      <alignment horizontal="center" vertical="center" wrapText="1"/>
      <protection hidden="1"/>
    </xf>
    <xf numFmtId="1" fontId="249" fillId="33" borderId="0" xfId="0" applyNumberFormat="1" applyFont="1" applyFill="1" applyAlignment="1" applyProtection="1">
      <alignment horizontal="center" vertical="center"/>
      <protection hidden="1"/>
    </xf>
    <xf numFmtId="0" fontId="291" fillId="2" borderId="0" xfId="0" applyFont="1" applyFill="1" applyAlignment="1" applyProtection="1">
      <alignment horizontal="center"/>
      <protection hidden="1"/>
    </xf>
    <xf numFmtId="1" fontId="1" fillId="0" borderId="186" xfId="0" applyNumberFormat="1" applyFont="1" applyBorder="1" applyAlignment="1" applyProtection="1">
      <alignment horizontal="center" vertical="center"/>
      <protection hidden="1"/>
    </xf>
    <xf numFmtId="0" fontId="1" fillId="0" borderId="505" xfId="0" applyFont="1" applyBorder="1" applyAlignment="1" applyProtection="1">
      <alignment horizontal="center" vertical="center"/>
      <protection hidden="1"/>
    </xf>
    <xf numFmtId="0" fontId="43" fillId="0" borderId="410" xfId="0" applyFont="1" applyBorder="1" applyAlignment="1" applyProtection="1">
      <alignment horizontal="center" vertical="center"/>
      <protection hidden="1"/>
    </xf>
    <xf numFmtId="0" fontId="43" fillId="0" borderId="493" xfId="0" applyFont="1" applyBorder="1" applyAlignment="1" applyProtection="1">
      <alignment horizontal="center" vertical="center"/>
      <protection hidden="1"/>
    </xf>
    <xf numFmtId="1" fontId="249" fillId="2" borderId="54" xfId="0" applyNumberFormat="1" applyFont="1" applyFill="1" applyBorder="1" applyAlignment="1" applyProtection="1">
      <alignment horizontal="center" vertical="center"/>
      <protection hidden="1"/>
    </xf>
    <xf numFmtId="1" fontId="249" fillId="2" borderId="0" xfId="0" applyNumberFormat="1" applyFont="1" applyFill="1" applyAlignment="1" applyProtection="1">
      <alignment horizontal="center" vertical="center"/>
      <protection hidden="1"/>
    </xf>
    <xf numFmtId="1" fontId="249" fillId="2" borderId="56" xfId="0" applyNumberFormat="1" applyFont="1" applyFill="1" applyBorder="1" applyAlignment="1" applyProtection="1">
      <alignment horizontal="center" vertical="center"/>
      <protection hidden="1"/>
    </xf>
    <xf numFmtId="0" fontId="2" fillId="0" borderId="183" xfId="0" applyFont="1" applyBorder="1" applyAlignment="1" applyProtection="1">
      <alignment horizontal="left" vertical="center"/>
      <protection hidden="1"/>
    </xf>
    <xf numFmtId="0" fontId="8" fillId="0" borderId="183" xfId="0" applyFont="1" applyBorder="1" applyAlignment="1" applyProtection="1">
      <alignment horizontal="center" vertical="center"/>
      <protection hidden="1"/>
    </xf>
    <xf numFmtId="0" fontId="15" fillId="0" borderId="438" xfId="0" applyFont="1" applyBorder="1" applyProtection="1">
      <protection hidden="1"/>
    </xf>
    <xf numFmtId="0" fontId="15" fillId="0" borderId="439" xfId="0" applyFont="1" applyBorder="1" applyProtection="1">
      <protection hidden="1"/>
    </xf>
    <xf numFmtId="0" fontId="3" fillId="0" borderId="439" xfId="0" applyFont="1" applyBorder="1" applyAlignment="1" applyProtection="1">
      <alignment horizontal="center"/>
      <protection hidden="1"/>
    </xf>
    <xf numFmtId="0" fontId="15" fillId="0" borderId="439" xfId="0" applyFont="1" applyBorder="1" applyAlignment="1" applyProtection="1">
      <alignment horizontal="center"/>
      <protection hidden="1"/>
    </xf>
    <xf numFmtId="0" fontId="15" fillId="0" borderId="440" xfId="0" applyFont="1" applyBorder="1" applyAlignment="1" applyProtection="1">
      <alignment horizontal="center"/>
      <protection hidden="1"/>
    </xf>
    <xf numFmtId="0" fontId="81" fillId="0" borderId="95" xfId="0" applyFont="1" applyBorder="1" applyAlignment="1" applyProtection="1">
      <alignment horizontal="center" vertical="top"/>
      <protection hidden="1"/>
    </xf>
    <xf numFmtId="0" fontId="81" fillId="0" borderId="352" xfId="0" applyFont="1" applyBorder="1" applyAlignment="1" applyProtection="1">
      <alignment horizontal="center" vertical="top"/>
      <protection hidden="1"/>
    </xf>
    <xf numFmtId="0" fontId="16" fillId="0" borderId="352" xfId="0" applyFont="1" applyBorder="1" applyAlignment="1" applyProtection="1">
      <alignment vertical="center"/>
      <protection hidden="1"/>
    </xf>
    <xf numFmtId="0" fontId="81" fillId="0" borderId="505" xfId="0" applyFont="1" applyBorder="1" applyAlignment="1" applyProtection="1">
      <alignment horizontal="center" vertical="top"/>
      <protection hidden="1"/>
    </xf>
    <xf numFmtId="0" fontId="292" fillId="2" borderId="0" xfId="0" applyFont="1" applyFill="1" applyAlignment="1" applyProtection="1">
      <alignment horizontal="center" vertical="center" wrapText="1"/>
      <protection hidden="1"/>
    </xf>
    <xf numFmtId="0" fontId="81" fillId="2" borderId="0" xfId="0" applyFont="1" applyFill="1" applyAlignment="1" applyProtection="1">
      <alignment horizontal="center" vertical="top"/>
      <protection hidden="1"/>
    </xf>
    <xf numFmtId="0" fontId="17" fillId="0" borderId="499" xfId="0" applyFont="1" applyBorder="1" applyAlignment="1" applyProtection="1">
      <alignment horizontal="center" vertical="center"/>
      <protection hidden="1"/>
    </xf>
    <xf numFmtId="0" fontId="17" fillId="0" borderId="321" xfId="0" applyFont="1" applyBorder="1" applyAlignment="1" applyProtection="1">
      <alignment horizontal="center" vertical="center"/>
      <protection hidden="1"/>
    </xf>
    <xf numFmtId="164" fontId="18" fillId="0" borderId="209" xfId="0" applyNumberFormat="1" applyFont="1" applyBorder="1" applyAlignment="1" applyProtection="1">
      <alignment vertical="center"/>
      <protection hidden="1"/>
    </xf>
    <xf numFmtId="164" fontId="18" fillId="0" borderId="410" xfId="0" applyNumberFormat="1" applyFont="1" applyBorder="1" applyAlignment="1" applyProtection="1">
      <alignment horizontal="center" vertical="center"/>
      <protection hidden="1"/>
    </xf>
    <xf numFmtId="164" fontId="18" fillId="0" borderId="183" xfId="0" applyNumberFormat="1" applyFont="1" applyBorder="1" applyAlignment="1" applyProtection="1">
      <alignment horizontal="center" vertical="center"/>
      <protection hidden="1"/>
    </xf>
    <xf numFmtId="164" fontId="18" fillId="0" borderId="493" xfId="0" applyNumberFormat="1" applyFont="1" applyBorder="1" applyAlignment="1" applyProtection="1">
      <alignment horizontal="center" vertical="center"/>
      <protection hidden="1"/>
    </xf>
    <xf numFmtId="164" fontId="18" fillId="0" borderId="24" xfId="0" applyNumberFormat="1" applyFont="1" applyBorder="1" applyAlignment="1" applyProtection="1">
      <alignment vertical="center"/>
      <protection hidden="1"/>
    </xf>
    <xf numFmtId="164" fontId="18" fillId="0" borderId="0" xfId="0" applyNumberFormat="1" applyFont="1" applyAlignment="1" applyProtection="1">
      <alignment vertical="center"/>
      <protection hidden="1"/>
    </xf>
    <xf numFmtId="164" fontId="18" fillId="0" borderId="122" xfId="0" applyNumberFormat="1" applyFont="1" applyBorder="1" applyAlignment="1" applyProtection="1">
      <alignment vertical="center"/>
      <protection hidden="1"/>
    </xf>
    <xf numFmtId="0" fontId="19" fillId="0" borderId="16" xfId="0" applyFont="1" applyBorder="1" applyAlignment="1" applyProtection="1">
      <alignment vertical="center"/>
      <protection hidden="1"/>
    </xf>
    <xf numFmtId="1" fontId="19" fillId="0" borderId="16" xfId="0" applyNumberFormat="1" applyFont="1" applyBorder="1" applyAlignment="1" applyProtection="1">
      <alignment vertical="center"/>
      <protection hidden="1"/>
    </xf>
    <xf numFmtId="1" fontId="19" fillId="0" borderId="16" xfId="0" applyNumberFormat="1" applyFont="1" applyBorder="1" applyAlignment="1" applyProtection="1">
      <alignment horizontal="center" vertical="center"/>
      <protection hidden="1"/>
    </xf>
    <xf numFmtId="1" fontId="19" fillId="0" borderId="43" xfId="0" applyNumberFormat="1" applyFont="1" applyBorder="1" applyAlignment="1" applyProtection="1">
      <alignment horizontal="center" vertical="center"/>
      <protection hidden="1"/>
    </xf>
    <xf numFmtId="1" fontId="1" fillId="0" borderId="410" xfId="0" applyNumberFormat="1" applyFont="1" applyBorder="1" applyAlignment="1" applyProtection="1">
      <alignment horizontal="center" vertical="center"/>
      <protection hidden="1"/>
    </xf>
    <xf numFmtId="1" fontId="1" fillId="0" borderId="493" xfId="0" applyNumberFormat="1" applyFont="1" applyBorder="1" applyAlignment="1" applyProtection="1">
      <alignment horizontal="center" vertical="center"/>
      <protection hidden="1"/>
    </xf>
    <xf numFmtId="0" fontId="2" fillId="0" borderId="4" xfId="0" applyFont="1" applyBorder="1" applyAlignment="1" applyProtection="1">
      <alignment horizontal="center" vertical="center"/>
      <protection hidden="1"/>
    </xf>
    <xf numFmtId="0" fontId="2" fillId="0" borderId="505" xfId="0" applyFont="1" applyBorder="1" applyAlignment="1" applyProtection="1">
      <alignment horizontal="center" vertical="center"/>
      <protection hidden="1"/>
    </xf>
    <xf numFmtId="0" fontId="337" fillId="50" borderId="321" xfId="0" applyFont="1" applyFill="1" applyBorder="1" applyAlignment="1" applyProtection="1">
      <alignment horizontal="left" vertical="center"/>
      <protection hidden="1"/>
    </xf>
    <xf numFmtId="0" fontId="337" fillId="0" borderId="321" xfId="0" applyFont="1" applyBorder="1" applyAlignment="1" applyProtection="1">
      <alignment horizontal="center" vertical="center"/>
      <protection hidden="1"/>
    </xf>
    <xf numFmtId="0" fontId="349" fillId="50" borderId="321" xfId="0" applyFont="1" applyFill="1" applyBorder="1" applyAlignment="1" applyProtection="1">
      <alignment horizontal="left" vertical="center"/>
      <protection hidden="1"/>
    </xf>
    <xf numFmtId="0" fontId="31" fillId="0" borderId="321" xfId="0" applyFont="1" applyBorder="1" applyAlignment="1" applyProtection="1">
      <alignment horizontal="center" vertical="center"/>
      <protection hidden="1"/>
    </xf>
    <xf numFmtId="1" fontId="2" fillId="0" borderId="410" xfId="0" applyNumberFormat="1" applyFont="1" applyBorder="1" applyAlignment="1" applyProtection="1">
      <alignment horizontal="center" vertical="center"/>
      <protection hidden="1"/>
    </xf>
    <xf numFmtId="0" fontId="21" fillId="0" borderId="410" xfId="0" applyFont="1" applyBorder="1" applyAlignment="1" applyProtection="1">
      <alignment horizontal="left" vertical="center"/>
      <protection hidden="1"/>
    </xf>
    <xf numFmtId="0" fontId="21" fillId="0" borderId="183" xfId="0" applyFont="1" applyBorder="1" applyAlignment="1" applyProtection="1">
      <alignment horizontal="left" vertical="center"/>
      <protection hidden="1"/>
    </xf>
    <xf numFmtId="0" fontId="21" fillId="0" borderId="296" xfId="0" applyFont="1" applyBorder="1" applyAlignment="1" applyProtection="1">
      <alignment horizontal="left" vertical="center"/>
      <protection hidden="1"/>
    </xf>
    <xf numFmtId="0" fontId="21" fillId="0" borderId="321" xfId="0" applyFont="1" applyBorder="1" applyAlignment="1" applyProtection="1">
      <alignment horizontal="left" vertical="center"/>
      <protection hidden="1"/>
    </xf>
    <xf numFmtId="0" fontId="21" fillId="0" borderId="479" xfId="0" applyFont="1" applyBorder="1" applyAlignment="1" applyProtection="1">
      <alignment horizontal="left" vertical="center"/>
      <protection hidden="1"/>
    </xf>
    <xf numFmtId="0" fontId="21" fillId="0" borderId="185" xfId="0" applyFont="1" applyBorder="1" applyAlignment="1" applyProtection="1">
      <alignment horizontal="left" vertical="center"/>
      <protection hidden="1"/>
    </xf>
    <xf numFmtId="0" fontId="21" fillId="0" borderId="0" xfId="0" applyFont="1" applyAlignment="1" applyProtection="1">
      <alignment vertical="top"/>
      <protection hidden="1"/>
    </xf>
    <xf numFmtId="0" fontId="21" fillId="0" borderId="479" xfId="0" applyFont="1" applyBorder="1" applyAlignment="1" applyProtection="1">
      <alignment vertical="top"/>
      <protection hidden="1"/>
    </xf>
    <xf numFmtId="0" fontId="2" fillId="0" borderId="183" xfId="0" applyFont="1" applyBorder="1" applyAlignment="1" applyProtection="1">
      <alignment horizontal="center" vertical="center"/>
      <protection hidden="1"/>
    </xf>
    <xf numFmtId="0" fontId="14" fillId="0" borderId="261" xfId="0" applyFont="1" applyBorder="1" applyAlignment="1" applyProtection="1">
      <alignment horizontal="center" vertical="center"/>
      <protection hidden="1"/>
    </xf>
    <xf numFmtId="0" fontId="14" fillId="0" borderId="262" xfId="0" applyFont="1" applyBorder="1" applyAlignment="1" applyProtection="1">
      <alignment horizontal="center" vertical="center"/>
      <protection hidden="1"/>
    </xf>
    <xf numFmtId="0" fontId="2" fillId="50" borderId="410" xfId="0" applyFont="1" applyFill="1" applyBorder="1" applyAlignment="1" applyProtection="1">
      <alignment horizontal="center" vertical="center"/>
      <protection hidden="1"/>
    </xf>
    <xf numFmtId="0" fontId="2" fillId="50" borderId="493" xfId="0" applyFont="1" applyFill="1" applyBorder="1" applyAlignment="1" applyProtection="1">
      <alignment horizontal="center" vertical="center"/>
      <protection hidden="1"/>
    </xf>
    <xf numFmtId="164" fontId="358" fillId="45" borderId="0" xfId="0" applyNumberFormat="1" applyFont="1" applyFill="1" applyAlignment="1" applyProtection="1">
      <alignment horizontal="center" vertical="center"/>
      <protection hidden="1"/>
    </xf>
    <xf numFmtId="164" fontId="358" fillId="45" borderId="521" xfId="0" applyNumberFormat="1" applyFont="1" applyFill="1" applyBorder="1" applyAlignment="1" applyProtection="1">
      <alignment horizontal="center" vertical="center"/>
      <protection hidden="1"/>
    </xf>
    <xf numFmtId="0" fontId="197" fillId="37" borderId="0" xfId="0" applyFont="1" applyFill="1" applyAlignment="1" applyProtection="1">
      <alignment horizontal="center" vertical="center"/>
      <protection hidden="1"/>
    </xf>
    <xf numFmtId="0" fontId="197" fillId="37" borderId="521" xfId="0" applyFont="1" applyFill="1" applyBorder="1" applyAlignment="1" applyProtection="1">
      <alignment horizontal="center" vertical="center"/>
      <protection hidden="1"/>
    </xf>
    <xf numFmtId="0" fontId="21" fillId="0" borderId="401" xfId="0" applyFont="1" applyBorder="1" applyAlignment="1" applyProtection="1">
      <alignment horizontal="left" vertical="center"/>
      <protection hidden="1"/>
    </xf>
    <xf numFmtId="3" fontId="2" fillId="0" borderId="321" xfId="0" applyNumberFormat="1" applyFont="1" applyBorder="1" applyAlignment="1" applyProtection="1">
      <alignment horizontal="center" vertical="center"/>
      <protection hidden="1"/>
    </xf>
    <xf numFmtId="164" fontId="197" fillId="2" borderId="54" xfId="0" applyNumberFormat="1" applyFont="1" applyFill="1" applyBorder="1" applyAlignment="1" applyProtection="1">
      <alignment horizontal="left" vertical="top"/>
      <protection hidden="1"/>
    </xf>
    <xf numFmtId="164" fontId="197" fillId="2" borderId="56" xfId="0" applyNumberFormat="1" applyFont="1" applyFill="1" applyBorder="1" applyAlignment="1" applyProtection="1">
      <alignment horizontal="left" vertical="top"/>
      <protection hidden="1"/>
    </xf>
    <xf numFmtId="0" fontId="2" fillId="50" borderId="209" xfId="0" applyFont="1" applyFill="1" applyBorder="1" applyAlignment="1" applyProtection="1">
      <alignment horizontal="center" vertical="center"/>
      <protection hidden="1"/>
    </xf>
    <xf numFmtId="0" fontId="3" fillId="0" borderId="321" xfId="0" applyFont="1" applyBorder="1" applyAlignment="1" applyProtection="1">
      <alignment horizontal="left" vertical="center"/>
      <protection hidden="1"/>
    </xf>
    <xf numFmtId="0" fontId="70" fillId="0" borderId="410" xfId="0" applyFont="1" applyBorder="1" applyAlignment="1" applyProtection="1">
      <alignment horizontal="center" vertical="center"/>
      <protection hidden="1"/>
    </xf>
    <xf numFmtId="0" fontId="70" fillId="0" borderId="183" xfId="0" applyFont="1" applyBorder="1" applyAlignment="1" applyProtection="1">
      <alignment horizontal="center" vertical="center"/>
      <protection hidden="1"/>
    </xf>
    <xf numFmtId="0" fontId="70" fillId="0" borderId="296" xfId="0" applyFont="1" applyBorder="1" applyAlignment="1" applyProtection="1">
      <alignment horizontal="center" vertical="center"/>
      <protection hidden="1"/>
    </xf>
    <xf numFmtId="0" fontId="21" fillId="0" borderId="0" xfId="0" applyFont="1" applyAlignment="1" applyProtection="1">
      <alignment vertical="center"/>
      <protection hidden="1"/>
    </xf>
    <xf numFmtId="0" fontId="2" fillId="0" borderId="525" xfId="0" applyFont="1" applyBorder="1" applyAlignment="1" applyProtection="1">
      <alignment horizontal="center" vertical="center"/>
      <protection hidden="1"/>
    </xf>
    <xf numFmtId="0" fontId="2" fillId="0" borderId="245" xfId="0" applyFont="1" applyBorder="1" applyAlignment="1" applyProtection="1">
      <alignment horizontal="center" vertical="center"/>
      <protection hidden="1"/>
    </xf>
    <xf numFmtId="0" fontId="2" fillId="0" borderId="257" xfId="0" applyFont="1" applyBorder="1" applyAlignment="1" applyProtection="1">
      <alignment horizontal="center" vertical="center"/>
      <protection hidden="1"/>
    </xf>
    <xf numFmtId="0" fontId="44" fillId="0" borderId="261" xfId="0" applyFont="1" applyBorder="1" applyAlignment="1" applyProtection="1">
      <alignment horizontal="center" vertical="center"/>
      <protection hidden="1"/>
    </xf>
    <xf numFmtId="0" fontId="44" fillId="0" borderId="186" xfId="0" applyFont="1" applyBorder="1" applyAlignment="1" applyProtection="1">
      <alignment horizontal="center" vertical="center"/>
      <protection hidden="1"/>
    </xf>
    <xf numFmtId="0" fontId="3" fillId="0" borderId="530" xfId="0" applyFont="1" applyBorder="1" applyAlignment="1" applyProtection="1">
      <alignment horizontal="center" vertical="center"/>
      <protection hidden="1"/>
    </xf>
    <xf numFmtId="0" fontId="87" fillId="0" borderId="209" xfId="0" applyFont="1" applyBorder="1" applyAlignment="1" applyProtection="1">
      <alignment horizontal="center" vertical="center"/>
      <protection hidden="1"/>
    </xf>
    <xf numFmtId="0" fontId="87" fillId="0" borderId="210" xfId="0" applyFont="1" applyBorder="1" applyAlignment="1" applyProtection="1">
      <alignment horizontal="center" vertical="center"/>
      <protection hidden="1"/>
    </xf>
    <xf numFmtId="0" fontId="87" fillId="0" borderId="352" xfId="0" applyFont="1" applyBorder="1" applyAlignment="1" applyProtection="1">
      <alignment horizontal="center" vertical="center"/>
      <protection hidden="1"/>
    </xf>
    <xf numFmtId="0" fontId="87" fillId="0" borderId="354" xfId="0" applyFont="1" applyBorder="1" applyAlignment="1" applyProtection="1">
      <alignment horizontal="center" vertical="center"/>
      <protection hidden="1"/>
    </xf>
    <xf numFmtId="3" fontId="2" fillId="0" borderId="321" xfId="0" applyNumberFormat="1" applyFont="1" applyBorder="1" applyAlignment="1" applyProtection="1">
      <alignment horizontal="left" vertical="center"/>
      <protection hidden="1"/>
    </xf>
    <xf numFmtId="0" fontId="10" fillId="0" borderId="321" xfId="0" applyFont="1" applyBorder="1" applyAlignment="1" applyProtection="1">
      <alignment horizontal="center" vertical="center"/>
      <protection hidden="1"/>
    </xf>
    <xf numFmtId="0" fontId="10" fillId="0" borderId="530" xfId="0" applyFont="1" applyBorder="1" applyAlignment="1" applyProtection="1">
      <alignment horizontal="center" vertical="center"/>
      <protection hidden="1"/>
    </xf>
    <xf numFmtId="0" fontId="8" fillId="0" borderId="321" xfId="0" applyFont="1" applyBorder="1" applyAlignment="1" applyProtection="1">
      <alignment horizontal="center" vertical="center"/>
      <protection hidden="1"/>
    </xf>
    <xf numFmtId="3" fontId="2" fillId="0" borderId="261" xfId="0" applyNumberFormat="1" applyFont="1" applyBorder="1" applyAlignment="1" applyProtection="1">
      <alignment horizontal="center" vertical="center"/>
      <protection hidden="1"/>
    </xf>
    <xf numFmtId="3" fontId="2" fillId="0" borderId="209" xfId="0" applyNumberFormat="1" applyFont="1" applyBorder="1" applyAlignment="1" applyProtection="1">
      <alignment horizontal="center" vertical="center"/>
      <protection hidden="1"/>
    </xf>
    <xf numFmtId="3" fontId="2" fillId="0" borderId="525" xfId="0" applyNumberFormat="1" applyFont="1" applyBorder="1" applyAlignment="1" applyProtection="1">
      <alignment horizontal="center" vertical="center"/>
      <protection hidden="1"/>
    </xf>
    <xf numFmtId="3" fontId="2" fillId="0" borderId="185" xfId="0" applyNumberFormat="1" applyFont="1" applyBorder="1" applyAlignment="1" applyProtection="1">
      <alignment horizontal="center" vertical="center"/>
      <protection hidden="1"/>
    </xf>
    <xf numFmtId="3" fontId="2" fillId="0" borderId="0" xfId="0" applyNumberFormat="1" applyFont="1" applyAlignment="1" applyProtection="1">
      <alignment horizontal="center" vertical="center"/>
      <protection hidden="1"/>
    </xf>
    <xf numFmtId="3" fontId="2" fillId="0" borderId="245" xfId="0" applyNumberFormat="1" applyFont="1" applyBorder="1" applyAlignment="1" applyProtection="1">
      <alignment horizontal="center" vertical="center"/>
      <protection hidden="1"/>
    </xf>
    <xf numFmtId="0" fontId="3" fillId="0" borderId="410" xfId="0" applyFont="1" applyBorder="1" applyAlignment="1" applyProtection="1">
      <alignment horizontal="center" vertical="center"/>
      <protection hidden="1"/>
    </xf>
    <xf numFmtId="0" fontId="3" fillId="0" borderId="183" xfId="0" applyFont="1" applyBorder="1" applyAlignment="1" applyProtection="1">
      <alignment horizontal="center" vertical="center"/>
      <protection hidden="1"/>
    </xf>
    <xf numFmtId="0" fontId="8" fillId="0" borderId="410" xfId="0" applyFont="1" applyBorder="1" applyAlignment="1" applyProtection="1">
      <alignment horizontal="center" vertical="center"/>
      <protection hidden="1"/>
    </xf>
    <xf numFmtId="0" fontId="8" fillId="0" borderId="522" xfId="0" applyFont="1" applyBorder="1" applyAlignment="1" applyProtection="1">
      <alignment horizontal="center" vertical="center"/>
      <protection hidden="1"/>
    </xf>
    <xf numFmtId="3" fontId="10" fillId="0" borderId="321" xfId="0" applyNumberFormat="1" applyFont="1" applyBorder="1" applyAlignment="1" applyProtection="1">
      <alignment horizontal="center" vertical="center"/>
      <protection hidden="1"/>
    </xf>
    <xf numFmtId="3" fontId="10" fillId="0" borderId="530" xfId="0" applyNumberFormat="1" applyFont="1" applyBorder="1" applyAlignment="1" applyProtection="1">
      <alignment horizontal="center" vertical="center"/>
      <protection hidden="1"/>
    </xf>
    <xf numFmtId="0" fontId="8" fillId="0" borderId="296" xfId="0" applyFont="1" applyBorder="1" applyAlignment="1" applyProtection="1">
      <alignment horizontal="center" vertical="center"/>
      <protection hidden="1"/>
    </xf>
    <xf numFmtId="0" fontId="8" fillId="0" borderId="352" xfId="0" applyFont="1" applyBorder="1" applyAlignment="1" applyProtection="1">
      <alignment horizontal="center" vertical="center"/>
      <protection hidden="1"/>
    </xf>
    <xf numFmtId="0" fontId="8" fillId="0" borderId="354" xfId="0" applyFont="1" applyBorder="1" applyAlignment="1" applyProtection="1">
      <alignment horizontal="center" vertical="center"/>
      <protection hidden="1"/>
    </xf>
    <xf numFmtId="0" fontId="8" fillId="0" borderId="321" xfId="0" applyFont="1" applyBorder="1" applyAlignment="1" applyProtection="1">
      <alignment horizontal="left" vertical="center"/>
      <protection hidden="1"/>
    </xf>
    <xf numFmtId="0" fontId="14" fillId="0" borderId="525" xfId="0" applyFont="1" applyBorder="1" applyAlignment="1" applyProtection="1">
      <alignment horizontal="center" vertical="center"/>
      <protection hidden="1"/>
    </xf>
    <xf numFmtId="0" fontId="14" fillId="0" borderId="185" xfId="0" applyFont="1" applyBorder="1" applyAlignment="1" applyProtection="1">
      <alignment horizontal="center" vertical="center"/>
      <protection hidden="1"/>
    </xf>
    <xf numFmtId="0" fontId="14" fillId="0" borderId="245" xfId="0" applyFont="1" applyBorder="1" applyAlignment="1" applyProtection="1">
      <alignment horizontal="center" vertical="center"/>
      <protection hidden="1"/>
    </xf>
    <xf numFmtId="0" fontId="14" fillId="0" borderId="186" xfId="0" applyFont="1" applyBorder="1" applyAlignment="1" applyProtection="1">
      <alignment horizontal="center" vertical="center"/>
      <protection hidden="1"/>
    </xf>
    <xf numFmtId="0" fontId="14" fillId="0" borderId="257" xfId="0" applyFont="1" applyBorder="1" applyAlignment="1" applyProtection="1">
      <alignment horizontal="center" vertical="center"/>
      <protection hidden="1"/>
    </xf>
    <xf numFmtId="0" fontId="10" fillId="0" borderId="410" xfId="0" applyFont="1" applyBorder="1" applyAlignment="1" applyProtection="1">
      <alignment horizontal="center" vertical="center"/>
      <protection hidden="1"/>
    </xf>
    <xf numFmtId="0" fontId="10" fillId="0" borderId="522" xfId="0" applyFont="1" applyBorder="1" applyAlignment="1" applyProtection="1">
      <alignment horizontal="center" vertical="center"/>
      <protection hidden="1"/>
    </xf>
    <xf numFmtId="3" fontId="21" fillId="0" borderId="261" xfId="0" applyNumberFormat="1" applyFont="1" applyBorder="1" applyAlignment="1" applyProtection="1">
      <alignment horizontal="center" vertical="center"/>
      <protection hidden="1"/>
    </xf>
    <xf numFmtId="3" fontId="21" fillId="0" borderId="209" xfId="0" applyNumberFormat="1" applyFont="1" applyBorder="1" applyAlignment="1" applyProtection="1">
      <alignment horizontal="center" vertical="center"/>
      <protection hidden="1"/>
    </xf>
    <xf numFmtId="3" fontId="21" fillId="0" borderId="525" xfId="0" applyNumberFormat="1" applyFont="1" applyBorder="1" applyAlignment="1" applyProtection="1">
      <alignment horizontal="center" vertical="center"/>
      <protection hidden="1"/>
    </xf>
    <xf numFmtId="0" fontId="1" fillId="0" borderId="261" xfId="0" applyFont="1" applyBorder="1" applyAlignment="1" applyProtection="1">
      <alignment horizontal="center" vertical="center"/>
      <protection hidden="1"/>
    </xf>
    <xf numFmtId="0" fontId="1" fillId="0" borderId="210" xfId="0" applyFont="1" applyBorder="1" applyAlignment="1" applyProtection="1">
      <alignment horizontal="center" vertical="center"/>
      <protection hidden="1"/>
    </xf>
    <xf numFmtId="0" fontId="1" fillId="0" borderId="186" xfId="0" applyFont="1" applyBorder="1" applyAlignment="1" applyProtection="1">
      <alignment horizontal="center" vertical="center"/>
      <protection hidden="1"/>
    </xf>
    <xf numFmtId="0" fontId="1" fillId="0" borderId="354" xfId="0" applyFont="1" applyBorder="1" applyAlignment="1" applyProtection="1">
      <alignment horizontal="center" vertical="center"/>
      <protection hidden="1"/>
    </xf>
    <xf numFmtId="0" fontId="1" fillId="0" borderId="185" xfId="0" applyFont="1" applyBorder="1" applyAlignment="1" applyProtection="1">
      <alignment horizontal="center" vertical="center"/>
      <protection hidden="1"/>
    </xf>
    <xf numFmtId="0" fontId="1" fillId="0" borderId="520" xfId="0" applyFont="1" applyBorder="1" applyAlignment="1" applyProtection="1">
      <alignment horizontal="center" vertical="center"/>
      <protection hidden="1"/>
    </xf>
    <xf numFmtId="0" fontId="10" fillId="0" borderId="261" xfId="0" applyFont="1" applyBorder="1" applyAlignment="1" applyProtection="1">
      <alignment horizontal="center" vertical="center"/>
      <protection hidden="1"/>
    </xf>
    <xf numFmtId="0" fontId="10" fillId="0" borderId="210" xfId="0" applyFont="1" applyBorder="1" applyAlignment="1" applyProtection="1">
      <alignment horizontal="center" vertical="center"/>
      <protection hidden="1"/>
    </xf>
    <xf numFmtId="0" fontId="10" fillId="0" borderId="186" xfId="0" applyFont="1" applyBorder="1" applyAlignment="1" applyProtection="1">
      <alignment horizontal="center" vertical="center"/>
      <protection hidden="1"/>
    </xf>
    <xf numFmtId="0" fontId="10" fillId="0" borderId="354" xfId="0" applyFont="1" applyBorder="1" applyAlignment="1" applyProtection="1">
      <alignment horizontal="center" vertical="center"/>
      <protection hidden="1"/>
    </xf>
    <xf numFmtId="0" fontId="2" fillId="0" borderId="522" xfId="0" applyFont="1" applyBorder="1" applyAlignment="1" applyProtection="1">
      <alignment horizontal="center" vertical="center"/>
      <protection hidden="1"/>
    </xf>
    <xf numFmtId="164" fontId="2" fillId="0" borderId="209" xfId="0" applyNumberFormat="1" applyFont="1" applyBorder="1" applyAlignment="1" applyProtection="1">
      <alignment horizontal="center" vertical="center"/>
      <protection hidden="1"/>
    </xf>
    <xf numFmtId="164" fontId="2" fillId="0" borderId="525" xfId="0" applyNumberFormat="1" applyFont="1" applyBorder="1" applyAlignment="1" applyProtection="1">
      <alignment horizontal="center" vertical="center"/>
      <protection hidden="1"/>
    </xf>
    <xf numFmtId="164" fontId="2" fillId="0" borderId="0" xfId="0" applyNumberFormat="1" applyFont="1" applyAlignment="1" applyProtection="1">
      <alignment horizontal="center" vertical="center"/>
      <protection hidden="1"/>
    </xf>
    <xf numFmtId="164" fontId="2" fillId="0" borderId="245" xfId="0" applyNumberFormat="1" applyFont="1" applyBorder="1" applyAlignment="1" applyProtection="1">
      <alignment horizontal="center" vertical="center"/>
      <protection hidden="1"/>
    </xf>
    <xf numFmtId="164" fontId="2" fillId="0" borderId="352" xfId="0" applyNumberFormat="1" applyFont="1" applyBorder="1" applyAlignment="1" applyProtection="1">
      <alignment horizontal="center" vertical="center"/>
      <protection hidden="1"/>
    </xf>
    <xf numFmtId="164" fontId="2" fillId="0" borderId="257" xfId="0" applyNumberFormat="1" applyFont="1" applyBorder="1" applyAlignment="1" applyProtection="1">
      <alignment horizontal="center" vertical="center"/>
      <protection hidden="1"/>
    </xf>
    <xf numFmtId="3" fontId="20" fillId="0" borderId="261" xfId="0" applyNumberFormat="1" applyFont="1" applyBorder="1" applyAlignment="1" applyProtection="1">
      <alignment horizontal="center" vertical="center"/>
      <protection hidden="1"/>
    </xf>
    <xf numFmtId="3" fontId="20" fillId="0" borderId="209" xfId="0" applyNumberFormat="1" applyFont="1" applyBorder="1" applyAlignment="1" applyProtection="1">
      <alignment horizontal="center" vertical="center"/>
      <protection hidden="1"/>
    </xf>
    <xf numFmtId="3" fontId="20" fillId="0" borderId="525" xfId="0" applyNumberFormat="1" applyFont="1" applyBorder="1" applyAlignment="1" applyProtection="1">
      <alignment horizontal="center" vertical="center"/>
      <protection hidden="1"/>
    </xf>
    <xf numFmtId="3" fontId="20" fillId="0" borderId="185" xfId="0" applyNumberFormat="1" applyFont="1" applyBorder="1" applyAlignment="1" applyProtection="1">
      <alignment horizontal="center" vertical="center"/>
      <protection hidden="1"/>
    </xf>
    <xf numFmtId="3" fontId="20" fillId="0" borderId="0" xfId="0" applyNumberFormat="1" applyFont="1" applyAlignment="1" applyProtection="1">
      <alignment horizontal="center" vertical="center"/>
      <protection hidden="1"/>
    </xf>
    <xf numFmtId="3" fontId="20" fillId="0" borderId="245" xfId="0" applyNumberFormat="1" applyFont="1" applyBorder="1" applyAlignment="1" applyProtection="1">
      <alignment horizontal="center" vertical="center"/>
      <protection hidden="1"/>
    </xf>
    <xf numFmtId="3" fontId="20" fillId="0" borderId="186" xfId="0" applyNumberFormat="1" applyFont="1" applyBorder="1" applyAlignment="1" applyProtection="1">
      <alignment horizontal="center" vertical="center"/>
      <protection hidden="1"/>
    </xf>
    <xf numFmtId="3" fontId="20" fillId="0" borderId="352" xfId="0" applyNumberFormat="1" applyFont="1" applyBorder="1" applyAlignment="1" applyProtection="1">
      <alignment horizontal="center" vertical="center"/>
      <protection hidden="1"/>
    </xf>
    <xf numFmtId="3" fontId="20" fillId="0" borderId="257" xfId="0" applyNumberFormat="1" applyFont="1" applyBorder="1" applyAlignment="1" applyProtection="1">
      <alignment horizontal="center" vertical="center"/>
      <protection hidden="1"/>
    </xf>
    <xf numFmtId="0" fontId="2" fillId="0" borderId="210" xfId="0" applyFont="1" applyBorder="1" applyAlignment="1" applyProtection="1">
      <alignment horizontal="center" vertical="center"/>
      <protection hidden="1"/>
    </xf>
    <xf numFmtId="0" fontId="2" fillId="0" borderId="520" xfId="0" applyFont="1" applyBorder="1" applyAlignment="1" applyProtection="1">
      <alignment horizontal="center" vertical="center"/>
      <protection hidden="1"/>
    </xf>
    <xf numFmtId="0" fontId="4" fillId="0" borderId="410" xfId="0" applyFont="1" applyBorder="1" applyAlignment="1" applyProtection="1">
      <alignment horizontal="left" vertical="center"/>
      <protection hidden="1"/>
    </xf>
    <xf numFmtId="0" fontId="4" fillId="0" borderId="183" xfId="0" applyFont="1" applyBorder="1" applyAlignment="1" applyProtection="1">
      <alignment horizontal="left" vertical="center"/>
      <protection hidden="1"/>
    </xf>
    <xf numFmtId="0" fontId="4" fillId="0" borderId="296" xfId="0" applyFont="1" applyBorder="1" applyAlignment="1" applyProtection="1">
      <alignment horizontal="left" vertical="center"/>
      <protection hidden="1"/>
    </xf>
    <xf numFmtId="0" fontId="10" fillId="0" borderId="401" xfId="0" applyFont="1" applyBorder="1" applyAlignment="1" applyProtection="1">
      <alignment horizontal="center" vertical="center"/>
      <protection locked="0"/>
    </xf>
    <xf numFmtId="0" fontId="10" fillId="0" borderId="519" xfId="0" applyFont="1" applyBorder="1" applyAlignment="1" applyProtection="1">
      <alignment horizontal="center" vertical="center"/>
      <protection locked="0"/>
    </xf>
    <xf numFmtId="0" fontId="21" fillId="0" borderId="209" xfId="0" applyFont="1" applyBorder="1" applyAlignment="1" applyProtection="1">
      <alignment horizontal="center" vertical="center"/>
      <protection hidden="1"/>
    </xf>
    <xf numFmtId="0" fontId="21" fillId="0" borderId="210" xfId="0" applyFont="1" applyBorder="1" applyAlignment="1" applyProtection="1">
      <alignment horizontal="center" vertical="center"/>
      <protection hidden="1"/>
    </xf>
    <xf numFmtId="0" fontId="8" fillId="0" borderId="261" xfId="0" applyFont="1" applyBorder="1" applyAlignment="1" applyProtection="1">
      <alignment horizontal="left" vertical="center" wrapText="1"/>
      <protection hidden="1"/>
    </xf>
    <xf numFmtId="0" fontId="8" fillId="0" borderId="209" xfId="0" applyFont="1" applyBorder="1" applyAlignment="1" applyProtection="1">
      <alignment horizontal="left" vertical="center" wrapText="1"/>
      <protection hidden="1"/>
    </xf>
    <xf numFmtId="0" fontId="8" fillId="0" borderId="210" xfId="0" applyFont="1" applyBorder="1" applyAlignment="1" applyProtection="1">
      <alignment horizontal="left" vertical="center" wrapText="1"/>
      <protection hidden="1"/>
    </xf>
    <xf numFmtId="0" fontId="8" fillId="0" borderId="186" xfId="0" applyFont="1" applyBorder="1" applyAlignment="1" applyProtection="1">
      <alignment horizontal="left" vertical="center" wrapText="1"/>
      <protection hidden="1"/>
    </xf>
    <xf numFmtId="0" fontId="8" fillId="0" borderId="352" xfId="0" applyFont="1" applyBorder="1" applyAlignment="1" applyProtection="1">
      <alignment horizontal="left" vertical="center" wrapText="1"/>
      <protection hidden="1"/>
    </xf>
    <xf numFmtId="0" fontId="8" fillId="0" borderId="354" xfId="0" applyFont="1" applyBorder="1" applyAlignment="1" applyProtection="1">
      <alignment horizontal="left" vertical="center" wrapText="1"/>
      <protection hidden="1"/>
    </xf>
    <xf numFmtId="0" fontId="8" fillId="0" borderId="410" xfId="0" applyFont="1" applyBorder="1" applyAlignment="1" applyProtection="1">
      <alignment horizontal="left" vertical="center" wrapText="1"/>
      <protection hidden="1"/>
    </xf>
    <xf numFmtId="0" fontId="8" fillId="0" borderId="183" xfId="0" applyFont="1" applyBorder="1" applyAlignment="1" applyProtection="1">
      <alignment horizontal="left" vertical="center" wrapText="1"/>
      <protection hidden="1"/>
    </xf>
    <xf numFmtId="0" fontId="8" fillId="0" borderId="296" xfId="0" applyFont="1" applyBorder="1" applyAlignment="1" applyProtection="1">
      <alignment horizontal="left" vertical="center" wrapText="1"/>
      <protection hidden="1"/>
    </xf>
    <xf numFmtId="0" fontId="10" fillId="0" borderId="183" xfId="0" applyFont="1" applyBorder="1" applyAlignment="1" applyProtection="1">
      <alignment horizontal="center" vertical="center"/>
      <protection hidden="1"/>
    </xf>
    <xf numFmtId="1" fontId="10" fillId="0" borderId="183" xfId="0" applyNumberFormat="1" applyFont="1" applyBorder="1" applyAlignment="1" applyProtection="1">
      <alignment horizontal="center" vertical="center"/>
      <protection hidden="1"/>
    </xf>
    <xf numFmtId="0" fontId="10" fillId="0" borderId="296" xfId="0" applyFont="1" applyBorder="1" applyAlignment="1" applyProtection="1">
      <alignment horizontal="center" vertical="center"/>
      <protection hidden="1"/>
    </xf>
    <xf numFmtId="164" fontId="81" fillId="0" borderId="0" xfId="0" applyNumberFormat="1" applyFont="1" applyAlignment="1" applyProtection="1">
      <alignment horizontal="center"/>
      <protection hidden="1"/>
    </xf>
    <xf numFmtId="164" fontId="81" fillId="0" borderId="185" xfId="0" applyNumberFormat="1" applyFont="1" applyBorder="1" applyAlignment="1" applyProtection="1">
      <alignment horizontal="center"/>
      <protection hidden="1"/>
    </xf>
    <xf numFmtId="164" fontId="81" fillId="0" borderId="245" xfId="0" applyNumberFormat="1" applyFont="1" applyBorder="1" applyAlignment="1" applyProtection="1">
      <alignment horizontal="center"/>
      <protection hidden="1"/>
    </xf>
    <xf numFmtId="0" fontId="38" fillId="0" borderId="183" xfId="0" applyFont="1" applyBorder="1" applyAlignment="1" applyProtection="1">
      <alignment horizontal="center" vertical="center"/>
      <protection hidden="1"/>
    </xf>
    <xf numFmtId="0" fontId="38" fillId="0" borderId="523" xfId="0" applyFont="1" applyBorder="1" applyAlignment="1" applyProtection="1">
      <alignment horizontal="center" vertical="center"/>
      <protection hidden="1"/>
    </xf>
    <xf numFmtId="0" fontId="38" fillId="0" borderId="321" xfId="0" applyFont="1" applyBorder="1" applyAlignment="1" applyProtection="1">
      <alignment horizontal="center" vertical="center"/>
      <protection hidden="1"/>
    </xf>
    <xf numFmtId="0" fontId="38" fillId="0" borderId="410" xfId="0" applyFont="1" applyBorder="1" applyAlignment="1" applyProtection="1">
      <alignment horizontal="center" vertical="center"/>
      <protection hidden="1"/>
    </xf>
    <xf numFmtId="0" fontId="38" fillId="0" borderId="524" xfId="0" applyFont="1" applyBorder="1" applyAlignment="1" applyProtection="1">
      <alignment horizontal="center" vertical="center"/>
      <protection hidden="1"/>
    </xf>
    <xf numFmtId="0" fontId="38" fillId="0" borderId="522" xfId="0" applyFont="1" applyBorder="1" applyAlignment="1" applyProtection="1">
      <alignment horizontal="center" vertical="center"/>
      <protection hidden="1"/>
    </xf>
    <xf numFmtId="1" fontId="86" fillId="0" borderId="183" xfId="0" applyNumberFormat="1" applyFont="1" applyBorder="1" applyAlignment="1" applyProtection="1">
      <alignment horizontal="center" vertical="center"/>
      <protection hidden="1"/>
    </xf>
    <xf numFmtId="1" fontId="86" fillId="0" borderId="524" xfId="0" applyNumberFormat="1" applyFont="1" applyBorder="1" applyAlignment="1" applyProtection="1">
      <alignment horizontal="center" vertical="center"/>
      <protection hidden="1"/>
    </xf>
    <xf numFmtId="1" fontId="86" fillId="0" borderId="296" xfId="0" applyNumberFormat="1" applyFont="1" applyBorder="1" applyAlignment="1" applyProtection="1">
      <alignment horizontal="center" vertical="center"/>
      <protection hidden="1"/>
    </xf>
    <xf numFmtId="1" fontId="86" fillId="0" borderId="410" xfId="0" applyNumberFormat="1" applyFont="1" applyBorder="1" applyAlignment="1" applyProtection="1">
      <alignment horizontal="center" vertical="center"/>
      <protection hidden="1"/>
    </xf>
    <xf numFmtId="1" fontId="86" fillId="0" borderId="522" xfId="0" applyNumberFormat="1" applyFont="1" applyBorder="1" applyAlignment="1" applyProtection="1">
      <alignment horizontal="center" vertical="center"/>
      <protection hidden="1"/>
    </xf>
    <xf numFmtId="0" fontId="83" fillId="0" borderId="242" xfId="0" applyFont="1" applyBorder="1" applyAlignment="1" applyProtection="1">
      <alignment horizontal="center" vertical="center" wrapText="1"/>
      <protection hidden="1"/>
    </xf>
    <xf numFmtId="0" fontId="84" fillId="0" borderId="242" xfId="0" applyFont="1" applyBorder="1" applyAlignment="1" applyProtection="1">
      <alignment horizontal="center" vertical="center" wrapText="1"/>
      <protection hidden="1"/>
    </xf>
    <xf numFmtId="0" fontId="84" fillId="0" borderId="243" xfId="0" applyFont="1" applyBorder="1" applyAlignment="1" applyProtection="1">
      <alignment horizontal="center" vertical="center" wrapText="1"/>
      <protection hidden="1"/>
    </xf>
    <xf numFmtId="0" fontId="22" fillId="0" borderId="0" xfId="0" applyFont="1" applyAlignment="1" applyProtection="1">
      <alignment horizontal="center" vertical="center" wrapText="1"/>
      <protection hidden="1"/>
    </xf>
    <xf numFmtId="0" fontId="22" fillId="0" borderId="245" xfId="0" applyFont="1" applyBorder="1" applyAlignment="1" applyProtection="1">
      <alignment horizontal="center" vertical="center" wrapText="1"/>
      <protection hidden="1"/>
    </xf>
    <xf numFmtId="0" fontId="2" fillId="0" borderId="352" xfId="0" applyFont="1" applyBorder="1" applyAlignment="1" applyProtection="1">
      <alignment horizontal="center"/>
      <protection hidden="1"/>
    </xf>
    <xf numFmtId="0" fontId="2" fillId="0" borderId="257" xfId="0" applyFont="1" applyBorder="1" applyAlignment="1" applyProtection="1">
      <alignment horizontal="center"/>
      <protection hidden="1"/>
    </xf>
    <xf numFmtId="0" fontId="1" fillId="0" borderId="522" xfId="0" applyFont="1" applyBorder="1" applyAlignment="1" applyProtection="1">
      <alignment horizontal="center" vertical="center"/>
      <protection hidden="1"/>
    </xf>
    <xf numFmtId="0" fontId="8" fillId="0" borderId="524" xfId="0" applyFont="1" applyBorder="1" applyAlignment="1" applyProtection="1">
      <alignment horizontal="center" vertical="center" wrapText="1"/>
      <protection hidden="1"/>
    </xf>
    <xf numFmtId="0" fontId="8" fillId="0" borderId="183" xfId="0" applyFont="1" applyBorder="1" applyAlignment="1" applyProtection="1">
      <alignment horizontal="center" vertical="center" wrapText="1"/>
      <protection hidden="1"/>
    </xf>
    <xf numFmtId="0" fontId="8" fillId="0" borderId="136" xfId="0" applyFont="1" applyBorder="1" applyAlignment="1" applyProtection="1">
      <alignment horizontal="center" vertical="center"/>
      <protection hidden="1"/>
    </xf>
    <xf numFmtId="0" fontId="8" fillId="0" borderId="63" xfId="0" applyFont="1" applyBorder="1" applyAlignment="1" applyProtection="1">
      <alignment horizontal="center" vertical="center"/>
      <protection hidden="1"/>
    </xf>
    <xf numFmtId="0" fontId="8" fillId="0" borderId="26" xfId="0" applyFont="1" applyBorder="1" applyAlignment="1" applyProtection="1">
      <alignment horizontal="center" vertical="center"/>
      <protection hidden="1"/>
    </xf>
    <xf numFmtId="0" fontId="8" fillId="0" borderId="494" xfId="0" applyFont="1" applyBorder="1" applyAlignment="1" applyProtection="1">
      <alignment horizontal="center" vertical="center"/>
      <protection hidden="1"/>
    </xf>
    <xf numFmtId="0" fontId="8" fillId="0" borderId="525" xfId="0" applyFont="1" applyBorder="1" applyAlignment="1" applyProtection="1">
      <alignment horizontal="center" vertical="center"/>
      <protection hidden="1"/>
    </xf>
    <xf numFmtId="0" fontId="8" fillId="0" borderId="27" xfId="0" applyFont="1" applyBorder="1" applyAlignment="1" applyProtection="1">
      <alignment horizontal="center" vertical="center"/>
      <protection hidden="1"/>
    </xf>
    <xf numFmtId="1" fontId="2" fillId="0" borderId="26" xfId="0" applyNumberFormat="1" applyFont="1" applyBorder="1" applyAlignment="1" applyProtection="1">
      <alignment horizontal="center" vertical="center"/>
      <protection hidden="1"/>
    </xf>
    <xf numFmtId="1" fontId="2" fillId="0" borderId="64" xfId="0" applyNumberFormat="1" applyFont="1" applyBorder="1" applyAlignment="1" applyProtection="1">
      <alignment horizontal="center" vertical="center"/>
      <protection hidden="1"/>
    </xf>
    <xf numFmtId="0" fontId="2" fillId="0" borderId="74" xfId="0" applyFont="1" applyBorder="1" applyAlignment="1" applyProtection="1">
      <alignment horizontal="center" vertical="center"/>
      <protection hidden="1"/>
    </xf>
    <xf numFmtId="0" fontId="2" fillId="0" borderId="71" xfId="0" applyFont="1" applyBorder="1" applyAlignment="1" applyProtection="1">
      <alignment horizontal="center" vertical="center"/>
      <protection hidden="1"/>
    </xf>
    <xf numFmtId="0" fontId="2" fillId="0" borderId="30" xfId="0" applyFont="1" applyBorder="1" applyAlignment="1" applyProtection="1">
      <alignment horizontal="center" vertical="center"/>
      <protection hidden="1"/>
    </xf>
    <xf numFmtId="0" fontId="2" fillId="0" borderId="28" xfId="0" applyFont="1" applyBorder="1" applyAlignment="1" applyProtection="1">
      <alignment horizontal="center" vertical="center"/>
      <protection hidden="1"/>
    </xf>
    <xf numFmtId="0" fontId="8" fillId="0" borderId="14" xfId="0" applyFont="1" applyBorder="1" applyAlignment="1" applyProtection="1">
      <alignment horizontal="center" vertical="center"/>
      <protection hidden="1"/>
    </xf>
    <xf numFmtId="1" fontId="2" fillId="0" borderId="29" xfId="0" applyNumberFormat="1" applyFont="1" applyBorder="1" applyAlignment="1" applyProtection="1">
      <alignment horizontal="center" vertical="center"/>
      <protection hidden="1"/>
    </xf>
    <xf numFmtId="1" fontId="2" fillId="0" borderId="67" xfId="0" applyNumberFormat="1" applyFont="1" applyBorder="1" applyAlignment="1" applyProtection="1">
      <alignment horizontal="center" vertical="center"/>
      <protection hidden="1"/>
    </xf>
    <xf numFmtId="49" fontId="3" fillId="0" borderId="261" xfId="0" applyNumberFormat="1" applyFont="1" applyBorder="1" applyAlignment="1" applyProtection="1">
      <alignment horizontal="center" vertical="center" wrapText="1"/>
      <protection hidden="1"/>
    </xf>
    <xf numFmtId="49" fontId="3" fillId="0" borderId="496" xfId="0" applyNumberFormat="1" applyFont="1" applyBorder="1" applyAlignment="1" applyProtection="1">
      <alignment horizontal="center" vertical="center" wrapText="1"/>
      <protection hidden="1"/>
    </xf>
    <xf numFmtId="49" fontId="3" fillId="0" borderId="185" xfId="0" applyNumberFormat="1" applyFont="1" applyBorder="1" applyAlignment="1" applyProtection="1">
      <alignment horizontal="center" vertical="center" wrapText="1"/>
      <protection hidden="1"/>
    </xf>
    <xf numFmtId="49" fontId="3" fillId="0" borderId="42" xfId="0" applyNumberFormat="1" applyFont="1" applyBorder="1" applyAlignment="1" applyProtection="1">
      <alignment horizontal="center" vertical="center" wrapText="1"/>
      <protection hidden="1"/>
    </xf>
    <xf numFmtId="49" fontId="3" fillId="0" borderId="186" xfId="0" applyNumberFormat="1" applyFont="1" applyBorder="1" applyAlignment="1" applyProtection="1">
      <alignment horizontal="center" vertical="center" wrapText="1"/>
      <protection hidden="1"/>
    </xf>
    <xf numFmtId="49" fontId="3" fillId="0" borderId="528" xfId="0" applyNumberFormat="1" applyFont="1" applyBorder="1" applyAlignment="1" applyProtection="1">
      <alignment horizontal="center" vertical="center" wrapText="1"/>
      <protection hidden="1"/>
    </xf>
    <xf numFmtId="49" fontId="3" fillId="0" borderId="497" xfId="0" applyNumberFormat="1" applyFont="1" applyBorder="1" applyAlignment="1" applyProtection="1">
      <alignment horizontal="center" vertical="center"/>
      <protection hidden="1"/>
    </xf>
    <xf numFmtId="49" fontId="3" fillId="0" borderId="46" xfId="0" applyNumberFormat="1" applyFont="1" applyBorder="1" applyAlignment="1" applyProtection="1">
      <alignment horizontal="center" vertical="center"/>
      <protection hidden="1"/>
    </xf>
    <xf numFmtId="49" fontId="3" fillId="0" borderId="48" xfId="0" applyNumberFormat="1" applyFont="1" applyBorder="1" applyAlignment="1" applyProtection="1">
      <alignment horizontal="center" vertical="center"/>
      <protection hidden="1"/>
    </xf>
    <xf numFmtId="0" fontId="3" fillId="0" borderId="497" xfId="0" applyFont="1" applyBorder="1" applyAlignment="1" applyProtection="1">
      <alignment horizontal="center" vertical="center"/>
      <protection hidden="1"/>
    </xf>
    <xf numFmtId="0" fontId="3" fillId="0" borderId="526" xfId="0" applyFont="1" applyBorder="1" applyAlignment="1" applyProtection="1">
      <alignment horizontal="center" vertical="center"/>
      <protection hidden="1"/>
    </xf>
    <xf numFmtId="0" fontId="3" fillId="0" borderId="46" xfId="0" applyFont="1" applyBorder="1" applyAlignment="1" applyProtection="1">
      <alignment horizontal="center" vertical="center"/>
      <protection hidden="1"/>
    </xf>
    <xf numFmtId="0" fontId="3" fillId="0" borderId="527" xfId="0" applyFont="1" applyBorder="1" applyAlignment="1" applyProtection="1">
      <alignment horizontal="center" vertical="center"/>
      <protection hidden="1"/>
    </xf>
    <xf numFmtId="0" fontId="3" fillId="0" borderId="48" xfId="0" applyFont="1" applyBorder="1" applyAlignment="1" applyProtection="1">
      <alignment horizontal="center" vertical="center"/>
      <protection hidden="1"/>
    </xf>
    <xf numFmtId="0" fontId="3" fillId="0" borderId="529" xfId="0" applyFont="1" applyBorder="1" applyAlignment="1" applyProtection="1">
      <alignment horizontal="center" vertical="center"/>
      <protection hidden="1"/>
    </xf>
    <xf numFmtId="0" fontId="8" fillId="0" borderId="16" xfId="0" applyFont="1" applyBorder="1" applyAlignment="1" applyProtection="1">
      <alignment horizontal="center" vertical="center"/>
      <protection hidden="1"/>
    </xf>
    <xf numFmtId="1" fontId="2" fillId="0" borderId="30" xfId="0" applyNumberFormat="1" applyFont="1" applyBorder="1" applyAlignment="1" applyProtection="1">
      <alignment horizontal="center" vertical="center"/>
      <protection hidden="1"/>
    </xf>
    <xf numFmtId="1" fontId="2" fillId="0" borderId="72" xfId="0" applyNumberFormat="1" applyFont="1" applyBorder="1" applyAlignment="1" applyProtection="1">
      <alignment horizontal="center" vertical="center"/>
      <protection hidden="1"/>
    </xf>
    <xf numFmtId="0" fontId="37" fillId="0" borderId="0" xfId="0" applyFont="1" applyAlignment="1" applyProtection="1">
      <alignment horizontal="center" vertical="center"/>
      <protection hidden="1"/>
    </xf>
    <xf numFmtId="0" fontId="37" fillId="0" borderId="245" xfId="0" applyFont="1" applyBorder="1" applyAlignment="1" applyProtection="1">
      <alignment horizontal="center" vertical="center"/>
      <protection hidden="1"/>
    </xf>
    <xf numFmtId="0" fontId="2" fillId="0" borderId="530" xfId="0" applyFont="1" applyBorder="1" applyAlignment="1" applyProtection="1">
      <alignment horizontal="center" vertical="center"/>
      <protection hidden="1"/>
    </xf>
    <xf numFmtId="0" fontId="70" fillId="0" borderId="410" xfId="0" applyFont="1" applyBorder="1" applyAlignment="1" applyProtection="1">
      <alignment horizontal="left" vertical="center"/>
      <protection hidden="1"/>
    </xf>
    <xf numFmtId="0" fontId="70" fillId="0" borderId="183" xfId="0" applyFont="1" applyBorder="1" applyAlignment="1" applyProtection="1">
      <alignment horizontal="left" vertical="center"/>
      <protection hidden="1"/>
    </xf>
    <xf numFmtId="0" fontId="70" fillId="0" borderId="296" xfId="0" applyFont="1" applyBorder="1" applyAlignment="1" applyProtection="1">
      <alignment horizontal="left" vertical="center"/>
      <protection hidden="1"/>
    </xf>
    <xf numFmtId="0" fontId="2" fillId="0" borderId="410" xfId="0" applyFont="1" applyBorder="1" applyAlignment="1" applyProtection="1">
      <alignment horizontal="left" vertical="top"/>
      <protection hidden="1"/>
    </xf>
    <xf numFmtId="0" fontId="2" fillId="0" borderId="183" xfId="0" applyFont="1" applyBorder="1" applyAlignment="1" applyProtection="1">
      <alignment horizontal="left" vertical="top"/>
      <protection hidden="1"/>
    </xf>
    <xf numFmtId="0" fontId="2" fillId="0" borderId="296" xfId="0" applyFont="1" applyBorder="1" applyAlignment="1" applyProtection="1">
      <alignment horizontal="left" vertical="top"/>
      <protection hidden="1"/>
    </xf>
    <xf numFmtId="3" fontId="8" fillId="0" borderId="410" xfId="0" applyNumberFormat="1" applyFont="1" applyBorder="1" applyAlignment="1" applyProtection="1">
      <alignment horizontal="center" vertical="center"/>
      <protection hidden="1"/>
    </xf>
    <xf numFmtId="3" fontId="8" fillId="0" borderId="296" xfId="0" applyNumberFormat="1" applyFont="1" applyBorder="1" applyAlignment="1" applyProtection="1">
      <alignment horizontal="center" vertical="center"/>
      <protection hidden="1"/>
    </xf>
    <xf numFmtId="0" fontId="1" fillId="0" borderId="491" xfId="0" applyFont="1" applyBorder="1" applyAlignment="1" applyProtection="1">
      <alignment horizontal="center" vertical="center"/>
      <protection hidden="1"/>
    </xf>
    <xf numFmtId="0" fontId="1" fillId="0" borderId="519" xfId="0" applyFont="1" applyBorder="1" applyAlignment="1" applyProtection="1">
      <alignment horizontal="center" vertical="center"/>
      <protection hidden="1"/>
    </xf>
    <xf numFmtId="0" fontId="2" fillId="0" borderId="261" xfId="0" applyFont="1" applyBorder="1" applyAlignment="1" applyProtection="1">
      <alignment horizontal="left" vertical="top" wrapText="1"/>
      <protection hidden="1"/>
    </xf>
    <xf numFmtId="0" fontId="2" fillId="0" borderId="209" xfId="0" applyFont="1" applyBorder="1" applyAlignment="1" applyProtection="1">
      <alignment horizontal="left" vertical="top" wrapText="1"/>
      <protection hidden="1"/>
    </xf>
    <xf numFmtId="0" fontId="2" fillId="0" borderId="210" xfId="0" applyFont="1" applyBorder="1" applyAlignment="1" applyProtection="1">
      <alignment horizontal="left" vertical="top" wrapText="1"/>
      <protection hidden="1"/>
    </xf>
    <xf numFmtId="0" fontId="2" fillId="0" borderId="186" xfId="0" applyFont="1" applyBorder="1" applyAlignment="1" applyProtection="1">
      <alignment horizontal="left" vertical="top" wrapText="1"/>
      <protection hidden="1"/>
    </xf>
    <xf numFmtId="0" fontId="2" fillId="0" borderId="352" xfId="0" applyFont="1" applyBorder="1" applyAlignment="1" applyProtection="1">
      <alignment horizontal="left" vertical="top" wrapText="1"/>
      <protection hidden="1"/>
    </xf>
    <xf numFmtId="0" fontId="2" fillId="0" borderId="354" xfId="0" applyFont="1" applyBorder="1" applyAlignment="1" applyProtection="1">
      <alignment horizontal="left" vertical="top" wrapText="1"/>
      <protection hidden="1"/>
    </xf>
    <xf numFmtId="3" fontId="8" fillId="0" borderId="261" xfId="0" applyNumberFormat="1" applyFont="1" applyBorder="1" applyAlignment="1" applyProtection="1">
      <alignment horizontal="center" vertical="center"/>
      <protection hidden="1"/>
    </xf>
    <xf numFmtId="3" fontId="8" fillId="0" borderId="210" xfId="0" applyNumberFormat="1" applyFont="1" applyBorder="1" applyAlignment="1" applyProtection="1">
      <alignment horizontal="center" vertical="center"/>
      <protection hidden="1"/>
    </xf>
    <xf numFmtId="3" fontId="8" fillId="0" borderId="186" xfId="0" applyNumberFormat="1" applyFont="1" applyBorder="1" applyAlignment="1" applyProtection="1">
      <alignment horizontal="center" vertical="center"/>
      <protection hidden="1"/>
    </xf>
    <xf numFmtId="3" fontId="8" fillId="0" borderId="354" xfId="0" applyNumberFormat="1" applyFont="1" applyBorder="1" applyAlignment="1" applyProtection="1">
      <alignment horizontal="center" vertical="center"/>
      <protection hidden="1"/>
    </xf>
    <xf numFmtId="0" fontId="21" fillId="0" borderId="321" xfId="0" applyFont="1" applyBorder="1" applyAlignment="1" applyProtection="1">
      <alignment horizontal="center" vertical="center"/>
      <protection hidden="1"/>
    </xf>
    <xf numFmtId="3" fontId="69" fillId="0" borderId="410" xfId="0" applyNumberFormat="1" applyFont="1" applyBorder="1" applyAlignment="1" applyProtection="1">
      <alignment horizontal="center" vertical="center"/>
      <protection hidden="1"/>
    </xf>
    <xf numFmtId="3" fontId="69" fillId="0" borderId="296" xfId="0" applyNumberFormat="1" applyFont="1" applyBorder="1" applyAlignment="1" applyProtection="1">
      <alignment horizontal="center" vertical="center"/>
      <protection hidden="1"/>
    </xf>
    <xf numFmtId="0" fontId="87" fillId="0" borderId="352" xfId="0" applyFont="1" applyBorder="1" applyAlignment="1" applyProtection="1">
      <alignment horizontal="right" vertical="center"/>
      <protection hidden="1"/>
    </xf>
    <xf numFmtId="3" fontId="1" fillId="0" borderId="410" xfId="0" applyNumberFormat="1" applyFont="1" applyBorder="1" applyAlignment="1" applyProtection="1">
      <alignment horizontal="center" vertical="center"/>
      <protection hidden="1"/>
    </xf>
    <xf numFmtId="3" fontId="1" fillId="0" borderId="183" xfId="0" applyNumberFormat="1" applyFont="1" applyBorder="1" applyAlignment="1" applyProtection="1">
      <alignment horizontal="center" vertical="center"/>
      <protection hidden="1"/>
    </xf>
    <xf numFmtId="3" fontId="1" fillId="0" borderId="296" xfId="0" applyNumberFormat="1" applyFont="1" applyBorder="1" applyAlignment="1" applyProtection="1">
      <alignment horizontal="center" vertical="center"/>
      <protection hidden="1"/>
    </xf>
    <xf numFmtId="3" fontId="1" fillId="0" borderId="410" xfId="0" applyNumberFormat="1" applyFont="1" applyBorder="1" applyAlignment="1" applyProtection="1">
      <alignment horizontal="left" vertical="center"/>
      <protection hidden="1"/>
    </xf>
    <xf numFmtId="3" fontId="1" fillId="0" borderId="183" xfId="0" applyNumberFormat="1" applyFont="1" applyBorder="1" applyAlignment="1" applyProtection="1">
      <alignment horizontal="left" vertical="center"/>
      <protection hidden="1"/>
    </xf>
    <xf numFmtId="3" fontId="1" fillId="0" borderId="296" xfId="0" applyNumberFormat="1" applyFont="1" applyBorder="1" applyAlignment="1" applyProtection="1">
      <alignment horizontal="left" vertical="center"/>
      <protection hidden="1"/>
    </xf>
    <xf numFmtId="3" fontId="2" fillId="0" borderId="321" xfId="0" applyNumberFormat="1" applyFont="1" applyBorder="1" applyAlignment="1" applyProtection="1">
      <alignment horizontal="center" vertical="center" wrapText="1"/>
      <protection hidden="1"/>
    </xf>
    <xf numFmtId="3" fontId="3" fillId="0" borderId="410" xfId="0" applyNumberFormat="1" applyFont="1" applyBorder="1" applyAlignment="1" applyProtection="1">
      <alignment horizontal="center" vertical="center"/>
      <protection hidden="1"/>
    </xf>
    <xf numFmtId="3" fontId="3" fillId="0" borderId="183" xfId="0" applyNumberFormat="1" applyFont="1" applyBorder="1" applyAlignment="1" applyProtection="1">
      <alignment horizontal="center" vertical="center"/>
      <protection hidden="1"/>
    </xf>
    <xf numFmtId="3" fontId="3" fillId="0" borderId="296" xfId="0" applyNumberFormat="1" applyFont="1" applyBorder="1" applyAlignment="1" applyProtection="1">
      <alignment horizontal="center" vertical="center"/>
      <protection hidden="1"/>
    </xf>
    <xf numFmtId="0" fontId="8" fillId="0" borderId="261" xfId="0" applyFont="1" applyBorder="1" applyAlignment="1" applyProtection="1">
      <alignment horizontal="center" vertical="center"/>
      <protection locked="0"/>
    </xf>
    <xf numFmtId="0" fontId="8" fillId="0" borderId="210" xfId="0" applyFont="1" applyBorder="1" applyAlignment="1" applyProtection="1">
      <alignment horizontal="center" vertical="center"/>
      <protection locked="0"/>
    </xf>
    <xf numFmtId="0" fontId="8" fillId="0" borderId="185" xfId="0" applyFont="1" applyBorder="1" applyAlignment="1" applyProtection="1">
      <alignment horizontal="center" vertical="center"/>
      <protection locked="0"/>
    </xf>
    <xf numFmtId="0" fontId="8" fillId="0" borderId="520" xfId="0" applyFont="1" applyBorder="1" applyAlignment="1" applyProtection="1">
      <alignment horizontal="center" vertical="center"/>
      <protection locked="0"/>
    </xf>
    <xf numFmtId="0" fontId="8" fillId="0" borderId="186" xfId="0" applyFont="1" applyBorder="1" applyAlignment="1" applyProtection="1">
      <alignment horizontal="center" vertical="center"/>
      <protection locked="0"/>
    </xf>
    <xf numFmtId="0" fontId="8" fillId="0" borderId="354" xfId="0" applyFont="1" applyBorder="1" applyAlignment="1" applyProtection="1">
      <alignment horizontal="center" vertical="center"/>
      <protection locked="0"/>
    </xf>
    <xf numFmtId="0" fontId="1" fillId="0" borderId="598" xfId="0" applyFont="1" applyBorder="1" applyAlignment="1" applyProtection="1">
      <alignment horizontal="left" vertical="center"/>
      <protection hidden="1"/>
    </xf>
    <xf numFmtId="0" fontId="1" fillId="0" borderId="352" xfId="0" applyFont="1" applyBorder="1" applyAlignment="1" applyProtection="1">
      <alignment horizontal="left" vertical="center"/>
      <protection hidden="1"/>
    </xf>
    <xf numFmtId="0" fontId="1" fillId="0" borderId="354" xfId="0" applyFont="1" applyBorder="1" applyAlignment="1" applyProtection="1">
      <alignment horizontal="left" vertical="center"/>
      <protection hidden="1"/>
    </xf>
    <xf numFmtId="164" fontId="85" fillId="12" borderId="0" xfId="0" applyNumberFormat="1" applyFont="1" applyFill="1" applyAlignment="1" applyProtection="1">
      <alignment horizontal="center"/>
      <protection hidden="1"/>
    </xf>
    <xf numFmtId="172" fontId="85" fillId="12" borderId="0" xfId="0" applyNumberFormat="1" applyFont="1" applyFill="1" applyAlignment="1" applyProtection="1">
      <alignment horizontal="center"/>
      <protection hidden="1"/>
    </xf>
    <xf numFmtId="0" fontId="8" fillId="12" borderId="6" xfId="0" applyFont="1" applyFill="1" applyBorder="1" applyAlignment="1" applyProtection="1">
      <alignment horizontal="center"/>
      <protection hidden="1"/>
    </xf>
    <xf numFmtId="0" fontId="8" fillId="12" borderId="0" xfId="0" applyFont="1" applyFill="1" applyAlignment="1" applyProtection="1">
      <alignment horizontal="center"/>
      <protection hidden="1"/>
    </xf>
    <xf numFmtId="0" fontId="3" fillId="0" borderId="6" xfId="0" applyFont="1" applyBorder="1" applyAlignment="1" applyProtection="1">
      <alignment horizontal="center"/>
      <protection hidden="1"/>
    </xf>
    <xf numFmtId="0" fontId="3" fillId="0" borderId="0" xfId="0" applyFont="1" applyAlignment="1" applyProtection="1">
      <alignment horizontal="center"/>
      <protection hidden="1"/>
    </xf>
    <xf numFmtId="0" fontId="3" fillId="0" borderId="4" xfId="0" applyFont="1" applyBorder="1" applyAlignment="1" applyProtection="1">
      <alignment horizontal="center"/>
      <protection hidden="1"/>
    </xf>
    <xf numFmtId="0" fontId="38" fillId="0" borderId="6" xfId="0" applyFont="1" applyBorder="1" applyAlignment="1" applyProtection="1">
      <alignment horizontal="center"/>
      <protection hidden="1"/>
    </xf>
    <xf numFmtId="0" fontId="38" fillId="0" borderId="0" xfId="0" applyFont="1" applyAlignment="1" applyProtection="1">
      <alignment horizontal="center"/>
      <protection hidden="1"/>
    </xf>
    <xf numFmtId="0" fontId="38" fillId="0" borderId="4" xfId="0" applyFont="1" applyBorder="1" applyAlignment="1" applyProtection="1">
      <alignment horizontal="center"/>
      <protection hidden="1"/>
    </xf>
    <xf numFmtId="0" fontId="22" fillId="0" borderId="602" xfId="0" applyFont="1" applyBorder="1" applyAlignment="1" applyProtection="1">
      <alignment horizontal="center" vertical="center"/>
      <protection hidden="1"/>
    </xf>
    <xf numFmtId="0" fontId="22" fillId="0" borderId="44" xfId="0" applyFont="1" applyBorder="1" applyAlignment="1" applyProtection="1">
      <alignment horizontal="center" vertical="center"/>
      <protection hidden="1"/>
    </xf>
    <xf numFmtId="0" fontId="22" fillId="0" borderId="42" xfId="0" applyFont="1" applyBorder="1" applyAlignment="1" applyProtection="1">
      <alignment horizontal="center" vertical="center"/>
      <protection hidden="1"/>
    </xf>
    <xf numFmtId="0" fontId="22" fillId="0" borderId="604" xfId="0" applyFont="1" applyBorder="1" applyAlignment="1" applyProtection="1">
      <alignment horizontal="center" vertical="center"/>
      <protection hidden="1"/>
    </xf>
    <xf numFmtId="0" fontId="22" fillId="0" borderId="46" xfId="0" applyFont="1" applyBorder="1" applyAlignment="1" applyProtection="1">
      <alignment horizontal="center" vertical="center"/>
      <protection hidden="1"/>
    </xf>
    <xf numFmtId="0" fontId="22" fillId="0" borderId="139" xfId="0" applyFont="1" applyBorder="1" applyAlignment="1" applyProtection="1">
      <alignment horizontal="center" vertical="center"/>
      <protection hidden="1"/>
    </xf>
    <xf numFmtId="0" fontId="22" fillId="0" borderId="48" xfId="0" applyFont="1" applyBorder="1" applyAlignment="1" applyProtection="1">
      <alignment horizontal="center" vertical="center"/>
      <protection hidden="1"/>
    </xf>
    <xf numFmtId="0" fontId="22" fillId="0" borderId="28" xfId="0" applyFont="1" applyBorder="1" applyAlignment="1" applyProtection="1">
      <alignment horizontal="center" vertical="center"/>
      <protection hidden="1"/>
    </xf>
    <xf numFmtId="0" fontId="22" fillId="0" borderId="528" xfId="0" applyFont="1" applyBorder="1" applyAlignment="1" applyProtection="1">
      <alignment horizontal="center" vertical="center"/>
      <protection hidden="1"/>
    </xf>
    <xf numFmtId="0" fontId="22" fillId="0" borderId="140" xfId="0" applyFont="1" applyBorder="1" applyAlignment="1" applyProtection="1">
      <alignment horizontal="center" vertical="center"/>
      <protection hidden="1"/>
    </xf>
    <xf numFmtId="0" fontId="2" fillId="0" borderId="185" xfId="0" applyFont="1" applyBorder="1" applyAlignment="1" applyProtection="1">
      <alignment horizontal="left" vertical="center"/>
      <protection hidden="1"/>
    </xf>
    <xf numFmtId="0" fontId="14" fillId="0" borderId="185" xfId="0" applyFont="1" applyBorder="1" applyAlignment="1" applyProtection="1">
      <alignment vertical="center"/>
      <protection hidden="1"/>
    </xf>
    <xf numFmtId="0" fontId="14" fillId="0" borderId="0" xfId="0" applyFont="1" applyAlignment="1" applyProtection="1">
      <alignment vertical="center"/>
      <protection hidden="1"/>
    </xf>
    <xf numFmtId="0" fontId="1" fillId="0" borderId="185" xfId="0" applyFont="1" applyBorder="1" applyAlignment="1" applyProtection="1">
      <alignment horizontal="left" vertical="center"/>
      <protection hidden="1"/>
    </xf>
    <xf numFmtId="0" fontId="1" fillId="0" borderId="0" xfId="0" applyFont="1" applyAlignment="1" applyProtection="1">
      <alignment horizontal="left" vertical="center"/>
      <protection hidden="1"/>
    </xf>
    <xf numFmtId="0" fontId="14" fillId="0" borderId="0" xfId="0" applyFont="1" applyAlignment="1" applyProtection="1">
      <alignment horizontal="left" vertical="center"/>
      <protection hidden="1"/>
    </xf>
    <xf numFmtId="0" fontId="2" fillId="0" borderId="520" xfId="0" applyFont="1" applyBorder="1" applyAlignment="1" applyProtection="1">
      <alignment horizontal="left" vertical="center"/>
      <protection hidden="1"/>
    </xf>
    <xf numFmtId="0" fontId="20" fillId="0" borderId="26" xfId="0" applyFont="1" applyBorder="1" applyAlignment="1" applyProtection="1">
      <alignment vertical="center"/>
      <protection hidden="1"/>
    </xf>
    <xf numFmtId="0" fontId="20" fillId="0" borderId="64" xfId="0" applyFont="1" applyBorder="1" applyAlignment="1" applyProtection="1">
      <alignment vertical="center"/>
      <protection hidden="1"/>
    </xf>
    <xf numFmtId="1" fontId="27" fillId="0" borderId="63" xfId="0" applyNumberFormat="1" applyFont="1" applyBorder="1" applyAlignment="1" applyProtection="1">
      <alignment horizontal="center" vertical="center"/>
      <protection hidden="1"/>
    </xf>
    <xf numFmtId="1" fontId="27" fillId="0" borderId="141" xfId="0" applyNumberFormat="1" applyFont="1" applyBorder="1" applyAlignment="1" applyProtection="1">
      <alignment horizontal="center" vertical="center"/>
      <protection hidden="1"/>
    </xf>
    <xf numFmtId="0" fontId="20" fillId="0" borderId="29" xfId="0" applyFont="1" applyBorder="1" applyAlignment="1" applyProtection="1">
      <alignment vertical="center"/>
      <protection hidden="1"/>
    </xf>
    <xf numFmtId="0" fontId="20" fillId="0" borderId="67" xfId="0" applyFont="1" applyBorder="1" applyAlignment="1" applyProtection="1">
      <alignment vertical="center"/>
      <protection hidden="1"/>
    </xf>
    <xf numFmtId="1" fontId="27" fillId="0" borderId="29" xfId="0" applyNumberFormat="1" applyFont="1" applyBorder="1" applyAlignment="1" applyProtection="1">
      <alignment horizontal="center" vertical="center"/>
      <protection hidden="1"/>
    </xf>
    <xf numFmtId="1" fontId="27" fillId="0" borderId="36" xfId="0" applyNumberFormat="1" applyFont="1" applyBorder="1" applyAlignment="1" applyProtection="1">
      <alignment horizontal="center" vertical="center"/>
      <protection hidden="1"/>
    </xf>
    <xf numFmtId="1" fontId="27" fillId="0" borderId="11" xfId="0" applyNumberFormat="1" applyFont="1" applyBorder="1" applyAlignment="1" applyProtection="1">
      <alignment horizontal="center" vertical="center"/>
      <protection hidden="1"/>
    </xf>
    <xf numFmtId="1" fontId="27" fillId="0" borderId="142" xfId="0" applyNumberFormat="1" applyFont="1" applyBorder="1" applyAlignment="1" applyProtection="1">
      <alignment horizontal="center" vertical="center"/>
      <protection hidden="1"/>
    </xf>
    <xf numFmtId="1" fontId="27" fillId="0" borderId="71" xfId="0" applyNumberFormat="1" applyFont="1" applyBorder="1" applyAlignment="1" applyProtection="1">
      <alignment horizontal="center" vertical="center"/>
      <protection hidden="1"/>
    </xf>
    <xf numFmtId="1" fontId="27" fillId="0" borderId="143" xfId="0" applyNumberFormat="1" applyFont="1" applyBorder="1" applyAlignment="1" applyProtection="1">
      <alignment horizontal="center" vertical="center"/>
      <protection hidden="1"/>
    </xf>
    <xf numFmtId="0" fontId="51" fillId="0" borderId="524" xfId="0" applyFont="1" applyBorder="1" applyAlignment="1" applyProtection="1">
      <alignment vertical="center"/>
      <protection hidden="1"/>
    </xf>
    <xf numFmtId="0" fontId="51" fillId="0" borderId="606" xfId="0" applyFont="1" applyBorder="1" applyAlignment="1" applyProtection="1">
      <alignment vertical="center"/>
      <protection hidden="1"/>
    </xf>
    <xf numFmtId="0" fontId="20" fillId="0" borderId="524" xfId="0" applyFont="1" applyBorder="1" applyAlignment="1" applyProtection="1">
      <alignment horizontal="center" vertical="center"/>
      <protection hidden="1"/>
    </xf>
    <xf numFmtId="0" fontId="20" fillId="0" borderId="600" xfId="0" applyFont="1" applyBorder="1" applyAlignment="1" applyProtection="1">
      <alignment horizontal="center" vertical="center"/>
      <protection hidden="1"/>
    </xf>
    <xf numFmtId="0" fontId="20" fillId="0" borderId="30" xfId="0" applyFont="1" applyBorder="1" applyAlignment="1" applyProtection="1">
      <alignment vertical="center"/>
      <protection hidden="1"/>
    </xf>
    <xf numFmtId="0" fontId="20" fillId="0" borderId="72" xfId="0" applyFont="1" applyBorder="1" applyAlignment="1" applyProtection="1">
      <alignment vertical="center"/>
      <protection hidden="1"/>
    </xf>
    <xf numFmtId="0" fontId="8" fillId="12" borderId="6" xfId="0" applyFont="1" applyFill="1" applyBorder="1" applyAlignment="1" applyProtection="1">
      <alignment horizontal="left" vertical="center" wrapText="1"/>
      <protection hidden="1"/>
    </xf>
    <xf numFmtId="0" fontId="8" fillId="12" borderId="0" xfId="0" applyFont="1" applyFill="1" applyAlignment="1" applyProtection="1">
      <alignment horizontal="left" vertical="center" wrapText="1"/>
      <protection hidden="1"/>
    </xf>
    <xf numFmtId="0" fontId="8" fillId="12" borderId="4" xfId="0" applyFont="1" applyFill="1" applyBorder="1" applyAlignment="1" applyProtection="1">
      <alignment horizontal="left" vertical="center" wrapText="1"/>
      <protection hidden="1"/>
    </xf>
    <xf numFmtId="164" fontId="1" fillId="12" borderId="0" xfId="0" applyNumberFormat="1" applyFont="1" applyFill="1" applyAlignment="1" applyProtection="1">
      <alignment horizontal="center"/>
      <protection hidden="1"/>
    </xf>
    <xf numFmtId="0" fontId="1" fillId="12" borderId="0" xfId="0" applyFont="1" applyFill="1" applyAlignment="1" applyProtection="1">
      <alignment horizontal="center"/>
      <protection hidden="1"/>
    </xf>
    <xf numFmtId="0" fontId="8" fillId="12" borderId="4" xfId="0" applyFont="1" applyFill="1" applyBorder="1" applyAlignment="1" applyProtection="1">
      <alignment horizontal="center"/>
      <protection hidden="1"/>
    </xf>
    <xf numFmtId="164" fontId="1" fillId="12" borderId="0" xfId="0" applyNumberFormat="1" applyFont="1" applyFill="1" applyAlignment="1" applyProtection="1">
      <alignment horizontal="center" vertical="center"/>
      <protection hidden="1"/>
    </xf>
    <xf numFmtId="0" fontId="8" fillId="12" borderId="0" xfId="0" applyFont="1" applyFill="1" applyAlignment="1" applyProtection="1">
      <alignment horizontal="center" vertical="center"/>
      <protection hidden="1"/>
    </xf>
    <xf numFmtId="0" fontId="61" fillId="12" borderId="0" xfId="0" applyFont="1" applyFill="1" applyAlignment="1" applyProtection="1">
      <alignment horizontal="center" vertical="center"/>
      <protection hidden="1"/>
    </xf>
    <xf numFmtId="0" fontId="61" fillId="12" borderId="4" xfId="0" applyFont="1" applyFill="1" applyBorder="1" applyAlignment="1" applyProtection="1">
      <alignment horizontal="center" vertical="center"/>
      <protection hidden="1"/>
    </xf>
    <xf numFmtId="1" fontId="8" fillId="12" borderId="6" xfId="0" applyNumberFormat="1" applyFont="1" applyFill="1" applyBorder="1" applyAlignment="1" applyProtection="1">
      <alignment horizontal="left" vertical="center"/>
      <protection hidden="1"/>
    </xf>
    <xf numFmtId="1" fontId="8" fillId="12" borderId="0" xfId="0" applyNumberFormat="1" applyFont="1" applyFill="1" applyAlignment="1" applyProtection="1">
      <alignment horizontal="left" vertical="center"/>
      <protection hidden="1"/>
    </xf>
    <xf numFmtId="0" fontId="1" fillId="12" borderId="0" xfId="0" applyFont="1" applyFill="1" applyAlignment="1" applyProtection="1">
      <alignment horizontal="left" vertical="center"/>
      <protection hidden="1"/>
    </xf>
    <xf numFmtId="0" fontId="1" fillId="12" borderId="4" xfId="0" applyFont="1" applyFill="1" applyBorder="1" applyAlignment="1" applyProtection="1">
      <alignment horizontal="left" vertical="center"/>
      <protection hidden="1"/>
    </xf>
    <xf numFmtId="0" fontId="4" fillId="12" borderId="0" xfId="0" applyFont="1" applyFill="1" applyAlignment="1" applyProtection="1">
      <alignment horizontal="center"/>
      <protection locked="0" hidden="1"/>
    </xf>
    <xf numFmtId="0" fontId="8" fillId="12" borderId="0" xfId="0" applyFont="1" applyFill="1" applyAlignment="1" applyProtection="1">
      <alignment horizontal="left"/>
      <protection locked="0" hidden="1"/>
    </xf>
    <xf numFmtId="0" fontId="8" fillId="12" borderId="0" xfId="0" applyFont="1" applyFill="1" applyProtection="1">
      <protection locked="0" hidden="1"/>
    </xf>
    <xf numFmtId="0" fontId="115" fillId="12" borderId="0" xfId="0" applyFont="1" applyFill="1" applyAlignment="1" applyProtection="1">
      <alignment horizontal="center"/>
      <protection locked="0" hidden="1"/>
    </xf>
    <xf numFmtId="0" fontId="8" fillId="12" borderId="0" xfId="0" applyFont="1" applyFill="1" applyAlignment="1" applyProtection="1">
      <alignment horizontal="right"/>
      <protection locked="0" hidden="1"/>
    </xf>
    <xf numFmtId="0" fontId="8" fillId="12" borderId="0" xfId="0" applyFont="1" applyFill="1" applyAlignment="1" applyProtection="1">
      <alignment horizontal="center"/>
      <protection locked="0" hidden="1"/>
    </xf>
    <xf numFmtId="0" fontId="36" fillId="22" borderId="0" xfId="0" applyFont="1" applyFill="1" applyAlignment="1" applyProtection="1">
      <alignment horizontal="center"/>
      <protection locked="0" hidden="1"/>
    </xf>
    <xf numFmtId="0" fontId="3" fillId="22" borderId="0" xfId="0" applyFont="1" applyFill="1" applyAlignment="1" applyProtection="1">
      <alignment horizontal="center"/>
      <protection locked="0" hidden="1"/>
    </xf>
    <xf numFmtId="0" fontId="1" fillId="22" borderId="0" xfId="0" applyFont="1" applyFill="1" applyAlignment="1" applyProtection="1">
      <alignment horizontal="center"/>
      <protection locked="0" hidden="1"/>
    </xf>
    <xf numFmtId="0" fontId="8" fillId="22" borderId="0" xfId="0" applyFont="1" applyFill="1" applyProtection="1">
      <protection locked="0" hidden="1"/>
    </xf>
    <xf numFmtId="0" fontId="8" fillId="22" borderId="4" xfId="0" applyFont="1" applyFill="1" applyBorder="1" applyProtection="1">
      <protection locked="0" hidden="1"/>
    </xf>
    <xf numFmtId="0" fontId="8" fillId="22" borderId="0" xfId="0" applyFont="1" applyFill="1" applyAlignment="1" applyProtection="1">
      <alignment horizontal="left"/>
      <protection locked="0" hidden="1"/>
    </xf>
    <xf numFmtId="0" fontId="8" fillId="22" borderId="4" xfId="0" applyFont="1" applyFill="1" applyBorder="1" applyAlignment="1" applyProtection="1">
      <alignment horizontal="left"/>
      <protection locked="0" hidden="1"/>
    </xf>
    <xf numFmtId="0" fontId="1" fillId="22" borderId="0" xfId="0" quotePrefix="1" applyFont="1" applyFill="1" applyAlignment="1" applyProtection="1">
      <alignment horizontal="center"/>
      <protection locked="0" hidden="1"/>
    </xf>
    <xf numFmtId="0" fontId="8" fillId="22" borderId="0" xfId="0" applyFont="1" applyFill="1" applyAlignment="1" applyProtection="1">
      <alignment horizontal="center"/>
      <protection locked="0" hidden="1"/>
    </xf>
    <xf numFmtId="0" fontId="8" fillId="22" borderId="4" xfId="0" applyFont="1" applyFill="1" applyBorder="1" applyAlignment="1" applyProtection="1">
      <alignment horizontal="center"/>
      <protection locked="0" hidden="1"/>
    </xf>
    <xf numFmtId="0" fontId="218" fillId="4" borderId="0" xfId="0" applyFont="1" applyFill="1" applyAlignment="1" applyProtection="1">
      <alignment horizontal="left" vertical="center" wrapText="1"/>
      <protection hidden="1"/>
    </xf>
    <xf numFmtId="0" fontId="218" fillId="4" borderId="0" xfId="0" applyFont="1" applyFill="1" applyAlignment="1" applyProtection="1">
      <alignment horizontal="left" wrapText="1"/>
      <protection hidden="1"/>
    </xf>
    <xf numFmtId="0" fontId="271" fillId="2" borderId="0" xfId="0" applyFont="1" applyFill="1" applyAlignment="1" applyProtection="1">
      <alignment horizontal="center" wrapText="1"/>
      <protection hidden="1"/>
    </xf>
    <xf numFmtId="0" fontId="232" fillId="6" borderId="0" xfId="0" applyFont="1" applyFill="1" applyAlignment="1" applyProtection="1">
      <alignment horizontal="left" vertical="center" wrapText="1"/>
      <protection hidden="1"/>
    </xf>
    <xf numFmtId="0" fontId="229" fillId="4" borderId="0" xfId="0" applyFont="1" applyFill="1" applyAlignment="1" applyProtection="1">
      <alignment horizontal="left" vertical="center" wrapText="1"/>
      <protection hidden="1"/>
    </xf>
    <xf numFmtId="0" fontId="313" fillId="6" borderId="0" xfId="0" applyFont="1" applyFill="1" applyAlignment="1" applyProtection="1">
      <alignment horizontal="left" vertical="center"/>
      <protection hidden="1"/>
    </xf>
    <xf numFmtId="0" fontId="0" fillId="0" borderId="22" xfId="0" applyBorder="1" applyAlignment="1">
      <alignment horizontal="center" vertical="center" wrapText="1"/>
    </xf>
    <xf numFmtId="0" fontId="0" fillId="0" borderId="73" xfId="0" applyBorder="1" applyAlignment="1">
      <alignment horizontal="center" vertical="center" wrapText="1"/>
    </xf>
    <xf numFmtId="0" fontId="0" fillId="0" borderId="22" xfId="0" applyBorder="1" applyAlignment="1">
      <alignment horizontal="center" wrapText="1"/>
    </xf>
    <xf numFmtId="0" fontId="0" fillId="0" borderId="73" xfId="0" applyBorder="1" applyAlignment="1">
      <alignment horizontal="center" wrapText="1"/>
    </xf>
    <xf numFmtId="0" fontId="0" fillId="0" borderId="62" xfId="0" applyBorder="1" applyAlignment="1">
      <alignment horizontal="center" vertical="top" wrapText="1"/>
    </xf>
    <xf numFmtId="0" fontId="0" fillId="0" borderId="81" xfId="0" applyBorder="1" applyAlignment="1">
      <alignment horizontal="center" vertical="top" wrapText="1"/>
    </xf>
    <xf numFmtId="0" fontId="0" fillId="0" borderId="82" xfId="0" applyBorder="1" applyAlignment="1">
      <alignment horizontal="center" vertical="top" wrapText="1"/>
    </xf>
    <xf numFmtId="0" fontId="0" fillId="0" borderId="18" xfId="0" applyBorder="1" applyAlignment="1">
      <alignment horizontal="center"/>
    </xf>
    <xf numFmtId="0" fontId="0" fillId="0" borderId="2" xfId="0" applyBorder="1" applyAlignment="1">
      <alignment horizontal="center"/>
    </xf>
    <xf numFmtId="0" fontId="0" fillId="0" borderId="12" xfId="0" applyBorder="1" applyAlignment="1">
      <alignment horizontal="center" vertical="center" wrapText="1"/>
    </xf>
    <xf numFmtId="0" fontId="428" fillId="31" borderId="214" xfId="0" applyFont="1" applyFill="1" applyBorder="1" applyAlignment="1">
      <alignment horizontal="center" vertical="center"/>
    </xf>
    <xf numFmtId="0" fontId="428" fillId="31" borderId="218" xfId="0" applyFont="1" applyFill="1" applyBorder="1" applyAlignment="1">
      <alignment horizontal="center" vertical="center"/>
    </xf>
    <xf numFmtId="0" fontId="428" fillId="31" borderId="215" xfId="0" applyFont="1" applyFill="1" applyBorder="1" applyAlignment="1">
      <alignment horizontal="center" vertical="center"/>
    </xf>
    <xf numFmtId="0" fontId="428" fillId="31" borderId="0" xfId="0" applyFont="1" applyFill="1" applyAlignment="1">
      <alignment horizontal="center" vertical="center"/>
    </xf>
    <xf numFmtId="0" fontId="428" fillId="31" borderId="223" xfId="0" applyFont="1" applyFill="1" applyBorder="1" applyAlignment="1">
      <alignment horizontal="center" vertical="center"/>
    </xf>
    <xf numFmtId="0" fontId="421" fillId="31" borderId="214" xfId="0" applyFont="1" applyFill="1" applyBorder="1" applyAlignment="1">
      <alignment horizontal="center"/>
    </xf>
    <xf numFmtId="0" fontId="421" fillId="31" borderId="218" xfId="0" applyFont="1" applyFill="1" applyBorder="1" applyAlignment="1">
      <alignment horizontal="center"/>
    </xf>
    <xf numFmtId="0" fontId="421" fillId="31" borderId="215" xfId="0" applyFont="1" applyFill="1" applyBorder="1" applyAlignment="1">
      <alignment horizontal="center"/>
    </xf>
    <xf numFmtId="0" fontId="421" fillId="41" borderId="214" xfId="0" applyFont="1" applyFill="1" applyBorder="1" applyAlignment="1">
      <alignment horizontal="center"/>
    </xf>
    <xf numFmtId="0" fontId="421" fillId="41" borderId="218" xfId="0" applyFont="1" applyFill="1" applyBorder="1" applyAlignment="1">
      <alignment horizontal="center"/>
    </xf>
    <xf numFmtId="0" fontId="421" fillId="41" borderId="215" xfId="0" applyFont="1" applyFill="1" applyBorder="1" applyAlignment="1">
      <alignment horizontal="center"/>
    </xf>
    <xf numFmtId="0" fontId="2" fillId="12" borderId="597" xfId="0" applyFont="1" applyFill="1" applyBorder="1" applyAlignment="1" applyProtection="1">
      <alignment horizontal="center" vertical="center"/>
      <protection locked="0" hidden="1"/>
    </xf>
    <xf numFmtId="0" fontId="2" fillId="12" borderId="596" xfId="0" applyFont="1" applyFill="1" applyBorder="1" applyAlignment="1" applyProtection="1">
      <alignment horizontal="center" vertical="center"/>
      <protection locked="0" hidden="1"/>
    </xf>
    <xf numFmtId="0" fontId="2" fillId="12" borderId="566" xfId="0" applyFont="1" applyFill="1" applyBorder="1" applyAlignment="1" applyProtection="1">
      <alignment horizontal="center" vertical="center"/>
      <protection locked="0" hidden="1"/>
    </xf>
    <xf numFmtId="0" fontId="10" fillId="12" borderId="0" xfId="0" applyFont="1" applyFill="1" applyAlignment="1" applyProtection="1">
      <alignment horizontal="right" vertical="center"/>
      <protection hidden="1"/>
    </xf>
    <xf numFmtId="0" fontId="10" fillId="12" borderId="4" xfId="0" applyFont="1" applyFill="1" applyBorder="1" applyAlignment="1" applyProtection="1">
      <alignment horizontal="right" vertical="center"/>
      <protection hidden="1"/>
    </xf>
    <xf numFmtId="164" fontId="49" fillId="12" borderId="0" xfId="0" applyNumberFormat="1" applyFont="1" applyFill="1" applyAlignment="1" applyProtection="1">
      <alignment horizontal="center" vertical="center"/>
      <protection hidden="1"/>
    </xf>
    <xf numFmtId="173" fontId="275" fillId="12" borderId="0" xfId="0" applyNumberFormat="1" applyFont="1" applyFill="1" applyAlignment="1" applyProtection="1">
      <alignment horizontal="left" vertical="center"/>
      <protection hidden="1"/>
    </xf>
    <xf numFmtId="0" fontId="111" fillId="12" borderId="6" xfId="0" applyFont="1" applyFill="1" applyBorder="1" applyAlignment="1" applyProtection="1">
      <alignment horizontal="center" vertical="center"/>
      <protection hidden="1"/>
    </xf>
    <xf numFmtId="0" fontId="111" fillId="12" borderId="0" xfId="0" applyFont="1" applyFill="1" applyAlignment="1" applyProtection="1">
      <alignment horizontal="center" vertical="center"/>
      <protection hidden="1"/>
    </xf>
    <xf numFmtId="0" fontId="111" fillId="12" borderId="4" xfId="0" applyFont="1" applyFill="1" applyBorder="1" applyAlignment="1" applyProtection="1">
      <alignment horizontal="center" vertical="center"/>
      <protection hidden="1"/>
    </xf>
    <xf numFmtId="0" fontId="112" fillId="12" borderId="6" xfId="0" applyFont="1" applyFill="1" applyBorder="1" applyAlignment="1" applyProtection="1">
      <alignment horizontal="center" vertical="center"/>
      <protection hidden="1"/>
    </xf>
    <xf numFmtId="0" fontId="112" fillId="12" borderId="0" xfId="0" applyFont="1" applyFill="1" applyAlignment="1" applyProtection="1">
      <alignment horizontal="center" vertical="center"/>
      <protection hidden="1"/>
    </xf>
    <xf numFmtId="0" fontId="112" fillId="12" borderId="4" xfId="0" applyFont="1" applyFill="1" applyBorder="1" applyAlignment="1" applyProtection="1">
      <alignment horizontal="center" vertical="center"/>
      <protection hidden="1"/>
    </xf>
    <xf numFmtId="0" fontId="307" fillId="12" borderId="0" xfId="0" applyFont="1" applyFill="1" applyAlignment="1" applyProtection="1">
      <alignment horizontal="center" vertical="center"/>
      <protection hidden="1"/>
    </xf>
    <xf numFmtId="0" fontId="307" fillId="12" borderId="4" xfId="0" applyFont="1" applyFill="1" applyBorder="1" applyAlignment="1" applyProtection="1">
      <alignment horizontal="center" vertical="center"/>
      <protection hidden="1"/>
    </xf>
    <xf numFmtId="3" fontId="275" fillId="12" borderId="0" xfId="0" applyNumberFormat="1" applyFont="1" applyFill="1" applyAlignment="1" applyProtection="1">
      <alignment horizontal="center" vertical="center"/>
      <protection hidden="1"/>
    </xf>
    <xf numFmtId="0" fontId="275" fillId="12" borderId="0" xfId="0" applyFont="1" applyFill="1" applyAlignment="1" applyProtection="1">
      <alignment horizontal="center" vertical="center"/>
      <protection hidden="1"/>
    </xf>
    <xf numFmtId="0" fontId="10" fillId="12" borderId="0" xfId="0" applyFont="1" applyFill="1" applyAlignment="1" applyProtection="1">
      <alignment horizontal="center" vertical="center"/>
      <protection hidden="1"/>
    </xf>
    <xf numFmtId="174" fontId="49" fillId="12" borderId="0" xfId="0" applyNumberFormat="1" applyFont="1" applyFill="1" applyAlignment="1" applyProtection="1">
      <alignment horizontal="center" vertical="center"/>
      <protection locked="0" hidden="1"/>
    </xf>
    <xf numFmtId="174" fontId="275" fillId="12" borderId="0" xfId="0" applyNumberFormat="1" applyFont="1" applyFill="1" applyAlignment="1" applyProtection="1">
      <alignment horizontal="center" vertical="center"/>
      <protection locked="0" hidden="1"/>
    </xf>
    <xf numFmtId="0" fontId="134" fillId="12" borderId="0" xfId="0" applyFont="1" applyFill="1" applyAlignment="1" applyProtection="1">
      <alignment horizontal="center" vertical="center"/>
      <protection hidden="1"/>
    </xf>
    <xf numFmtId="0" fontId="134" fillId="12" borderId="4" xfId="0" applyFont="1" applyFill="1" applyBorder="1" applyAlignment="1" applyProtection="1">
      <alignment horizontal="center" vertical="center"/>
      <protection hidden="1"/>
    </xf>
    <xf numFmtId="0" fontId="10" fillId="12" borderId="0" xfId="0" applyFont="1" applyFill="1" applyAlignment="1" applyProtection="1">
      <alignment horizontal="left" vertical="center" wrapText="1"/>
      <protection hidden="1"/>
    </xf>
    <xf numFmtId="0" fontId="2" fillId="12" borderId="0" xfId="0" applyFont="1" applyFill="1" applyAlignment="1" applyProtection="1">
      <alignment horizontal="center" vertical="center"/>
      <protection hidden="1"/>
    </xf>
    <xf numFmtId="0" fontId="2" fillId="12" borderId="4" xfId="0" applyFont="1" applyFill="1" applyBorder="1" applyAlignment="1" applyProtection="1">
      <alignment horizontal="center" vertical="center"/>
      <protection hidden="1"/>
    </xf>
    <xf numFmtId="0" fontId="8" fillId="12" borderId="597" xfId="0" applyFont="1" applyFill="1" applyBorder="1" applyAlignment="1" applyProtection="1">
      <alignment horizontal="center" vertical="center"/>
      <protection locked="0" hidden="1"/>
    </xf>
    <xf numFmtId="0" fontId="8" fillId="12" borderId="596" xfId="0" applyFont="1" applyFill="1" applyBorder="1" applyAlignment="1" applyProtection="1">
      <alignment horizontal="center" vertical="center"/>
      <protection locked="0" hidden="1"/>
    </xf>
    <xf numFmtId="0" fontId="8" fillId="12" borderId="566" xfId="0" applyFont="1" applyFill="1" applyBorder="1" applyAlignment="1" applyProtection="1">
      <alignment horizontal="center" vertical="center"/>
      <protection locked="0" hidden="1"/>
    </xf>
    <xf numFmtId="0" fontId="490" fillId="12" borderId="0" xfId="0" applyFont="1" applyFill="1" applyAlignment="1" applyProtection="1">
      <alignment horizontal="center" vertical="center"/>
      <protection hidden="1"/>
    </xf>
    <xf numFmtId="0" fontId="3" fillId="12" borderId="6" xfId="0" applyFont="1" applyFill="1" applyBorder="1" applyAlignment="1" applyProtection="1">
      <alignment horizontal="left" vertical="center"/>
      <protection hidden="1"/>
    </xf>
    <xf numFmtId="0" fontId="3" fillId="12" borderId="0" xfId="0" applyFont="1" applyFill="1" applyAlignment="1" applyProtection="1">
      <alignment horizontal="left" vertical="center"/>
      <protection hidden="1"/>
    </xf>
    <xf numFmtId="164" fontId="2" fillId="12" borderId="81" xfId="0" applyNumberFormat="1" applyFont="1" applyFill="1" applyBorder="1" applyAlignment="1">
      <alignment horizontal="center" vertical="center"/>
    </xf>
    <xf numFmtId="0" fontId="2" fillId="12" borderId="1" xfId="0" applyFont="1" applyFill="1" applyBorder="1" applyAlignment="1">
      <alignment horizontal="left" vertical="center"/>
    </xf>
    <xf numFmtId="0" fontId="2" fillId="12" borderId="0" xfId="0" applyFont="1" applyFill="1" applyAlignment="1">
      <alignment horizontal="left" vertical="center"/>
    </xf>
    <xf numFmtId="0" fontId="2" fillId="12" borderId="4" xfId="0" applyFont="1" applyFill="1" applyBorder="1" applyAlignment="1">
      <alignment horizontal="left" vertical="center"/>
    </xf>
    <xf numFmtId="0" fontId="2" fillId="12" borderId="20" xfId="0" applyFont="1" applyFill="1" applyBorder="1" applyAlignment="1">
      <alignment horizontal="center" vertical="center"/>
    </xf>
    <xf numFmtId="0" fontId="2" fillId="12" borderId="3" xfId="0" applyFont="1" applyFill="1" applyBorder="1" applyAlignment="1">
      <alignment horizontal="center" vertical="center"/>
    </xf>
    <xf numFmtId="0" fontId="2" fillId="12" borderId="37" xfId="0" applyFont="1" applyFill="1" applyBorder="1" applyAlignment="1">
      <alignment horizontal="center" vertical="center"/>
    </xf>
    <xf numFmtId="0" fontId="2" fillId="12" borderId="0" xfId="0" applyFont="1" applyFill="1" applyAlignment="1">
      <alignment horizontal="left" vertical="center" wrapText="1"/>
    </xf>
    <xf numFmtId="0" fontId="2" fillId="12" borderId="13" xfId="0" applyFont="1" applyFill="1" applyBorder="1" applyAlignment="1">
      <alignment horizontal="left" vertical="center" wrapText="1"/>
    </xf>
    <xf numFmtId="0" fontId="8" fillId="12" borderId="0" xfId="0" applyFont="1" applyFill="1" applyAlignment="1">
      <alignment horizontal="left" vertical="center"/>
    </xf>
    <xf numFmtId="0" fontId="8" fillId="12" borderId="13" xfId="0" applyFont="1" applyFill="1" applyBorder="1" applyAlignment="1">
      <alignment horizontal="left" vertical="center"/>
    </xf>
    <xf numFmtId="0" fontId="2" fillId="12" borderId="13" xfId="0" applyFont="1" applyFill="1" applyBorder="1" applyAlignment="1">
      <alignment horizontal="left" vertical="center"/>
    </xf>
    <xf numFmtId="0" fontId="2" fillId="12" borderId="208" xfId="0" applyFont="1" applyFill="1" applyBorder="1" applyAlignment="1">
      <alignment horizontal="center" vertical="center"/>
    </xf>
    <xf numFmtId="0" fontId="2" fillId="12" borderId="209" xfId="0" applyFont="1" applyFill="1" applyBorder="1" applyAlignment="1">
      <alignment horizontal="center" vertical="center"/>
    </xf>
    <xf numFmtId="0" fontId="2" fillId="12" borderId="212" xfId="0" applyFont="1" applyFill="1" applyBorder="1" applyAlignment="1">
      <alignment horizontal="center" vertical="center"/>
    </xf>
    <xf numFmtId="0" fontId="2" fillId="12" borderId="185" xfId="0" applyFont="1" applyFill="1" applyBorder="1" applyAlignment="1">
      <alignment horizontal="center" vertical="center"/>
    </xf>
    <xf numFmtId="0" fontId="2" fillId="12" borderId="0" xfId="0" applyFont="1" applyFill="1" applyAlignment="1">
      <alignment horizontal="center" vertical="center"/>
    </xf>
    <xf numFmtId="0" fontId="2" fillId="12" borderId="4" xfId="0" applyFont="1" applyFill="1" applyBorder="1" applyAlignment="1">
      <alignment horizontal="center" vertical="center"/>
    </xf>
    <xf numFmtId="3" fontId="8" fillId="12" borderId="208" xfId="0" applyNumberFormat="1" applyFont="1" applyFill="1" applyBorder="1" applyAlignment="1">
      <alignment horizontal="center" vertical="center"/>
    </xf>
    <xf numFmtId="3" fontId="8" fillId="12" borderId="209" xfId="0" applyNumberFormat="1" applyFont="1" applyFill="1" applyBorder="1" applyAlignment="1">
      <alignment horizontal="center" vertical="center"/>
    </xf>
    <xf numFmtId="3" fontId="8" fillId="12" borderId="210" xfId="0" applyNumberFormat="1" applyFont="1" applyFill="1" applyBorder="1" applyAlignment="1">
      <alignment horizontal="center" vertical="center"/>
    </xf>
    <xf numFmtId="3" fontId="8" fillId="12" borderId="185" xfId="0" applyNumberFormat="1" applyFont="1" applyFill="1" applyBorder="1" applyAlignment="1">
      <alignment horizontal="center" vertical="center"/>
    </xf>
    <xf numFmtId="3" fontId="8" fillId="12" borderId="0" xfId="0" applyNumberFormat="1" applyFont="1" applyFill="1" applyAlignment="1">
      <alignment horizontal="center" vertical="center"/>
    </xf>
    <xf numFmtId="3" fontId="8" fillId="12" borderId="13" xfId="0" applyNumberFormat="1" applyFont="1" applyFill="1" applyBorder="1" applyAlignment="1">
      <alignment horizontal="center" vertical="center"/>
    </xf>
    <xf numFmtId="0" fontId="3" fillId="12" borderId="208" xfId="0" applyFont="1" applyFill="1" applyBorder="1" applyAlignment="1">
      <alignment horizontal="center" vertical="center"/>
    </xf>
    <xf numFmtId="0" fontId="3" fillId="12" borderId="209" xfId="0" applyFont="1" applyFill="1" applyBorder="1" applyAlignment="1">
      <alignment horizontal="center" vertical="center"/>
    </xf>
    <xf numFmtId="0" fontId="3" fillId="12" borderId="210" xfId="0" applyFont="1" applyFill="1" applyBorder="1" applyAlignment="1">
      <alignment horizontal="center" vertical="center"/>
    </xf>
    <xf numFmtId="0" fontId="3" fillId="12" borderId="185" xfId="0" applyFont="1" applyFill="1" applyBorder="1" applyAlignment="1">
      <alignment horizontal="center" vertical="center"/>
    </xf>
    <xf numFmtId="0" fontId="3" fillId="12" borderId="0" xfId="0" applyFont="1" applyFill="1" applyAlignment="1">
      <alignment horizontal="center" vertical="center"/>
    </xf>
    <xf numFmtId="0" fontId="3" fillId="12" borderId="13" xfId="0" applyFont="1" applyFill="1" applyBorder="1" applyAlignment="1">
      <alignment horizontal="center" vertical="center"/>
    </xf>
    <xf numFmtId="0" fontId="2" fillId="12" borderId="3" xfId="0" applyFont="1" applyFill="1" applyBorder="1" applyAlignment="1">
      <alignment horizontal="left" vertical="center"/>
    </xf>
    <xf numFmtId="0" fontId="2" fillId="12" borderId="410" xfId="0" applyFont="1" applyFill="1" applyBorder="1" applyAlignment="1" applyProtection="1">
      <alignment horizontal="center" vertical="center"/>
      <protection locked="0" hidden="1"/>
    </xf>
    <xf numFmtId="0" fontId="2" fillId="12" borderId="183" xfId="0" applyFont="1" applyFill="1" applyBorder="1" applyAlignment="1" applyProtection="1">
      <alignment horizontal="center" vertical="center"/>
      <protection locked="0" hidden="1"/>
    </xf>
    <xf numFmtId="0" fontId="2" fillId="12" borderId="296" xfId="0" applyFont="1" applyFill="1" applyBorder="1" applyAlignment="1" applyProtection="1">
      <alignment horizontal="center" vertical="center"/>
      <protection locked="0" hidden="1"/>
    </xf>
    <xf numFmtId="0" fontId="1" fillId="12" borderId="1" xfId="0" applyFont="1" applyFill="1" applyBorder="1" applyAlignment="1">
      <alignment horizontal="left" vertical="center"/>
    </xf>
    <xf numFmtId="0" fontId="1" fillId="12" borderId="0" xfId="0" applyFont="1" applyFill="1" applyAlignment="1">
      <alignment horizontal="left" vertical="center"/>
    </xf>
    <xf numFmtId="0" fontId="1" fillId="12" borderId="13" xfId="0" applyFont="1" applyFill="1" applyBorder="1" applyAlignment="1">
      <alignment horizontal="left" vertical="center"/>
    </xf>
    <xf numFmtId="0" fontId="2" fillId="12" borderId="13" xfId="0" applyFont="1" applyFill="1" applyBorder="1" applyAlignment="1">
      <alignment horizontal="center" vertical="center"/>
    </xf>
    <xf numFmtId="0" fontId="8" fillId="12" borderId="0" xfId="0" applyFont="1" applyFill="1" applyAlignment="1">
      <alignment horizontal="left" vertical="top"/>
    </xf>
    <xf numFmtId="0" fontId="332" fillId="2" borderId="211" xfId="0" applyFont="1" applyFill="1" applyBorder="1" applyAlignment="1">
      <alignment horizontal="center"/>
    </xf>
    <xf numFmtId="0" fontId="0" fillId="0" borderId="165" xfId="0" applyBorder="1" applyAlignment="1" applyProtection="1">
      <alignment horizontal="center"/>
      <protection locked="0" hidden="1"/>
    </xf>
    <xf numFmtId="0" fontId="0" fillId="0" borderId="166" xfId="0" applyBorder="1" applyAlignment="1" applyProtection="1">
      <alignment horizontal="center"/>
      <protection locked="0" hidden="1"/>
    </xf>
    <xf numFmtId="0" fontId="0" fillId="0" borderId="167" xfId="0" applyBorder="1" applyAlignment="1" applyProtection="1">
      <alignment horizontal="center"/>
      <protection locked="0" hidden="1"/>
    </xf>
    <xf numFmtId="0" fontId="2" fillId="0" borderId="208" xfId="0" applyFont="1" applyBorder="1" applyAlignment="1">
      <alignment horizontal="center" vertical="center" wrapText="1"/>
    </xf>
    <xf numFmtId="0" fontId="2" fillId="0" borderId="209" xfId="0" applyFont="1" applyBorder="1" applyAlignment="1">
      <alignment horizontal="center" vertical="center" wrapText="1"/>
    </xf>
    <xf numFmtId="0" fontId="2" fillId="0" borderId="212" xfId="0" applyFont="1" applyBorder="1" applyAlignment="1">
      <alignment horizontal="center" vertical="center" wrapText="1"/>
    </xf>
    <xf numFmtId="0" fontId="2" fillId="0" borderId="185" xfId="0" applyFont="1" applyBorder="1" applyAlignment="1">
      <alignment horizontal="center" vertical="center" wrapText="1"/>
    </xf>
    <xf numFmtId="0" fontId="2" fillId="0" borderId="0" xfId="0" applyFont="1" applyAlignment="1">
      <alignment horizontal="center" vertical="center" wrapText="1"/>
    </xf>
    <xf numFmtId="0" fontId="2" fillId="0" borderId="4" xfId="0" applyFont="1" applyBorder="1" applyAlignment="1">
      <alignment horizontal="center" vertical="center" wrapText="1"/>
    </xf>
    <xf numFmtId="0" fontId="2" fillId="0" borderId="185" xfId="0" applyFont="1" applyBorder="1" applyAlignment="1">
      <alignment horizontal="center" vertical="center"/>
    </xf>
    <xf numFmtId="0" fontId="2" fillId="0" borderId="0" xfId="0" applyFont="1" applyAlignment="1">
      <alignment horizontal="center" vertical="center"/>
    </xf>
    <xf numFmtId="0" fontId="2" fillId="0" borderId="4" xfId="0" applyFont="1" applyBorder="1" applyAlignment="1">
      <alignment horizontal="center" vertical="center"/>
    </xf>
    <xf numFmtId="0" fontId="2" fillId="0" borderId="186" xfId="0" applyFont="1" applyBorder="1" applyAlignment="1">
      <alignment horizontal="center" vertical="center"/>
    </xf>
    <xf numFmtId="0" fontId="2" fillId="0" borderId="187" xfId="0" applyFont="1" applyBorder="1" applyAlignment="1">
      <alignment horizontal="center" vertical="center"/>
    </xf>
    <xf numFmtId="0" fontId="2" fillId="0" borderId="188" xfId="0" applyFont="1" applyBorder="1" applyAlignment="1">
      <alignment horizontal="center" vertical="center"/>
    </xf>
    <xf numFmtId="0" fontId="2" fillId="0" borderId="22" xfId="0" applyFont="1" applyBorder="1" applyAlignment="1">
      <alignment horizontal="center" vertical="center"/>
    </xf>
    <xf numFmtId="0" fontId="2" fillId="0" borderId="25" xfId="0" applyFont="1" applyBorder="1" applyAlignment="1">
      <alignment horizontal="center" vertical="center"/>
    </xf>
    <xf numFmtId="0" fontId="2" fillId="0" borderId="23" xfId="0" applyFont="1" applyBorder="1" applyAlignment="1">
      <alignment horizontal="center" vertical="center"/>
    </xf>
    <xf numFmtId="0" fontId="0" fillId="0" borderId="98" xfId="0" applyBorder="1" applyAlignment="1" applyProtection="1">
      <alignment horizontal="center" vertical="center"/>
      <protection locked="0" hidden="1"/>
    </xf>
    <xf numFmtId="0" fontId="0" fillId="0" borderId="153" xfId="0" applyBorder="1" applyAlignment="1" applyProtection="1">
      <alignment horizontal="center" vertical="center"/>
      <protection locked="0" hidden="1"/>
    </xf>
    <xf numFmtId="0" fontId="361" fillId="41" borderId="0" xfId="0" applyFont="1" applyFill="1" applyAlignment="1">
      <alignment horizontal="center"/>
    </xf>
    <xf numFmtId="0" fontId="206" fillId="0" borderId="144" xfId="0" applyFont="1" applyBorder="1" applyAlignment="1">
      <alignment horizontal="center" vertical="center"/>
    </xf>
    <xf numFmtId="0" fontId="206" fillId="0" borderId="145" xfId="0" applyFont="1" applyBorder="1" applyAlignment="1">
      <alignment horizontal="center" vertical="center"/>
    </xf>
    <xf numFmtId="0" fontId="206" fillId="0" borderId="146" xfId="0" applyFont="1" applyBorder="1" applyAlignment="1">
      <alignment horizontal="center" vertical="center"/>
    </xf>
    <xf numFmtId="0" fontId="206" fillId="0" borderId="147" xfId="0" applyFont="1" applyBorder="1" applyAlignment="1">
      <alignment horizontal="center" vertical="center"/>
    </xf>
    <xf numFmtId="0" fontId="206" fillId="0" borderId="148" xfId="0" applyFont="1" applyBorder="1" applyAlignment="1">
      <alignment horizontal="center" vertical="center"/>
    </xf>
    <xf numFmtId="0" fontId="206" fillId="0" borderId="149" xfId="0" applyFont="1" applyBorder="1" applyAlignment="1">
      <alignment horizontal="center" vertical="center"/>
    </xf>
    <xf numFmtId="0" fontId="144" fillId="0" borderId="150" xfId="0" applyFont="1" applyBorder="1" applyAlignment="1">
      <alignment horizontal="center"/>
    </xf>
    <xf numFmtId="0" fontId="144" fillId="0" borderId="151" xfId="0" applyFont="1" applyBorder="1" applyAlignment="1">
      <alignment horizontal="center"/>
    </xf>
    <xf numFmtId="0" fontId="0" fillId="0" borderId="151" xfId="0" applyBorder="1" applyAlignment="1" applyProtection="1">
      <alignment horizontal="center"/>
      <protection locked="0" hidden="1"/>
    </xf>
    <xf numFmtId="0" fontId="0" fillId="0" borderId="152" xfId="0" applyBorder="1" applyAlignment="1" applyProtection="1">
      <alignment horizontal="center"/>
      <protection locked="0" hidden="1"/>
    </xf>
    <xf numFmtId="0" fontId="233" fillId="0" borderId="168" xfId="0" applyFont="1" applyBorder="1" applyAlignment="1">
      <alignment horizontal="center" vertical="center"/>
    </xf>
    <xf numFmtId="0" fontId="233" fillId="0" borderId="160" xfId="0" applyFont="1" applyBorder="1" applyAlignment="1">
      <alignment horizontal="center" vertical="center"/>
    </xf>
    <xf numFmtId="0" fontId="233" fillId="0" borderId="6" xfId="0" applyFont="1" applyBorder="1" applyAlignment="1">
      <alignment horizontal="center" vertical="center"/>
    </xf>
    <xf numFmtId="0" fontId="233" fillId="0" borderId="0" xfId="0" applyFont="1" applyAlignment="1">
      <alignment horizontal="center" vertical="center"/>
    </xf>
    <xf numFmtId="0" fontId="233" fillId="0" borderId="7" xfId="0" applyFont="1" applyBorder="1" applyAlignment="1">
      <alignment horizontal="center" vertical="center"/>
    </xf>
    <xf numFmtId="0" fontId="233" fillId="0" borderId="39" xfId="0" applyFont="1" applyBorder="1" applyAlignment="1">
      <alignment horizontal="center" vertical="center"/>
    </xf>
    <xf numFmtId="0" fontId="0" fillId="0" borderId="98" xfId="0" applyBorder="1" applyAlignment="1" applyProtection="1">
      <alignment horizontal="center"/>
      <protection locked="0" hidden="1"/>
    </xf>
    <xf numFmtId="0" fontId="0" fillId="0" borderId="153" xfId="0" applyBorder="1" applyAlignment="1" applyProtection="1">
      <alignment horizontal="center"/>
      <protection locked="0" hidden="1"/>
    </xf>
    <xf numFmtId="0" fontId="8" fillId="12" borderId="38" xfId="0" applyFont="1" applyFill="1" applyBorder="1" applyAlignment="1" applyProtection="1">
      <alignment horizontal="center"/>
      <protection locked="0" hidden="1"/>
    </xf>
    <xf numFmtId="0" fontId="8" fillId="12" borderId="19" xfId="0" applyFont="1" applyFill="1" applyBorder="1" applyAlignment="1" applyProtection="1">
      <alignment horizontal="center"/>
      <protection locked="0" hidden="1"/>
    </xf>
    <xf numFmtId="0" fontId="10" fillId="12" borderId="22" xfId="0" applyFont="1" applyFill="1" applyBorder="1" applyAlignment="1" applyProtection="1">
      <alignment horizontal="center" vertical="center"/>
      <protection locked="0" hidden="1"/>
    </xf>
    <xf numFmtId="0" fontId="10" fillId="12" borderId="25" xfId="0" applyFont="1" applyFill="1" applyBorder="1" applyAlignment="1" applyProtection="1">
      <alignment horizontal="center" vertical="center"/>
      <protection locked="0" hidden="1"/>
    </xf>
    <xf numFmtId="0" fontId="10" fillId="12" borderId="23" xfId="0" applyFont="1" applyFill="1" applyBorder="1" applyAlignment="1" applyProtection="1">
      <alignment horizontal="center" vertical="center"/>
      <protection locked="0" hidden="1"/>
    </xf>
    <xf numFmtId="164" fontId="2" fillId="12" borderId="491" xfId="0" applyNumberFormat="1" applyFont="1" applyFill="1" applyBorder="1" applyAlignment="1">
      <alignment horizontal="center" vertical="center"/>
    </xf>
    <xf numFmtId="164" fontId="2" fillId="12" borderId="519" xfId="0" applyNumberFormat="1" applyFont="1" applyFill="1" applyBorder="1" applyAlignment="1">
      <alignment horizontal="center" vertical="center"/>
    </xf>
    <xf numFmtId="0" fontId="144" fillId="41" borderId="0" xfId="0" applyFont="1" applyFill="1" applyAlignment="1">
      <alignment horizontal="center" vertical="center"/>
    </xf>
    <xf numFmtId="0" fontId="0" fillId="41" borderId="0" xfId="0" applyFill="1" applyAlignment="1" applyProtection="1">
      <alignment horizontal="center" vertical="center"/>
      <protection locked="0"/>
    </xf>
    <xf numFmtId="0" fontId="8" fillId="12" borderId="0" xfId="0" applyFont="1" applyFill="1" applyAlignment="1" applyProtection="1">
      <alignment horizontal="center" vertical="top"/>
      <protection locked="0" hidden="1"/>
    </xf>
    <xf numFmtId="0" fontId="8" fillId="12" borderId="13" xfId="0" applyFont="1" applyFill="1" applyBorder="1" applyAlignment="1" applyProtection="1">
      <alignment horizontal="center" vertical="top"/>
      <protection locked="0" hidden="1"/>
    </xf>
    <xf numFmtId="0" fontId="122" fillId="12" borderId="0" xfId="0" applyFont="1" applyFill="1" applyAlignment="1">
      <alignment horizontal="left" vertical="top"/>
    </xf>
    <xf numFmtId="0" fontId="122" fillId="12" borderId="3" xfId="0" applyFont="1" applyFill="1" applyBorder="1" applyAlignment="1" applyProtection="1">
      <alignment horizontal="center" vertical="top"/>
      <protection locked="0" hidden="1"/>
    </xf>
    <xf numFmtId="0" fontId="122" fillId="12" borderId="37" xfId="0" applyFont="1" applyFill="1" applyBorder="1" applyAlignment="1" applyProtection="1">
      <alignment horizontal="center" vertical="top"/>
      <protection locked="0" hidden="1"/>
    </xf>
    <xf numFmtId="0" fontId="8" fillId="12" borderId="209" xfId="0" applyFont="1" applyFill="1" applyBorder="1" applyAlignment="1" applyProtection="1">
      <alignment horizontal="left" vertical="top"/>
      <protection locked="0" hidden="1"/>
    </xf>
    <xf numFmtId="0" fontId="8" fillId="12" borderId="210" xfId="0" applyFont="1" applyFill="1" applyBorder="1" applyAlignment="1" applyProtection="1">
      <alignment horizontal="left" vertical="top"/>
      <protection locked="0" hidden="1"/>
    </xf>
    <xf numFmtId="0" fontId="10" fillId="12" borderId="352" xfId="0" applyFont="1" applyFill="1" applyBorder="1" applyAlignment="1" applyProtection="1">
      <alignment horizontal="left" vertical="center"/>
      <protection locked="0" hidden="1"/>
    </xf>
    <xf numFmtId="0" fontId="2" fillId="12" borderId="1" xfId="0" applyFont="1" applyFill="1" applyBorder="1" applyAlignment="1">
      <alignment horizontal="center" vertical="center"/>
    </xf>
    <xf numFmtId="0" fontId="2" fillId="0" borderId="73" xfId="0" applyFont="1" applyBorder="1" applyAlignment="1">
      <alignment horizontal="center" vertical="center"/>
    </xf>
    <xf numFmtId="0" fontId="261" fillId="0" borderId="144" xfId="0" applyFont="1" applyBorder="1" applyAlignment="1">
      <alignment horizontal="center" vertical="center"/>
    </xf>
    <xf numFmtId="0" fontId="261" fillId="0" borderId="145" xfId="0" applyFont="1" applyBorder="1" applyAlignment="1">
      <alignment horizontal="center" vertical="center"/>
    </xf>
    <xf numFmtId="0" fontId="261" fillId="0" borderId="146" xfId="0" applyFont="1" applyBorder="1" applyAlignment="1">
      <alignment horizontal="center" vertical="center"/>
    </xf>
    <xf numFmtId="0" fontId="261" fillId="0" borderId="169" xfId="0" applyFont="1" applyBorder="1" applyAlignment="1">
      <alignment horizontal="center" vertical="center"/>
    </xf>
    <xf numFmtId="0" fontId="261" fillId="0" borderId="100" xfId="0" applyFont="1" applyBorder="1" applyAlignment="1">
      <alignment horizontal="center" vertical="center"/>
    </xf>
    <xf numFmtId="0" fontId="261" fillId="0" borderId="170" xfId="0" applyFont="1" applyBorder="1" applyAlignment="1">
      <alignment horizontal="center" vertical="center"/>
    </xf>
    <xf numFmtId="0" fontId="144" fillId="0" borderId="171" xfId="0" applyFont="1" applyBorder="1" applyAlignment="1">
      <alignment horizontal="center" vertical="center"/>
    </xf>
    <xf numFmtId="0" fontId="144" fillId="0" borderId="129" xfId="0" applyFont="1" applyBorder="1" applyAlignment="1">
      <alignment horizontal="center" vertical="center"/>
    </xf>
    <xf numFmtId="0" fontId="144" fillId="0" borderId="172" xfId="0" applyFont="1" applyBorder="1" applyAlignment="1">
      <alignment horizontal="center" vertical="center"/>
    </xf>
    <xf numFmtId="0" fontId="144" fillId="0" borderId="173" xfId="0" applyFont="1" applyBorder="1" applyAlignment="1">
      <alignment horizontal="center" vertical="center"/>
    </xf>
    <xf numFmtId="0" fontId="144" fillId="0" borderId="174" xfId="0" applyFont="1" applyBorder="1" applyAlignment="1">
      <alignment horizontal="center" vertical="center"/>
    </xf>
    <xf numFmtId="0" fontId="144" fillId="0" borderId="175" xfId="0" applyFont="1" applyBorder="1" applyAlignment="1">
      <alignment horizontal="center" vertical="center"/>
    </xf>
    <xf numFmtId="0" fontId="144" fillId="0" borderId="158" xfId="0" applyFont="1" applyBorder="1" applyAlignment="1">
      <alignment horizontal="center" vertical="center"/>
    </xf>
    <xf numFmtId="0" fontId="144" fillId="0" borderId="98" xfId="0" applyFont="1" applyBorder="1" applyAlignment="1">
      <alignment horizontal="center" vertical="center"/>
    </xf>
    <xf numFmtId="0" fontId="0" fillId="0" borderId="162" xfId="0" applyBorder="1" applyAlignment="1" applyProtection="1">
      <alignment horizontal="center"/>
      <protection locked="0" hidden="1"/>
    </xf>
    <xf numFmtId="0" fontId="0" fillId="0" borderId="163" xfId="0" applyBorder="1" applyAlignment="1" applyProtection="1">
      <alignment horizontal="center"/>
      <protection locked="0" hidden="1"/>
    </xf>
    <xf numFmtId="0" fontId="0" fillId="0" borderId="164" xfId="0" applyBorder="1" applyAlignment="1" applyProtection="1">
      <alignment horizontal="center"/>
      <protection locked="0" hidden="1"/>
    </xf>
    <xf numFmtId="0" fontId="233" fillId="0" borderId="176" xfId="0" applyFont="1" applyBorder="1" applyAlignment="1">
      <alignment horizontal="center" vertical="center"/>
    </xf>
    <xf numFmtId="0" fontId="233" fillId="0" borderId="166" xfId="0" applyFont="1" applyBorder="1" applyAlignment="1">
      <alignment horizontal="center" vertical="center"/>
    </xf>
    <xf numFmtId="0" fontId="233" fillId="0" borderId="177" xfId="0" applyFont="1" applyBorder="1" applyAlignment="1">
      <alignment horizontal="center" vertical="center"/>
    </xf>
    <xf numFmtId="0" fontId="0" fillId="0" borderId="102" xfId="0" applyBorder="1" applyAlignment="1" applyProtection="1">
      <alignment horizontal="center"/>
      <protection locked="0" hidden="1"/>
    </xf>
    <xf numFmtId="0" fontId="0" fillId="0" borderId="157" xfId="0" applyBorder="1" applyAlignment="1" applyProtection="1">
      <alignment horizontal="center"/>
      <protection locked="0" hidden="1"/>
    </xf>
    <xf numFmtId="0" fontId="8" fillId="12" borderId="410" xfId="0" applyFont="1" applyFill="1" applyBorder="1" applyAlignment="1">
      <alignment horizontal="center" vertical="center"/>
    </xf>
    <xf numFmtId="0" fontId="8" fillId="12" borderId="183" xfId="0" applyFont="1" applyFill="1" applyBorder="1" applyAlignment="1">
      <alignment horizontal="center" vertical="center"/>
    </xf>
    <xf numFmtId="0" fontId="8" fillId="12" borderId="296" xfId="0" applyFont="1" applyFill="1" applyBorder="1" applyAlignment="1">
      <alignment horizontal="center" vertical="center"/>
    </xf>
    <xf numFmtId="0" fontId="142" fillId="41" borderId="0" xfId="0" applyFont="1" applyFill="1" applyAlignment="1" applyProtection="1">
      <alignment horizontal="center" vertical="center"/>
      <protection locked="0" hidden="1"/>
    </xf>
    <xf numFmtId="0" fontId="206" fillId="41" borderId="0" xfId="0" applyFont="1" applyFill="1" applyAlignment="1">
      <alignment horizontal="center" vertical="center"/>
    </xf>
    <xf numFmtId="0" fontId="120" fillId="12" borderId="6" xfId="0" applyFont="1" applyFill="1" applyBorder="1" applyAlignment="1">
      <alignment horizontal="center" vertical="center"/>
    </xf>
    <xf numFmtId="0" fontId="120" fillId="12" borderId="0" xfId="0" applyFont="1" applyFill="1" applyAlignment="1">
      <alignment horizontal="center" vertical="center"/>
    </xf>
    <xf numFmtId="0" fontId="120" fillId="12" borderId="4" xfId="0" applyFont="1" applyFill="1" applyBorder="1" applyAlignment="1">
      <alignment horizontal="center" vertical="center"/>
    </xf>
    <xf numFmtId="0" fontId="124" fillId="12" borderId="6" xfId="0" applyFont="1" applyFill="1" applyBorder="1" applyAlignment="1">
      <alignment horizontal="center" vertical="center"/>
    </xf>
    <xf numFmtId="0" fontId="124" fillId="12" borderId="0" xfId="0" applyFont="1" applyFill="1" applyAlignment="1">
      <alignment horizontal="center" vertical="center"/>
    </xf>
    <xf numFmtId="0" fontId="124" fillId="12" borderId="4" xfId="0" applyFont="1" applyFill="1" applyBorder="1" applyAlignment="1">
      <alignment horizontal="center" vertical="center"/>
    </xf>
    <xf numFmtId="0" fontId="2" fillId="12" borderId="25" xfId="0" applyFont="1" applyFill="1" applyBorder="1" applyAlignment="1">
      <alignment horizontal="left" vertical="center"/>
    </xf>
    <xf numFmtId="0" fontId="2" fillId="12" borderId="73" xfId="0" applyFont="1" applyFill="1" applyBorder="1" applyAlignment="1">
      <alignment horizontal="left" vertical="center"/>
    </xf>
    <xf numFmtId="0" fontId="2" fillId="12" borderId="22" xfId="0" applyFont="1" applyFill="1" applyBorder="1" applyAlignment="1">
      <alignment horizontal="left" vertical="center"/>
    </xf>
    <xf numFmtId="0" fontId="2" fillId="12" borderId="23" xfId="0" applyFont="1" applyFill="1" applyBorder="1" applyAlignment="1">
      <alignment horizontal="left" vertical="center"/>
    </xf>
    <xf numFmtId="0" fontId="2" fillId="12" borderId="61" xfId="0" applyFont="1" applyFill="1" applyBorder="1" applyAlignment="1">
      <alignment horizontal="center" vertical="center"/>
    </xf>
    <xf numFmtId="0" fontId="2" fillId="12" borderId="87" xfId="0" applyFont="1" applyFill="1" applyBorder="1" applyAlignment="1">
      <alignment horizontal="center" vertical="center"/>
    </xf>
    <xf numFmtId="0" fontId="0" fillId="41" borderId="0" xfId="0" applyFill="1" applyAlignment="1" applyProtection="1">
      <alignment horizontal="center"/>
      <protection locked="0"/>
    </xf>
    <xf numFmtId="0" fontId="8" fillId="12" borderId="1" xfId="0" applyFont="1" applyFill="1" applyBorder="1" applyAlignment="1">
      <alignment horizontal="left" vertical="center"/>
    </xf>
    <xf numFmtId="0" fontId="8" fillId="12" borderId="4" xfId="0" applyFont="1" applyFill="1" applyBorder="1" applyAlignment="1">
      <alignment horizontal="left" vertical="center"/>
    </xf>
    <xf numFmtId="0" fontId="2" fillId="12" borderId="17" xfId="0" applyFont="1" applyFill="1" applyBorder="1" applyAlignment="1">
      <alignment horizontal="left" vertical="center"/>
    </xf>
    <xf numFmtId="0" fontId="8" fillId="12" borderId="18" xfId="0" applyFont="1" applyFill="1" applyBorder="1" applyAlignment="1">
      <alignment horizontal="center" vertical="center"/>
    </xf>
    <xf numFmtId="0" fontId="8" fillId="12" borderId="38" xfId="0" applyFont="1" applyFill="1" applyBorder="1" applyAlignment="1">
      <alignment horizontal="center" vertical="center"/>
    </xf>
    <xf numFmtId="0" fontId="8" fillId="12" borderId="2" xfId="0" applyFont="1" applyFill="1" applyBorder="1" applyAlignment="1">
      <alignment horizontal="center" vertical="center"/>
    </xf>
    <xf numFmtId="0" fontId="8" fillId="12" borderId="1" xfId="0" applyFont="1" applyFill="1" applyBorder="1" applyAlignment="1">
      <alignment horizontal="center" vertical="center"/>
    </xf>
    <xf numFmtId="0" fontId="8" fillId="12" borderId="0" xfId="0" applyFont="1" applyFill="1" applyAlignment="1">
      <alignment horizontal="center" vertical="center"/>
    </xf>
    <xf numFmtId="0" fontId="8" fillId="12" borderId="13" xfId="0" applyFont="1" applyFill="1" applyBorder="1" applyAlignment="1">
      <alignment horizontal="center" vertical="center"/>
    </xf>
    <xf numFmtId="0" fontId="8" fillId="12" borderId="20" xfId="0" applyFont="1" applyFill="1" applyBorder="1" applyAlignment="1">
      <alignment horizontal="center" vertical="center"/>
    </xf>
    <xf numFmtId="0" fontId="8" fillId="12" borderId="3" xfId="0" applyFont="1" applyFill="1" applyBorder="1" applyAlignment="1">
      <alignment horizontal="center" vertical="center"/>
    </xf>
    <xf numFmtId="0" fontId="8" fillId="12" borderId="37" xfId="0" applyFont="1" applyFill="1" applyBorder="1" applyAlignment="1">
      <alignment horizontal="center" vertical="center"/>
    </xf>
    <xf numFmtId="0" fontId="2" fillId="12" borderId="210" xfId="0" applyFont="1" applyFill="1" applyBorder="1" applyAlignment="1">
      <alignment horizontal="center" vertical="center"/>
    </xf>
    <xf numFmtId="0" fontId="2" fillId="12" borderId="18" xfId="0" applyFont="1" applyFill="1" applyBorder="1" applyAlignment="1">
      <alignment horizontal="center" vertical="center"/>
    </xf>
    <xf numFmtId="0" fontId="2" fillId="12" borderId="38" xfId="0" applyFont="1" applyFill="1" applyBorder="1" applyAlignment="1">
      <alignment horizontal="center" vertical="center"/>
    </xf>
    <xf numFmtId="0" fontId="2" fillId="12" borderId="19" xfId="0" applyFont="1" applyFill="1" applyBorder="1" applyAlignment="1">
      <alignment horizontal="center" vertical="center"/>
    </xf>
    <xf numFmtId="0" fontId="0" fillId="0" borderId="159" xfId="0" applyBorder="1" applyAlignment="1" applyProtection="1">
      <alignment horizontal="center"/>
      <protection locked="0" hidden="1"/>
    </xf>
    <xf numFmtId="0" fontId="0" fillId="0" borderId="160" xfId="0" applyBorder="1" applyAlignment="1" applyProtection="1">
      <alignment horizontal="center"/>
      <protection locked="0" hidden="1"/>
    </xf>
    <xf numFmtId="0" fontId="0" fillId="0" borderId="161" xfId="0" applyBorder="1" applyAlignment="1" applyProtection="1">
      <alignment horizontal="center"/>
      <protection locked="0" hidden="1"/>
    </xf>
    <xf numFmtId="0" fontId="0" fillId="0" borderId="154" xfId="0" applyBorder="1" applyAlignment="1" applyProtection="1">
      <alignment horizontal="center"/>
      <protection locked="0" hidden="1"/>
    </xf>
    <xf numFmtId="0" fontId="0" fillId="0" borderId="155" xfId="0" applyBorder="1" applyAlignment="1" applyProtection="1">
      <alignment horizontal="center"/>
      <protection locked="0" hidden="1"/>
    </xf>
    <xf numFmtId="0" fontId="0" fillId="0" borderId="156" xfId="0" applyBorder="1" applyAlignment="1" applyProtection="1">
      <alignment horizontal="center"/>
      <protection locked="0" hidden="1"/>
    </xf>
    <xf numFmtId="0" fontId="2" fillId="12" borderId="185" xfId="0" applyFont="1" applyFill="1" applyBorder="1" applyAlignment="1">
      <alignment horizontal="center"/>
    </xf>
    <xf numFmtId="0" fontId="2" fillId="12" borderId="0" xfId="0" applyFont="1" applyFill="1" applyAlignment="1">
      <alignment horizontal="center"/>
    </xf>
    <xf numFmtId="167" fontId="8" fillId="12" borderId="39" xfId="0" applyNumberFormat="1" applyFont="1" applyFill="1" applyBorder="1" applyAlignment="1" applyProtection="1">
      <alignment horizontal="left" vertical="center"/>
      <protection locked="0" hidden="1"/>
    </xf>
    <xf numFmtId="167" fontId="8" fillId="12" borderId="0" xfId="0" applyNumberFormat="1" applyFont="1" applyFill="1" applyAlignment="1" applyProtection="1">
      <alignment horizontal="left" vertical="center"/>
      <protection locked="0" hidden="1"/>
    </xf>
    <xf numFmtId="0" fontId="10" fillId="12" borderId="0" xfId="0" applyFont="1" applyFill="1" applyAlignment="1" applyProtection="1">
      <alignment horizontal="left" vertical="center"/>
      <protection locked="0" hidden="1"/>
    </xf>
    <xf numFmtId="0" fontId="8" fillId="12" borderId="38" xfId="0" applyFont="1" applyFill="1" applyBorder="1" applyAlignment="1" applyProtection="1">
      <alignment horizontal="left" vertical="center"/>
      <protection locked="0" hidden="1"/>
    </xf>
    <xf numFmtId="0" fontId="8" fillId="12" borderId="0" xfId="0" applyFont="1" applyFill="1" applyAlignment="1">
      <alignment horizontal="center" vertical="top"/>
    </xf>
    <xf numFmtId="0" fontId="122" fillId="12" borderId="3" xfId="0" applyFont="1" applyFill="1" applyBorder="1" applyAlignment="1">
      <alignment horizontal="left" vertical="top"/>
    </xf>
    <xf numFmtId="0" fontId="8" fillId="12" borderId="0" xfId="0" applyFont="1" applyFill="1" applyAlignment="1" applyProtection="1">
      <alignment horizontal="center" vertical="center"/>
      <protection locked="0" hidden="1"/>
    </xf>
    <xf numFmtId="0" fontId="10" fillId="12" borderId="39" xfId="0" applyFont="1" applyFill="1" applyBorder="1" applyAlignment="1" applyProtection="1">
      <alignment horizontal="center"/>
      <protection locked="0" hidden="1"/>
    </xf>
    <xf numFmtId="164" fontId="2" fillId="12" borderId="81" xfId="0" applyNumberFormat="1" applyFont="1" applyFill="1" applyBorder="1" applyAlignment="1" applyProtection="1">
      <alignment horizontal="center" vertical="center"/>
      <protection locked="0" hidden="1"/>
    </xf>
    <xf numFmtId="0" fontId="122" fillId="12" borderId="0" xfId="0" applyFont="1" applyFill="1" applyAlignment="1" applyProtection="1">
      <alignment horizontal="center" vertical="top"/>
      <protection locked="0" hidden="1"/>
    </xf>
    <xf numFmtId="0" fontId="122" fillId="12" borderId="13" xfId="0" applyFont="1" applyFill="1" applyBorder="1" applyAlignment="1" applyProtection="1">
      <alignment horizontal="center" vertical="top"/>
      <protection locked="0" hidden="1"/>
    </xf>
    <xf numFmtId="0" fontId="8" fillId="12" borderId="0" xfId="0" applyFont="1" applyFill="1" applyAlignment="1" applyProtection="1">
      <alignment horizontal="left" vertical="top"/>
      <protection locked="0" hidden="1"/>
    </xf>
    <xf numFmtId="0" fontId="8" fillId="12" borderId="13" xfId="0" applyFont="1" applyFill="1" applyBorder="1" applyAlignment="1" applyProtection="1">
      <alignment horizontal="left" vertical="top"/>
      <protection locked="0" hidden="1"/>
    </xf>
    <xf numFmtId="0" fontId="2" fillId="12" borderId="81" xfId="0" applyFont="1" applyFill="1" applyBorder="1" applyAlignment="1">
      <alignment horizontal="center" vertical="center"/>
    </xf>
    <xf numFmtId="0" fontId="269" fillId="12" borderId="8" xfId="0" applyFont="1" applyFill="1" applyBorder="1" applyAlignment="1">
      <alignment horizontal="center" vertical="center" wrapText="1"/>
    </xf>
    <xf numFmtId="0" fontId="269" fillId="12" borderId="9" xfId="0" applyFont="1" applyFill="1" applyBorder="1" applyAlignment="1">
      <alignment horizontal="center" vertical="center" wrapText="1"/>
    </xf>
    <xf numFmtId="0" fontId="269" fillId="12" borderId="10" xfId="0" applyFont="1" applyFill="1" applyBorder="1" applyAlignment="1">
      <alignment horizontal="center" vertical="center" wrapText="1"/>
    </xf>
    <xf numFmtId="0" fontId="8" fillId="12" borderId="22" xfId="0" applyFont="1" applyFill="1" applyBorder="1" applyAlignment="1">
      <alignment horizontal="center" vertical="center"/>
    </xf>
    <xf numFmtId="0" fontId="8" fillId="12" borderId="25" xfId="0" applyFont="1" applyFill="1" applyBorder="1" applyAlignment="1">
      <alignment horizontal="center" vertical="center"/>
    </xf>
    <xf numFmtId="0" fontId="8" fillId="12" borderId="25" xfId="0" applyFont="1" applyFill="1" applyBorder="1" applyAlignment="1" applyProtection="1">
      <alignment horizontal="center" vertical="center"/>
      <protection locked="0" hidden="1"/>
    </xf>
    <xf numFmtId="0" fontId="8" fillId="12" borderId="73" xfId="0" applyFont="1" applyFill="1" applyBorder="1" applyAlignment="1" applyProtection="1">
      <alignment horizontal="center" vertical="center"/>
      <protection locked="0" hidden="1"/>
    </xf>
    <xf numFmtId="0" fontId="2" fillId="0" borderId="295" xfId="0" applyFont="1" applyBorder="1" applyAlignment="1">
      <alignment horizontal="center" vertical="center" wrapText="1"/>
    </xf>
    <xf numFmtId="0" fontId="2" fillId="0" borderId="25" xfId="0" applyFont="1" applyBorder="1" applyAlignment="1">
      <alignment horizontal="center" vertical="center" wrapText="1"/>
    </xf>
    <xf numFmtId="0" fontId="2" fillId="0" borderId="23" xfId="0" applyFont="1" applyBorder="1" applyAlignment="1">
      <alignment horizontal="center" vertical="center" wrapText="1"/>
    </xf>
    <xf numFmtId="0" fontId="3" fillId="12" borderId="18" xfId="0" applyFont="1" applyFill="1" applyBorder="1" applyAlignment="1">
      <alignment horizontal="left" vertical="center"/>
    </xf>
    <xf numFmtId="0" fontId="3" fillId="12" borderId="38" xfId="0" applyFont="1" applyFill="1" applyBorder="1" applyAlignment="1">
      <alignment horizontal="left" vertical="center"/>
    </xf>
    <xf numFmtId="0" fontId="2" fillId="12" borderId="2" xfId="0" applyFont="1" applyFill="1" applyBorder="1" applyAlignment="1">
      <alignment horizontal="center" vertical="center"/>
    </xf>
    <xf numFmtId="0" fontId="3" fillId="0" borderId="25" xfId="0" applyFont="1" applyBorder="1" applyAlignment="1">
      <alignment horizontal="center" vertical="center"/>
    </xf>
    <xf numFmtId="0" fontId="3" fillId="0" borderId="23" xfId="0" applyFont="1" applyBorder="1" applyAlignment="1">
      <alignment horizontal="center" vertical="center"/>
    </xf>
    <xf numFmtId="0" fontId="10" fillId="12" borderId="0" xfId="0" applyFont="1" applyFill="1" applyAlignment="1" applyProtection="1">
      <alignment horizontal="left" vertical="top"/>
      <protection locked="0" hidden="1"/>
    </xf>
    <xf numFmtId="0" fontId="3" fillId="12" borderId="1" xfId="0" applyFont="1" applyFill="1" applyBorder="1" applyAlignment="1">
      <alignment horizontal="left" vertical="center"/>
    </xf>
    <xf numFmtId="0" fontId="3" fillId="12" borderId="0" xfId="0" applyFont="1" applyFill="1" applyAlignment="1">
      <alignment horizontal="left" vertical="center"/>
    </xf>
    <xf numFmtId="1" fontId="321" fillId="0" borderId="213" xfId="0" applyNumberFormat="1" applyFont="1" applyBorder="1" applyAlignment="1" applyProtection="1">
      <alignment horizontal="center" vertical="center"/>
      <protection hidden="1"/>
    </xf>
    <xf numFmtId="0" fontId="321" fillId="0" borderId="722" xfId="0" applyFont="1" applyBorder="1" applyAlignment="1" applyProtection="1">
      <alignment horizontal="center" vertical="center"/>
      <protection hidden="1"/>
    </xf>
    <xf numFmtId="0" fontId="321" fillId="0" borderId="213" xfId="0" applyFont="1" applyBorder="1" applyAlignment="1" applyProtection="1">
      <alignment horizontal="center" vertical="center"/>
      <protection hidden="1"/>
    </xf>
    <xf numFmtId="0" fontId="321" fillId="0" borderId="691" xfId="0" applyFont="1" applyBorder="1" applyAlignment="1" applyProtection="1">
      <alignment horizontal="left" vertical="center"/>
      <protection hidden="1"/>
    </xf>
    <xf numFmtId="0" fontId="321" fillId="0" borderId="213" xfId="0" applyFont="1" applyBorder="1" applyAlignment="1" applyProtection="1">
      <alignment horizontal="left" vertical="center"/>
      <protection hidden="1"/>
    </xf>
    <xf numFmtId="0" fontId="321" fillId="0" borderId="694" xfId="0" applyFont="1" applyBorder="1" applyAlignment="1" applyProtection="1">
      <alignment horizontal="left" vertical="center"/>
      <protection hidden="1"/>
    </xf>
    <xf numFmtId="0" fontId="451" fillId="50" borderId="246" xfId="0" applyFont="1" applyFill="1" applyBorder="1" applyAlignment="1" applyProtection="1">
      <alignment horizontal="center" vertical="center"/>
      <protection hidden="1"/>
    </xf>
    <xf numFmtId="0" fontId="451" fillId="50" borderId="247" xfId="0" applyFont="1" applyFill="1" applyBorder="1" applyAlignment="1" applyProtection="1">
      <alignment horizontal="center" vertical="center"/>
      <protection hidden="1"/>
    </xf>
    <xf numFmtId="0" fontId="76" fillId="12" borderId="247" xfId="3" applyFont="1" applyFill="1" applyBorder="1" applyAlignment="1" applyProtection="1">
      <alignment horizontal="center" vertical="center"/>
      <protection hidden="1"/>
    </xf>
    <xf numFmtId="0" fontId="76" fillId="12" borderId="248" xfId="3" applyFont="1" applyFill="1" applyBorder="1" applyAlignment="1" applyProtection="1">
      <alignment horizontal="center" vertical="center"/>
      <protection hidden="1"/>
    </xf>
    <xf numFmtId="3" fontId="321" fillId="0" borderId="691" xfId="0" applyNumberFormat="1" applyFont="1" applyBorder="1" applyAlignment="1" applyProtection="1">
      <alignment horizontal="center" vertical="center"/>
      <protection hidden="1"/>
    </xf>
    <xf numFmtId="1" fontId="325" fillId="0" borderId="208" xfId="0" applyNumberFormat="1" applyFont="1" applyBorder="1" applyAlignment="1" applyProtection="1">
      <alignment horizontal="center" vertical="center"/>
      <protection hidden="1"/>
    </xf>
    <xf numFmtId="0" fontId="325" fillId="0" borderId="719" xfId="0" applyFont="1" applyBorder="1" applyAlignment="1" applyProtection="1">
      <alignment horizontal="center" vertical="center"/>
      <protection hidden="1"/>
    </xf>
    <xf numFmtId="0" fontId="321" fillId="0" borderId="208" xfId="0" applyFont="1" applyBorder="1" applyAlignment="1" applyProtection="1">
      <alignment horizontal="left" vertical="center"/>
      <protection hidden="1"/>
    </xf>
    <xf numFmtId="0" fontId="321" fillId="0" borderId="209" xfId="0" applyFont="1" applyBorder="1" applyAlignment="1" applyProtection="1">
      <alignment horizontal="left" vertical="center"/>
      <protection hidden="1"/>
    </xf>
    <xf numFmtId="0" fontId="321" fillId="0" borderId="210" xfId="0" applyFont="1" applyBorder="1" applyAlignment="1" applyProtection="1">
      <alignment horizontal="left" vertical="center"/>
      <protection hidden="1"/>
    </xf>
    <xf numFmtId="0" fontId="452" fillId="50" borderId="539" xfId="0" applyFont="1" applyFill="1" applyBorder="1" applyAlignment="1" applyProtection="1">
      <alignment horizontal="center" vertical="top"/>
      <protection locked="0" hidden="1"/>
    </xf>
    <xf numFmtId="0" fontId="452" fillId="50" borderId="540" xfId="0" applyFont="1" applyFill="1" applyBorder="1" applyAlignment="1" applyProtection="1">
      <alignment horizontal="center" vertical="top"/>
      <protection locked="0" hidden="1"/>
    </xf>
    <xf numFmtId="0" fontId="451" fillId="50" borderId="540" xfId="0" applyFont="1" applyFill="1" applyBorder="1" applyAlignment="1" applyProtection="1">
      <alignment horizontal="center" vertical="top" wrapText="1"/>
      <protection locked="0" hidden="1"/>
    </xf>
    <xf numFmtId="0" fontId="451" fillId="50" borderId="541" xfId="0" applyFont="1" applyFill="1" applyBorder="1" applyAlignment="1" applyProtection="1">
      <alignment horizontal="center" vertical="top" wrapText="1"/>
      <protection locked="0" hidden="1"/>
    </xf>
    <xf numFmtId="0" fontId="328" fillId="0" borderId="691" xfId="0" applyFont="1" applyBorder="1" applyAlignment="1" applyProtection="1">
      <alignment horizontal="center" vertical="center"/>
      <protection hidden="1"/>
    </xf>
    <xf numFmtId="0" fontId="328" fillId="0" borderId="213" xfId="0" applyFont="1" applyBorder="1" applyAlignment="1" applyProtection="1">
      <alignment horizontal="center" vertical="center"/>
      <protection hidden="1"/>
    </xf>
    <xf numFmtId="0" fontId="328" fillId="0" borderId="694" xfId="0" applyFont="1" applyBorder="1" applyAlignment="1" applyProtection="1">
      <alignment horizontal="center" vertical="center"/>
      <protection hidden="1"/>
    </xf>
    <xf numFmtId="0" fontId="321" fillId="0" borderId="550" xfId="0" applyFont="1" applyBorder="1" applyAlignment="1" applyProtection="1">
      <alignment horizontal="center" vertical="center"/>
      <protection hidden="1"/>
    </xf>
    <xf numFmtId="0" fontId="422" fillId="0" borderId="550" xfId="0" applyFont="1" applyBorder="1" applyAlignment="1" applyProtection="1">
      <alignment horizontal="left" vertical="center"/>
      <protection hidden="1"/>
    </xf>
    <xf numFmtId="0" fontId="422" fillId="0" borderId="530" xfId="0" applyFont="1" applyBorder="1" applyAlignment="1" applyProtection="1">
      <alignment horizontal="left" vertical="center"/>
      <protection hidden="1"/>
    </xf>
    <xf numFmtId="0" fontId="440" fillId="0" borderId="720" xfId="0" applyFont="1" applyBorder="1" applyAlignment="1" applyProtection="1">
      <alignment horizontal="center" vertical="center"/>
      <protection hidden="1"/>
    </xf>
    <xf numFmtId="0" fontId="440" fillId="0" borderId="693" xfId="0" applyFont="1" applyBorder="1" applyAlignment="1" applyProtection="1">
      <alignment horizontal="center" vertical="center"/>
      <protection hidden="1"/>
    </xf>
    <xf numFmtId="0" fontId="440" fillId="0" borderId="721" xfId="0" applyFont="1" applyBorder="1" applyAlignment="1" applyProtection="1">
      <alignment horizontal="center" vertical="center"/>
      <protection hidden="1"/>
    </xf>
    <xf numFmtId="0" fontId="0" fillId="31" borderId="0" xfId="0" applyFill="1" applyAlignment="1">
      <alignment horizontal="center"/>
    </xf>
    <xf numFmtId="0" fontId="422" fillId="0" borderId="338" xfId="0" applyFont="1" applyBorder="1" applyAlignment="1" applyProtection="1">
      <alignment horizontal="center" vertical="center"/>
      <protection hidden="1"/>
    </xf>
    <xf numFmtId="0" fontId="422" fillId="0" borderId="339" xfId="0" applyFont="1" applyBorder="1" applyAlignment="1" applyProtection="1">
      <alignment horizontal="center" vertical="center"/>
      <protection hidden="1"/>
    </xf>
    <xf numFmtId="0" fontId="421" fillId="0" borderId="339" xfId="0" applyFont="1" applyBorder="1" applyAlignment="1" applyProtection="1">
      <alignment horizontal="left" vertical="center"/>
      <protection hidden="1"/>
    </xf>
    <xf numFmtId="0" fontId="422" fillId="0" borderId="339" xfId="0" applyFont="1" applyBorder="1" applyAlignment="1" applyProtection="1">
      <alignment horizontal="left" vertical="center"/>
      <protection hidden="1"/>
    </xf>
    <xf numFmtId="0" fontId="421" fillId="0" borderId="340" xfId="0" applyFont="1" applyBorder="1" applyAlignment="1" applyProtection="1">
      <alignment horizontal="left" vertical="center"/>
      <protection hidden="1"/>
    </xf>
    <xf numFmtId="0" fontId="422" fillId="0" borderId="531" xfId="0" applyFont="1" applyBorder="1" applyAlignment="1" applyProtection="1">
      <alignment horizontal="center" vertical="center"/>
      <protection hidden="1"/>
    </xf>
    <xf numFmtId="0" fontId="422" fillId="0" borderId="550" xfId="0" applyFont="1" applyBorder="1" applyAlignment="1" applyProtection="1">
      <alignment horizontal="center" vertical="center"/>
      <protection hidden="1"/>
    </xf>
    <xf numFmtId="0" fontId="421" fillId="0" borderId="550" xfId="0" applyFont="1" applyBorder="1" applyAlignment="1" applyProtection="1">
      <alignment horizontal="left" vertical="center"/>
      <protection hidden="1"/>
    </xf>
    <xf numFmtId="0" fontId="421" fillId="0" borderId="550" xfId="0" applyFont="1" applyBorder="1" applyAlignment="1" applyProtection="1">
      <alignment horizontal="left" vertical="center" wrapText="1"/>
      <protection hidden="1"/>
    </xf>
    <xf numFmtId="0" fontId="421" fillId="0" borderId="530" xfId="0" applyFont="1" applyBorder="1" applyAlignment="1" applyProtection="1">
      <alignment horizontal="left" vertical="center" wrapText="1"/>
      <protection hidden="1"/>
    </xf>
    <xf numFmtId="1" fontId="421" fillId="0" borderId="550" xfId="0" applyNumberFormat="1" applyFont="1" applyBorder="1" applyAlignment="1" applyProtection="1">
      <alignment horizontal="left" vertical="center"/>
      <protection hidden="1"/>
    </xf>
    <xf numFmtId="0" fontId="421" fillId="0" borderId="530" xfId="0" applyFont="1" applyBorder="1" applyAlignment="1" applyProtection="1">
      <alignment horizontal="left" vertical="center"/>
      <protection hidden="1"/>
    </xf>
    <xf numFmtId="0" fontId="422" fillId="0" borderId="550" xfId="0" applyFont="1" applyBorder="1" applyAlignment="1" applyProtection="1">
      <alignment vertical="center"/>
      <protection hidden="1"/>
    </xf>
    <xf numFmtId="0" fontId="422" fillId="0" borderId="691" xfId="0" applyFont="1" applyBorder="1" applyAlignment="1" applyProtection="1">
      <alignment horizontal="left" vertical="center"/>
      <protection hidden="1"/>
    </xf>
    <xf numFmtId="0" fontId="422" fillId="0" borderId="694" xfId="0" applyFont="1" applyBorder="1" applyAlignment="1" applyProtection="1">
      <alignment horizontal="left" vertical="center"/>
      <protection hidden="1"/>
    </xf>
    <xf numFmtId="0" fontId="451" fillId="0" borderId="209" xfId="0" applyFont="1" applyBorder="1" applyAlignment="1" applyProtection="1">
      <alignment horizontal="left" vertical="top" wrapText="1"/>
      <protection hidden="1"/>
    </xf>
    <xf numFmtId="0" fontId="451" fillId="0" borderId="525" xfId="0" applyFont="1" applyBorder="1" applyAlignment="1" applyProtection="1">
      <alignment horizontal="left" vertical="top" wrapText="1"/>
      <protection hidden="1"/>
    </xf>
    <xf numFmtId="0" fontId="321" fillId="0" borderId="295" xfId="0" applyFont="1" applyBorder="1" applyAlignment="1" applyProtection="1">
      <alignment horizontal="left" vertical="center"/>
      <protection hidden="1"/>
    </xf>
    <xf numFmtId="0" fontId="321" fillId="0" borderId="25" xfId="0" applyFont="1" applyBorder="1" applyAlignment="1" applyProtection="1">
      <alignment horizontal="left" vertical="center"/>
      <protection hidden="1"/>
    </xf>
    <xf numFmtId="0" fontId="321" fillId="0" borderId="296" xfId="0" applyFont="1" applyBorder="1" applyAlignment="1" applyProtection="1">
      <alignment horizontal="left" vertical="center"/>
      <protection hidden="1"/>
    </xf>
    <xf numFmtId="3" fontId="321" fillId="0" borderId="295" xfId="0" applyNumberFormat="1" applyFont="1" applyBorder="1" applyAlignment="1" applyProtection="1">
      <alignment horizontal="center" vertical="center"/>
      <protection hidden="1"/>
    </xf>
    <xf numFmtId="0" fontId="321" fillId="0" borderId="348" xfId="0" applyFont="1" applyBorder="1" applyAlignment="1" applyProtection="1">
      <alignment horizontal="center" vertical="center"/>
      <protection hidden="1"/>
    </xf>
    <xf numFmtId="0" fontId="321" fillId="0" borderId="25" xfId="0" applyFont="1" applyBorder="1" applyAlignment="1" applyProtection="1">
      <alignment horizontal="center" vertical="center"/>
      <protection hidden="1"/>
    </xf>
    <xf numFmtId="0" fontId="422" fillId="0" borderId="295" xfId="0" applyFont="1" applyBorder="1" applyAlignment="1" applyProtection="1">
      <alignment horizontal="center" vertical="center"/>
      <protection hidden="1"/>
    </xf>
    <xf numFmtId="0" fontId="422" fillId="0" borderId="348" xfId="0" applyFont="1" applyBorder="1" applyAlignment="1" applyProtection="1">
      <alignment horizontal="center" vertical="center"/>
      <protection hidden="1"/>
    </xf>
    <xf numFmtId="0" fontId="422" fillId="0" borderId="346" xfId="0" applyFont="1" applyBorder="1" applyAlignment="1" applyProtection="1">
      <alignment horizontal="center" vertical="center"/>
      <protection hidden="1"/>
    </xf>
    <xf numFmtId="0" fontId="422" fillId="0" borderId="25" xfId="0" applyFont="1" applyBorder="1" applyAlignment="1" applyProtection="1">
      <alignment horizontal="center" vertical="center"/>
      <protection hidden="1"/>
    </xf>
    <xf numFmtId="0" fontId="422" fillId="0" borderId="296" xfId="0" applyFont="1" applyBorder="1" applyAlignment="1" applyProtection="1">
      <alignment horizontal="center" vertical="center"/>
      <protection hidden="1"/>
    </xf>
    <xf numFmtId="0" fontId="321" fillId="0" borderId="295" xfId="0" applyFont="1" applyBorder="1" applyAlignment="1" applyProtection="1">
      <alignment horizontal="center" vertical="center"/>
      <protection hidden="1"/>
    </xf>
    <xf numFmtId="0" fontId="440" fillId="0" borderId="349" xfId="0" applyFont="1" applyBorder="1" applyAlignment="1" applyProtection="1">
      <alignment horizontal="center" vertical="center"/>
      <protection hidden="1"/>
    </xf>
    <xf numFmtId="0" fontId="440" fillId="0" borderId="259" xfId="0" applyFont="1" applyBorder="1" applyAlignment="1" applyProtection="1">
      <alignment horizontal="center" vertical="center"/>
      <protection hidden="1"/>
    </xf>
    <xf numFmtId="0" fontId="440" fillId="0" borderId="347" xfId="0" applyFont="1" applyBorder="1" applyAlignment="1" applyProtection="1">
      <alignment horizontal="center" vertical="center"/>
      <protection hidden="1"/>
    </xf>
    <xf numFmtId="0" fontId="422" fillId="0" borderId="341" xfId="0" applyFont="1" applyBorder="1" applyAlignment="1" applyProtection="1">
      <alignment horizontal="center"/>
      <protection hidden="1"/>
    </xf>
    <xf numFmtId="0" fontId="422" fillId="0" borderId="336" xfId="0" applyFont="1" applyBorder="1" applyAlignment="1" applyProtection="1">
      <alignment horizontal="center"/>
      <protection hidden="1"/>
    </xf>
    <xf numFmtId="1" fontId="421" fillId="0" borderId="336" xfId="0" applyNumberFormat="1" applyFont="1" applyBorder="1" applyAlignment="1" applyProtection="1">
      <alignment horizontal="left"/>
      <protection hidden="1"/>
    </xf>
    <xf numFmtId="0" fontId="421" fillId="0" borderId="336" xfId="0" applyFont="1" applyBorder="1" applyAlignment="1" applyProtection="1">
      <alignment horizontal="left"/>
      <protection hidden="1"/>
    </xf>
    <xf numFmtId="0" fontId="422" fillId="0" borderId="336" xfId="0" applyFont="1" applyBorder="1" applyAlignment="1" applyProtection="1">
      <alignment horizontal="center" vertical="center"/>
      <protection hidden="1"/>
    </xf>
    <xf numFmtId="0" fontId="421" fillId="0" borderId="342" xfId="0" applyFont="1" applyBorder="1" applyAlignment="1" applyProtection="1">
      <alignment horizontal="left"/>
      <protection hidden="1"/>
    </xf>
    <xf numFmtId="0" fontId="422" fillId="0" borderId="341" xfId="0" applyFont="1" applyBorder="1" applyAlignment="1" applyProtection="1">
      <alignment horizontal="center" vertical="center"/>
      <protection hidden="1"/>
    </xf>
    <xf numFmtId="0" fontId="422" fillId="0" borderId="336" xfId="0" applyFont="1" applyBorder="1" applyAlignment="1" applyProtection="1">
      <alignment vertical="center"/>
      <protection hidden="1"/>
    </xf>
    <xf numFmtId="0" fontId="422" fillId="0" borderId="295" xfId="0" applyFont="1" applyBorder="1" applyAlignment="1" applyProtection="1">
      <alignment horizontal="center"/>
      <protection hidden="1"/>
    </xf>
    <xf numFmtId="0" fontId="422" fillId="0" borderId="296" xfId="0" applyFont="1" applyBorder="1" applyAlignment="1" applyProtection="1">
      <alignment horizontal="center"/>
      <protection hidden="1"/>
    </xf>
    <xf numFmtId="0" fontId="422" fillId="0" borderId="336" xfId="0" applyFont="1" applyBorder="1" applyAlignment="1" applyProtection="1">
      <alignment horizontal="left"/>
      <protection hidden="1"/>
    </xf>
    <xf numFmtId="0" fontId="422" fillId="0" borderId="342" xfId="0" applyFont="1" applyBorder="1" applyAlignment="1" applyProtection="1">
      <alignment horizontal="left"/>
      <protection hidden="1"/>
    </xf>
    <xf numFmtId="0" fontId="321" fillId="0" borderId="349" xfId="0" applyFont="1" applyBorder="1" applyAlignment="1" applyProtection="1">
      <alignment horizontal="center" vertical="center" textRotation="90"/>
      <protection hidden="1"/>
    </xf>
    <xf numFmtId="0" fontId="321" fillId="0" borderId="350" xfId="0" applyFont="1" applyBorder="1" applyAlignment="1" applyProtection="1">
      <alignment horizontal="center" vertical="center" textRotation="90"/>
      <protection hidden="1"/>
    </xf>
    <xf numFmtId="0" fontId="321" fillId="0" borderId="351" xfId="0" applyFont="1" applyBorder="1" applyAlignment="1" applyProtection="1">
      <alignment horizontal="center" vertical="center" textRotation="90"/>
      <protection hidden="1"/>
    </xf>
    <xf numFmtId="0" fontId="328" fillId="0" borderId="295" xfId="0" applyFont="1" applyBorder="1" applyAlignment="1" applyProtection="1">
      <alignment horizontal="center" vertical="center"/>
      <protection hidden="1"/>
    </xf>
    <xf numFmtId="0" fontId="328" fillId="0" borderId="25" xfId="0" applyFont="1" applyBorder="1" applyAlignment="1" applyProtection="1">
      <alignment horizontal="center" vertical="center"/>
      <protection hidden="1"/>
    </xf>
    <xf numFmtId="0" fontId="328" fillId="0" borderId="296" xfId="0" applyFont="1" applyBorder="1" applyAlignment="1" applyProtection="1">
      <alignment horizontal="center" vertical="center"/>
      <protection hidden="1"/>
    </xf>
    <xf numFmtId="0" fontId="422" fillId="0" borderId="338" xfId="0" applyFont="1" applyBorder="1" applyAlignment="1" applyProtection="1">
      <alignment horizontal="center"/>
      <protection hidden="1"/>
    </xf>
    <xf numFmtId="0" fontId="422" fillId="0" borderId="339" xfId="0" applyFont="1" applyBorder="1" applyAlignment="1" applyProtection="1">
      <alignment horizontal="center"/>
      <protection hidden="1"/>
    </xf>
    <xf numFmtId="0" fontId="421" fillId="0" borderId="339" xfId="0" applyFont="1" applyBorder="1" applyAlignment="1" applyProtection="1">
      <alignment horizontal="left"/>
      <protection hidden="1"/>
    </xf>
    <xf numFmtId="0" fontId="421" fillId="0" borderId="340" xfId="0" applyFont="1" applyBorder="1" applyAlignment="1" applyProtection="1">
      <alignment horizontal="left"/>
      <protection hidden="1"/>
    </xf>
    <xf numFmtId="0" fontId="421" fillId="0" borderId="336" xfId="0" applyFont="1" applyBorder="1" applyAlignment="1" applyProtection="1">
      <alignment horizontal="left" wrapText="1"/>
      <protection hidden="1"/>
    </xf>
    <xf numFmtId="0" fontId="421" fillId="0" borderId="342" xfId="0" applyFont="1" applyBorder="1" applyAlignment="1" applyProtection="1">
      <alignment horizontal="left" wrapText="1"/>
      <protection hidden="1"/>
    </xf>
    <xf numFmtId="0" fontId="422" fillId="0" borderId="321" xfId="0" applyFont="1" applyBorder="1" applyAlignment="1" applyProtection="1">
      <alignment horizontal="center" vertical="center"/>
      <protection hidden="1"/>
    </xf>
    <xf numFmtId="0" fontId="422" fillId="0" borderId="531" xfId="0" applyFont="1" applyBorder="1" applyAlignment="1" applyProtection="1">
      <alignment horizontal="center"/>
      <protection hidden="1"/>
    </xf>
    <xf numFmtId="0" fontId="422" fillId="0" borderId="321" xfId="0" applyFont="1" applyBorder="1" applyAlignment="1" applyProtection="1">
      <alignment horizontal="center"/>
      <protection hidden="1"/>
    </xf>
    <xf numFmtId="1" fontId="421" fillId="0" borderId="321" xfId="0" applyNumberFormat="1" applyFont="1" applyBorder="1" applyAlignment="1" applyProtection="1">
      <alignment horizontal="left"/>
      <protection hidden="1"/>
    </xf>
    <xf numFmtId="0" fontId="421" fillId="0" borderId="321" xfId="0" applyFont="1" applyBorder="1" applyAlignment="1" applyProtection="1">
      <alignment horizontal="left"/>
      <protection hidden="1"/>
    </xf>
    <xf numFmtId="0" fontId="421" fillId="0" borderId="532" xfId="0" applyFont="1" applyBorder="1" applyAlignment="1" applyProtection="1">
      <alignment horizontal="center"/>
      <protection hidden="1"/>
    </xf>
    <xf numFmtId="0" fontId="421" fillId="0" borderId="183" xfId="0" applyFont="1" applyBorder="1" applyAlignment="1" applyProtection="1">
      <alignment horizontal="center"/>
      <protection hidden="1"/>
    </xf>
    <xf numFmtId="0" fontId="440" fillId="0" borderId="343" xfId="0" applyFont="1" applyBorder="1" applyAlignment="1" applyProtection="1">
      <alignment horizontal="center" vertical="center"/>
      <protection hidden="1"/>
    </xf>
    <xf numFmtId="0" fontId="440" fillId="0" borderId="128" xfId="0" applyFont="1" applyBorder="1" applyAlignment="1" applyProtection="1">
      <alignment horizontal="center" vertical="center"/>
      <protection hidden="1"/>
    </xf>
    <xf numFmtId="0" fontId="440" fillId="0" borderId="344" xfId="0" applyFont="1" applyBorder="1" applyAlignment="1" applyProtection="1">
      <alignment horizontal="center" vertical="center"/>
      <protection hidden="1"/>
    </xf>
    <xf numFmtId="0" fontId="325" fillId="0" borderId="256" xfId="0" applyFont="1" applyBorder="1" applyAlignment="1" applyProtection="1">
      <alignment horizontal="center" vertical="center"/>
      <protection hidden="1"/>
    </xf>
    <xf numFmtId="0" fontId="325" fillId="0" borderId="352" xfId="0" applyFont="1" applyBorder="1" applyAlignment="1" applyProtection="1">
      <alignment horizontal="center" vertical="center"/>
      <protection hidden="1"/>
    </xf>
    <xf numFmtId="0" fontId="451" fillId="0" borderId="532" xfId="0" applyFont="1" applyBorder="1" applyAlignment="1" applyProtection="1">
      <alignment horizontal="center"/>
      <protection hidden="1"/>
    </xf>
    <xf numFmtId="0" fontId="451" fillId="0" borderId="183" xfId="0" applyFont="1" applyBorder="1" applyAlignment="1" applyProtection="1">
      <alignment horizontal="center"/>
      <protection hidden="1"/>
    </xf>
    <xf numFmtId="0" fontId="451" fillId="0" borderId="535" xfId="0" applyFont="1" applyBorder="1" applyAlignment="1" applyProtection="1">
      <alignment horizontal="center" vertical="center"/>
      <protection hidden="1"/>
    </xf>
    <xf numFmtId="0" fontId="451" fillId="0" borderId="209" xfId="0" applyFont="1" applyBorder="1" applyAlignment="1" applyProtection="1">
      <alignment horizontal="center" vertical="center"/>
      <protection hidden="1"/>
    </xf>
    <xf numFmtId="0" fontId="451" fillId="0" borderId="210" xfId="0" applyFont="1" applyBorder="1" applyAlignment="1" applyProtection="1">
      <alignment horizontal="center" vertical="center"/>
      <protection hidden="1"/>
    </xf>
    <xf numFmtId="0" fontId="421" fillId="0" borderId="321" xfId="0" applyFont="1" applyBorder="1" applyAlignment="1" applyProtection="1">
      <alignment horizontal="left" wrapText="1"/>
      <protection hidden="1"/>
    </xf>
    <xf numFmtId="0" fontId="421" fillId="0" borderId="530" xfId="0" applyFont="1" applyBorder="1" applyAlignment="1" applyProtection="1">
      <alignment horizontal="left" wrapText="1"/>
      <protection hidden="1"/>
    </xf>
    <xf numFmtId="0" fontId="421" fillId="0" borderId="530" xfId="0" applyFont="1" applyBorder="1" applyAlignment="1" applyProtection="1">
      <alignment horizontal="left"/>
      <protection hidden="1"/>
    </xf>
    <xf numFmtId="0" fontId="422" fillId="0" borderId="321" xfId="0" applyFont="1" applyBorder="1" applyAlignment="1" applyProtection="1">
      <alignment vertical="center"/>
      <protection hidden="1"/>
    </xf>
    <xf numFmtId="0" fontId="422" fillId="0" borderId="321" xfId="0" applyFont="1" applyBorder="1" applyAlignment="1" applyProtection="1">
      <alignment horizontal="left"/>
      <protection hidden="1"/>
    </xf>
    <xf numFmtId="0" fontId="422" fillId="0" borderId="530" xfId="0" applyFont="1" applyBorder="1" applyAlignment="1" applyProtection="1">
      <alignment horizontal="left"/>
      <protection hidden="1"/>
    </xf>
    <xf numFmtId="0" fontId="325" fillId="0" borderId="532" xfId="0" applyFont="1" applyBorder="1" applyAlignment="1" applyProtection="1">
      <alignment horizontal="center" vertical="center"/>
      <protection hidden="1"/>
    </xf>
    <xf numFmtId="0" fontId="325" fillId="0" borderId="183" xfId="0" applyFont="1" applyBorder="1" applyAlignment="1" applyProtection="1">
      <alignment horizontal="center" vertical="center"/>
      <protection hidden="1"/>
    </xf>
    <xf numFmtId="0" fontId="355" fillId="41" borderId="726" xfId="0" applyFont="1" applyFill="1" applyBorder="1" applyAlignment="1">
      <alignment horizontal="left" vertical="center"/>
    </xf>
    <xf numFmtId="0" fontId="355" fillId="41" borderId="727" xfId="0" applyFont="1" applyFill="1" applyBorder="1" applyAlignment="1">
      <alignment horizontal="left" vertical="center"/>
    </xf>
    <xf numFmtId="0" fontId="355" fillId="41" borderId="728" xfId="0" applyFont="1" applyFill="1" applyBorder="1" applyAlignment="1">
      <alignment horizontal="left" vertical="center"/>
    </xf>
    <xf numFmtId="1" fontId="355" fillId="41" borderId="726" xfId="0" applyNumberFormat="1" applyFont="1" applyFill="1" applyBorder="1" applyAlignment="1">
      <alignment horizontal="left" vertical="center"/>
    </xf>
    <xf numFmtId="1" fontId="355" fillId="41" borderId="727" xfId="0" applyNumberFormat="1" applyFont="1" applyFill="1" applyBorder="1" applyAlignment="1">
      <alignment horizontal="left" vertical="center"/>
    </xf>
    <xf numFmtId="1" fontId="355" fillId="41" borderId="728" xfId="0" applyNumberFormat="1" applyFont="1" applyFill="1" applyBorder="1" applyAlignment="1">
      <alignment horizontal="left" vertical="center"/>
    </xf>
    <xf numFmtId="1" fontId="355" fillId="41" borderId="726" xfId="0" applyNumberFormat="1" applyFont="1" applyFill="1" applyBorder="1" applyAlignment="1">
      <alignment horizontal="left"/>
    </xf>
    <xf numFmtId="1" fontId="355" fillId="41" borderId="727" xfId="0" applyNumberFormat="1" applyFont="1" applyFill="1" applyBorder="1" applyAlignment="1">
      <alignment horizontal="left"/>
    </xf>
    <xf numFmtId="1" fontId="355" fillId="41" borderId="728" xfId="0" applyNumberFormat="1" applyFont="1" applyFill="1" applyBorder="1" applyAlignment="1">
      <alignment horizontal="left"/>
    </xf>
    <xf numFmtId="3" fontId="355" fillId="66" borderId="662" xfId="0" applyNumberFormat="1" applyFont="1" applyFill="1" applyBorder="1" applyAlignment="1" applyProtection="1">
      <alignment horizontal="left" vertical="center"/>
      <protection hidden="1"/>
    </xf>
    <xf numFmtId="1" fontId="249" fillId="4" borderId="0" xfId="0" applyNumberFormat="1" applyFont="1" applyFill="1" applyAlignment="1" applyProtection="1">
      <alignment horizontal="center" vertical="center"/>
      <protection hidden="1"/>
    </xf>
    <xf numFmtId="3" fontId="298" fillId="2" borderId="12" xfId="0" applyNumberFormat="1" applyFont="1" applyFill="1" applyBorder="1" applyAlignment="1" applyProtection="1">
      <alignment horizontal="center"/>
      <protection hidden="1"/>
    </xf>
    <xf numFmtId="3" fontId="194" fillId="2" borderId="12" xfId="0" applyNumberFormat="1" applyFont="1" applyFill="1" applyBorder="1" applyAlignment="1" applyProtection="1">
      <alignment horizontal="center"/>
      <protection hidden="1"/>
    </xf>
    <xf numFmtId="0" fontId="172" fillId="2" borderId="0" xfId="0" applyFont="1" applyFill="1" applyAlignment="1" applyProtection="1">
      <alignment horizontal="left"/>
      <protection hidden="1"/>
    </xf>
    <xf numFmtId="3" fontId="300" fillId="2" borderId="12" xfId="0" applyNumberFormat="1" applyFont="1" applyFill="1" applyBorder="1" applyAlignment="1" applyProtection="1">
      <alignment horizontal="center"/>
      <protection hidden="1"/>
    </xf>
    <xf numFmtId="3" fontId="303" fillId="2" borderId="12" xfId="0" applyNumberFormat="1" applyFont="1" applyFill="1" applyBorder="1" applyAlignment="1" applyProtection="1">
      <alignment horizontal="center"/>
      <protection hidden="1"/>
    </xf>
    <xf numFmtId="0" fontId="8" fillId="12" borderId="39" xfId="0" applyFont="1" applyFill="1" applyBorder="1" applyAlignment="1" applyProtection="1">
      <alignment horizontal="center" vertical="center" wrapText="1"/>
      <protection hidden="1"/>
    </xf>
    <xf numFmtId="0" fontId="8" fillId="12" borderId="5" xfId="0" applyFont="1" applyFill="1" applyBorder="1" applyAlignment="1" applyProtection="1">
      <alignment horizontal="center" vertical="center" wrapText="1"/>
      <protection hidden="1"/>
    </xf>
    <xf numFmtId="0" fontId="21" fillId="0" borderId="211" xfId="0" applyFont="1" applyBorder="1" applyAlignment="1" applyProtection="1">
      <alignment horizontal="center" vertical="center" wrapText="1"/>
      <protection hidden="1"/>
    </xf>
    <xf numFmtId="0" fontId="14" fillId="0" borderId="208" xfId="0" applyFont="1" applyBorder="1" applyAlignment="1" applyProtection="1">
      <alignment horizontal="center" vertical="center"/>
      <protection hidden="1"/>
    </xf>
    <xf numFmtId="0" fontId="14" fillId="0" borderId="210" xfId="0" applyFont="1" applyBorder="1" applyAlignment="1" applyProtection="1">
      <alignment horizontal="center" vertical="center"/>
      <protection hidden="1"/>
    </xf>
    <xf numFmtId="0" fontId="197" fillId="2" borderId="54" xfId="0" applyFont="1" applyFill="1" applyBorder="1" applyAlignment="1" applyProtection="1">
      <alignment horizontal="center" vertical="top"/>
      <protection hidden="1"/>
    </xf>
    <xf numFmtId="0" fontId="197" fillId="2" borderId="56" xfId="0" applyFont="1" applyFill="1" applyBorder="1" applyAlignment="1" applyProtection="1">
      <alignment horizontal="center" vertical="top"/>
      <protection hidden="1"/>
    </xf>
    <xf numFmtId="3" fontId="41" fillId="2" borderId="57" xfId="0" applyNumberFormat="1" applyFont="1" applyFill="1" applyBorder="1" applyAlignment="1" applyProtection="1">
      <alignment horizontal="left" vertical="top"/>
      <protection hidden="1"/>
    </xf>
    <xf numFmtId="0" fontId="197" fillId="2" borderId="54" xfId="0" applyFont="1" applyFill="1" applyBorder="1" applyAlignment="1" applyProtection="1">
      <alignment horizontal="center" vertical="center"/>
      <protection hidden="1"/>
    </xf>
    <xf numFmtId="0" fontId="197" fillId="2" borderId="56" xfId="0" applyFont="1" applyFill="1" applyBorder="1" applyAlignment="1" applyProtection="1">
      <alignment horizontal="center" vertical="center"/>
      <protection hidden="1"/>
    </xf>
    <xf numFmtId="0" fontId="1" fillId="12" borderId="20" xfId="0" applyFont="1" applyFill="1" applyBorder="1" applyAlignment="1" applyProtection="1">
      <alignment horizontal="center"/>
      <protection hidden="1"/>
    </xf>
    <xf numFmtId="0" fontId="1" fillId="12" borderId="213" xfId="0" applyFont="1" applyFill="1" applyBorder="1" applyAlignment="1" applyProtection="1">
      <alignment horizontal="center"/>
      <protection hidden="1"/>
    </xf>
    <xf numFmtId="0" fontId="1" fillId="12" borderId="694" xfId="0" applyFont="1" applyFill="1" applyBorder="1" applyAlignment="1" applyProtection="1">
      <alignment horizontal="center"/>
      <protection hidden="1"/>
    </xf>
    <xf numFmtId="3" fontId="41" fillId="2" borderId="54" xfId="0" applyNumberFormat="1" applyFont="1" applyFill="1" applyBorder="1" applyAlignment="1" applyProtection="1">
      <alignment horizontal="left" vertical="top"/>
      <protection hidden="1"/>
    </xf>
    <xf numFmtId="0" fontId="21" fillId="0" borderId="691" xfId="0" applyFont="1" applyBorder="1" applyAlignment="1" applyProtection="1">
      <alignment horizontal="center" vertical="center"/>
      <protection hidden="1"/>
    </xf>
    <xf numFmtId="0" fontId="21" fillId="0" borderId="213" xfId="0" applyFont="1" applyBorder="1" applyAlignment="1" applyProtection="1">
      <alignment horizontal="center" vertical="center"/>
      <protection hidden="1"/>
    </xf>
    <xf numFmtId="0" fontId="21" fillId="0" borderId="694" xfId="0" applyFont="1" applyBorder="1" applyAlignment="1" applyProtection="1">
      <alignment horizontal="center" vertical="center"/>
      <protection hidden="1"/>
    </xf>
    <xf numFmtId="0" fontId="22" fillId="0" borderId="542" xfId="0" applyFont="1" applyBorder="1" applyAlignment="1" applyProtection="1">
      <alignment horizontal="center" vertical="center"/>
      <protection hidden="1"/>
    </xf>
    <xf numFmtId="0" fontId="22" fillId="0" borderId="207" xfId="0" applyFont="1" applyBorder="1" applyAlignment="1" applyProtection="1">
      <alignment horizontal="center" vertical="center"/>
      <protection hidden="1"/>
    </xf>
    <xf numFmtId="0" fontId="22" fillId="0" borderId="661" xfId="0" applyFont="1" applyBorder="1" applyAlignment="1" applyProtection="1">
      <alignment horizontal="center" vertical="center"/>
      <protection hidden="1"/>
    </xf>
    <xf numFmtId="0" fontId="22" fillId="0" borderId="20" xfId="0" applyFont="1" applyBorder="1" applyAlignment="1" applyProtection="1">
      <alignment horizontal="center" vertical="center"/>
      <protection hidden="1"/>
    </xf>
    <xf numFmtId="0" fontId="8" fillId="50" borderId="0" xfId="0" applyFont="1" applyFill="1" applyAlignment="1" applyProtection="1">
      <alignment horizontal="left" vertical="center"/>
      <protection hidden="1"/>
    </xf>
    <xf numFmtId="0" fontId="8" fillId="50" borderId="685" xfId="0" applyFont="1" applyFill="1" applyBorder="1" applyAlignment="1" applyProtection="1">
      <alignment horizontal="left" vertical="center"/>
      <protection hidden="1"/>
    </xf>
    <xf numFmtId="0" fontId="8" fillId="50" borderId="352" xfId="0" applyFont="1" applyFill="1" applyBorder="1" applyAlignment="1" applyProtection="1">
      <alignment horizontal="left" vertical="center"/>
      <protection hidden="1"/>
    </xf>
    <xf numFmtId="0" fontId="8" fillId="50" borderId="354" xfId="0" applyFont="1" applyFill="1" applyBorder="1" applyAlignment="1" applyProtection="1">
      <alignment horizontal="left" vertical="center"/>
      <protection hidden="1"/>
    </xf>
    <xf numFmtId="0" fontId="1" fillId="50" borderId="20" xfId="0" applyFont="1" applyFill="1" applyBorder="1" applyAlignment="1" applyProtection="1">
      <alignment horizontal="left" vertical="center"/>
      <protection hidden="1"/>
    </xf>
    <xf numFmtId="0" fontId="1" fillId="50" borderId="352" xfId="0" applyFont="1" applyFill="1" applyBorder="1" applyAlignment="1" applyProtection="1">
      <alignment horizontal="left" vertical="center"/>
      <protection hidden="1"/>
    </xf>
    <xf numFmtId="0" fontId="70" fillId="0" borderId="211" xfId="0" applyFont="1" applyBorder="1" applyAlignment="1" applyProtection="1">
      <alignment horizontal="left" vertical="center"/>
      <protection hidden="1"/>
    </xf>
    <xf numFmtId="0" fontId="1" fillId="50" borderId="661" xfId="0" applyFont="1" applyFill="1" applyBorder="1" applyAlignment="1" applyProtection="1">
      <alignment horizontal="left" vertical="center"/>
      <protection hidden="1"/>
    </xf>
    <xf numFmtId="0" fontId="82" fillId="50" borderId="208" xfId="0" applyFont="1" applyFill="1" applyBorder="1" applyAlignment="1" applyProtection="1">
      <alignment horizontal="center" vertical="center"/>
      <protection hidden="1"/>
    </xf>
    <xf numFmtId="0" fontId="82" fillId="50" borderId="210" xfId="0" applyFont="1" applyFill="1" applyBorder="1" applyAlignment="1" applyProtection="1">
      <alignment horizontal="center" vertical="center"/>
      <protection hidden="1"/>
    </xf>
    <xf numFmtId="0" fontId="82" fillId="50" borderId="661" xfId="0" applyFont="1" applyFill="1" applyBorder="1" applyAlignment="1" applyProtection="1">
      <alignment horizontal="center" vertical="center"/>
      <protection hidden="1"/>
    </xf>
    <xf numFmtId="0" fontId="82" fillId="50" borderId="685" xfId="0" applyFont="1" applyFill="1" applyBorder="1" applyAlignment="1" applyProtection="1">
      <alignment horizontal="center" vertical="center"/>
      <protection hidden="1"/>
    </xf>
    <xf numFmtId="0" fontId="82" fillId="50" borderId="717" xfId="0" applyFont="1" applyFill="1" applyBorder="1" applyAlignment="1" applyProtection="1">
      <alignment horizontal="center" vertical="center"/>
      <protection hidden="1"/>
    </xf>
    <xf numFmtId="0" fontId="82" fillId="50" borderId="20" xfId="0" applyFont="1" applyFill="1" applyBorder="1" applyAlignment="1" applyProtection="1">
      <alignment horizontal="center" vertical="center"/>
      <protection hidden="1"/>
    </xf>
    <xf numFmtId="0" fontId="82" fillId="50" borderId="354" xfId="0" applyFont="1" applyFill="1" applyBorder="1" applyAlignment="1" applyProtection="1">
      <alignment horizontal="center" vertical="center"/>
      <protection hidden="1"/>
    </xf>
    <xf numFmtId="0" fontId="197" fillId="2" borderId="622" xfId="0" applyFont="1" applyFill="1" applyBorder="1" applyAlignment="1" applyProtection="1">
      <alignment horizontal="center" vertical="top"/>
      <protection hidden="1"/>
    </xf>
    <xf numFmtId="0" fontId="197" fillId="2" borderId="684" xfId="0" applyFont="1" applyFill="1" applyBorder="1" applyAlignment="1" applyProtection="1">
      <alignment horizontal="center" vertical="top"/>
      <protection hidden="1"/>
    </xf>
    <xf numFmtId="0" fontId="17" fillId="0" borderId="546" xfId="0" applyFont="1" applyBorder="1" applyAlignment="1" applyProtection="1">
      <alignment horizontal="center" vertical="center"/>
      <protection hidden="1"/>
    </xf>
    <xf numFmtId="0" fontId="17" fillId="0" borderId="693" xfId="0" applyFont="1" applyBorder="1" applyAlignment="1" applyProtection="1">
      <alignment horizontal="center" vertical="center"/>
      <protection hidden="1"/>
    </xf>
    <xf numFmtId="0" fontId="19" fillId="0" borderId="85" xfId="0" applyFont="1" applyBorder="1" applyAlignment="1" applyProtection="1">
      <alignment horizontal="center" vertical="center"/>
      <protection hidden="1"/>
    </xf>
    <xf numFmtId="1" fontId="19" fillId="0" borderId="85" xfId="0" applyNumberFormat="1" applyFont="1" applyBorder="1" applyAlignment="1" applyProtection="1">
      <alignment vertical="center"/>
      <protection hidden="1"/>
    </xf>
    <xf numFmtId="0" fontId="8" fillId="0" borderId="0" xfId="0" applyFont="1" applyAlignment="1" applyProtection="1">
      <alignment horizontal="left" vertical="center"/>
      <protection hidden="1"/>
    </xf>
    <xf numFmtId="0" fontId="1" fillId="0" borderId="208" xfId="0" applyFont="1" applyBorder="1" applyAlignment="1" applyProtection="1">
      <alignment horizontal="left" vertical="center"/>
      <protection hidden="1"/>
    </xf>
    <xf numFmtId="0" fontId="1" fillId="0" borderId="209" xfId="0" applyFont="1" applyBorder="1" applyAlignment="1" applyProtection="1">
      <alignment horizontal="left" vertical="center"/>
      <protection hidden="1"/>
    </xf>
    <xf numFmtId="0" fontId="21" fillId="50" borderId="691" xfId="0" applyFont="1" applyFill="1" applyBorder="1" applyAlignment="1" applyProtection="1">
      <alignment horizontal="center" vertical="center"/>
      <protection hidden="1"/>
    </xf>
    <xf numFmtId="0" fontId="21" fillId="50" borderId="213" xfId="0" applyFont="1" applyFill="1" applyBorder="1" applyAlignment="1" applyProtection="1">
      <alignment horizontal="center" vertical="center"/>
      <protection hidden="1"/>
    </xf>
    <xf numFmtId="0" fontId="21" fillId="50" borderId="694" xfId="0" applyFont="1" applyFill="1" applyBorder="1" applyAlignment="1" applyProtection="1">
      <alignment horizontal="center" vertical="center"/>
      <protection hidden="1"/>
    </xf>
    <xf numFmtId="0" fontId="1" fillId="50" borderId="211" xfId="0" applyFont="1" applyFill="1" applyBorder="1" applyAlignment="1" applyProtection="1">
      <alignment horizontal="center" vertical="center"/>
      <protection hidden="1"/>
    </xf>
    <xf numFmtId="0" fontId="1" fillId="50" borderId="691" xfId="0" applyFont="1" applyFill="1" applyBorder="1" applyAlignment="1" applyProtection="1">
      <alignment horizontal="center" vertical="center"/>
      <protection hidden="1"/>
    </xf>
    <xf numFmtId="0" fontId="21" fillId="0" borderId="694" xfId="0" applyFont="1" applyBorder="1" applyAlignment="1" applyProtection="1">
      <alignment horizontal="left" vertical="center"/>
      <protection hidden="1"/>
    </xf>
    <xf numFmtId="0" fontId="21" fillId="0" borderId="211" xfId="0" applyFont="1" applyBorder="1" applyAlignment="1" applyProtection="1">
      <alignment horizontal="left" vertical="center"/>
      <protection hidden="1"/>
    </xf>
    <xf numFmtId="0" fontId="2" fillId="0" borderId="695" xfId="0" applyFont="1" applyBorder="1" applyAlignment="1" applyProtection="1">
      <alignment horizontal="left" vertical="center"/>
      <protection hidden="1"/>
    </xf>
    <xf numFmtId="0" fontId="1" fillId="0" borderId="211" xfId="0" applyFont="1" applyBorder="1" applyAlignment="1" applyProtection="1">
      <alignment horizontal="left" vertical="center"/>
      <protection hidden="1"/>
    </xf>
    <xf numFmtId="0" fontId="1" fillId="0" borderId="211" xfId="0" applyFont="1" applyBorder="1" applyAlignment="1" applyProtection="1">
      <alignment horizontal="center" vertical="center"/>
      <protection hidden="1"/>
    </xf>
    <xf numFmtId="0" fontId="14" fillId="0" borderId="209" xfId="0" applyFont="1" applyBorder="1" applyAlignment="1" applyProtection="1">
      <alignment horizontal="center" vertical="center"/>
      <protection hidden="1"/>
    </xf>
    <xf numFmtId="0" fontId="14" fillId="0" borderId="212" xfId="0" applyFont="1" applyBorder="1" applyAlignment="1" applyProtection="1">
      <alignment horizontal="center" vertical="center"/>
      <protection hidden="1"/>
    </xf>
    <xf numFmtId="0" fontId="14" fillId="0" borderId="0" xfId="0" applyFont="1" applyAlignment="1" applyProtection="1">
      <alignment horizontal="center" vertical="center"/>
      <protection hidden="1"/>
    </xf>
    <xf numFmtId="0" fontId="14" fillId="0" borderId="4" xfId="0" applyFont="1" applyBorder="1" applyAlignment="1" applyProtection="1">
      <alignment horizontal="center" vertical="center"/>
      <protection hidden="1"/>
    </xf>
    <xf numFmtId="0" fontId="14" fillId="0" borderId="352" xfId="0" applyFont="1" applyBorder="1" applyAlignment="1" applyProtection="1">
      <alignment horizontal="center" vertical="center"/>
      <protection hidden="1"/>
    </xf>
    <xf numFmtId="0" fontId="14" fillId="0" borderId="505" xfId="0" applyFont="1" applyBorder="1" applyAlignment="1" applyProtection="1">
      <alignment horizontal="center" vertical="center"/>
      <protection hidden="1"/>
    </xf>
    <xf numFmtId="1" fontId="1" fillId="0" borderId="696" xfId="0" applyNumberFormat="1" applyFont="1" applyBorder="1" applyAlignment="1" applyProtection="1">
      <alignment horizontal="center" vertical="center"/>
      <protection hidden="1"/>
    </xf>
    <xf numFmtId="1" fontId="1" fillId="0" borderId="667" xfId="0" applyNumberFormat="1" applyFont="1" applyBorder="1" applyAlignment="1" applyProtection="1">
      <alignment horizontal="center" vertical="center"/>
      <protection hidden="1"/>
    </xf>
    <xf numFmtId="1" fontId="1" fillId="0" borderId="668" xfId="0" applyNumberFormat="1" applyFont="1" applyBorder="1" applyAlignment="1" applyProtection="1">
      <alignment horizontal="center" vertical="center"/>
      <protection hidden="1"/>
    </xf>
    <xf numFmtId="0" fontId="2" fillId="0" borderId="691" xfId="0" applyFont="1" applyBorder="1" applyAlignment="1" applyProtection="1">
      <alignment horizontal="left" vertical="center"/>
      <protection hidden="1"/>
    </xf>
    <xf numFmtId="0" fontId="2" fillId="0" borderId="213" xfId="0" applyFont="1" applyBorder="1" applyAlignment="1" applyProtection="1">
      <alignment horizontal="left" vertical="center"/>
      <protection hidden="1"/>
    </xf>
    <xf numFmtId="0" fontId="2" fillId="0" borderId="694" xfId="0" applyFont="1" applyBorder="1" applyAlignment="1" applyProtection="1">
      <alignment horizontal="left" vertical="center"/>
      <protection hidden="1"/>
    </xf>
    <xf numFmtId="0" fontId="21" fillId="0" borderId="691" xfId="0" applyFont="1" applyBorder="1" applyAlignment="1" applyProtection="1">
      <alignment horizontal="left" vertical="center"/>
      <protection hidden="1"/>
    </xf>
    <xf numFmtId="0" fontId="21" fillId="0" borderId="213" xfId="0" applyFont="1" applyBorder="1" applyAlignment="1" applyProtection="1">
      <alignment horizontal="left" vertical="center"/>
      <protection hidden="1"/>
    </xf>
    <xf numFmtId="0" fontId="2" fillId="0" borderId="211" xfId="0" applyFont="1" applyBorder="1" applyAlignment="1" applyProtection="1">
      <alignment horizontal="left" vertical="center"/>
      <protection hidden="1"/>
    </xf>
    <xf numFmtId="0" fontId="1" fillId="0" borderId="691" xfId="0" applyFont="1" applyBorder="1" applyAlignment="1" applyProtection="1">
      <alignment horizontal="left" vertical="center"/>
      <protection hidden="1"/>
    </xf>
    <xf numFmtId="0" fontId="1" fillId="0" borderId="213" xfId="0" applyFont="1" applyBorder="1" applyAlignment="1" applyProtection="1">
      <alignment horizontal="left" vertical="center"/>
      <protection hidden="1"/>
    </xf>
    <xf numFmtId="0" fontId="1" fillId="0" borderId="694" xfId="0" applyFont="1" applyBorder="1" applyAlignment="1" applyProtection="1">
      <alignment horizontal="left" vertical="center"/>
      <protection hidden="1"/>
    </xf>
    <xf numFmtId="164" fontId="502" fillId="34" borderId="125" xfId="0" applyNumberFormat="1" applyFont="1" applyFill="1" applyBorder="1" applyAlignment="1" applyProtection="1">
      <alignment horizontal="center" vertical="center"/>
      <protection hidden="1"/>
    </xf>
    <xf numFmtId="164" fontId="502" fillId="34" borderId="55" xfId="0" applyNumberFormat="1" applyFont="1" applyFill="1" applyBorder="1" applyAlignment="1" applyProtection="1">
      <alignment horizontal="center" vertical="center"/>
      <protection hidden="1"/>
    </xf>
    <xf numFmtId="164" fontId="502" fillId="34" borderId="130" xfId="0" applyNumberFormat="1" applyFont="1" applyFill="1" applyBorder="1" applyAlignment="1" applyProtection="1">
      <alignment horizontal="center" vertical="center"/>
      <protection hidden="1"/>
    </xf>
    <xf numFmtId="5" fontId="41" fillId="2" borderId="622" xfId="0" applyNumberFormat="1" applyFont="1" applyFill="1" applyBorder="1" applyAlignment="1" applyProtection="1">
      <alignment horizontal="left" vertical="top"/>
      <protection hidden="1"/>
    </xf>
    <xf numFmtId="5" fontId="197" fillId="2" borderId="684" xfId="0" applyNumberFormat="1" applyFont="1" applyFill="1" applyBorder="1" applyAlignment="1" applyProtection="1">
      <alignment horizontal="left" vertical="top"/>
      <protection hidden="1"/>
    </xf>
    <xf numFmtId="0" fontId="3" fillId="0" borderId="691" xfId="0" applyFont="1" applyBorder="1" applyAlignment="1" applyProtection="1">
      <alignment horizontal="center" vertical="center"/>
      <protection hidden="1"/>
    </xf>
    <xf numFmtId="0" fontId="3" fillId="0" borderId="213" xfId="0" applyFont="1" applyBorder="1" applyAlignment="1" applyProtection="1">
      <alignment horizontal="center" vertical="center"/>
      <protection hidden="1"/>
    </xf>
    <xf numFmtId="0" fontId="3" fillId="0" borderId="694" xfId="0" applyFont="1" applyBorder="1" applyAlignment="1" applyProtection="1">
      <alignment horizontal="center" vertical="center"/>
      <protection hidden="1"/>
    </xf>
    <xf numFmtId="0" fontId="412" fillId="0" borderId="213" xfId="0" applyFont="1" applyBorder="1" applyAlignment="1" applyProtection="1">
      <alignment horizontal="left" vertical="center"/>
      <protection hidden="1"/>
    </xf>
    <xf numFmtId="0" fontId="412" fillId="0" borderId="694" xfId="0" applyFont="1" applyBorder="1" applyAlignment="1" applyProtection="1">
      <alignment horizontal="left" vertical="center"/>
      <protection hidden="1"/>
    </xf>
    <xf numFmtId="0" fontId="337" fillId="0" borderId="213" xfId="0" applyFont="1" applyBorder="1" applyAlignment="1" applyProtection="1">
      <alignment horizontal="left" vertical="center"/>
      <protection hidden="1"/>
    </xf>
    <xf numFmtId="0" fontId="337" fillId="0" borderId="694" xfId="0" applyFont="1" applyBorder="1" applyAlignment="1" applyProtection="1">
      <alignment horizontal="left" vertical="center"/>
      <protection hidden="1"/>
    </xf>
    <xf numFmtId="164" fontId="520" fillId="76" borderId="252" xfId="0" applyNumberFormat="1" applyFont="1" applyFill="1" applyBorder="1" applyAlignment="1" applyProtection="1">
      <alignment horizontal="center" vertical="center"/>
      <protection hidden="1"/>
    </xf>
    <xf numFmtId="164" fontId="520" fillId="76" borderId="690" xfId="0" applyNumberFormat="1" applyFont="1" applyFill="1" applyBorder="1" applyAlignment="1" applyProtection="1">
      <alignment horizontal="center" vertical="center"/>
      <protection hidden="1"/>
    </xf>
    <xf numFmtId="164" fontId="520" fillId="76" borderId="686" xfId="0" applyNumberFormat="1" applyFont="1" applyFill="1" applyBorder="1" applyAlignment="1" applyProtection="1">
      <alignment horizontal="center" vertical="center" wrapText="1"/>
      <protection hidden="1"/>
    </xf>
    <xf numFmtId="164" fontId="520" fillId="76" borderId="687" xfId="0" applyNumberFormat="1" applyFont="1" applyFill="1" applyBorder="1" applyAlignment="1" applyProtection="1">
      <alignment horizontal="center" vertical="center" wrapText="1"/>
      <protection hidden="1"/>
    </xf>
    <xf numFmtId="164" fontId="520" fillId="76" borderId="688" xfId="0" applyNumberFormat="1" applyFont="1" applyFill="1" applyBorder="1" applyAlignment="1" applyProtection="1">
      <alignment horizontal="center" vertical="center" wrapText="1"/>
      <protection hidden="1"/>
    </xf>
    <xf numFmtId="164" fontId="520" fillId="76" borderId="689" xfId="0" applyNumberFormat="1" applyFont="1" applyFill="1" applyBorder="1" applyAlignment="1" applyProtection="1">
      <alignment horizontal="center" vertical="center" wrapText="1"/>
      <protection hidden="1"/>
    </xf>
    <xf numFmtId="164" fontId="520" fillId="76" borderId="686" xfId="0" applyNumberFormat="1" applyFont="1" applyFill="1" applyBorder="1" applyAlignment="1" applyProtection="1">
      <alignment horizontal="center" vertical="center"/>
      <protection hidden="1"/>
    </xf>
    <xf numFmtId="164" fontId="520" fillId="76" borderId="687" xfId="0" applyNumberFormat="1" applyFont="1" applyFill="1" applyBorder="1" applyAlignment="1" applyProtection="1">
      <alignment horizontal="center" vertical="center"/>
      <protection hidden="1"/>
    </xf>
    <xf numFmtId="164" fontId="520" fillId="76" borderId="688" xfId="0" applyNumberFormat="1" applyFont="1" applyFill="1" applyBorder="1" applyAlignment="1" applyProtection="1">
      <alignment horizontal="center" vertical="center"/>
      <protection hidden="1"/>
    </xf>
    <xf numFmtId="164" fontId="520" fillId="76" borderId="689" xfId="0" applyNumberFormat="1" applyFont="1" applyFill="1" applyBorder="1" applyAlignment="1" applyProtection="1">
      <alignment horizontal="center" vertical="center"/>
      <protection hidden="1"/>
    </xf>
    <xf numFmtId="0" fontId="292" fillId="41" borderId="0" xfId="0" applyFont="1" applyFill="1" applyAlignment="1" applyProtection="1">
      <alignment horizontal="center" vertical="center" wrapText="1"/>
      <protection hidden="1"/>
    </xf>
    <xf numFmtId="164" fontId="18" fillId="0" borderId="209" xfId="0" applyNumberFormat="1" applyFont="1" applyBorder="1" applyAlignment="1" applyProtection="1">
      <alignment horizontal="left" vertical="center"/>
      <protection hidden="1"/>
    </xf>
    <xf numFmtId="0" fontId="81" fillId="41" borderId="0" xfId="0" applyFont="1" applyFill="1" applyAlignment="1" applyProtection="1">
      <alignment horizontal="center" vertical="top"/>
      <protection hidden="1"/>
    </xf>
    <xf numFmtId="164" fontId="18" fillId="0" borderId="691" xfId="0" applyNumberFormat="1" applyFont="1" applyBorder="1" applyAlignment="1" applyProtection="1">
      <alignment horizontal="center" vertical="center"/>
      <protection hidden="1"/>
    </xf>
    <xf numFmtId="164" fontId="18" fillId="0" borderId="213" xfId="0" applyNumberFormat="1" applyFont="1" applyBorder="1" applyAlignment="1" applyProtection="1">
      <alignment horizontal="center" vertical="center"/>
      <protection hidden="1"/>
    </xf>
    <xf numFmtId="164" fontId="18" fillId="0" borderId="692" xfId="0" applyNumberFormat="1" applyFont="1" applyBorder="1" applyAlignment="1" applyProtection="1">
      <alignment horizontal="center" vertical="center"/>
      <protection hidden="1"/>
    </xf>
    <xf numFmtId="0" fontId="17" fillId="0" borderId="211" xfId="0" applyFont="1" applyBorder="1" applyAlignment="1" applyProtection="1">
      <alignment horizontal="center" vertical="center"/>
      <protection hidden="1"/>
    </xf>
    <xf numFmtId="0" fontId="15" fillId="0" borderId="543" xfId="0" applyFont="1" applyBorder="1" applyProtection="1">
      <protection hidden="1"/>
    </xf>
    <xf numFmtId="0" fontId="15" fillId="0" borderId="544" xfId="0" applyFont="1" applyBorder="1" applyProtection="1">
      <protection hidden="1"/>
    </xf>
    <xf numFmtId="0" fontId="3" fillId="0" borderId="544" xfId="0" applyFont="1" applyBorder="1" applyAlignment="1" applyProtection="1">
      <alignment horizontal="center"/>
      <protection hidden="1"/>
    </xf>
    <xf numFmtId="0" fontId="15" fillId="0" borderId="544" xfId="0" applyFont="1" applyBorder="1" applyAlignment="1" applyProtection="1">
      <alignment horizontal="center"/>
      <protection hidden="1"/>
    </xf>
    <xf numFmtId="0" fontId="15" fillId="0" borderId="545" xfId="0" applyFont="1" applyBorder="1" applyAlignment="1" applyProtection="1">
      <alignment horizontal="center"/>
      <protection hidden="1"/>
    </xf>
    <xf numFmtId="0" fontId="197" fillId="2" borderId="0" xfId="0" applyFont="1" applyFill="1" applyAlignment="1" applyProtection="1">
      <alignment horizontal="center"/>
      <protection hidden="1"/>
    </xf>
    <xf numFmtId="0" fontId="301" fillId="2" borderId="12" xfId="0" applyFont="1" applyFill="1" applyBorder="1" applyAlignment="1" applyProtection="1">
      <alignment horizontal="center"/>
      <protection hidden="1"/>
    </xf>
    <xf numFmtId="3" fontId="181" fillId="2" borderId="0" xfId="0" applyNumberFormat="1" applyFont="1" applyFill="1" applyAlignment="1" applyProtection="1">
      <alignment horizontal="right"/>
      <protection hidden="1"/>
    </xf>
    <xf numFmtId="0" fontId="178" fillId="2" borderId="12" xfId="0" applyFont="1" applyFill="1" applyBorder="1" applyAlignment="1" applyProtection="1">
      <alignment horizontal="center"/>
      <protection hidden="1"/>
    </xf>
    <xf numFmtId="0" fontId="189" fillId="2" borderId="12" xfId="0" applyFont="1" applyFill="1" applyBorder="1" applyAlignment="1" applyProtection="1">
      <alignment horizontal="center"/>
      <protection hidden="1"/>
    </xf>
    <xf numFmtId="1" fontId="188" fillId="2" borderId="0" xfId="0" applyNumberFormat="1" applyFont="1" applyFill="1" applyAlignment="1" applyProtection="1">
      <alignment horizontal="center"/>
      <protection hidden="1"/>
    </xf>
    <xf numFmtId="3" fontId="178" fillId="2" borderId="0" xfId="0" applyNumberFormat="1" applyFont="1" applyFill="1" applyAlignment="1" applyProtection="1">
      <alignment horizontal="right"/>
      <protection hidden="1"/>
    </xf>
    <xf numFmtId="0" fontId="181" fillId="2" borderId="0" xfId="0" applyFont="1" applyFill="1" applyAlignment="1" applyProtection="1">
      <alignment horizontal="right"/>
      <protection hidden="1"/>
    </xf>
    <xf numFmtId="0" fontId="297" fillId="2" borderId="12" xfId="0" applyFont="1" applyFill="1" applyBorder="1" applyAlignment="1" applyProtection="1">
      <alignment horizontal="center"/>
      <protection hidden="1"/>
    </xf>
    <xf numFmtId="3" fontId="188" fillId="2" borderId="22" xfId="0" applyNumberFormat="1" applyFont="1" applyFill="1" applyBorder="1" applyAlignment="1" applyProtection="1">
      <alignment horizontal="center"/>
      <protection hidden="1"/>
    </xf>
    <xf numFmtId="0" fontId="188" fillId="2" borderId="73" xfId="0" applyFont="1" applyFill="1" applyBorder="1" applyAlignment="1" applyProtection="1">
      <alignment horizontal="center"/>
      <protection hidden="1"/>
    </xf>
    <xf numFmtId="0" fontId="188" fillId="2" borderId="22" xfId="0" applyFont="1" applyFill="1" applyBorder="1" applyAlignment="1" applyProtection="1">
      <alignment horizontal="center"/>
      <protection hidden="1"/>
    </xf>
    <xf numFmtId="1" fontId="191" fillId="2" borderId="132" xfId="0" applyNumberFormat="1" applyFont="1" applyFill="1" applyBorder="1" applyAlignment="1" applyProtection="1">
      <alignment horizontal="center"/>
      <protection hidden="1"/>
    </xf>
    <xf numFmtId="1" fontId="191" fillId="2" borderId="133" xfId="0" applyNumberFormat="1" applyFont="1" applyFill="1" applyBorder="1" applyAlignment="1" applyProtection="1">
      <alignment horizontal="center"/>
      <protection hidden="1"/>
    </xf>
    <xf numFmtId="1" fontId="188" fillId="2" borderId="12" xfId="0" applyNumberFormat="1" applyFont="1" applyFill="1" applyBorder="1" applyAlignment="1" applyProtection="1">
      <alignment horizontal="center"/>
      <protection hidden="1"/>
    </xf>
    <xf numFmtId="0" fontId="181" fillId="2" borderId="0" xfId="0" applyFont="1" applyFill="1" applyAlignment="1" applyProtection="1">
      <alignment horizontal="right" vertical="center"/>
      <protection hidden="1"/>
    </xf>
    <xf numFmtId="0" fontId="188" fillId="2" borderId="12" xfId="0" applyFont="1" applyFill="1" applyBorder="1" applyAlignment="1" applyProtection="1">
      <alignment horizontal="center"/>
      <protection hidden="1"/>
    </xf>
    <xf numFmtId="1" fontId="188" fillId="2" borderId="22" xfId="0" applyNumberFormat="1" applyFont="1" applyFill="1" applyBorder="1" applyAlignment="1" applyProtection="1">
      <alignment horizontal="center"/>
      <protection hidden="1"/>
    </xf>
    <xf numFmtId="0" fontId="178" fillId="2" borderId="13" xfId="0" applyFont="1" applyFill="1" applyBorder="1" applyAlignment="1" applyProtection="1">
      <alignment horizontal="right"/>
      <protection hidden="1"/>
    </xf>
    <xf numFmtId="3" fontId="181" fillId="2" borderId="13" xfId="0" applyNumberFormat="1" applyFont="1" applyFill="1" applyBorder="1" applyAlignment="1" applyProtection="1">
      <alignment horizontal="center"/>
      <protection hidden="1"/>
    </xf>
    <xf numFmtId="3" fontId="172" fillId="2" borderId="22" xfId="0" applyNumberFormat="1" applyFont="1" applyFill="1" applyBorder="1" applyAlignment="1" applyProtection="1">
      <alignment horizontal="center" vertical="center"/>
      <protection hidden="1"/>
    </xf>
    <xf numFmtId="3" fontId="172" fillId="2" borderId="73" xfId="0" applyNumberFormat="1" applyFont="1" applyFill="1" applyBorder="1" applyAlignment="1" applyProtection="1">
      <alignment horizontal="center" vertical="center"/>
      <protection hidden="1"/>
    </xf>
    <xf numFmtId="3" fontId="188" fillId="2" borderId="73" xfId="0" applyNumberFormat="1" applyFont="1" applyFill="1" applyBorder="1" applyAlignment="1" applyProtection="1">
      <alignment horizontal="center"/>
      <protection hidden="1"/>
    </xf>
    <xf numFmtId="0" fontId="191" fillId="2" borderId="133" xfId="0" applyFont="1" applyFill="1" applyBorder="1" applyAlignment="1" applyProtection="1">
      <alignment horizontal="center"/>
      <protection hidden="1"/>
    </xf>
    <xf numFmtId="1" fontId="172" fillId="2" borderId="0" xfId="0" applyNumberFormat="1" applyFont="1" applyFill="1" applyAlignment="1" applyProtection="1">
      <alignment horizontal="center" vertical="center"/>
      <protection hidden="1"/>
    </xf>
    <xf numFmtId="164" fontId="521" fillId="76" borderId="252" xfId="0" applyNumberFormat="1" applyFont="1" applyFill="1" applyBorder="1" applyAlignment="1" applyProtection="1">
      <alignment horizontal="center" vertical="center"/>
      <protection hidden="1"/>
    </xf>
    <xf numFmtId="164" fontId="521" fillId="76" borderId="690" xfId="0" applyNumberFormat="1" applyFont="1" applyFill="1" applyBorder="1" applyAlignment="1" applyProtection="1">
      <alignment horizontal="center" vertical="center"/>
      <protection hidden="1"/>
    </xf>
    <xf numFmtId="0" fontId="8" fillId="50" borderId="209" xfId="0" applyFont="1" applyFill="1" applyBorder="1" applyAlignment="1" applyProtection="1">
      <alignment horizontal="left" vertical="center"/>
      <protection hidden="1"/>
    </xf>
    <xf numFmtId="0" fontId="8" fillId="50" borderId="210" xfId="0" applyFont="1" applyFill="1" applyBorder="1" applyAlignment="1" applyProtection="1">
      <alignment horizontal="left" vertical="center"/>
      <protection hidden="1"/>
    </xf>
    <xf numFmtId="0" fontId="3" fillId="50" borderId="211" xfId="0" applyFont="1" applyFill="1" applyBorder="1" applyAlignment="1" applyProtection="1">
      <alignment horizontal="left" vertical="center"/>
      <protection hidden="1"/>
    </xf>
    <xf numFmtId="0" fontId="197" fillId="2" borderId="201" xfId="0" applyFont="1" applyFill="1" applyBorder="1" applyAlignment="1" applyProtection="1">
      <alignment horizontal="center" vertical="center"/>
      <protection hidden="1"/>
    </xf>
    <xf numFmtId="0" fontId="197" fillId="2" borderId="202" xfId="0" applyFont="1" applyFill="1" applyBorder="1" applyAlignment="1" applyProtection="1">
      <alignment horizontal="center" vertical="center"/>
      <protection hidden="1"/>
    </xf>
    <xf numFmtId="0" fontId="197" fillId="2" borderId="203" xfId="0" applyFont="1" applyFill="1" applyBorder="1" applyAlignment="1" applyProtection="1">
      <alignment horizontal="center" vertical="center"/>
      <protection hidden="1"/>
    </xf>
    <xf numFmtId="0" fontId="8" fillId="0" borderId="211" xfId="0" applyFont="1" applyBorder="1" applyAlignment="1" applyProtection="1">
      <alignment horizontal="center" vertical="center"/>
      <protection hidden="1"/>
    </xf>
    <xf numFmtId="0" fontId="519" fillId="2" borderId="201" xfId="0" applyFont="1" applyFill="1" applyBorder="1" applyAlignment="1" applyProtection="1">
      <alignment horizontal="center" vertical="center"/>
      <protection hidden="1"/>
    </xf>
    <xf numFmtId="0" fontId="519" fillId="2" borderId="202" xfId="0" applyFont="1" applyFill="1" applyBorder="1" applyAlignment="1" applyProtection="1">
      <alignment horizontal="center" vertical="center"/>
      <protection hidden="1"/>
    </xf>
    <xf numFmtId="0" fontId="519" fillId="2" borderId="203" xfId="0" applyFont="1" applyFill="1" applyBorder="1" applyAlignment="1" applyProtection="1">
      <alignment horizontal="center" vertical="center"/>
      <protection hidden="1"/>
    </xf>
    <xf numFmtId="0" fontId="2" fillId="50" borderId="0" xfId="0" applyFont="1" applyFill="1" applyAlignment="1" applyProtection="1">
      <alignment horizontal="center" vertical="center"/>
      <protection hidden="1"/>
    </xf>
    <xf numFmtId="0" fontId="8" fillId="50" borderId="661" xfId="0" applyFont="1" applyFill="1" applyBorder="1" applyAlignment="1" applyProtection="1">
      <alignment horizontal="left" vertical="center"/>
      <protection hidden="1"/>
    </xf>
    <xf numFmtId="0" fontId="8" fillId="12" borderId="39" xfId="0" applyFont="1" applyFill="1" applyBorder="1" applyAlignment="1" applyProtection="1">
      <alignment horizontal="center" vertical="center"/>
      <protection hidden="1"/>
    </xf>
    <xf numFmtId="1" fontId="8" fillId="0" borderId="352" xfId="0" applyNumberFormat="1" applyFont="1" applyBorder="1" applyAlignment="1" applyProtection="1">
      <alignment horizontal="center" vertical="center"/>
      <protection hidden="1"/>
    </xf>
    <xf numFmtId="1" fontId="8" fillId="0" borderId="410" xfId="0" applyNumberFormat="1" applyFont="1" applyBorder="1" applyAlignment="1" applyProtection="1">
      <alignment horizontal="center" vertical="center"/>
      <protection hidden="1"/>
    </xf>
    <xf numFmtId="1" fontId="10" fillId="0" borderId="261" xfId="0" applyNumberFormat="1" applyFont="1" applyBorder="1" applyAlignment="1" applyProtection="1">
      <alignment horizontal="center" vertical="center"/>
      <protection hidden="1"/>
    </xf>
    <xf numFmtId="0" fontId="421" fillId="49" borderId="295" xfId="0" applyFont="1" applyFill="1" applyBorder="1" applyAlignment="1" applyProtection="1">
      <alignment horizontal="left" vertical="center"/>
      <protection hidden="1"/>
    </xf>
    <xf numFmtId="0" fontId="421" fillId="49" borderId="25" xfId="0" applyFont="1" applyFill="1" applyBorder="1" applyAlignment="1" applyProtection="1">
      <alignment horizontal="left" vertical="center"/>
      <protection hidden="1"/>
    </xf>
    <xf numFmtId="0" fontId="421" fillId="49" borderId="296" xfId="0" applyFont="1" applyFill="1" applyBorder="1" applyAlignment="1" applyProtection="1">
      <alignment horizontal="left" vertical="center"/>
      <protection hidden="1"/>
    </xf>
    <xf numFmtId="0" fontId="422" fillId="49" borderId="0" xfId="0" applyFont="1" applyFill="1" applyAlignment="1" applyProtection="1">
      <alignment horizontal="left" vertical="center"/>
      <protection hidden="1"/>
    </xf>
    <xf numFmtId="0" fontId="424" fillId="31" borderId="185" xfId="0" applyFont="1" applyFill="1" applyBorder="1" applyAlignment="1" applyProtection="1">
      <alignment horizontal="center" vertical="center"/>
      <protection hidden="1"/>
    </xf>
    <xf numFmtId="0" fontId="424" fillId="31" borderId="0" xfId="0" applyFont="1" applyFill="1" applyAlignment="1" applyProtection="1">
      <alignment horizontal="center" vertical="center"/>
      <protection hidden="1"/>
    </xf>
    <xf numFmtId="0" fontId="420" fillId="49" borderId="0" xfId="0" applyFont="1" applyFill="1" applyAlignment="1" applyProtection="1">
      <alignment horizontal="left" vertical="center"/>
      <protection hidden="1"/>
    </xf>
    <xf numFmtId="0" fontId="423" fillId="76" borderId="25" xfId="0" applyFont="1" applyFill="1" applyBorder="1" applyAlignment="1" applyProtection="1">
      <alignment horizontal="center" vertical="center" wrapText="1"/>
      <protection hidden="1"/>
    </xf>
    <xf numFmtId="0" fontId="423" fillId="76" borderId="296" xfId="0" applyFont="1" applyFill="1" applyBorder="1" applyAlignment="1" applyProtection="1">
      <alignment horizontal="center" vertical="center" wrapText="1"/>
      <protection hidden="1"/>
    </xf>
    <xf numFmtId="0" fontId="421" fillId="49" borderId="0" xfId="0" applyFont="1" applyFill="1" applyAlignment="1" applyProtection="1">
      <alignment vertical="center"/>
      <protection hidden="1"/>
    </xf>
    <xf numFmtId="0" fontId="425" fillId="76" borderId="185" xfId="0" applyFont="1" applyFill="1" applyBorder="1" applyAlignment="1" applyProtection="1">
      <alignment horizontal="left" vertical="center" wrapText="1"/>
      <protection hidden="1"/>
    </xf>
    <xf numFmtId="0" fontId="425" fillId="76" borderId="0" xfId="0" applyFont="1" applyFill="1" applyAlignment="1" applyProtection="1">
      <alignment horizontal="left" vertical="center" wrapText="1"/>
      <protection hidden="1"/>
    </xf>
    <xf numFmtId="0" fontId="421" fillId="49" borderId="321" xfId="0" applyFont="1" applyFill="1" applyBorder="1" applyAlignment="1" applyProtection="1">
      <alignment horizontal="center" vertical="center"/>
      <protection hidden="1"/>
    </xf>
    <xf numFmtId="0" fontId="421" fillId="49" borderId="295" xfId="0" applyFont="1" applyFill="1" applyBorder="1" applyAlignment="1" applyProtection="1">
      <alignment horizontal="left" vertical="top" wrapText="1"/>
      <protection hidden="1"/>
    </xf>
    <xf numFmtId="0" fontId="421" fillId="49" borderId="25" xfId="0" applyFont="1" applyFill="1" applyBorder="1" applyAlignment="1" applyProtection="1">
      <alignment horizontal="left" vertical="top" wrapText="1"/>
      <protection hidden="1"/>
    </xf>
    <xf numFmtId="0" fontId="421" fillId="49" borderId="296" xfId="0" applyFont="1" applyFill="1" applyBorder="1" applyAlignment="1" applyProtection="1">
      <alignment horizontal="left" vertical="top" wrapText="1"/>
      <protection hidden="1"/>
    </xf>
    <xf numFmtId="0" fontId="427" fillId="66" borderId="185" xfId="0" applyFont="1" applyFill="1" applyBorder="1" applyAlignment="1" applyProtection="1">
      <alignment horizontal="center" vertical="center" wrapText="1"/>
      <protection hidden="1"/>
    </xf>
    <xf numFmtId="0" fontId="427" fillId="66" borderId="0" xfId="0" applyFont="1" applyFill="1" applyAlignment="1" applyProtection="1">
      <alignment horizontal="center" vertical="center" wrapText="1"/>
      <protection hidden="1"/>
    </xf>
    <xf numFmtId="0" fontId="426" fillId="76" borderId="0" xfId="0" applyFont="1" applyFill="1" applyAlignment="1" applyProtection="1">
      <alignment horizontal="left" vertical="center" wrapText="1"/>
      <protection hidden="1"/>
    </xf>
    <xf numFmtId="0" fontId="423" fillId="76" borderId="261" xfId="0" applyFont="1" applyFill="1" applyBorder="1" applyAlignment="1" applyProtection="1">
      <alignment horizontal="center" vertical="center"/>
      <protection hidden="1"/>
    </xf>
    <xf numFmtId="0" fontId="423" fillId="76" borderId="260" xfId="0" applyFont="1" applyFill="1" applyBorder="1" applyAlignment="1" applyProtection="1">
      <alignment horizontal="center" vertical="center"/>
      <protection hidden="1"/>
    </xf>
    <xf numFmtId="0" fontId="421" fillId="49" borderId="295" xfId="0" applyFont="1" applyFill="1" applyBorder="1" applyAlignment="1" applyProtection="1">
      <alignment horizontal="left" vertical="center" wrapText="1"/>
      <protection hidden="1"/>
    </xf>
    <xf numFmtId="0" fontId="421" fillId="49" borderId="25" xfId="0" applyFont="1" applyFill="1" applyBorder="1" applyAlignment="1" applyProtection="1">
      <alignment horizontal="left" vertical="center" wrapText="1"/>
      <protection hidden="1"/>
    </xf>
    <xf numFmtId="0" fontId="421" fillId="49" borderId="296" xfId="0" applyFont="1" applyFill="1" applyBorder="1" applyAlignment="1" applyProtection="1">
      <alignment horizontal="left" vertical="center" wrapText="1"/>
      <protection hidden="1"/>
    </xf>
    <xf numFmtId="0" fontId="423" fillId="31" borderId="261" xfId="0" applyFont="1" applyFill="1" applyBorder="1" applyAlignment="1" applyProtection="1">
      <alignment horizontal="center" vertical="center"/>
      <protection hidden="1"/>
    </xf>
    <xf numFmtId="0" fontId="423" fillId="31" borderId="260" xfId="0" applyFont="1" applyFill="1" applyBorder="1" applyAlignment="1" applyProtection="1">
      <alignment horizontal="center" vertical="center"/>
      <protection hidden="1"/>
    </xf>
    <xf numFmtId="0" fontId="428" fillId="33" borderId="185" xfId="0" applyFont="1" applyFill="1" applyBorder="1" applyAlignment="1" applyProtection="1">
      <alignment horizontal="center" vertical="center" wrapText="1"/>
      <protection hidden="1"/>
    </xf>
    <xf numFmtId="0" fontId="428" fillId="33" borderId="0" xfId="0" applyFont="1" applyFill="1" applyAlignment="1" applyProtection="1">
      <alignment horizontal="center" vertical="center" wrapText="1"/>
      <protection hidden="1"/>
    </xf>
    <xf numFmtId="0" fontId="426" fillId="59" borderId="0" xfId="0" applyFont="1" applyFill="1" applyAlignment="1" applyProtection="1">
      <alignment horizontal="left" vertical="center" wrapText="1"/>
      <protection hidden="1"/>
    </xf>
    <xf numFmtId="0" fontId="423" fillId="31" borderId="185" xfId="0" applyFont="1" applyFill="1" applyBorder="1" applyAlignment="1" applyProtection="1">
      <alignment horizontal="center" vertical="center"/>
      <protection hidden="1"/>
    </xf>
    <xf numFmtId="0" fontId="423" fillId="31" borderId="0" xfId="0" applyFont="1" applyFill="1" applyAlignment="1" applyProtection="1">
      <alignment horizontal="center" vertical="center"/>
      <protection hidden="1"/>
    </xf>
    <xf numFmtId="0" fontId="423" fillId="31" borderId="187" xfId="0" applyFont="1" applyFill="1" applyBorder="1" applyAlignment="1" applyProtection="1">
      <alignment horizontal="center" vertical="center" wrapText="1"/>
      <protection hidden="1"/>
    </xf>
    <xf numFmtId="0" fontId="421" fillId="49" borderId="321" xfId="0" applyFont="1" applyFill="1" applyBorder="1" applyAlignment="1" applyProtection="1">
      <alignment horizontal="left" vertical="center"/>
      <protection hidden="1"/>
    </xf>
    <xf numFmtId="0" fontId="429" fillId="35" borderId="185" xfId="0" applyFont="1" applyFill="1" applyBorder="1" applyAlignment="1" applyProtection="1">
      <alignment horizontal="center" vertical="center" wrapText="1"/>
      <protection hidden="1"/>
    </xf>
    <xf numFmtId="0" fontId="429" fillId="35" borderId="0" xfId="0" applyFont="1" applyFill="1" applyAlignment="1" applyProtection="1">
      <alignment horizontal="center" vertical="center" wrapText="1"/>
      <protection hidden="1"/>
    </xf>
    <xf numFmtId="0" fontId="430" fillId="33" borderId="261" xfId="0" applyFont="1" applyFill="1" applyBorder="1" applyAlignment="1" applyProtection="1">
      <alignment horizontal="left" vertical="center" wrapText="1"/>
      <protection hidden="1"/>
    </xf>
    <xf numFmtId="0" fontId="430" fillId="33" borderId="260" xfId="0" applyFont="1" applyFill="1" applyBorder="1" applyAlignment="1" applyProtection="1">
      <alignment horizontal="left" vertical="center" wrapText="1"/>
      <protection hidden="1"/>
    </xf>
    <xf numFmtId="0" fontId="430" fillId="33" borderId="185" xfId="0" applyFont="1" applyFill="1" applyBorder="1" applyAlignment="1" applyProtection="1">
      <alignment horizontal="left" vertical="center" wrapText="1"/>
      <protection hidden="1"/>
    </xf>
    <xf numFmtId="0" fontId="430" fillId="33" borderId="0" xfId="0" applyFont="1" applyFill="1" applyAlignment="1" applyProtection="1">
      <alignment horizontal="left" vertical="center" wrapText="1"/>
      <protection hidden="1"/>
    </xf>
    <xf numFmtId="0" fontId="430" fillId="33" borderId="186" xfId="0" applyFont="1" applyFill="1" applyBorder="1" applyAlignment="1" applyProtection="1">
      <alignment horizontal="left" vertical="center" wrapText="1"/>
      <protection hidden="1"/>
    </xf>
    <xf numFmtId="0" fontId="430" fillId="33" borderId="187" xfId="0" applyFont="1" applyFill="1" applyBorder="1" applyAlignment="1" applyProtection="1">
      <alignment horizontal="left" vertical="center" wrapText="1"/>
      <protection hidden="1"/>
    </xf>
    <xf numFmtId="0" fontId="432" fillId="31" borderId="261" xfId="0" applyFont="1" applyFill="1" applyBorder="1" applyAlignment="1" applyProtection="1">
      <alignment horizontal="center" vertical="center"/>
      <protection hidden="1"/>
    </xf>
    <xf numFmtId="0" fontId="432" fillId="31" borderId="262" xfId="0" applyFont="1" applyFill="1" applyBorder="1" applyAlignment="1" applyProtection="1">
      <alignment horizontal="center" vertical="center"/>
      <protection hidden="1"/>
    </xf>
    <xf numFmtId="0" fontId="432" fillId="31" borderId="186" xfId="0" applyFont="1" applyFill="1" applyBorder="1" applyAlignment="1" applyProtection="1">
      <alignment horizontal="center" vertical="center"/>
      <protection hidden="1"/>
    </xf>
    <xf numFmtId="0" fontId="432" fillId="31" borderId="234" xfId="0" applyFont="1" applyFill="1" applyBorder="1" applyAlignment="1" applyProtection="1">
      <alignment horizontal="center" vertical="center"/>
      <protection hidden="1"/>
    </xf>
    <xf numFmtId="0" fontId="431" fillId="31" borderId="261" xfId="0" applyFont="1" applyFill="1" applyBorder="1" applyAlignment="1" applyProtection="1">
      <alignment horizontal="center" vertical="center"/>
      <protection hidden="1"/>
    </xf>
    <xf numFmtId="0" fontId="431" fillId="31" borderId="262" xfId="0" applyFont="1" applyFill="1" applyBorder="1" applyAlignment="1" applyProtection="1">
      <alignment horizontal="center" vertical="center"/>
      <protection hidden="1"/>
    </xf>
    <xf numFmtId="0" fontId="431" fillId="31" borderId="186" xfId="0" applyFont="1" applyFill="1" applyBorder="1" applyAlignment="1" applyProtection="1">
      <alignment horizontal="center" vertical="center"/>
      <protection hidden="1"/>
    </xf>
    <xf numFmtId="0" fontId="431" fillId="31" borderId="234" xfId="0" applyFont="1" applyFill="1" applyBorder="1" applyAlignment="1" applyProtection="1">
      <alignment horizontal="center" vertical="center"/>
      <protection hidden="1"/>
    </xf>
    <xf numFmtId="0" fontId="328" fillId="56" borderId="321" xfId="0" applyFont="1" applyFill="1" applyBorder="1" applyAlignment="1" applyProtection="1">
      <alignment horizontal="center" wrapText="1"/>
      <protection hidden="1"/>
    </xf>
    <xf numFmtId="0" fontId="328" fillId="56" borderId="295" xfId="0" applyFont="1" applyFill="1" applyBorder="1" applyAlignment="1" applyProtection="1">
      <alignment horizontal="center" wrapText="1"/>
      <protection hidden="1"/>
    </xf>
    <xf numFmtId="3" fontId="328" fillId="56" borderId="321" xfId="0" applyNumberFormat="1" applyFont="1" applyFill="1" applyBorder="1" applyAlignment="1" applyProtection="1">
      <alignment horizontal="center"/>
      <protection hidden="1"/>
    </xf>
    <xf numFmtId="0" fontId="328" fillId="56" borderId="321" xfId="0" applyFont="1" applyFill="1" applyBorder="1" applyAlignment="1" applyProtection="1">
      <alignment horizontal="center"/>
      <protection hidden="1"/>
    </xf>
    <xf numFmtId="0" fontId="431" fillId="31" borderId="261" xfId="0" applyFont="1" applyFill="1" applyBorder="1" applyAlignment="1" applyProtection="1">
      <alignment horizontal="center" wrapText="1"/>
      <protection hidden="1"/>
    </xf>
    <xf numFmtId="0" fontId="431" fillId="31" borderId="260" xfId="0" applyFont="1" applyFill="1" applyBorder="1" applyAlignment="1" applyProtection="1">
      <alignment horizontal="center" wrapText="1"/>
      <protection hidden="1"/>
    </xf>
    <xf numFmtId="0" fontId="431" fillId="31" borderId="186" xfId="0" applyFont="1" applyFill="1" applyBorder="1" applyAlignment="1" applyProtection="1">
      <alignment horizontal="center" wrapText="1"/>
      <protection hidden="1"/>
    </xf>
    <xf numFmtId="0" fontId="431" fillId="31" borderId="187" xfId="0" applyFont="1" applyFill="1" applyBorder="1" applyAlignment="1" applyProtection="1">
      <alignment horizontal="center" wrapText="1"/>
      <protection hidden="1"/>
    </xf>
    <xf numFmtId="3" fontId="422" fillId="56" borderId="261" xfId="0" applyNumberFormat="1" applyFont="1" applyFill="1" applyBorder="1" applyAlignment="1" applyProtection="1">
      <alignment horizontal="center" vertical="center"/>
      <protection hidden="1"/>
    </xf>
    <xf numFmtId="0" fontId="422" fillId="56" borderId="262" xfId="0" applyFont="1" applyFill="1" applyBorder="1" applyAlignment="1" applyProtection="1">
      <alignment horizontal="center" vertical="center"/>
      <protection hidden="1"/>
    </xf>
    <xf numFmtId="0" fontId="422" fillId="56" borderId="186" xfId="0" applyFont="1" applyFill="1" applyBorder="1" applyAlignment="1" applyProtection="1">
      <alignment horizontal="center" vertical="center"/>
      <protection hidden="1"/>
    </xf>
    <xf numFmtId="0" fontId="422" fillId="56" borderId="234" xfId="0" applyFont="1" applyFill="1" applyBorder="1" applyAlignment="1" applyProtection="1">
      <alignment horizontal="center" vertical="center"/>
      <protection hidden="1"/>
    </xf>
    <xf numFmtId="0" fontId="433" fillId="31" borderId="295" xfId="0" applyFont="1" applyFill="1" applyBorder="1" applyAlignment="1" applyProtection="1">
      <alignment horizontal="left" vertical="top" wrapText="1"/>
      <protection hidden="1"/>
    </xf>
    <xf numFmtId="0" fontId="433" fillId="31" borderId="25" xfId="0" applyFont="1" applyFill="1" applyBorder="1" applyAlignment="1" applyProtection="1">
      <alignment horizontal="left" vertical="top" wrapText="1"/>
      <protection hidden="1"/>
    </xf>
    <xf numFmtId="0" fontId="433" fillId="31" borderId="296" xfId="0" applyFont="1" applyFill="1" applyBorder="1" applyAlignment="1" applyProtection="1">
      <alignment horizontal="left" vertical="top" wrapText="1"/>
      <protection hidden="1"/>
    </xf>
    <xf numFmtId="0" fontId="421" fillId="56" borderId="321" xfId="0" applyFont="1" applyFill="1" applyBorder="1" applyAlignment="1" applyProtection="1">
      <alignment horizontal="center" vertical="center"/>
      <protection hidden="1"/>
    </xf>
    <xf numFmtId="3" fontId="421" fillId="56" borderId="321" xfId="0" applyNumberFormat="1" applyFont="1" applyFill="1" applyBorder="1" applyAlignment="1" applyProtection="1">
      <alignment horizontal="center" vertical="center"/>
      <protection hidden="1"/>
    </xf>
    <xf numFmtId="0" fontId="0" fillId="49" borderId="0" xfId="0" applyFill="1" applyAlignment="1" applyProtection="1">
      <alignment horizontal="center"/>
      <protection hidden="1"/>
    </xf>
    <xf numFmtId="0" fontId="432" fillId="32" borderId="321" xfId="0" applyFont="1" applyFill="1" applyBorder="1" applyAlignment="1" applyProtection="1">
      <alignment horizontal="center" vertical="center"/>
      <protection hidden="1"/>
    </xf>
    <xf numFmtId="0" fontId="432" fillId="32" borderId="321" xfId="0" applyFont="1" applyFill="1" applyBorder="1" applyAlignment="1" applyProtection="1">
      <alignment horizontal="center" vertical="center" wrapText="1"/>
      <protection hidden="1"/>
    </xf>
    <xf numFmtId="0" fontId="436" fillId="58" borderId="321" xfId="0" applyFont="1" applyFill="1" applyBorder="1" applyAlignment="1" applyProtection="1">
      <alignment horizontal="center" vertical="center"/>
      <protection hidden="1"/>
    </xf>
    <xf numFmtId="0" fontId="434" fillId="49" borderId="25" xfId="0" applyFont="1" applyFill="1" applyBorder="1" applyAlignment="1" applyProtection="1">
      <alignment horizontal="center" vertical="center"/>
      <protection hidden="1"/>
    </xf>
    <xf numFmtId="0" fontId="434" fillId="49" borderId="296" xfId="0" applyFont="1" applyFill="1" applyBorder="1" applyAlignment="1" applyProtection="1">
      <alignment horizontal="center" vertical="center"/>
      <protection hidden="1"/>
    </xf>
    <xf numFmtId="0" fontId="434" fillId="49" borderId="295" xfId="0" applyFont="1" applyFill="1" applyBorder="1" applyAlignment="1" applyProtection="1">
      <alignment horizontal="center" vertical="center"/>
      <protection hidden="1"/>
    </xf>
    <xf numFmtId="0" fontId="435" fillId="49" borderId="25" xfId="0" applyFont="1" applyFill="1" applyBorder="1" applyAlignment="1" applyProtection="1">
      <alignment horizontal="center" vertical="center"/>
      <protection hidden="1"/>
    </xf>
    <xf numFmtId="0" fontId="312" fillId="17" borderId="0" xfId="0" applyFont="1" applyFill="1" applyAlignment="1">
      <alignment horizontal="center"/>
    </xf>
    <xf numFmtId="0" fontId="145" fillId="17" borderId="0" xfId="0" applyFont="1" applyFill="1" applyAlignment="1">
      <alignment horizontal="left"/>
    </xf>
    <xf numFmtId="0" fontId="145" fillId="17" borderId="0" xfId="0" applyFont="1" applyFill="1" applyAlignment="1">
      <alignment horizontal="center"/>
    </xf>
    <xf numFmtId="0" fontId="145" fillId="17" borderId="0" xfId="0" applyFont="1" applyFill="1" applyAlignment="1">
      <alignment horizontal="left" wrapText="1"/>
    </xf>
    <xf numFmtId="0" fontId="145" fillId="17" borderId="0" xfId="0" applyFont="1" applyFill="1" applyAlignment="1">
      <alignment horizontal="left" vertical="center"/>
    </xf>
    <xf numFmtId="0" fontId="280" fillId="17" borderId="6" xfId="0" applyFont="1" applyFill="1" applyBorder="1" applyAlignment="1">
      <alignment horizontal="center"/>
    </xf>
    <xf numFmtId="0" fontId="280" fillId="17" borderId="0" xfId="0" applyFont="1" applyFill="1" applyAlignment="1">
      <alignment horizontal="center"/>
    </xf>
    <xf numFmtId="0" fontId="149" fillId="17" borderId="0" xfId="0" applyFont="1" applyFill="1" applyAlignment="1">
      <alignment horizontal="left" wrapText="1"/>
    </xf>
    <xf numFmtId="0" fontId="149" fillId="17" borderId="4" xfId="0" applyFont="1" applyFill="1" applyBorder="1" applyAlignment="1">
      <alignment horizontal="left" wrapText="1"/>
    </xf>
    <xf numFmtId="0" fontId="308" fillId="17" borderId="12" xfId="0" applyFont="1" applyFill="1" applyBorder="1" applyAlignment="1">
      <alignment horizontal="left" vertical="top" wrapText="1"/>
    </xf>
    <xf numFmtId="0" fontId="310" fillId="17" borderId="62" xfId="0" applyFont="1" applyFill="1" applyBorder="1" applyAlignment="1">
      <alignment horizontal="center" vertical="center"/>
    </xf>
    <xf numFmtId="0" fontId="310" fillId="17" borderId="81" xfId="0" applyFont="1" applyFill="1" applyBorder="1" applyAlignment="1">
      <alignment horizontal="center" vertical="center"/>
    </xf>
    <xf numFmtId="0" fontId="310" fillId="17" borderId="82" xfId="0" applyFont="1" applyFill="1" applyBorder="1" applyAlignment="1">
      <alignment horizontal="center" vertical="center"/>
    </xf>
    <xf numFmtId="0" fontId="0" fillId="17" borderId="12" xfId="0" applyFill="1" applyBorder="1" applyAlignment="1">
      <alignment horizontal="center" vertical="center"/>
    </xf>
    <xf numFmtId="0" fontId="149" fillId="17" borderId="0" xfId="0" applyFont="1" applyFill="1" applyAlignment="1">
      <alignment horizontal="left" vertical="center" wrapText="1"/>
    </xf>
    <xf numFmtId="0" fontId="149" fillId="17" borderId="4" xfId="0" applyFont="1" applyFill="1" applyBorder="1" applyAlignment="1">
      <alignment horizontal="left" vertical="center" wrapText="1"/>
    </xf>
    <xf numFmtId="0" fontId="0" fillId="17" borderId="0" xfId="0" applyFill="1" applyAlignment="1">
      <alignment horizontal="center"/>
    </xf>
    <xf numFmtId="0" fontId="311" fillId="17" borderId="0" xfId="0" applyFont="1" applyFill="1" applyAlignment="1">
      <alignment horizontal="center" vertical="center"/>
    </xf>
    <xf numFmtId="0" fontId="309" fillId="17" borderId="62" xfId="0" applyFont="1" applyFill="1" applyBorder="1" applyAlignment="1">
      <alignment horizontal="center" vertical="center"/>
    </xf>
    <xf numFmtId="0" fontId="309" fillId="17" borderId="81" xfId="0" applyFont="1" applyFill="1" applyBorder="1" applyAlignment="1">
      <alignment horizontal="center" vertical="center"/>
    </xf>
    <xf numFmtId="0" fontId="309" fillId="17" borderId="82" xfId="0" applyFont="1" applyFill="1" applyBorder="1" applyAlignment="1">
      <alignment horizontal="center" vertical="center"/>
    </xf>
    <xf numFmtId="1" fontId="21" fillId="0" borderId="550" xfId="0" applyNumberFormat="1" applyFont="1" applyBorder="1" applyAlignment="1" applyProtection="1">
      <alignment horizontal="center" vertical="center"/>
      <protection locked="0" hidden="1"/>
    </xf>
    <xf numFmtId="1" fontId="70" fillId="0" borderId="550" xfId="0" applyNumberFormat="1" applyFont="1" applyBorder="1" applyAlignment="1" applyProtection="1">
      <alignment horizontal="center" vertical="center"/>
      <protection locked="0" hidden="1"/>
    </xf>
    <xf numFmtId="1" fontId="21" fillId="50" borderId="550" xfId="0" applyNumberFormat="1" applyFont="1" applyFill="1" applyBorder="1" applyAlignment="1" applyProtection="1">
      <alignment horizontal="center" vertical="center"/>
      <protection locked="0" hidden="1"/>
    </xf>
    <xf numFmtId="1" fontId="70" fillId="50" borderId="550" xfId="0" applyNumberFormat="1" applyFont="1" applyFill="1" applyBorder="1" applyAlignment="1" applyProtection="1">
      <alignment horizontal="center" vertical="center"/>
      <protection locked="0" hidden="1"/>
    </xf>
    <xf numFmtId="3" fontId="21" fillId="50" borderId="550" xfId="0" applyNumberFormat="1" applyFont="1" applyFill="1" applyBorder="1" applyAlignment="1" applyProtection="1">
      <alignment horizontal="center" vertical="center"/>
      <protection locked="0" hidden="1"/>
    </xf>
    <xf numFmtId="0" fontId="69" fillId="0" borderId="550" xfId="0" applyFont="1" applyBorder="1" applyAlignment="1" applyProtection="1">
      <alignment horizontal="center" vertical="center"/>
      <protection locked="0" hidden="1"/>
    </xf>
    <xf numFmtId="0" fontId="69" fillId="0" borderId="550" xfId="0" applyFont="1" applyBorder="1" applyAlignment="1" applyProtection="1">
      <alignment horizontal="center" vertical="center" wrapText="1"/>
      <protection locked="0" hidden="1"/>
    </xf>
    <xf numFmtId="0" fontId="1" fillId="0" borderId="550" xfId="0" applyFont="1" applyBorder="1" applyAlignment="1" applyProtection="1">
      <alignment horizontal="center" vertical="center" wrapText="1"/>
      <protection locked="0" hidden="1"/>
    </xf>
    <xf numFmtId="0" fontId="69" fillId="0" borderId="550" xfId="0" applyFont="1" applyBorder="1" applyAlignment="1" applyProtection="1">
      <alignment horizontal="center" wrapText="1"/>
      <protection locked="0" hidden="1"/>
    </xf>
    <xf numFmtId="17" fontId="259" fillId="50" borderId="532" xfId="0" applyNumberFormat="1" applyFont="1" applyFill="1" applyBorder="1" applyAlignment="1" applyProtection="1">
      <alignment horizontal="center" vertical="center" wrapText="1"/>
      <protection locked="0" hidden="1"/>
    </xf>
    <xf numFmtId="17" fontId="132" fillId="50" borderId="532" xfId="0" applyNumberFormat="1" applyFont="1" applyFill="1" applyBorder="1" applyAlignment="1" applyProtection="1">
      <alignment horizontal="center" vertical="center" wrapText="1"/>
      <protection locked="0" hidden="1"/>
    </xf>
    <xf numFmtId="17" fontId="259" fillId="50" borderId="532" xfId="0" applyNumberFormat="1" applyFont="1" applyFill="1" applyBorder="1" applyAlignment="1" applyProtection="1">
      <alignment horizontal="left" vertical="center" wrapText="1"/>
      <protection locked="0" hidden="1"/>
    </xf>
    <xf numFmtId="17" fontId="132" fillId="50" borderId="531" xfId="0" applyNumberFormat="1" applyFont="1" applyFill="1" applyBorder="1" applyAlignment="1" applyProtection="1">
      <alignment horizontal="left" vertical="center" wrapText="1"/>
      <protection locked="0" hidden="1"/>
    </xf>
    <xf numFmtId="17" fontId="132" fillId="50" borderId="531" xfId="0" applyNumberFormat="1" applyFont="1" applyFill="1" applyBorder="1" applyAlignment="1" applyProtection="1">
      <alignment horizontal="center" vertical="center" wrapText="1"/>
      <protection locked="0" hidden="1"/>
    </xf>
    <xf numFmtId="17" fontId="259" fillId="50" borderId="531" xfId="0" applyNumberFormat="1" applyFont="1" applyFill="1" applyBorder="1" applyAlignment="1" applyProtection="1">
      <alignment horizontal="center" vertical="center" wrapText="1"/>
      <protection locked="0" hidden="1"/>
    </xf>
  </cellXfs>
  <cellStyles count="6">
    <cellStyle name="Good" xfId="1" builtinId="26"/>
    <cellStyle name="Hyperlink" xfId="2" builtinId="8"/>
    <cellStyle name="Hyperlink 2" xfId="3" xr:uid="{00000000-0005-0000-0000-000002000000}"/>
    <cellStyle name="Normal" xfId="0" builtinId="0"/>
    <cellStyle name="Normal 2" xfId="4" xr:uid="{00000000-0005-0000-0000-000004000000}"/>
    <cellStyle name="Output" xfId="5" builtinId="21"/>
  </cellStyles>
  <dxfs count="26">
    <dxf>
      <font>
        <b val="0"/>
        <i val="0"/>
        <color theme="0"/>
      </font>
      <fill>
        <patternFill>
          <bgColor rgb="FF002060"/>
        </patternFill>
      </fill>
    </dxf>
    <dxf>
      <font>
        <b val="0"/>
        <i val="0"/>
        <color theme="0"/>
      </font>
      <fill>
        <patternFill>
          <bgColor rgb="FF002060"/>
        </patternFill>
      </fill>
    </dxf>
    <dxf>
      <font>
        <b val="0"/>
        <i val="0"/>
        <color theme="0"/>
      </font>
      <fill>
        <patternFill>
          <bgColor rgb="FF002060"/>
        </patternFill>
      </fill>
    </dxf>
    <dxf>
      <font>
        <b val="0"/>
        <i val="0"/>
        <color theme="0"/>
      </font>
      <fill>
        <patternFill>
          <bgColor rgb="FF002060"/>
        </patternFill>
      </fill>
    </dxf>
    <dxf>
      <font>
        <b val="0"/>
        <i val="0"/>
        <color theme="0"/>
      </font>
      <fill>
        <patternFill>
          <bgColor rgb="FF002060"/>
        </patternFill>
      </fill>
    </dxf>
    <dxf>
      <font>
        <b val="0"/>
        <i val="0"/>
        <color theme="0"/>
      </font>
      <fill>
        <patternFill>
          <bgColor rgb="FF002060"/>
        </patternFill>
      </fill>
    </dxf>
    <dxf>
      <font>
        <b/>
        <i val="0"/>
      </font>
      <fill>
        <patternFill>
          <bgColor rgb="FFFFC000"/>
        </patternFill>
      </fill>
      <border>
        <left style="thin">
          <color rgb="FFFF0000"/>
        </left>
        <right style="thin">
          <color rgb="FFFF0000"/>
        </right>
        <top style="thin">
          <color rgb="FFFF0000"/>
        </top>
        <bottom style="thin">
          <color rgb="FFFF0000"/>
        </bottom>
      </border>
    </dxf>
    <dxf>
      <font>
        <color theme="0"/>
      </font>
      <fill>
        <patternFill>
          <bgColor rgb="FF002060"/>
        </patternFill>
      </fill>
      <border>
        <left style="hair">
          <color indexed="64"/>
        </left>
        <right style="hair">
          <color indexed="64"/>
        </right>
        <top style="hair">
          <color indexed="64"/>
        </top>
        <bottom style="hair">
          <color indexed="64"/>
        </bottom>
      </border>
    </dxf>
    <dxf>
      <font>
        <color theme="0"/>
      </font>
      <fill>
        <patternFill>
          <bgColor rgb="FF0070C0"/>
        </patternFill>
      </fill>
      <border>
        <left style="hair">
          <color indexed="64"/>
        </left>
        <right style="hair">
          <color indexed="64"/>
        </right>
        <top style="hair">
          <color indexed="64"/>
        </top>
        <bottom style="hair">
          <color indexed="64"/>
        </bottom>
      </border>
    </dxf>
    <dxf>
      <font>
        <b val="0"/>
        <i val="0"/>
        <color theme="0"/>
      </font>
      <fill>
        <patternFill>
          <bgColor rgb="FF002060"/>
        </patternFill>
      </fill>
    </dxf>
    <dxf>
      <font>
        <b val="0"/>
        <i val="0"/>
        <color theme="0"/>
      </font>
      <fill>
        <patternFill>
          <bgColor rgb="FF002060"/>
        </patternFill>
      </fill>
    </dxf>
    <dxf>
      <font>
        <color theme="0"/>
      </font>
      <fill>
        <patternFill>
          <bgColor rgb="FF002060"/>
        </patternFill>
      </fill>
      <border>
        <left style="thin">
          <color auto="1"/>
        </left>
        <right style="thin">
          <color auto="1"/>
        </right>
        <top style="thin">
          <color auto="1"/>
        </top>
        <bottom style="thin">
          <color auto="1"/>
        </bottom>
        <vertical/>
        <horizontal/>
      </border>
    </dxf>
    <dxf>
      <font>
        <b/>
        <i val="0"/>
        <strike val="0"/>
        <color theme="0"/>
      </font>
      <fill>
        <patternFill>
          <bgColor rgb="FF002060"/>
        </patternFill>
      </fill>
      <border>
        <left style="dashed">
          <color rgb="FF333399"/>
        </left>
        <right style="dashed">
          <color rgb="FF333399"/>
        </right>
        <top style="dashed">
          <color rgb="FF333399"/>
        </top>
        <bottom style="dashed">
          <color rgb="FF333399"/>
        </bottom>
        <vertical/>
        <horizontal/>
      </border>
    </dxf>
    <dxf>
      <font>
        <b/>
        <i val="0"/>
        <color theme="1"/>
      </font>
      <fill>
        <patternFill>
          <bgColor rgb="FFFFFF00"/>
        </patternFill>
      </fill>
      <border>
        <left style="dotted">
          <color auto="1"/>
        </left>
        <right style="dotted">
          <color auto="1"/>
        </right>
        <top style="dotted">
          <color auto="1"/>
        </top>
        <bottom style="dotted">
          <color auto="1"/>
        </bottom>
        <vertical/>
        <horizontal/>
      </border>
    </dxf>
    <dxf>
      <font>
        <color rgb="FFFF0000"/>
      </font>
      <fill>
        <patternFill>
          <bgColor theme="4"/>
        </patternFill>
      </fill>
      <border>
        <left style="dashed">
          <color rgb="FFFF0000"/>
        </left>
        <right style="dashed">
          <color rgb="FFFF0000"/>
        </right>
        <top style="dashed">
          <color rgb="FFFF0000"/>
        </top>
        <bottom style="dashed">
          <color rgb="FFFF0000"/>
        </bottom>
        <vertical/>
        <horizontal/>
      </border>
    </dxf>
    <dxf>
      <font>
        <color rgb="FFFF0000"/>
      </font>
      <fill>
        <patternFill>
          <bgColor rgb="FFFFC000"/>
        </patternFill>
      </fill>
      <border>
        <left style="dashed">
          <color rgb="FFFF0000"/>
        </left>
        <right style="dashed">
          <color rgb="FFFF0000"/>
        </right>
        <top style="dashed">
          <color rgb="FFFF0000"/>
        </top>
        <bottom style="dashed">
          <color rgb="FFFF0000"/>
        </bottom>
        <vertical/>
        <horizontal/>
      </border>
    </dxf>
    <dxf>
      <font>
        <color theme="0"/>
      </font>
      <fill>
        <patternFill>
          <bgColor theme="4"/>
        </patternFill>
      </fill>
      <border>
        <left style="dashed">
          <color rgb="FFFF0000"/>
        </left>
        <right style="dashed">
          <color rgb="FFFF0000"/>
        </right>
        <top style="dashed">
          <color rgb="FFFF0000"/>
        </top>
        <bottom style="dashed">
          <color rgb="FFFF0000"/>
        </bottom>
        <vertical/>
        <horizontal/>
      </border>
    </dxf>
    <dxf>
      <font>
        <color theme="0"/>
      </font>
      <fill>
        <patternFill>
          <bgColor rgb="FF0070C0"/>
        </patternFill>
      </fill>
      <border>
        <left style="dashed">
          <color rgb="FFFF0000"/>
        </left>
        <right style="dashed">
          <color rgb="FFFF0000"/>
        </right>
        <top style="dashed">
          <color rgb="FFFF0000"/>
        </top>
        <bottom style="dashed">
          <color rgb="FFFF0000"/>
        </bottom>
        <vertical/>
        <horizontal/>
      </border>
    </dxf>
    <dxf>
      <fill>
        <patternFill>
          <bgColor rgb="FF00B0F0"/>
        </patternFill>
      </fill>
      <border>
        <left style="dashed">
          <color rgb="FF002060"/>
        </left>
        <right style="dashed">
          <color rgb="FF002060"/>
        </right>
        <top style="dashed">
          <color rgb="FF002060"/>
        </top>
        <bottom style="dashed">
          <color rgb="FF002060"/>
        </bottom>
        <vertical/>
        <horizontal/>
      </border>
    </dxf>
    <dxf>
      <fill>
        <patternFill>
          <bgColor rgb="FFFFC000"/>
        </patternFill>
      </fill>
      <border>
        <left style="dashed">
          <color rgb="FF002060"/>
        </left>
        <right style="dashed">
          <color rgb="FF002060"/>
        </right>
        <top style="dashed">
          <color rgb="FF002060"/>
        </top>
        <bottom style="dashed">
          <color rgb="FF002060"/>
        </bottom>
        <vertical/>
        <horizontal/>
      </border>
    </dxf>
    <dxf>
      <font>
        <color auto="1"/>
      </font>
      <fill>
        <patternFill>
          <bgColor rgb="FFFFFF00"/>
        </patternFill>
      </fill>
      <border>
        <left style="dashed">
          <color rgb="FFC00000"/>
        </left>
        <right style="dashed">
          <color rgb="FFC00000"/>
        </right>
        <top style="dashed">
          <color rgb="FFC00000"/>
        </top>
        <bottom style="dashed">
          <color rgb="FFC00000"/>
        </bottom>
        <vertical/>
        <horizontal/>
      </border>
    </dxf>
    <dxf>
      <font>
        <color theme="0"/>
      </font>
      <fill>
        <patternFill>
          <bgColor theme="1"/>
        </patternFill>
      </fill>
      <border>
        <left style="dashed">
          <color rgb="FFC00000"/>
        </left>
        <right style="dashed">
          <color rgb="FFC00000"/>
        </right>
        <top style="dashed">
          <color rgb="FFC00000"/>
        </top>
        <bottom style="dashed">
          <color rgb="FFC00000"/>
        </bottom>
        <vertical/>
        <horizontal/>
      </border>
    </dxf>
    <dxf>
      <font>
        <color theme="0"/>
      </font>
      <fill>
        <patternFill>
          <bgColor rgb="FF0070C0"/>
        </patternFill>
      </fill>
      <border>
        <left style="dotted">
          <color rgb="FF0070C0"/>
        </left>
        <right style="dotted">
          <color rgb="FF0070C0"/>
        </right>
        <top style="dotted">
          <color rgb="FF0070C0"/>
        </top>
        <bottom style="dotted">
          <color rgb="FF0070C0"/>
        </bottom>
        <vertical/>
        <horizontal/>
      </border>
    </dxf>
    <dxf>
      <fill>
        <patternFill>
          <bgColor rgb="FF92D050"/>
        </patternFill>
      </fill>
      <border>
        <left style="dashed">
          <color rgb="FF002060"/>
        </left>
        <right style="dashed">
          <color rgb="FF002060"/>
        </right>
        <top style="dashed">
          <color rgb="FF002060"/>
        </top>
        <bottom style="dashed">
          <color rgb="FF002060"/>
        </bottom>
        <vertical/>
        <horizontal/>
      </border>
    </dxf>
    <dxf>
      <fill>
        <patternFill>
          <bgColor rgb="FF92D050"/>
        </patternFill>
      </fill>
      <border>
        <left style="dashed">
          <color rgb="FF002060"/>
        </left>
        <right style="dashed">
          <color rgb="FF002060"/>
        </right>
        <top style="dashed">
          <color rgb="FF002060"/>
        </top>
        <bottom style="dashed">
          <color rgb="FF002060"/>
        </bottom>
        <vertical/>
        <horizontal/>
      </border>
    </dxf>
    <dxf>
      <font>
        <color theme="0"/>
      </font>
      <fill>
        <patternFill>
          <bgColor rgb="FF002060"/>
        </patternFill>
      </fill>
      <border>
        <left style="dashed">
          <color rgb="FF002060"/>
        </left>
        <right style="dashed">
          <color rgb="FF002060"/>
        </right>
        <top style="dashed">
          <color rgb="FF002060"/>
        </top>
        <bottom style="dashed">
          <color rgb="FF002060"/>
        </bottom>
        <vertical/>
        <horizontal/>
      </border>
    </dxf>
  </dxfs>
  <tableStyles count="0" defaultTableStyle="TableStyleMedium2" defaultPivotStyle="PivotStyleMedium9"/>
  <colors>
    <mruColors>
      <color rgb="FF003366"/>
      <color rgb="FF00FFCC"/>
      <color rgb="FF333300"/>
      <color rgb="FF3366FF"/>
      <color rgb="FFFF0000"/>
      <color rgb="FF000066"/>
      <color rgb="FFCC0000"/>
      <color rgb="FF800000"/>
      <color rgb="FF003300"/>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Drop" dropStyle="combo" dx="16" fmlaLink="'Formula-I '!$CV$93" fmlaRange="'Formula-I '!$CV$99:$CV$102" sel="1" val="0"/>
</file>

<file path=xl/ctrlProps/ctrlProp10.xml><?xml version="1.0" encoding="utf-8"?>
<formControlPr xmlns="http://schemas.microsoft.com/office/spreadsheetml/2009/9/main" objectType="Drop" dropLines="12" dropStyle="combo" dx="16" fmlaLink="Formula!$BG$5" fmlaRange="Formula!$AG$14:$AG$15" sel="2" val="0"/>
</file>

<file path=xl/ctrlProps/ctrlProp11.xml><?xml version="1.0" encoding="utf-8"?>
<formControlPr xmlns="http://schemas.microsoft.com/office/spreadsheetml/2009/9/main" objectType="Drop" dropStyle="combo" dx="16" fmlaLink="Formula!$FR$8" fmlaRange="Formula!$GI$12:$GI$15" sel="1" val="0"/>
</file>

<file path=xl/ctrlProps/ctrlProp12.xml><?xml version="1.0" encoding="utf-8"?>
<formControlPr xmlns="http://schemas.microsoft.com/office/spreadsheetml/2009/9/main" objectType="Drop" dropStyle="combo" dx="16" fmlaLink="Formula!$ND$3" fmlaRange="Formula!$MX$29:$NA$38" sel="9" val="2"/>
</file>

<file path=xl/ctrlProps/ctrlProp13.xml><?xml version="1.0" encoding="utf-8"?>
<formControlPr xmlns="http://schemas.microsoft.com/office/spreadsheetml/2009/9/main" objectType="Drop" dropStyle="combo" dx="16" fmlaLink="Formula!$ND$4" fmlaRange="Formula!$MX$29:$NA$38" sel="2" val="0"/>
</file>

<file path=xl/ctrlProps/ctrlProp14.xml><?xml version="1.0" encoding="utf-8"?>
<formControlPr xmlns="http://schemas.microsoft.com/office/spreadsheetml/2009/9/main" objectType="Drop" dropLines="12" dropStyle="combo" dx="16" fmlaLink="Formula!$BG$8" fmlaRange="Formula!$AG$14:$AG$15" sel="1" val="0"/>
</file>

<file path=xl/ctrlProps/ctrlProp15.xml><?xml version="1.0" encoding="utf-8"?>
<formControlPr xmlns="http://schemas.microsoft.com/office/spreadsheetml/2009/9/main" objectType="Drop" dropStyle="combo" dx="16" fmlaLink="Formula!$BG$9" fmlaRange="Formula!$BD$47:$BD$58" sel="6" val="4"/>
</file>

<file path=xl/ctrlProps/ctrlProp16.xml><?xml version="1.0" encoding="utf-8"?>
<formControlPr xmlns="http://schemas.microsoft.com/office/spreadsheetml/2009/9/main" objectType="Drop" dropLines="12" dropStyle="combo" dx="16" fmlaLink="Formula!$BW$2" fmlaRange="Formula!$AG$14:$AG$15" sel="1" val="0"/>
</file>

<file path=xl/ctrlProps/ctrlProp17.xml><?xml version="1.0" encoding="utf-8"?>
<formControlPr xmlns="http://schemas.microsoft.com/office/spreadsheetml/2009/9/main" objectType="Drop" dropLines="12" dropStyle="combo" dx="16" fmlaLink="Formula!$BW$3" fmlaRange="Formula!$AP$14:$AP$15" sel="2" val="0"/>
</file>

<file path=xl/ctrlProps/ctrlProp18.xml><?xml version="1.0" encoding="utf-8"?>
<formControlPr xmlns="http://schemas.microsoft.com/office/spreadsheetml/2009/9/main" objectType="Drop" dropStyle="combo" dx="16" fmlaLink="Formula!$BX$6" fmlaRange="Formula!$G$1602:$G$1687" sel="81" val="78"/>
</file>

<file path=xl/ctrlProps/ctrlProp19.xml><?xml version="1.0" encoding="utf-8"?>
<formControlPr xmlns="http://schemas.microsoft.com/office/spreadsheetml/2009/9/main" objectType="Drop" dropLines="14" dropStyle="combo" dx="16" fmlaLink="Formula!$BW$7" fmlaRange="Formula!$AB$14:$AB$19" sel="2" val="0"/>
</file>

<file path=xl/ctrlProps/ctrlProp2.xml><?xml version="1.0" encoding="utf-8"?>
<formControlPr xmlns="http://schemas.microsoft.com/office/spreadsheetml/2009/9/main" objectType="Drop" dropLines="14" dropStyle="combo" dx="16" fmlaLink="Formula!$BG$2" fmlaRange="Formula!$AB$14:$AB$19" sel="2" val="0"/>
</file>

<file path=xl/ctrlProps/ctrlProp20.xml><?xml version="1.0" encoding="utf-8"?>
<formControlPr xmlns="http://schemas.microsoft.com/office/spreadsheetml/2009/9/main" objectType="Drop" dropLines="12" dropStyle="combo" dx="16" fmlaLink="Formula!$CS$2" fmlaRange="Formula!$AG$14:$AG$15" sel="1" val="0"/>
</file>

<file path=xl/ctrlProps/ctrlProp21.xml><?xml version="1.0" encoding="utf-8"?>
<formControlPr xmlns="http://schemas.microsoft.com/office/spreadsheetml/2009/9/main" objectType="Drop" dropLines="14" dropStyle="combo" dx="16" fmlaLink="Formula!$CS$3" fmlaRange="Formula!$AB$14:$AB$19" sel="2" val="0"/>
</file>

<file path=xl/ctrlProps/ctrlProp22.xml><?xml version="1.0" encoding="utf-8"?>
<formControlPr xmlns="http://schemas.microsoft.com/office/spreadsheetml/2009/9/main" objectType="Drop" dropLines="14" dropStyle="combo" dx="16" fmlaLink="Formula!$CS$9" fmlaRange="Formula!$AB$23:$AB$28" sel="3" val="0"/>
</file>

<file path=xl/ctrlProps/ctrlProp23.xml><?xml version="1.0" encoding="utf-8"?>
<formControlPr xmlns="http://schemas.microsoft.com/office/spreadsheetml/2009/9/main" objectType="Drop" dropStyle="combo" dx="16" fmlaLink="Formula!$CS$5" fmlaRange="Formula!$F$558:$F$643" sel="65" val="64"/>
</file>

<file path=xl/ctrlProps/ctrlProp24.xml><?xml version="1.0" encoding="utf-8"?>
<formControlPr xmlns="http://schemas.microsoft.com/office/spreadsheetml/2009/9/main" objectType="Drop" dropStyle="combo" dx="16" fmlaLink="Formula!$CQ$5" fmlaRange="Formula!$C$558:$C$588" sel="21" val="20"/>
</file>

<file path=xl/ctrlProps/ctrlProp25.xml><?xml version="1.0" encoding="utf-8"?>
<formControlPr xmlns="http://schemas.microsoft.com/office/spreadsheetml/2009/9/main" objectType="Drop" dropLines="12" dropStyle="combo" dx="16" fmlaLink="Formula!$DT$2" fmlaRange="Formula!$AG$14:$AG$15" sel="1" val="0"/>
</file>

<file path=xl/ctrlProps/ctrlProp26.xml><?xml version="1.0" encoding="utf-8"?>
<formControlPr xmlns="http://schemas.microsoft.com/office/spreadsheetml/2009/9/main" objectType="Drop" dropLines="12" dropStyle="combo" dx="16" fmlaLink="Formula!$DT$3" fmlaRange="Formula!$AP$14:$AP$15" sel="2" val="0"/>
</file>

<file path=xl/ctrlProps/ctrlProp27.xml><?xml version="1.0" encoding="utf-8"?>
<formControlPr xmlns="http://schemas.microsoft.com/office/spreadsheetml/2009/9/main" objectType="Drop" dropStyle="combo" dx="16" fmlaLink="Formula!$DS$6" fmlaRange="Formula!$AW$47:$AW$77" sel="1" val="0"/>
</file>

<file path=xl/ctrlProps/ctrlProp28.xml><?xml version="1.0" encoding="utf-8"?>
<formControlPr xmlns="http://schemas.microsoft.com/office/spreadsheetml/2009/9/main" objectType="Drop" dropStyle="combo" dx="16" fmlaLink="Formula!$DU$6" fmlaRange="Formula!$V$1602:$V$1687" sel="75" val="74"/>
</file>

<file path=xl/ctrlProps/ctrlProp29.xml><?xml version="1.0" encoding="utf-8"?>
<formControlPr xmlns="http://schemas.microsoft.com/office/spreadsheetml/2009/9/main" objectType="Drop" dropStyle="combo" dx="16" fmlaLink="Formula!$DS$12" fmlaRange="Formula!$BD$47:$BD$58" sel="5" val="2"/>
</file>

<file path=xl/ctrlProps/ctrlProp3.xml><?xml version="1.0" encoding="utf-8"?>
<formControlPr xmlns="http://schemas.microsoft.com/office/spreadsheetml/2009/9/main" objectType="Drop" dropStyle="combo" dx="16" fmlaLink="Formula!$BG$4" fmlaRange="Formula!$AB$39:$AB$78" sel="7" val="0"/>
</file>

<file path=xl/ctrlProps/ctrlProp30.xml><?xml version="1.0" encoding="utf-8"?>
<formControlPr xmlns="http://schemas.microsoft.com/office/spreadsheetml/2009/9/main" objectType="Drop" dropLines="12" dropStyle="combo" dx="16" fmlaLink="Formula!$EK$2" fmlaRange="Formula!$AK$22:$AK$27" sel="2" val="0"/>
</file>

<file path=xl/ctrlProps/ctrlProp31.xml><?xml version="1.0" encoding="utf-8"?>
<formControlPr xmlns="http://schemas.microsoft.com/office/spreadsheetml/2009/9/main" objectType="Drop" dropLines="12" dropStyle="combo" dx="16" fmlaLink="Formula!$EK$3" fmlaRange="Formula!$AG$14:$AG$15" sel="1" val="0"/>
</file>

<file path=xl/ctrlProps/ctrlProp32.xml><?xml version="1.0" encoding="utf-8"?>
<formControlPr xmlns="http://schemas.microsoft.com/office/spreadsheetml/2009/9/main" objectType="Drop" dropLines="12" dropStyle="combo" dx="16" fmlaLink="Formula!$EK$4" fmlaRange="Formula!$AK$22:$AK$27" sel="6" val="0"/>
</file>

<file path=xl/ctrlProps/ctrlProp33.xml><?xml version="1.0" encoding="utf-8"?>
<formControlPr xmlns="http://schemas.microsoft.com/office/spreadsheetml/2009/9/main" objectType="Drop" dropStyle="combo" dx="16" fmlaLink="Formula!$EJ$6" fmlaRange="Formula!$AW$47:$AW$77" sel="6" val="0"/>
</file>

<file path=xl/ctrlProps/ctrlProp34.xml><?xml version="1.0" encoding="utf-8"?>
<formControlPr xmlns="http://schemas.microsoft.com/office/spreadsheetml/2009/9/main" objectType="Drop" dropStyle="combo" dx="16" fmlaLink="Formula!$EL$6" fmlaRange="Formula!$BD$47:$BD$58" sel="8" val="4"/>
</file>

<file path=xl/ctrlProps/ctrlProp35.xml><?xml version="1.0" encoding="utf-8"?>
<formControlPr xmlns="http://schemas.microsoft.com/office/spreadsheetml/2009/9/main" objectType="Drop" dropStyle="combo" dx="16" fmlaLink="Formula!$EW$7" fmlaRange="Formula!$EQ$13:$EQ$14" sel="1" val="0"/>
</file>

<file path=xl/ctrlProps/ctrlProp36.xml><?xml version="1.0" encoding="utf-8"?>
<formControlPr xmlns="http://schemas.microsoft.com/office/spreadsheetml/2009/9/main" objectType="Drop" dropLines="12" dropStyle="combo" dx="16" fmlaLink="Formula!$FC$4" fmlaRange="Formula!$AG$14:$AG$15" sel="1" val="0"/>
</file>

<file path=xl/ctrlProps/ctrlProp37.xml><?xml version="1.0" encoding="utf-8"?>
<formControlPr xmlns="http://schemas.microsoft.com/office/spreadsheetml/2009/9/main" objectType="Drop" dropStyle="combo" dx="16" fmlaLink="Formula!$FC$5" fmlaRange="Formula!$BD$47:$BD$58" sel="1" val="0"/>
</file>

<file path=xl/ctrlProps/ctrlProp38.xml><?xml version="1.0" encoding="utf-8"?>
<formControlPr xmlns="http://schemas.microsoft.com/office/spreadsheetml/2009/9/main" objectType="Drop" dropLines="12" dropStyle="combo" dx="16" fmlaLink="Formula!$FI$4" fmlaRange="Formula!$AG$14:$AG$15" sel="1" val="0"/>
</file>

<file path=xl/ctrlProps/ctrlProp39.xml><?xml version="1.0" encoding="utf-8"?>
<formControlPr xmlns="http://schemas.microsoft.com/office/spreadsheetml/2009/9/main" objectType="Drop" dropStyle="combo" dx="16" fmlaLink="Formula!$FI$5" fmlaRange="Formula!$BD$47:$BD$58" sel="4" val="0"/>
</file>

<file path=xl/ctrlProps/ctrlProp4.xml><?xml version="1.0" encoding="utf-8"?>
<formControlPr xmlns="http://schemas.microsoft.com/office/spreadsheetml/2009/9/main" objectType="Drop" dropStyle="combo" dx="16" fmlaLink="Formula!$BV$6" fmlaRange="Formula!$AW$47:$AW$77" sel="6" val="3"/>
</file>

<file path=xl/ctrlProps/ctrlProp40.xml><?xml version="1.0" encoding="utf-8"?>
<formControlPr xmlns="http://schemas.microsoft.com/office/spreadsheetml/2009/9/main" objectType="Drop" dropLines="12" dropStyle="combo" dx="16" fmlaLink="Formula!$FO$4" fmlaRange="Formula!$AG$14:$AG$15" sel="1" val="0"/>
</file>

<file path=xl/ctrlProps/ctrlProp41.xml><?xml version="1.0" encoding="utf-8"?>
<formControlPr xmlns="http://schemas.microsoft.com/office/spreadsheetml/2009/9/main" objectType="Drop" dropStyle="combo" dx="16" fmlaLink="Formula!$FO$5" fmlaRange="Formula!$BD$47:$BD$58" sel="10" val="6"/>
</file>

<file path=xl/ctrlProps/ctrlProp42.xml><?xml version="1.0" encoding="utf-8"?>
<formControlPr xmlns="http://schemas.microsoft.com/office/spreadsheetml/2009/9/main" objectType="Drop" dropLines="12" dropStyle="combo" dx="16" fmlaLink="Formula!$FU$4" fmlaRange="Formula!$AG$14:$AG$15" sel="1" val="0"/>
</file>

<file path=xl/ctrlProps/ctrlProp43.xml><?xml version="1.0" encoding="utf-8"?>
<formControlPr xmlns="http://schemas.microsoft.com/office/spreadsheetml/2009/9/main" objectType="Drop" dropStyle="combo" dx="16" fmlaLink="Formula!$FU$5" fmlaRange="Formula!$BD$47:$BD$58" sel="8" val="4"/>
</file>

<file path=xl/ctrlProps/ctrlProp44.xml><?xml version="1.0" encoding="utf-8"?>
<formControlPr xmlns="http://schemas.microsoft.com/office/spreadsheetml/2009/9/main" objectType="Drop" dropStyle="combo" dx="16" fmlaLink="Formula!$FZ$6" fmlaRange="Formula!$FY$12:$FY$19" sel="6" val="0"/>
</file>

<file path=xl/ctrlProps/ctrlProp45.xml><?xml version="1.0" encoding="utf-8"?>
<formControlPr xmlns="http://schemas.microsoft.com/office/spreadsheetml/2009/9/main" objectType="Drop" dropStyle="combo" dx="16" fmlaLink="Formula!$FR$9" fmlaRange="Formula!$GI$12:$GI$15" sel="4" val="0"/>
</file>

<file path=xl/ctrlProps/ctrlProp46.xml><?xml version="1.0" encoding="utf-8"?>
<formControlPr xmlns="http://schemas.microsoft.com/office/spreadsheetml/2009/9/main" objectType="Drop" dropStyle="combo" dx="16" fmlaLink="Formula!$GK$3" fmlaRange="Formula!$FY$29:$FY$31" sel="2" val="0"/>
</file>

<file path=xl/ctrlProps/ctrlProp47.xml><?xml version="1.0" encoding="utf-8"?>
<formControlPr xmlns="http://schemas.microsoft.com/office/spreadsheetml/2009/9/main" objectType="Drop" dropStyle="combo" dx="16" fmlaLink="Formula!$CS$7" fmlaRange="Formula!$CG$39:$CG$78" sel="13" val="11"/>
</file>

<file path=xl/ctrlProps/ctrlProp48.xml><?xml version="1.0" encoding="utf-8"?>
<formControlPr xmlns="http://schemas.microsoft.com/office/spreadsheetml/2009/9/main" objectType="Drop" dropLines="14" dropStyle="combo" dx="16" fmlaLink="Formula!$CN$89" fmlaRange="Formula!$CG$85:$CG$86" sel="1" val="0"/>
</file>

<file path=xl/ctrlProps/ctrlProp49.xml><?xml version="1.0" encoding="utf-8"?>
<formControlPr xmlns="http://schemas.microsoft.com/office/spreadsheetml/2009/9/main" objectType="Drop" dropStyle="combo" dx="16" fmlaLink="Formula!$CS$14" fmlaRange="Formula!$BD$47:$BD$58" sel="3" val="2"/>
</file>

<file path=xl/ctrlProps/ctrlProp5.xml><?xml version="1.0" encoding="utf-8"?>
<formControlPr xmlns="http://schemas.microsoft.com/office/spreadsheetml/2009/9/main" objectType="Drop" dropStyle="combo" dx="16" fmlaLink="Formula!$BG$6" fmlaRange="Formula!$BD$47:$BD$58" sel="11" val="4"/>
</file>

<file path=xl/ctrlProps/ctrlProp50.xml><?xml version="1.0" encoding="utf-8"?>
<formControlPr xmlns="http://schemas.microsoft.com/office/spreadsheetml/2009/9/main" objectType="Drop" dropStyle="combo" dx="16" fmlaLink="Formula!$CS$15" fmlaRange="Formula!$CL$39:$CL$78" sel="10" val="7"/>
</file>

<file path=xl/ctrlProps/ctrlProp51.xml><?xml version="1.0" encoding="utf-8"?>
<formControlPr xmlns="http://schemas.microsoft.com/office/spreadsheetml/2009/9/main" objectType="Drop" dropStyle="combo" dx="16" fmlaLink="Formula!$ND$5" fmlaRange="Formula!$MX$29:$NA$38" sel="3" val="0"/>
</file>

<file path=xl/ctrlProps/ctrlProp52.xml><?xml version="1.0" encoding="utf-8"?>
<formControlPr xmlns="http://schemas.microsoft.com/office/spreadsheetml/2009/9/main" objectType="Drop" dropStyle="combo" dx="16" fmlaLink="Formula!$CX$157" fmlaRange="Formula!$AG$14:$AG$15" sel="1" val="0"/>
</file>

<file path=xl/ctrlProps/ctrlProp53.xml><?xml version="1.0" encoding="utf-8"?>
<formControlPr xmlns="http://schemas.microsoft.com/office/spreadsheetml/2009/9/main" objectType="Drop" dropStyle="combo" dx="16" fmlaLink="Formula!$BW$9" fmlaRange="Formula!$G$1376:$G$1415" sel="13" val="10"/>
</file>

<file path=xl/ctrlProps/ctrlProp54.xml><?xml version="1.0" encoding="utf-8"?>
<formControlPr xmlns="http://schemas.microsoft.com/office/spreadsheetml/2009/9/main" objectType="Drop" dropLines="14" dropStyle="combo" dx="16" fmlaLink="Formula!$K$1425" fmlaRange="Formula!$CG$85:$CG$86" sel="1" val="0"/>
</file>

<file path=xl/ctrlProps/ctrlProp55.xml><?xml version="1.0" encoding="utf-8"?>
<formControlPr xmlns="http://schemas.microsoft.com/office/spreadsheetml/2009/9/main" objectType="Drop" dropStyle="combo" dx="16" fmlaLink="Formula!$BV$12" fmlaRange="Formula!$BD$47:$BD$58" sel="5" val="4"/>
</file>

<file path=xl/ctrlProps/ctrlProp56.xml><?xml version="1.0" encoding="utf-8"?>
<formControlPr xmlns="http://schemas.microsoft.com/office/spreadsheetml/2009/9/main" objectType="Drop" dropStyle="combo" dx="16" fmlaLink="Formula!$DT$9" fmlaRange="Formula!$K$1376:$K$1415" sel="9" val="8"/>
</file>

<file path=xl/ctrlProps/ctrlProp57.xml><?xml version="1.0" encoding="utf-8"?>
<formControlPr xmlns="http://schemas.microsoft.com/office/spreadsheetml/2009/9/main" objectType="Drop" dropLines="14" dropStyle="combo" dx="16" fmlaLink="Formula!$AA$1425" fmlaRange="Formula!$CG$85:$CG$86" sel="1" val="0"/>
</file>

<file path=xl/ctrlProps/ctrlProp58.xml><?xml version="1.0" encoding="utf-8"?>
<formControlPr xmlns="http://schemas.microsoft.com/office/spreadsheetml/2009/9/main" objectType="Drop" dropLines="12" dropStyle="combo" dx="16" fmlaLink="Formula!$L$403" fmlaRange="Formula!$AG$14:$AG$15" sel="1" val="0"/>
</file>

<file path=xl/ctrlProps/ctrlProp59.xml><?xml version="1.0" encoding="utf-8"?>
<formControlPr xmlns="http://schemas.microsoft.com/office/spreadsheetml/2009/9/main" objectType="Drop" dropStyle="combo" dx="16" fmlaLink="Formula!$K$918" fmlaRange="Formula!$Q$931:$Q$1148" sel="204" val="200"/>
</file>

<file path=xl/ctrlProps/ctrlProp6.xml><?xml version="1.0" encoding="utf-8"?>
<formControlPr xmlns="http://schemas.microsoft.com/office/spreadsheetml/2009/9/main" objectType="Drop" dropStyle="combo" dx="16" fmlaLink="Formula!$GE$6" fmlaRange="Formula!$GD$15:$GD$16" sel="1" val="0"/>
</file>

<file path=xl/ctrlProps/ctrlProp60.xml><?xml version="1.0" encoding="utf-8"?>
<formControlPr xmlns="http://schemas.microsoft.com/office/spreadsheetml/2009/9/main" objectType="Drop" dropStyle="combo" dx="16" fmlaLink="Formula!$M$918" fmlaRange="Formula!$Q$931:$Q$1148" sel="214" val="210"/>
</file>

<file path=xl/ctrlProps/ctrlProp61.xml><?xml version="1.0" encoding="utf-8"?>
<formControlPr xmlns="http://schemas.microsoft.com/office/spreadsheetml/2009/9/main" objectType="Drop" dropLines="12" dropStyle="combo" dx="16" fmlaLink="Formula!$K$917" fmlaRange="Formula!$AG$14:$AG$15" sel="1" val="0"/>
</file>

<file path=xl/ctrlProps/ctrlProp62.xml><?xml version="1.0" encoding="utf-8"?>
<formControlPr xmlns="http://schemas.microsoft.com/office/spreadsheetml/2009/9/main" objectType="Drop" dropLines="14" dropStyle="combo" dx="16" fmlaLink="Formula!$K$921" fmlaRange="Formula!$AB$14:$AB$19" sel="3" val="0"/>
</file>

<file path=xl/ctrlProps/ctrlProp63.xml><?xml version="1.0" encoding="utf-8"?>
<formControlPr xmlns="http://schemas.microsoft.com/office/spreadsheetml/2009/9/main" objectType="Drop" dropLines="14" dropStyle="combo" dx="16" fmlaLink="Formula!$K$923" fmlaRange="Formula!$G$939:$G$978" sel="11" val="10"/>
</file>

<file path=xl/ctrlProps/ctrlProp64.xml><?xml version="1.0" encoding="utf-8"?>
<formControlPr xmlns="http://schemas.microsoft.com/office/spreadsheetml/2009/9/main" objectType="Drop" dropLines="14" dropStyle="combo" dx="16" fmlaLink="Formula!$J$1262" fmlaRange="Formula!$G$984:$G$985" sel="1" val="0"/>
</file>

<file path=xl/ctrlProps/ctrlProp65.xml><?xml version="1.0" encoding="utf-8"?>
<formControlPr xmlns="http://schemas.microsoft.com/office/spreadsheetml/2009/9/main" objectType="Drop" dropStyle="combo" dx="16" fmlaLink="Formula!$AA$918" fmlaRange="Formula!$AH$925:$AH$936" sel="8" val="3"/>
</file>

<file path=xl/ctrlProps/ctrlProp66.xml><?xml version="1.0" encoding="utf-8"?>
<formControlPr xmlns="http://schemas.microsoft.com/office/spreadsheetml/2009/9/main" objectType="Drop" dropStyle="combo" dx="16" fmlaLink="Formula!$AC$918" fmlaRange="Formula!$AH$925:$AH$936" sel="11" val="4"/>
</file>

<file path=xl/ctrlProps/ctrlProp67.xml><?xml version="1.0" encoding="utf-8"?>
<formControlPr xmlns="http://schemas.microsoft.com/office/spreadsheetml/2009/9/main" objectType="Drop" dropLines="12" dropStyle="combo" dx="16" fmlaLink="Formula!$AA$917" fmlaRange="Formula!$AG$14:$AG$15" sel="1" val="0"/>
</file>

<file path=xl/ctrlProps/ctrlProp68.xml><?xml version="1.0" encoding="utf-8"?>
<formControlPr xmlns="http://schemas.microsoft.com/office/spreadsheetml/2009/9/main" objectType="Drop" dropStyle="combo" dx="16" fmlaLink="Formula!$AR$918" fmlaRange="Formula!$AY$925:$AY$1034" sel="92" val="85"/>
</file>

<file path=xl/ctrlProps/ctrlProp69.xml><?xml version="1.0" encoding="utf-8"?>
<formControlPr xmlns="http://schemas.microsoft.com/office/spreadsheetml/2009/9/main" objectType="Drop" dropStyle="combo" dx="16" fmlaLink="Formula!$AT$918" fmlaRange="Formula!$AY$925:$AY$1034" sel="107" val="102"/>
</file>

<file path=xl/ctrlProps/ctrlProp7.xml><?xml version="1.0" encoding="utf-8"?>
<formControlPr xmlns="http://schemas.microsoft.com/office/spreadsheetml/2009/9/main" objectType="Drop" dropStyle="combo" dx="16" fmlaLink="Formula!$GE$3" fmlaRange="Formula!$GD$12:$GD$13" sel="1" val="0"/>
</file>

<file path=xl/ctrlProps/ctrlProp70.xml><?xml version="1.0" encoding="utf-8"?>
<formControlPr xmlns="http://schemas.microsoft.com/office/spreadsheetml/2009/9/main" objectType="Drop" dropLines="12" dropStyle="combo" dx="16" fmlaLink="Formula!$AR$917" fmlaRange="Formula!$AG$14:$AG$15" sel="1" val="0"/>
</file>

<file path=xl/ctrlProps/ctrlProp71.xml><?xml version="1.0" encoding="utf-8"?>
<formControlPr xmlns="http://schemas.microsoft.com/office/spreadsheetml/2009/9/main" objectType="Drop" dropLines="12" dropStyle="combo" dx="16" fmlaLink="Formula!$L$429" fmlaRange="Formula!$AG$14:$AG$15" sel="1" val="0"/>
</file>

<file path=xl/ctrlProps/ctrlProp72.xml><?xml version="1.0" encoding="utf-8"?>
<formControlPr xmlns="http://schemas.microsoft.com/office/spreadsheetml/2009/9/main" objectType="Drop" dropLines="12" dropStyle="combo" dx="16" fmlaLink="Formula!$L$453" fmlaRange="Formula!$AG$14:$AG$15" sel="1" val="0"/>
</file>

<file path=xl/ctrlProps/ctrlProp73.xml><?xml version="1.0" encoding="utf-8"?>
<formControlPr xmlns="http://schemas.microsoft.com/office/spreadsheetml/2009/9/main" objectType="Drop" dropLines="12" dropStyle="combo" dx="16" fmlaLink="Formula!$BI$917" fmlaRange="Formula!$AG$14:$AG$15" sel="1" val="0"/>
</file>

<file path=xl/ctrlProps/ctrlProp74.xml><?xml version="1.0" encoding="utf-8"?>
<formControlPr xmlns="http://schemas.microsoft.com/office/spreadsheetml/2009/9/main" objectType="Drop" dropLines="12" dropStyle="combo" dx="16" fmlaLink="Formula!$L$478" fmlaRange="Formula!$AG$14:$AG$15" sel="1" val="0"/>
</file>

<file path=xl/ctrlProps/ctrlProp75.xml><?xml version="1.0" encoding="utf-8"?>
<formControlPr xmlns="http://schemas.microsoft.com/office/spreadsheetml/2009/9/main" objectType="Drop" dropStyle="combo" dx="16" fmlaLink="Formula!$EV$9" fmlaRange="Formula!$BD$47:$BD$58" sel="6" val="0"/>
</file>

<file path=xl/ctrlProps/ctrlProp76.xml><?xml version="1.0" encoding="utf-8"?>
<formControlPr xmlns="http://schemas.microsoft.com/office/spreadsheetml/2009/9/main" objectType="Drop" dropLines="12" dropStyle="combo" dx="16" fmlaLink="Formula!$ER$9" fmlaRange="Formula!$AG$14:$AG$15" sel="1" val="0"/>
</file>

<file path=xl/ctrlProps/ctrlProp77.xml><?xml version="1.0" encoding="utf-8"?>
<formControlPr xmlns="http://schemas.microsoft.com/office/spreadsheetml/2009/9/main" objectType="Drop" dropStyle="combo" dx="16" fmlaLink="Formula!$GK$6" fmlaRange="Formula!$GD$25:$GD$26" sel="2" val="0"/>
</file>

<file path=xl/ctrlProps/ctrlProp78.xml><?xml version="1.0" encoding="utf-8"?>
<formControlPr xmlns="http://schemas.microsoft.com/office/spreadsheetml/2009/9/main" objectType="Drop" dropLines="12" dropStyle="combo" dx="16" fmlaLink="Formula!$L$504" fmlaRange="Formula!$AG$14:$AG$15" sel="1" val="0"/>
</file>

<file path=xl/ctrlProps/ctrlProp79.xml><?xml version="1.0" encoding="utf-8"?>
<formControlPr xmlns="http://schemas.microsoft.com/office/spreadsheetml/2009/9/main" objectType="Drop" dropLines="12" dropStyle="combo" dx="16" fmlaLink="Formula!$L$530" fmlaRange="Formula!$AG$14:$AG$15" sel="1" val="0"/>
</file>

<file path=xl/ctrlProps/ctrlProp8.xml><?xml version="1.0" encoding="utf-8"?>
<formControlPr xmlns="http://schemas.microsoft.com/office/spreadsheetml/2009/9/main" objectType="Drop" dropStyle="combo" dx="16" fmlaLink="Formula!$FZ$3" fmlaRange="Formula!$FY$12:$FY$19" sel="3" val="0"/>
</file>

<file path=xl/ctrlProps/ctrlProp80.xml><?xml version="1.0" encoding="utf-8"?>
<formControlPr xmlns="http://schemas.microsoft.com/office/spreadsheetml/2009/9/main" objectType="Drop" dropStyle="combo" dx="16" fmlaLink="Formula!$MI$16" fmlaRange="Formula!$MK$28" sel="1" val="0"/>
</file>

<file path=xl/ctrlProps/ctrlProp81.xml><?xml version="1.0" encoding="utf-8"?>
<formControlPr xmlns="http://schemas.microsoft.com/office/spreadsheetml/2009/9/main" objectType="Drop" dropStyle="combo" dx="16" fmlaLink="Formula!$MI$17" fmlaRange="Formula!$MK$29" sel="1" val="0"/>
</file>

<file path=xl/ctrlProps/ctrlProp82.xml><?xml version="1.0" encoding="utf-8"?>
<formControlPr xmlns="http://schemas.microsoft.com/office/spreadsheetml/2009/9/main" objectType="Drop" dropStyle="combo" dx="16" fmlaLink="Formula!$MI$18" fmlaRange="Formula!$MK$30" sel="1" val="0"/>
</file>

<file path=xl/ctrlProps/ctrlProp83.xml><?xml version="1.0" encoding="utf-8"?>
<formControlPr xmlns="http://schemas.microsoft.com/office/spreadsheetml/2009/9/main" objectType="Drop" dropStyle="combo" dx="16" fmlaLink="Formula!$MI$19" fmlaRange="Formula!$MK$32:$MK$66" sel="21" val="20"/>
</file>

<file path=xl/ctrlProps/ctrlProp84.xml><?xml version="1.0" encoding="utf-8"?>
<formControlPr xmlns="http://schemas.microsoft.com/office/spreadsheetml/2009/9/main" objectType="Drop" dropStyle="combo" dx="16" fmlaLink="Formula!$MI$20" fmlaRange="Formula!$MK$32:$MK$66" sel="2" val="0"/>
</file>

<file path=xl/ctrlProps/ctrlProp85.xml><?xml version="1.0" encoding="utf-8"?>
<formControlPr xmlns="http://schemas.microsoft.com/office/spreadsheetml/2009/9/main" objectType="Drop" dropStyle="combo" dx="16" fmlaLink="Formula!$MI$21" fmlaRange="Formula!$MK$32:$MK$66" sel="15" val="14"/>
</file>

<file path=xl/ctrlProps/ctrlProp86.xml><?xml version="1.0" encoding="utf-8"?>
<formControlPr xmlns="http://schemas.microsoft.com/office/spreadsheetml/2009/9/main" objectType="Drop" dropStyle="combo" dx="16" fmlaLink="Formula!$MI$22" fmlaRange="Formula!$MK$32:$MK$66" sel="17" val="16"/>
</file>

<file path=xl/ctrlProps/ctrlProp87.xml><?xml version="1.0" encoding="utf-8"?>
<formControlPr xmlns="http://schemas.microsoft.com/office/spreadsheetml/2009/9/main" objectType="Drop" dropStyle="combo" dx="16" fmlaLink="Formula!$MN$19" fmlaRange="Formula!$MP$19" sel="1" val="0"/>
</file>

<file path=xl/ctrlProps/ctrlProp88.xml><?xml version="1.0" encoding="utf-8"?>
<formControlPr xmlns="http://schemas.microsoft.com/office/spreadsheetml/2009/9/main" objectType="Drop" dropStyle="combo" dx="16" fmlaLink="Formula!$MN$24" fmlaRange="Formula!$MP$53" sel="1" val="0"/>
</file>

<file path=xl/ctrlProps/ctrlProp89.xml><?xml version="1.0" encoding="utf-8"?>
<formControlPr xmlns="http://schemas.microsoft.com/office/spreadsheetml/2009/9/main" objectType="Drop" dropLines="12" dropStyle="combo" dx="16" fmlaLink="Formula!$NQ$3" fmlaRange="Formula!$NJ$19:$NJ$21" sel="1" val="0"/>
</file>

<file path=xl/ctrlProps/ctrlProp9.xml><?xml version="1.0" encoding="utf-8"?>
<formControlPr xmlns="http://schemas.microsoft.com/office/spreadsheetml/2009/9/main" objectType="Drop" dropStyle="combo" dx="16" fmlaLink="Formula!$FZ$9" fmlaRange="Formula!$FY$21:$FY$23" sel="1" val="0"/>
</file>

<file path=xl/ctrlProps/ctrlProp90.xml><?xml version="1.0" encoding="utf-8"?>
<formControlPr xmlns="http://schemas.microsoft.com/office/spreadsheetml/2009/9/main" objectType="Drop" dropLines="12" dropStyle="combo" dx="16" fmlaLink="Formula!$OB$3" fmlaRange="Formula!$NX$9:$NZ$11" sel="1" val="0"/>
</file>

<file path=xl/ctrlProps/ctrlProp91.xml><?xml version="1.0" encoding="utf-8"?>
<formControlPr xmlns="http://schemas.microsoft.com/office/spreadsheetml/2009/9/main" objectType="Drop" dropLines="12" dropStyle="combo" dx="16" fmlaLink="Formula!$OB$6" fmlaRange="Formula!$NX$34:$NZ$36" sel="1" val="0"/>
</file>

<file path=xl/ctrlProps/ctrlProp92.xml><?xml version="1.0" encoding="utf-8"?>
<formControlPr xmlns="http://schemas.microsoft.com/office/spreadsheetml/2009/9/main" objectType="Drop" dropLines="12" dropStyle="combo" dx="16" fmlaLink="Formula!$OM$3" fmlaRange="Formula!$OH$9:$OJ$11" sel="1" val="0"/>
</file>

<file path=xl/ctrlProps/ctrlProp93.xml><?xml version="1.0" encoding="utf-8"?>
<formControlPr xmlns="http://schemas.microsoft.com/office/spreadsheetml/2009/9/main" objectType="Drop" dropStyle="combo" dx="16" fmlaLink="Formula!$MN$26" fmlaRange="Formula!$MP$56:$MP$58" sel="3" val="0"/>
</file>

<file path=xl/ctrlProps/ctrlProp94.xml><?xml version="1.0" encoding="utf-8"?>
<formControlPr xmlns="http://schemas.microsoft.com/office/spreadsheetml/2009/9/main" objectType="Drop" dropStyle="combo" dx="16" fmlaLink="Formula!$MN$25" fmlaRange="Formula!$MP$52" sel="1" val="0"/>
</file>

<file path=xl/ctrlProps/ctrlProp95.xml><?xml version="1.0" encoding="utf-8"?>
<formControlPr xmlns="http://schemas.microsoft.com/office/spreadsheetml/2009/9/main" objectType="Drop" dropStyle="combo" dx="16" fmlaLink="Formula!$MN$27" fmlaRange="Formula!$MP$60:$MP$61" sel="2" val="0"/>
</file>

<file path=xl/ctrlProps/ctrlProp96.xml><?xml version="1.0" encoding="utf-8"?>
<formControlPr xmlns="http://schemas.microsoft.com/office/spreadsheetml/2009/9/main" objectType="Drop" dropLines="12" dropStyle="combo" dx="16" fmlaLink="Formula!$NQ$8" fmlaRange="Formula!$NJ$19:$NJ$21" sel="2" val="0"/>
</file>

<file path=xl/ctrlProps/ctrlProp97.xml><?xml version="1.0" encoding="utf-8"?>
<formControlPr xmlns="http://schemas.microsoft.com/office/spreadsheetml/2009/9/main" objectType="Drop" dropStyle="combo" dx="16" fmlaLink="Formula!$MI$23" fmlaRange="Formula!$MK$32:$MK$66" sel="22" val="16"/>
</file>

<file path=xl/ctrlProps/ctrlProp98.xml><?xml version="1.0" encoding="utf-8"?>
<formControlPr xmlns="http://schemas.microsoft.com/office/spreadsheetml/2009/9/main" objectType="Drop" dropStyle="combo" dx="16" fmlaLink="Formula!$OB$15" fmlaRange="Formula!$GD$18:$GD$20" sel="1" val="0"/>
</file>

<file path=xl/ctrlProps/ctrlProp99.xml><?xml version="1.0" encoding="utf-8"?>
<formControlPr xmlns="http://schemas.microsoft.com/office/spreadsheetml/2009/9/main" objectType="Drop" dropStyle="combo" dx="16" fmlaLink="Formula!$MN$28" fmlaRange="Formula!$MP$63" sel="1" val="0"/>
</file>

<file path=xl/drawings/_rels/drawing1.xml.rels><?xml version="1.0" encoding="UTF-8" standalone="yes"?>
<Relationships xmlns="http://schemas.openxmlformats.org/package/2006/relationships"><Relationship Id="rId8" Type="http://schemas.openxmlformats.org/officeDocument/2006/relationships/hyperlink" Target="#'Data Sheet-III '!AE11"/><Relationship Id="rId3" Type="http://schemas.openxmlformats.org/officeDocument/2006/relationships/hyperlink" Target="#'Old Tax Regime'!T33"/><Relationship Id="rId7" Type="http://schemas.openxmlformats.org/officeDocument/2006/relationships/hyperlink" Target="#'Data Sheet-II'!AE11"/><Relationship Id="rId2" Type="http://schemas.openxmlformats.org/officeDocument/2006/relationships/hyperlink" Target="#'Anexure-I'!S5"/><Relationship Id="rId1" Type="http://schemas.openxmlformats.org/officeDocument/2006/relationships/hyperlink" Target="#'Data Sheet'!AM44"/><Relationship Id="rId6" Type="http://schemas.openxmlformats.org/officeDocument/2006/relationships/hyperlink" Target="#'FORM-16(Back)'!U8"/><Relationship Id="rId5" Type="http://schemas.openxmlformats.org/officeDocument/2006/relationships/hyperlink" Target="#'Form-12BB'!AE11"/><Relationship Id="rId10" Type="http://schemas.openxmlformats.org/officeDocument/2006/relationships/image" Target="../media/image2.jpeg"/><Relationship Id="rId4" Type="http://schemas.openxmlformats.org/officeDocument/2006/relationships/hyperlink" Target="#'FORM-16'!V6"/><Relationship Id="rId9"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Anexure-I'!A1"/><Relationship Id="rId2" Type="http://schemas.openxmlformats.org/officeDocument/2006/relationships/hyperlink" Target="#'Data Sheet'!AM44"/><Relationship Id="rId1" Type="http://schemas.openxmlformats.org/officeDocument/2006/relationships/hyperlink" Target="#'Welcome '!A1"/><Relationship Id="rId6" Type="http://schemas.openxmlformats.org/officeDocument/2006/relationships/hyperlink" Target="#'FORM-16(Back)'!A1"/><Relationship Id="rId5" Type="http://schemas.openxmlformats.org/officeDocument/2006/relationships/hyperlink" Target="#'FORM-16'!A1"/><Relationship Id="rId4" Type="http://schemas.openxmlformats.org/officeDocument/2006/relationships/hyperlink" Target="#'Old Tax Regime'!T33"/></Relationships>
</file>

<file path=xl/drawings/_rels/drawing11.xml.rels><?xml version="1.0" encoding="UTF-8" standalone="yes"?>
<Relationships xmlns="http://schemas.openxmlformats.org/package/2006/relationships"><Relationship Id="rId3" Type="http://schemas.openxmlformats.org/officeDocument/2006/relationships/hyperlink" Target="#'Anexure-I'!A1"/><Relationship Id="rId2" Type="http://schemas.openxmlformats.org/officeDocument/2006/relationships/hyperlink" Target="#'Data Sheet '!AG41"/><Relationship Id="rId1" Type="http://schemas.openxmlformats.org/officeDocument/2006/relationships/hyperlink" Target="#'Welcome '!A1"/><Relationship Id="rId6" Type="http://schemas.openxmlformats.org/officeDocument/2006/relationships/hyperlink" Target="#'Form-12BB'!A1"/><Relationship Id="rId5" Type="http://schemas.openxmlformats.org/officeDocument/2006/relationships/hyperlink" Target="#'FORM-16(Back)'!A1"/><Relationship Id="rId4" Type="http://schemas.openxmlformats.org/officeDocument/2006/relationships/hyperlink" Target="#'FORM-16'!A1"/></Relationships>
</file>

<file path=xl/drawings/_rels/drawing12.xml.rels><?xml version="1.0" encoding="UTF-8" standalone="yes"?>
<Relationships xmlns="http://schemas.openxmlformats.org/package/2006/relationships"><Relationship Id="rId8" Type="http://schemas.openxmlformats.org/officeDocument/2006/relationships/hyperlink" Target="#'Data Sheet-III '!AF2"/><Relationship Id="rId3" Type="http://schemas.openxmlformats.org/officeDocument/2006/relationships/hyperlink" Target="#'Anexure-I'!A1"/><Relationship Id="rId7" Type="http://schemas.openxmlformats.org/officeDocument/2006/relationships/hyperlink" Target="#'Data Sheet-II'!AI7"/><Relationship Id="rId2" Type="http://schemas.openxmlformats.org/officeDocument/2006/relationships/hyperlink" Target="#'Data Sheet'!AM44"/><Relationship Id="rId1" Type="http://schemas.openxmlformats.org/officeDocument/2006/relationships/hyperlink" Target="#'Welcome '!A1"/><Relationship Id="rId6" Type="http://schemas.openxmlformats.org/officeDocument/2006/relationships/hyperlink" Target="#'Form-12BB'!A1"/><Relationship Id="rId5" Type="http://schemas.openxmlformats.org/officeDocument/2006/relationships/hyperlink" Target="#'FORM-16(Back)'!A1"/><Relationship Id="rId4" Type="http://schemas.openxmlformats.org/officeDocument/2006/relationships/hyperlink" Target="#'Old Tax Regime'!T33"/></Relationships>
</file>

<file path=xl/drawings/_rels/drawing13.xml.rels><?xml version="1.0" encoding="UTF-8" standalone="yes"?>
<Relationships xmlns="http://schemas.openxmlformats.org/package/2006/relationships"><Relationship Id="rId8" Type="http://schemas.openxmlformats.org/officeDocument/2006/relationships/hyperlink" Target="#'Data Sheet-III '!AF2"/><Relationship Id="rId3" Type="http://schemas.openxmlformats.org/officeDocument/2006/relationships/hyperlink" Target="#'Anexure-I'!A1"/><Relationship Id="rId7" Type="http://schemas.openxmlformats.org/officeDocument/2006/relationships/hyperlink" Target="#'Data Sheet-II'!AI2"/><Relationship Id="rId2" Type="http://schemas.openxmlformats.org/officeDocument/2006/relationships/hyperlink" Target="#'Data Sheet'!AM44"/><Relationship Id="rId1" Type="http://schemas.openxmlformats.org/officeDocument/2006/relationships/hyperlink" Target="#'Welcome '!A1"/><Relationship Id="rId6" Type="http://schemas.openxmlformats.org/officeDocument/2006/relationships/hyperlink" Target="#'Form-12BB'!A1"/><Relationship Id="rId5" Type="http://schemas.openxmlformats.org/officeDocument/2006/relationships/hyperlink" Target="#'FORM-16'!A1"/><Relationship Id="rId4" Type="http://schemas.openxmlformats.org/officeDocument/2006/relationships/hyperlink" Target="#'Old Tax Regime'!T33"/></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8" Type="http://schemas.openxmlformats.org/officeDocument/2006/relationships/hyperlink" Target="#'Data Sheet-III '!AF2"/><Relationship Id="rId3" Type="http://schemas.openxmlformats.org/officeDocument/2006/relationships/hyperlink" Target="#'Old Tax Regime'!T33"/><Relationship Id="rId7" Type="http://schemas.openxmlformats.org/officeDocument/2006/relationships/hyperlink" Target="#'Form-12BB'!A1"/><Relationship Id="rId2" Type="http://schemas.openxmlformats.org/officeDocument/2006/relationships/hyperlink" Target="#'Anexure-I'!S5"/><Relationship Id="rId1" Type="http://schemas.openxmlformats.org/officeDocument/2006/relationships/image" Target="../media/image3.jpeg"/><Relationship Id="rId6" Type="http://schemas.openxmlformats.org/officeDocument/2006/relationships/hyperlink" Target="#'Welcome '!Q3"/><Relationship Id="rId5" Type="http://schemas.openxmlformats.org/officeDocument/2006/relationships/hyperlink" Target="#'FORM-16(Back)'!P16"/><Relationship Id="rId10" Type="http://schemas.openxmlformats.org/officeDocument/2006/relationships/image" Target="../media/image2.jpeg"/><Relationship Id="rId4" Type="http://schemas.openxmlformats.org/officeDocument/2006/relationships/hyperlink" Target="#'FORM-16'!R16"/><Relationship Id="rId9"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hyperlink" Target="#'FORM-16(Back)'!A1"/><Relationship Id="rId3" Type="http://schemas.openxmlformats.org/officeDocument/2006/relationships/hyperlink" Target="#'Welcome '!A1"/><Relationship Id="rId7" Type="http://schemas.openxmlformats.org/officeDocument/2006/relationships/hyperlink" Target="#'FORM-16'!A1"/><Relationship Id="rId2" Type="http://schemas.openxmlformats.org/officeDocument/2006/relationships/image" Target="../media/image3.jpeg"/><Relationship Id="rId1" Type="http://schemas.openxmlformats.org/officeDocument/2006/relationships/image" Target="../media/image5.jpeg"/><Relationship Id="rId6" Type="http://schemas.openxmlformats.org/officeDocument/2006/relationships/hyperlink" Target="#'Old Tax Regime'!A1"/><Relationship Id="rId11" Type="http://schemas.openxmlformats.org/officeDocument/2006/relationships/image" Target="../media/image2.jpeg"/><Relationship Id="rId5" Type="http://schemas.openxmlformats.org/officeDocument/2006/relationships/hyperlink" Target="#'Anexure-I'!A1"/><Relationship Id="rId10" Type="http://schemas.openxmlformats.org/officeDocument/2006/relationships/image" Target="../media/image1.png"/><Relationship Id="rId4" Type="http://schemas.openxmlformats.org/officeDocument/2006/relationships/hyperlink" Target="#'Data Sheet-II'!AI7"/><Relationship Id="rId9" Type="http://schemas.openxmlformats.org/officeDocument/2006/relationships/hyperlink" Target="#'Form-12BB'!A1"/></Relationships>
</file>

<file path=xl/drawings/_rels/drawing5.xml.rels><?xml version="1.0" encoding="UTF-8" standalone="yes"?>
<Relationships xmlns="http://schemas.openxmlformats.org/package/2006/relationships"><Relationship Id="rId8" Type="http://schemas.openxmlformats.org/officeDocument/2006/relationships/hyperlink" Target="#'Data Sheet-III '!AF2"/><Relationship Id="rId3" Type="http://schemas.openxmlformats.org/officeDocument/2006/relationships/hyperlink" Target="#'Old Tax Regime'!T33"/><Relationship Id="rId7" Type="http://schemas.openxmlformats.org/officeDocument/2006/relationships/hyperlink" Target="#'Data Sheet-II'!AI7"/><Relationship Id="rId2" Type="http://schemas.openxmlformats.org/officeDocument/2006/relationships/hyperlink" Target="#'Data Sheet'!AM44"/><Relationship Id="rId1" Type="http://schemas.openxmlformats.org/officeDocument/2006/relationships/hyperlink" Target="#'Welcome '!A1"/><Relationship Id="rId6" Type="http://schemas.openxmlformats.org/officeDocument/2006/relationships/hyperlink" Target="#'Form-12BB'!A1"/><Relationship Id="rId5" Type="http://schemas.openxmlformats.org/officeDocument/2006/relationships/hyperlink" Target="#'FORM-16(Back)'!A1"/><Relationship Id="rId4" Type="http://schemas.openxmlformats.org/officeDocument/2006/relationships/hyperlink" Target="#'FORM-16'!A1"/></Relationships>
</file>

<file path=xl/drawings/_rels/drawing6.xml.rels><?xml version="1.0" encoding="UTF-8" standalone="yes"?>
<Relationships xmlns="http://schemas.openxmlformats.org/package/2006/relationships"><Relationship Id="rId8" Type="http://schemas.openxmlformats.org/officeDocument/2006/relationships/hyperlink" Target="#'Data Sheet-III '!AF2"/><Relationship Id="rId3" Type="http://schemas.openxmlformats.org/officeDocument/2006/relationships/hyperlink" Target="#'Anexure-I'!A1"/><Relationship Id="rId7" Type="http://schemas.openxmlformats.org/officeDocument/2006/relationships/hyperlink" Target="#'Data Sheet-II'!AI7"/><Relationship Id="rId2" Type="http://schemas.openxmlformats.org/officeDocument/2006/relationships/hyperlink" Target="#'Data Sheet'!AM44"/><Relationship Id="rId1" Type="http://schemas.openxmlformats.org/officeDocument/2006/relationships/hyperlink" Target="#'Welcome '!A1"/><Relationship Id="rId6" Type="http://schemas.openxmlformats.org/officeDocument/2006/relationships/hyperlink" Target="#'Form-12BB'!A1"/><Relationship Id="rId5" Type="http://schemas.openxmlformats.org/officeDocument/2006/relationships/hyperlink" Target="#'FORM-16(Back)'!A1"/><Relationship Id="rId4" Type="http://schemas.openxmlformats.org/officeDocument/2006/relationships/hyperlink" Target="#'FORM-16'!A1"/></Relationships>
</file>

<file path=xl/drawings/_rels/drawing7.xml.rels><?xml version="1.0" encoding="UTF-8" standalone="yes"?>
<Relationships xmlns="http://schemas.openxmlformats.org/package/2006/relationships"><Relationship Id="rId8" Type="http://schemas.openxmlformats.org/officeDocument/2006/relationships/hyperlink" Target="#'Data Sheet-III '!AF2"/><Relationship Id="rId3" Type="http://schemas.openxmlformats.org/officeDocument/2006/relationships/hyperlink" Target="#'Anexure-I'!A1"/><Relationship Id="rId7" Type="http://schemas.openxmlformats.org/officeDocument/2006/relationships/hyperlink" Target="#'Data Sheet-II'!AI7"/><Relationship Id="rId2" Type="http://schemas.openxmlformats.org/officeDocument/2006/relationships/hyperlink" Target="#'Data Sheet'!AM44"/><Relationship Id="rId1" Type="http://schemas.openxmlformats.org/officeDocument/2006/relationships/hyperlink" Target="#'Welcome '!A1"/><Relationship Id="rId6" Type="http://schemas.openxmlformats.org/officeDocument/2006/relationships/hyperlink" Target="#'Form-12BB'!A1"/><Relationship Id="rId5" Type="http://schemas.openxmlformats.org/officeDocument/2006/relationships/hyperlink" Target="#'FORM-16(Back)'!A1"/><Relationship Id="rId4" Type="http://schemas.openxmlformats.org/officeDocument/2006/relationships/hyperlink" Target="#'Old Tax Regime'!T33"/></Relationships>
</file>

<file path=xl/drawings/_rels/drawing8.xml.rels><?xml version="1.0" encoding="UTF-8" standalone="yes"?>
<Relationships xmlns="http://schemas.openxmlformats.org/package/2006/relationships"><Relationship Id="rId8" Type="http://schemas.openxmlformats.org/officeDocument/2006/relationships/hyperlink" Target="#'Data Sheet-III '!AF2"/><Relationship Id="rId3" Type="http://schemas.openxmlformats.org/officeDocument/2006/relationships/hyperlink" Target="#'Anexure-I'!A1"/><Relationship Id="rId7" Type="http://schemas.openxmlformats.org/officeDocument/2006/relationships/hyperlink" Target="#'Data Sheet-II'!AI2"/><Relationship Id="rId2" Type="http://schemas.openxmlformats.org/officeDocument/2006/relationships/hyperlink" Target="#'Data Sheet'!AM44"/><Relationship Id="rId1" Type="http://schemas.openxmlformats.org/officeDocument/2006/relationships/hyperlink" Target="#'Welcome '!A1"/><Relationship Id="rId6" Type="http://schemas.openxmlformats.org/officeDocument/2006/relationships/hyperlink" Target="#'Form-12BB'!A1"/><Relationship Id="rId5" Type="http://schemas.openxmlformats.org/officeDocument/2006/relationships/hyperlink" Target="#'FORM-16'!A1"/><Relationship Id="rId4" Type="http://schemas.openxmlformats.org/officeDocument/2006/relationships/hyperlink" Target="#'Old Tax Regime'!T33"/></Relationships>
</file>

<file path=xl/drawings/_rels/drawing9.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2</xdr:col>
      <xdr:colOff>9524</xdr:colOff>
      <xdr:row>12</xdr:row>
      <xdr:rowOff>114300</xdr:rowOff>
    </xdr:from>
    <xdr:to>
      <xdr:col>3</xdr:col>
      <xdr:colOff>666749</xdr:colOff>
      <xdr:row>12</xdr:row>
      <xdr:rowOff>304798</xdr:rowOff>
    </xdr:to>
    <xdr:sp macro="" textlink="">
      <xdr:nvSpPr>
        <xdr:cNvPr id="5" name="Right Arrow 4">
          <a:extLst>
            <a:ext uri="{FF2B5EF4-FFF2-40B4-BE49-F238E27FC236}">
              <a16:creationId xmlns:a16="http://schemas.microsoft.com/office/drawing/2014/main" id="{00000000-0008-0000-0000-000005000000}"/>
            </a:ext>
          </a:extLst>
        </xdr:cNvPr>
        <xdr:cNvSpPr/>
      </xdr:nvSpPr>
      <xdr:spPr>
        <a:xfrm>
          <a:off x="4829174" y="4381500"/>
          <a:ext cx="657225" cy="190498"/>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3</xdr:col>
      <xdr:colOff>28575</xdr:colOff>
      <xdr:row>14</xdr:row>
      <xdr:rowOff>190501</xdr:rowOff>
    </xdr:from>
    <xdr:to>
      <xdr:col>3</xdr:col>
      <xdr:colOff>609600</xdr:colOff>
      <xdr:row>14</xdr:row>
      <xdr:rowOff>371475</xdr:rowOff>
    </xdr:to>
    <xdr:sp macro="" textlink="">
      <xdr:nvSpPr>
        <xdr:cNvPr id="8" name="Right Arrow 7">
          <a:extLst>
            <a:ext uri="{FF2B5EF4-FFF2-40B4-BE49-F238E27FC236}">
              <a16:creationId xmlns:a16="http://schemas.microsoft.com/office/drawing/2014/main" id="{00000000-0008-0000-0000-000008000000}"/>
            </a:ext>
          </a:extLst>
        </xdr:cNvPr>
        <xdr:cNvSpPr/>
      </xdr:nvSpPr>
      <xdr:spPr>
        <a:xfrm>
          <a:off x="4848225" y="5181601"/>
          <a:ext cx="581025" cy="180974"/>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xdr:col>
      <xdr:colOff>28575</xdr:colOff>
      <xdr:row>16</xdr:row>
      <xdr:rowOff>228600</xdr:rowOff>
    </xdr:from>
    <xdr:to>
      <xdr:col>3</xdr:col>
      <xdr:colOff>647699</xdr:colOff>
      <xdr:row>17</xdr:row>
      <xdr:rowOff>28573</xdr:rowOff>
    </xdr:to>
    <xdr:sp macro="" textlink="">
      <xdr:nvSpPr>
        <xdr:cNvPr id="15" name="Right Arrow 14">
          <a:extLst>
            <a:ext uri="{FF2B5EF4-FFF2-40B4-BE49-F238E27FC236}">
              <a16:creationId xmlns:a16="http://schemas.microsoft.com/office/drawing/2014/main" id="{00000000-0008-0000-0000-00000F000000}"/>
            </a:ext>
          </a:extLst>
        </xdr:cNvPr>
        <xdr:cNvSpPr/>
      </xdr:nvSpPr>
      <xdr:spPr>
        <a:xfrm>
          <a:off x="4800600" y="6057900"/>
          <a:ext cx="666749" cy="190498"/>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3</xdr:col>
      <xdr:colOff>38100</xdr:colOff>
      <xdr:row>10</xdr:row>
      <xdr:rowOff>95250</xdr:rowOff>
    </xdr:from>
    <xdr:to>
      <xdr:col>4</xdr:col>
      <xdr:colOff>28575</xdr:colOff>
      <xdr:row>10</xdr:row>
      <xdr:rowOff>285748</xdr:rowOff>
    </xdr:to>
    <xdr:sp macro="" textlink="">
      <xdr:nvSpPr>
        <xdr:cNvPr id="16" name="Right Arrow 15">
          <a:extLst>
            <a:ext uri="{FF2B5EF4-FFF2-40B4-BE49-F238E27FC236}">
              <a16:creationId xmlns:a16="http://schemas.microsoft.com/office/drawing/2014/main" id="{00000000-0008-0000-0000-000010000000}"/>
            </a:ext>
          </a:extLst>
        </xdr:cNvPr>
        <xdr:cNvSpPr/>
      </xdr:nvSpPr>
      <xdr:spPr>
        <a:xfrm>
          <a:off x="4857750" y="3648075"/>
          <a:ext cx="657225" cy="190498"/>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15</xdr:col>
      <xdr:colOff>47625</xdr:colOff>
      <xdr:row>15</xdr:row>
      <xdr:rowOff>0</xdr:rowOff>
    </xdr:from>
    <xdr:to>
      <xdr:col>22</xdr:col>
      <xdr:colOff>9525</xdr:colOff>
      <xdr:row>21</xdr:row>
      <xdr:rowOff>19049</xdr:rowOff>
    </xdr:to>
    <xdr:sp macro="" textlink="">
      <xdr:nvSpPr>
        <xdr:cNvPr id="18" name="Rectangle 17">
          <a:extLst>
            <a:ext uri="{FF2B5EF4-FFF2-40B4-BE49-F238E27FC236}">
              <a16:creationId xmlns:a16="http://schemas.microsoft.com/office/drawing/2014/main" id="{00000000-0008-0000-0000-000012000000}"/>
            </a:ext>
          </a:extLst>
        </xdr:cNvPr>
        <xdr:cNvSpPr/>
      </xdr:nvSpPr>
      <xdr:spPr>
        <a:xfrm>
          <a:off x="15335250" y="5543550"/>
          <a:ext cx="3695700" cy="2028824"/>
        </a:xfrm>
        <a:prstGeom prst="rect">
          <a:avLst/>
        </a:prstGeom>
        <a:noFill/>
        <a:ln w="12700">
          <a:solidFill>
            <a:srgbClr val="002060"/>
          </a:solidFill>
        </a:ln>
        <a:effectLst>
          <a:outerShdw blurRad="50800" dist="38100" dir="2700000" algn="tl" rotWithShape="0">
            <a:prstClr val="black">
              <a:alpha val="40000"/>
            </a:prstClr>
          </a:outerShdw>
        </a:effectLst>
      </xdr:spPr>
      <xdr:txBody>
        <a:bodyPr vertOverflow="clip" horzOverflow="clip" wrap="square"/>
        <a:lstStyle/>
        <a:p>
          <a:endParaRPr lang="en-US"/>
        </a:p>
      </xdr:txBody>
    </xdr:sp>
    <xdr:clientData/>
  </xdr:twoCellAnchor>
  <xdr:twoCellAnchor>
    <xdr:from>
      <xdr:col>15</xdr:col>
      <xdr:colOff>0</xdr:colOff>
      <xdr:row>15</xdr:row>
      <xdr:rowOff>0</xdr:rowOff>
    </xdr:from>
    <xdr:to>
      <xdr:col>22</xdr:col>
      <xdr:colOff>19050</xdr:colOff>
      <xdr:row>21</xdr:row>
      <xdr:rowOff>19050</xdr:rowOff>
    </xdr:to>
    <xdr:sp macro="" textlink="">
      <xdr:nvSpPr>
        <xdr:cNvPr id="19" name="Rectangle 18">
          <a:extLst>
            <a:ext uri="{FF2B5EF4-FFF2-40B4-BE49-F238E27FC236}">
              <a16:creationId xmlns:a16="http://schemas.microsoft.com/office/drawing/2014/main" id="{00000000-0008-0000-0000-000013000000}"/>
            </a:ext>
          </a:extLst>
        </xdr:cNvPr>
        <xdr:cNvSpPr/>
      </xdr:nvSpPr>
      <xdr:spPr>
        <a:xfrm>
          <a:off x="15287625" y="5543550"/>
          <a:ext cx="3752850" cy="2028825"/>
        </a:xfrm>
        <a:prstGeom prst="rect">
          <a:avLst/>
        </a:prstGeom>
        <a:noFill/>
        <a:ln w="12700">
          <a:solidFill>
            <a:srgbClr val="002060"/>
          </a:solidFill>
        </a:ln>
        <a:effectLst>
          <a:outerShdw blurRad="50800" dist="38100" dir="2700000" algn="tl" rotWithShape="0">
            <a:prstClr val="black">
              <a:alpha val="40000"/>
            </a:prstClr>
          </a:outerShdw>
        </a:effectLst>
      </xdr:spPr>
      <xdr:txBody>
        <a:bodyPr vertOverflow="clip" horzOverflow="clip" wrap="square"/>
        <a:lstStyle/>
        <a:p>
          <a:endParaRPr lang="en-US"/>
        </a:p>
      </xdr:txBody>
    </xdr:sp>
    <xdr:clientData/>
  </xdr:twoCellAnchor>
  <xdr:twoCellAnchor>
    <xdr:from>
      <xdr:col>16</xdr:col>
      <xdr:colOff>9524</xdr:colOff>
      <xdr:row>14</xdr:row>
      <xdr:rowOff>552449</xdr:rowOff>
    </xdr:from>
    <xdr:to>
      <xdr:col>22</xdr:col>
      <xdr:colOff>0</xdr:colOff>
      <xdr:row>21</xdr:row>
      <xdr:rowOff>9525</xdr:rowOff>
    </xdr:to>
    <xdr:sp macro="" textlink="">
      <xdr:nvSpPr>
        <xdr:cNvPr id="20" name="Rectangle 19">
          <a:extLst>
            <a:ext uri="{FF2B5EF4-FFF2-40B4-BE49-F238E27FC236}">
              <a16:creationId xmlns:a16="http://schemas.microsoft.com/office/drawing/2014/main" id="{00000000-0008-0000-0000-000014000000}"/>
            </a:ext>
          </a:extLst>
        </xdr:cNvPr>
        <xdr:cNvSpPr/>
      </xdr:nvSpPr>
      <xdr:spPr>
        <a:xfrm>
          <a:off x="15392399" y="5543549"/>
          <a:ext cx="3629026" cy="2019301"/>
        </a:xfrm>
        <a:prstGeom prst="rect">
          <a:avLst/>
        </a:prstGeom>
        <a:noFill/>
        <a:ln w="12700">
          <a:solidFill>
            <a:srgbClr val="FF0000"/>
          </a:solidFill>
        </a:ln>
        <a:effectLst>
          <a:outerShdw blurRad="50800" dist="38100" dir="2700000" algn="tl" rotWithShape="0">
            <a:prstClr val="black">
              <a:alpha val="40000"/>
            </a:prstClr>
          </a:outerShdw>
        </a:effectLst>
      </xdr:spPr>
      <xdr:txBody>
        <a:bodyPr vertOverflow="clip" horzOverflow="clip" wrap="square"/>
        <a:lstStyle/>
        <a:p>
          <a:endParaRPr lang="en-US"/>
        </a:p>
      </xdr:txBody>
    </xdr:sp>
    <xdr:clientData/>
  </xdr:twoCellAnchor>
  <xdr:twoCellAnchor>
    <xdr:from>
      <xdr:col>3</xdr:col>
      <xdr:colOff>342900</xdr:colOff>
      <xdr:row>1</xdr:row>
      <xdr:rowOff>180975</xdr:rowOff>
    </xdr:from>
    <xdr:to>
      <xdr:col>6</xdr:col>
      <xdr:colOff>76200</xdr:colOff>
      <xdr:row>2</xdr:row>
      <xdr:rowOff>266700</xdr:rowOff>
    </xdr:to>
    <xdr:sp macro="" textlink="">
      <xdr:nvSpPr>
        <xdr:cNvPr id="21" name="Rounded Rectangle 20">
          <a:hlinkClick xmlns:r="http://schemas.openxmlformats.org/officeDocument/2006/relationships" r:id="rId1"/>
          <a:extLst>
            <a:ext uri="{FF2B5EF4-FFF2-40B4-BE49-F238E27FC236}">
              <a16:creationId xmlns:a16="http://schemas.microsoft.com/office/drawing/2014/main" id="{00000000-0008-0000-0000-000015000000}"/>
            </a:ext>
          </a:extLst>
        </xdr:cNvPr>
        <xdr:cNvSpPr/>
      </xdr:nvSpPr>
      <xdr:spPr bwMode="auto">
        <a:xfrm>
          <a:off x="5162550" y="304800"/>
          <a:ext cx="1295400" cy="447675"/>
        </a:xfrm>
        <a:prstGeom prst="roundRect">
          <a:avLst/>
        </a:prstGeom>
        <a:solidFill>
          <a:srgbClr val="00206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cs typeface="Arial" pitchFamily="34" charset="0"/>
            </a:rPr>
            <a:t>Data Sheet</a:t>
          </a:r>
        </a:p>
      </xdr:txBody>
    </xdr:sp>
    <xdr:clientData/>
  </xdr:twoCellAnchor>
  <xdr:twoCellAnchor>
    <xdr:from>
      <xdr:col>6</xdr:col>
      <xdr:colOff>152400</xdr:colOff>
      <xdr:row>1</xdr:row>
      <xdr:rowOff>190500</xdr:rowOff>
    </xdr:from>
    <xdr:to>
      <xdr:col>8</xdr:col>
      <xdr:colOff>419100</xdr:colOff>
      <xdr:row>2</xdr:row>
      <xdr:rowOff>285750</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0000-000016000000}"/>
            </a:ext>
          </a:extLst>
        </xdr:cNvPr>
        <xdr:cNvSpPr/>
      </xdr:nvSpPr>
      <xdr:spPr bwMode="auto">
        <a:xfrm>
          <a:off x="6534150" y="314325"/>
          <a:ext cx="1400175" cy="457200"/>
        </a:xfrm>
        <a:prstGeom prst="roundRect">
          <a:avLst/>
        </a:prstGeom>
        <a:solidFill>
          <a:srgbClr val="0070C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200">
              <a:solidFill>
                <a:schemeClr val="bg1"/>
              </a:solidFill>
              <a:latin typeface="Arial Black" pitchFamily="34" charset="0"/>
            </a:rPr>
            <a:t>Anexure-I</a:t>
          </a:r>
        </a:p>
      </xdr:txBody>
    </xdr:sp>
    <xdr:clientData/>
  </xdr:twoCellAnchor>
  <xdr:twoCellAnchor>
    <xdr:from>
      <xdr:col>8</xdr:col>
      <xdr:colOff>476250</xdr:colOff>
      <xdr:row>1</xdr:row>
      <xdr:rowOff>190500</xdr:rowOff>
    </xdr:from>
    <xdr:to>
      <xdr:col>11</xdr:col>
      <xdr:colOff>47625</xdr:colOff>
      <xdr:row>2</xdr:row>
      <xdr:rowOff>285750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0000-000017000000}"/>
            </a:ext>
          </a:extLst>
        </xdr:cNvPr>
        <xdr:cNvSpPr/>
      </xdr:nvSpPr>
      <xdr:spPr bwMode="auto">
        <a:xfrm>
          <a:off x="7991475" y="314325"/>
          <a:ext cx="1400175" cy="457200"/>
        </a:xfrm>
        <a:prstGeom prst="roundRect">
          <a:avLst/>
        </a:prstGeom>
        <a:solidFill>
          <a:schemeClr val="accent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200">
              <a:solidFill>
                <a:schemeClr val="bg1"/>
              </a:solidFill>
              <a:latin typeface="Arial Black" pitchFamily="34" charset="0"/>
            </a:rPr>
            <a:t>Income</a:t>
          </a:r>
          <a:r>
            <a:rPr lang="en-US" sz="1200" baseline="0">
              <a:solidFill>
                <a:schemeClr val="bg1"/>
              </a:solidFill>
              <a:latin typeface="Arial Black" pitchFamily="34" charset="0"/>
            </a:rPr>
            <a:t> Tax</a:t>
          </a:r>
          <a:endParaRPr lang="en-US" sz="1200">
            <a:solidFill>
              <a:schemeClr val="bg1"/>
            </a:solidFill>
            <a:latin typeface="Arial Black" pitchFamily="34" charset="0"/>
          </a:endParaRPr>
        </a:p>
      </xdr:txBody>
    </xdr:sp>
    <xdr:clientData/>
  </xdr:twoCellAnchor>
  <xdr:twoCellAnchor>
    <xdr:from>
      <xdr:col>11</xdr:col>
      <xdr:colOff>95250</xdr:colOff>
      <xdr:row>1</xdr:row>
      <xdr:rowOff>200025</xdr:rowOff>
    </xdr:from>
    <xdr:to>
      <xdr:col>13</xdr:col>
      <xdr:colOff>276225</xdr:colOff>
      <xdr:row>2</xdr:row>
      <xdr:rowOff>295275</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0000-000018000000}"/>
            </a:ext>
          </a:extLst>
        </xdr:cNvPr>
        <xdr:cNvSpPr/>
      </xdr:nvSpPr>
      <xdr:spPr bwMode="auto">
        <a:xfrm>
          <a:off x="9439275" y="323850"/>
          <a:ext cx="1400175" cy="457200"/>
        </a:xfrm>
        <a:prstGeom prst="roundRect">
          <a:avLst/>
        </a:prstGeom>
        <a:solidFill>
          <a:schemeClr val="accent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200">
              <a:solidFill>
                <a:schemeClr val="bg1"/>
              </a:solidFill>
              <a:latin typeface="Arial Black" pitchFamily="34" charset="0"/>
            </a:rPr>
            <a:t>Form-16</a:t>
          </a:r>
        </a:p>
      </xdr:txBody>
    </xdr:sp>
    <xdr:clientData/>
  </xdr:twoCellAnchor>
  <xdr:twoCellAnchor>
    <xdr:from>
      <xdr:col>13</xdr:col>
      <xdr:colOff>1847850</xdr:colOff>
      <xdr:row>1</xdr:row>
      <xdr:rowOff>190500</xdr:rowOff>
    </xdr:from>
    <xdr:to>
      <xdr:col>14</xdr:col>
      <xdr:colOff>638175</xdr:colOff>
      <xdr:row>2</xdr:row>
      <xdr:rowOff>304800</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0000-000019000000}"/>
            </a:ext>
          </a:extLst>
        </xdr:cNvPr>
        <xdr:cNvSpPr/>
      </xdr:nvSpPr>
      <xdr:spPr bwMode="auto">
        <a:xfrm>
          <a:off x="12353925" y="314325"/>
          <a:ext cx="1247775" cy="476250"/>
        </a:xfrm>
        <a:prstGeom prst="roundRect">
          <a:avLst/>
        </a:prstGeom>
        <a:solidFill>
          <a:schemeClr val="accent4"/>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Form-12BB</a:t>
          </a:r>
        </a:p>
      </xdr:txBody>
    </xdr:sp>
    <xdr:clientData/>
  </xdr:twoCellAnchor>
  <xdr:twoCellAnchor>
    <xdr:from>
      <xdr:col>13</xdr:col>
      <xdr:colOff>361950</xdr:colOff>
      <xdr:row>1</xdr:row>
      <xdr:rowOff>200025</xdr:rowOff>
    </xdr:from>
    <xdr:to>
      <xdr:col>13</xdr:col>
      <xdr:colOff>1762125</xdr:colOff>
      <xdr:row>2</xdr:row>
      <xdr:rowOff>295275</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0000-00001A000000}"/>
            </a:ext>
          </a:extLst>
        </xdr:cNvPr>
        <xdr:cNvSpPr/>
      </xdr:nvSpPr>
      <xdr:spPr bwMode="auto">
        <a:xfrm>
          <a:off x="10925175" y="323850"/>
          <a:ext cx="1400175" cy="457200"/>
        </a:xfrm>
        <a:prstGeom prst="roundRect">
          <a:avLst/>
        </a:prstGeom>
        <a:solidFill>
          <a:schemeClr val="accent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200">
              <a:solidFill>
                <a:schemeClr val="bg1"/>
              </a:solidFill>
              <a:latin typeface="Arial Black" pitchFamily="34" charset="0"/>
            </a:rPr>
            <a:t>Form-16(Back)</a:t>
          </a:r>
        </a:p>
      </xdr:txBody>
    </xdr:sp>
    <xdr:clientData/>
  </xdr:twoCellAnchor>
  <xdr:twoCellAnchor>
    <xdr:from>
      <xdr:col>16</xdr:col>
      <xdr:colOff>19050</xdr:colOff>
      <xdr:row>1</xdr:row>
      <xdr:rowOff>123825</xdr:rowOff>
    </xdr:from>
    <xdr:to>
      <xdr:col>18</xdr:col>
      <xdr:colOff>152400</xdr:colOff>
      <xdr:row>2</xdr:row>
      <xdr:rowOff>238125</xdr:rowOff>
    </xdr:to>
    <xdr:sp macro="" textlink="">
      <xdr:nvSpPr>
        <xdr:cNvPr id="32" name="Rounded Rectangle 31">
          <a:hlinkClick xmlns:r="http://schemas.openxmlformats.org/officeDocument/2006/relationships" r:id="rId7"/>
          <a:extLst>
            <a:ext uri="{FF2B5EF4-FFF2-40B4-BE49-F238E27FC236}">
              <a16:creationId xmlns:a16="http://schemas.microsoft.com/office/drawing/2014/main" id="{00000000-0008-0000-0000-000020000000}"/>
            </a:ext>
          </a:extLst>
        </xdr:cNvPr>
        <xdr:cNvSpPr/>
      </xdr:nvSpPr>
      <xdr:spPr bwMode="auto">
        <a:xfrm>
          <a:off x="9048750" y="247650"/>
          <a:ext cx="1247775" cy="476250"/>
        </a:xfrm>
        <a:prstGeom prst="roundRect">
          <a:avLst/>
        </a:prstGeom>
        <a:solidFill>
          <a:srgbClr val="6600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 Sheet-II</a:t>
          </a:r>
        </a:p>
      </xdr:txBody>
    </xdr:sp>
    <xdr:clientData/>
  </xdr:twoCellAnchor>
  <xdr:twoCellAnchor>
    <xdr:from>
      <xdr:col>18</xdr:col>
      <xdr:colOff>200025</xdr:colOff>
      <xdr:row>1</xdr:row>
      <xdr:rowOff>114300</xdr:rowOff>
    </xdr:from>
    <xdr:to>
      <xdr:col>20</xdr:col>
      <xdr:colOff>228600</xdr:colOff>
      <xdr:row>2</xdr:row>
      <xdr:rowOff>228600</xdr:rowOff>
    </xdr:to>
    <xdr:sp macro="" textlink="">
      <xdr:nvSpPr>
        <xdr:cNvPr id="34" name="Rounded Rectangle 33">
          <a:hlinkClick xmlns:r="http://schemas.openxmlformats.org/officeDocument/2006/relationships" r:id="rId8"/>
          <a:extLst>
            <a:ext uri="{FF2B5EF4-FFF2-40B4-BE49-F238E27FC236}">
              <a16:creationId xmlns:a16="http://schemas.microsoft.com/office/drawing/2014/main" id="{00000000-0008-0000-0000-000022000000}"/>
            </a:ext>
          </a:extLst>
        </xdr:cNvPr>
        <xdr:cNvSpPr/>
      </xdr:nvSpPr>
      <xdr:spPr bwMode="auto">
        <a:xfrm>
          <a:off x="10344150" y="238125"/>
          <a:ext cx="1247775" cy="476250"/>
        </a:xfrm>
        <a:prstGeom prst="roundRect">
          <a:avLst/>
        </a:prstGeom>
        <a:solidFill>
          <a:srgbClr val="FFFF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tx1"/>
              </a:solidFill>
              <a:latin typeface="Arial Black" pitchFamily="34" charset="0"/>
            </a:rPr>
            <a:t>Data Sheet-III</a:t>
          </a:r>
        </a:p>
      </xdr:txBody>
    </xdr:sp>
    <xdr:clientData/>
  </xdr:twoCellAnchor>
  <xdr:twoCellAnchor editAs="oneCell">
    <xdr:from>
      <xdr:col>16</xdr:col>
      <xdr:colOff>238124</xdr:colOff>
      <xdr:row>21</xdr:row>
      <xdr:rowOff>57150</xdr:rowOff>
    </xdr:from>
    <xdr:to>
      <xdr:col>21</xdr:col>
      <xdr:colOff>57150</xdr:colOff>
      <xdr:row>29</xdr:row>
      <xdr:rowOff>341540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9"/>
        <a:stretch>
          <a:fillRect/>
        </a:stretch>
      </xdr:blipFill>
      <xdr:spPr>
        <a:xfrm>
          <a:off x="9267824" y="7610475"/>
          <a:ext cx="2762251" cy="2722790"/>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xdr:from>
      <xdr:col>15</xdr:col>
      <xdr:colOff>95249</xdr:colOff>
      <xdr:row>29</xdr:row>
      <xdr:rowOff>380998</xdr:rowOff>
    </xdr:from>
    <xdr:to>
      <xdr:col>21</xdr:col>
      <xdr:colOff>666749</xdr:colOff>
      <xdr:row>37</xdr:row>
      <xdr:rowOff>9524</xdr:rowOff>
    </xdr:to>
    <xdr:sp macro="" textlink="">
      <xdr:nvSpPr>
        <xdr:cNvPr id="3" name="Rectangle 2">
          <a:extLst>
            <a:ext uri="{FF2B5EF4-FFF2-40B4-BE49-F238E27FC236}">
              <a16:creationId xmlns:a16="http://schemas.microsoft.com/office/drawing/2014/main" id="{00000000-0008-0000-0000-000003000000}"/>
            </a:ext>
          </a:extLst>
        </xdr:cNvPr>
        <xdr:cNvSpPr/>
      </xdr:nvSpPr>
      <xdr:spPr bwMode="auto">
        <a:xfrm>
          <a:off x="9029699" y="10372723"/>
          <a:ext cx="3609975" cy="1828801"/>
        </a:xfrm>
        <a:prstGeom prst="rect">
          <a:avLst/>
        </a:prstGeom>
        <a:solidFill>
          <a:schemeClr val="tx2"/>
        </a:solidFill>
        <a:ln>
          <a:solidFill>
            <a:schemeClr val="accent2"/>
          </a:solidFill>
          <a:headEnd type="none" w="med" len="med"/>
          <a:tailEnd type="none" w="med" len="med"/>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wrap="square" lIns="18288" tIns="0" rIns="0" bIns="0" rtlCol="0" anchor="t" upright="1"/>
        <a:lstStyle/>
        <a:p>
          <a:pPr algn="ctr"/>
          <a:endParaRPr lang="en-US" sz="1400">
            <a:solidFill>
              <a:schemeClr val="bg1"/>
            </a:solidFill>
            <a:latin typeface="Book Antiqua" pitchFamily="18" charset="0"/>
            <a:cs typeface="Arial" pitchFamily="34" charset="0"/>
          </a:endParaRPr>
        </a:p>
        <a:p>
          <a:pPr algn="ctr"/>
          <a:r>
            <a:rPr lang="en-US" sz="1400" b="1" i="1">
              <a:solidFill>
                <a:schemeClr val="bg1"/>
              </a:solidFill>
              <a:latin typeface="Book Antiqua" pitchFamily="18" charset="0"/>
              <a:cs typeface="Arial" pitchFamily="34" charset="0"/>
            </a:rPr>
            <a:t>Dr.N.Gopi</a:t>
          </a:r>
        </a:p>
        <a:p>
          <a:pPr algn="ctr"/>
          <a:r>
            <a:rPr lang="en-US" sz="1400" b="1" i="1">
              <a:solidFill>
                <a:schemeClr val="bg1"/>
              </a:solidFill>
              <a:latin typeface="Book Antiqua" pitchFamily="18" charset="0"/>
              <a:cs typeface="Arial" pitchFamily="34" charset="0"/>
            </a:rPr>
            <a:t>Assistant Professor of</a:t>
          </a:r>
          <a:r>
            <a:rPr lang="en-US" sz="1400" b="1" i="1" baseline="0">
              <a:solidFill>
                <a:schemeClr val="bg1"/>
              </a:solidFill>
              <a:latin typeface="Book Antiqua" pitchFamily="18" charset="0"/>
              <a:cs typeface="Arial" pitchFamily="34" charset="0"/>
            </a:rPr>
            <a:t> Economics</a:t>
          </a:r>
        </a:p>
        <a:p>
          <a:pPr algn="ctr"/>
          <a:r>
            <a:rPr lang="en-US" sz="1400" b="1" i="1" baseline="0">
              <a:solidFill>
                <a:schemeClr val="bg1"/>
              </a:solidFill>
              <a:latin typeface="Book Antiqua" pitchFamily="18" charset="0"/>
              <a:cs typeface="Arial" pitchFamily="34" charset="0"/>
            </a:rPr>
            <a:t> Govt.Degree College(A),Sattupally</a:t>
          </a:r>
        </a:p>
        <a:p>
          <a:pPr algn="ctr"/>
          <a:r>
            <a:rPr lang="en-US" sz="1400" b="1" i="1" baseline="0">
              <a:solidFill>
                <a:schemeClr val="bg1"/>
              </a:solidFill>
              <a:latin typeface="Book Antiqua" pitchFamily="18" charset="0"/>
              <a:cs typeface="Arial" pitchFamily="34" charset="0"/>
            </a:rPr>
            <a:t>TGCGTA State President</a:t>
          </a:r>
        </a:p>
        <a:p>
          <a:pPr algn="ctr"/>
          <a:r>
            <a:rPr lang="en-US" sz="1400" b="1" i="1" baseline="0">
              <a:solidFill>
                <a:schemeClr val="bg1"/>
              </a:solidFill>
              <a:latin typeface="Book Antiqua" pitchFamily="18" charset="0"/>
              <a:cs typeface="Arial" pitchFamily="34" charset="0"/>
            </a:rPr>
            <a:t>Cell No.9182226319</a:t>
          </a:r>
        </a:p>
        <a:p>
          <a:pPr algn="ctr"/>
          <a:r>
            <a:rPr lang="en-US" sz="1400" b="1" i="1" baseline="0">
              <a:solidFill>
                <a:schemeClr val="bg1"/>
              </a:solidFill>
              <a:latin typeface="Book Antiqua" pitchFamily="18" charset="0"/>
              <a:cs typeface="Arial" pitchFamily="34" charset="0"/>
            </a:rPr>
            <a:t>Mail Id: naruna081@gmail.com</a:t>
          </a:r>
          <a:endParaRPr lang="en-US" sz="1400" b="1" i="1">
            <a:solidFill>
              <a:schemeClr val="bg1"/>
            </a:solidFill>
            <a:latin typeface="Book Antiqua" pitchFamily="18" charset="0"/>
            <a:cs typeface="Arial" pitchFamily="34" charset="0"/>
          </a:endParaRPr>
        </a:p>
      </xdr:txBody>
    </xdr:sp>
    <xdr:clientData/>
  </xdr:twoCellAnchor>
  <xdr:twoCellAnchor editAs="oneCell">
    <xdr:from>
      <xdr:col>16</xdr:col>
      <xdr:colOff>714374</xdr:colOff>
      <xdr:row>7</xdr:row>
      <xdr:rowOff>104775</xdr:rowOff>
    </xdr:from>
    <xdr:to>
      <xdr:col>21</xdr:col>
      <xdr:colOff>304800</xdr:colOff>
      <xdr:row>14</xdr:row>
      <xdr:rowOff>438150</xdr:rowOff>
    </xdr:to>
    <xdr:pic>
      <xdr:nvPicPr>
        <xdr:cNvPr id="28" name="Picture 27" descr="C:\Users\USER\Desktop\New IT Software -2025\K.Surender Reddy.jpeg">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744074" y="2276475"/>
          <a:ext cx="2533651" cy="3152775"/>
        </a:xfrm>
        <a:prstGeom prst="ellipse">
          <a:avLst/>
        </a:prstGeom>
        <a:ln w="190500" cap="rnd">
          <a:solidFill>
            <a:srgbClr val="C8C6BD"/>
          </a:solidFill>
          <a:prstDash val="solid"/>
        </a:ln>
        <a:effectLst>
          <a:outerShdw blurRad="127000" algn="bl" rotWithShape="0">
            <a:srgbClr val="000000"/>
          </a:outerShdw>
        </a:effectLst>
        <a:scene3d>
          <a:camera prst="perspectiveFront" fov="5400000"/>
          <a:lightRig rig="threePt" dir="t">
            <a:rot lat="0" lon="0" rev="19200000"/>
          </a:lightRig>
        </a:scene3d>
        <a:sp3d extrusionH="25400">
          <a:bevelT w="304800" h="152400" prst="relaxedInset"/>
          <a:extrusionClr>
            <a:srgbClr val="000000"/>
          </a:extrusionClr>
        </a:sp3d>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22</xdr:col>
      <xdr:colOff>1</xdr:colOff>
      <xdr:row>2</xdr:row>
      <xdr:rowOff>47625</xdr:rowOff>
    </xdr:from>
    <xdr:to>
      <xdr:col>24</xdr:col>
      <xdr:colOff>38101</xdr:colOff>
      <xdr:row>4</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bwMode="auto">
        <a:xfrm>
          <a:off x="10477501" y="495300"/>
          <a:ext cx="1257300" cy="457200"/>
        </a:xfrm>
        <a:prstGeom prst="roundRect">
          <a:avLst/>
        </a:prstGeom>
        <a:solidFill>
          <a:schemeClr val="tx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Welcome</a:t>
          </a:r>
        </a:p>
      </xdr:txBody>
    </xdr:sp>
    <xdr:clientData/>
  </xdr:twoCellAnchor>
  <xdr:twoCellAnchor>
    <xdr:from>
      <xdr:col>24</xdr:col>
      <xdr:colOff>152400</xdr:colOff>
      <xdr:row>2</xdr:row>
      <xdr:rowOff>57150</xdr:rowOff>
    </xdr:from>
    <xdr:to>
      <xdr:col>25</xdr:col>
      <xdr:colOff>161925</xdr:colOff>
      <xdr:row>4</xdr:row>
      <xdr:rowOff>57150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1600-000003000000}"/>
            </a:ext>
          </a:extLst>
        </xdr:cNvPr>
        <xdr:cNvSpPr/>
      </xdr:nvSpPr>
      <xdr:spPr bwMode="auto">
        <a:xfrm>
          <a:off x="11849100" y="504825"/>
          <a:ext cx="1323975" cy="466725"/>
        </a:xfrm>
        <a:prstGeom prst="roundRect">
          <a:avLst/>
        </a:prstGeom>
        <a:solidFill>
          <a:schemeClr val="accent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latin typeface="Arial Black" pitchFamily="34" charset="0"/>
            </a:rPr>
            <a:t>Data Sheet</a:t>
          </a:r>
        </a:p>
      </xdr:txBody>
    </xdr:sp>
    <xdr:clientData/>
  </xdr:twoCellAnchor>
  <xdr:twoCellAnchor>
    <xdr:from>
      <xdr:col>22</xdr:col>
      <xdr:colOff>0</xdr:colOff>
      <xdr:row>4</xdr:row>
      <xdr:rowOff>95250</xdr:rowOff>
    </xdr:from>
    <xdr:to>
      <xdr:col>24</xdr:col>
      <xdr:colOff>104775</xdr:colOff>
      <xdr:row>6</xdr:row>
      <xdr:rowOff>171450</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1600-000004000000}"/>
            </a:ext>
          </a:extLst>
        </xdr:cNvPr>
        <xdr:cNvSpPr/>
      </xdr:nvSpPr>
      <xdr:spPr bwMode="auto">
        <a:xfrm>
          <a:off x="10477500" y="1009650"/>
          <a:ext cx="1323975" cy="619125"/>
        </a:xfrm>
        <a:prstGeom prst="roundRect">
          <a:avLst/>
        </a:prstGeom>
        <a:solidFill>
          <a:srgbClr val="FFFF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ysClr val="windowText" lastClr="000000"/>
              </a:solidFill>
              <a:latin typeface="Arial Black" pitchFamily="34" charset="0"/>
            </a:rPr>
            <a:t>Anexure-I</a:t>
          </a:r>
        </a:p>
      </xdr:txBody>
    </xdr:sp>
    <xdr:clientData/>
  </xdr:twoCellAnchor>
  <xdr:twoCellAnchor>
    <xdr:from>
      <xdr:col>24</xdr:col>
      <xdr:colOff>190500</xdr:colOff>
      <xdr:row>4</xdr:row>
      <xdr:rowOff>142875</xdr:rowOff>
    </xdr:from>
    <xdr:to>
      <xdr:col>25</xdr:col>
      <xdr:colOff>200025</xdr:colOff>
      <xdr:row>6</xdr:row>
      <xdr:rowOff>200025</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1600-000005000000}"/>
            </a:ext>
          </a:extLst>
        </xdr:cNvPr>
        <xdr:cNvSpPr/>
      </xdr:nvSpPr>
      <xdr:spPr bwMode="auto">
        <a:xfrm>
          <a:off x="11887200" y="1057275"/>
          <a:ext cx="1323975" cy="600075"/>
        </a:xfrm>
        <a:prstGeom prst="roundRect">
          <a:avLst/>
        </a:prstGeom>
        <a:solidFill>
          <a:srgbClr val="C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Income Tax</a:t>
          </a:r>
        </a:p>
      </xdr:txBody>
    </xdr:sp>
    <xdr:clientData/>
  </xdr:twoCellAnchor>
  <xdr:twoCellAnchor>
    <xdr:from>
      <xdr:col>22</xdr:col>
      <xdr:colOff>28575</xdr:colOff>
      <xdr:row>6</xdr:row>
      <xdr:rowOff>200025</xdr:rowOff>
    </xdr:from>
    <xdr:to>
      <xdr:col>24</xdr:col>
      <xdr:colOff>133350</xdr:colOff>
      <xdr:row>9</xdr:row>
      <xdr:rowOff>9525</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1600-000006000000}"/>
            </a:ext>
          </a:extLst>
        </xdr:cNvPr>
        <xdr:cNvSpPr/>
      </xdr:nvSpPr>
      <xdr:spPr bwMode="auto">
        <a:xfrm>
          <a:off x="10506075" y="1657350"/>
          <a:ext cx="1323975" cy="552450"/>
        </a:xfrm>
        <a:prstGeom prst="roundRect">
          <a:avLst/>
        </a:prstGeom>
        <a:solidFill>
          <a:schemeClr val="accent4"/>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Form-16</a:t>
          </a:r>
        </a:p>
      </xdr:txBody>
    </xdr:sp>
    <xdr:clientData/>
  </xdr:twoCellAnchor>
  <xdr:twoCellAnchor>
    <xdr:from>
      <xdr:col>24</xdr:col>
      <xdr:colOff>219075</xdr:colOff>
      <xdr:row>6</xdr:row>
      <xdr:rowOff>200025</xdr:rowOff>
    </xdr:from>
    <xdr:to>
      <xdr:col>25</xdr:col>
      <xdr:colOff>228600</xdr:colOff>
      <xdr:row>9</xdr:row>
      <xdr:rowOff>9525</xdr:rowOff>
    </xdr:to>
    <xdr:sp macro="" textlink="">
      <xdr:nvSpPr>
        <xdr:cNvPr id="7" name="Rounded Rectangle 6">
          <a:hlinkClick xmlns:r="http://schemas.openxmlformats.org/officeDocument/2006/relationships" r:id="rId6"/>
          <a:extLst>
            <a:ext uri="{FF2B5EF4-FFF2-40B4-BE49-F238E27FC236}">
              <a16:creationId xmlns:a16="http://schemas.microsoft.com/office/drawing/2014/main" id="{00000000-0008-0000-1600-000007000000}"/>
            </a:ext>
          </a:extLst>
        </xdr:cNvPr>
        <xdr:cNvSpPr/>
      </xdr:nvSpPr>
      <xdr:spPr bwMode="auto">
        <a:xfrm>
          <a:off x="11915775" y="1657350"/>
          <a:ext cx="1323975" cy="552450"/>
        </a:xfrm>
        <a:prstGeom prst="roundRect">
          <a:avLst/>
        </a:prstGeom>
        <a:solidFill>
          <a:schemeClr val="tx2"/>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Form-16(Back)</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15</xdr:col>
      <xdr:colOff>51027</xdr:colOff>
      <xdr:row>11</xdr:row>
      <xdr:rowOff>38437</xdr:rowOff>
    </xdr:from>
    <xdr:to>
      <xdr:col>16</xdr:col>
      <xdr:colOff>527276</xdr:colOff>
      <xdr:row>13</xdr:row>
      <xdr:rowOff>153081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A00-000003000000}"/>
            </a:ext>
          </a:extLst>
        </xdr:cNvPr>
        <xdr:cNvSpPr/>
      </xdr:nvSpPr>
      <xdr:spPr bwMode="auto">
        <a:xfrm>
          <a:off x="7909152" y="2385669"/>
          <a:ext cx="1207633" cy="573885"/>
        </a:xfrm>
        <a:prstGeom prst="roundRect">
          <a:avLst/>
        </a:prstGeom>
        <a:solidFill>
          <a:schemeClr val="tx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Welcome</a:t>
          </a:r>
        </a:p>
      </xdr:txBody>
    </xdr:sp>
    <xdr:clientData/>
  </xdr:twoCellAnchor>
  <xdr:twoCellAnchor>
    <xdr:from>
      <xdr:col>16</xdr:col>
      <xdr:colOff>676616</xdr:colOff>
      <xdr:row>11</xdr:row>
      <xdr:rowOff>39462</xdr:rowOff>
    </xdr:from>
    <xdr:to>
      <xdr:col>18</xdr:col>
      <xdr:colOff>425224</xdr:colOff>
      <xdr:row>13</xdr:row>
      <xdr:rowOff>102054</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1A00-000004000000}"/>
            </a:ext>
          </a:extLst>
        </xdr:cNvPr>
        <xdr:cNvSpPr/>
      </xdr:nvSpPr>
      <xdr:spPr bwMode="auto">
        <a:xfrm>
          <a:off x="9997509" y="2386694"/>
          <a:ext cx="1279411" cy="521833"/>
        </a:xfrm>
        <a:prstGeom prst="roundRect">
          <a:avLst/>
        </a:prstGeom>
        <a:solidFill>
          <a:srgbClr val="FFFF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tx1"/>
              </a:solidFill>
              <a:latin typeface="Arial Black" pitchFamily="34" charset="0"/>
              <a:cs typeface="Arial" pitchFamily="34" charset="0"/>
            </a:rPr>
            <a:t>Data</a:t>
          </a:r>
          <a:r>
            <a:rPr lang="en-US" sz="1100" baseline="0">
              <a:solidFill>
                <a:schemeClr val="tx1"/>
              </a:solidFill>
              <a:latin typeface="Arial Black" pitchFamily="34" charset="0"/>
              <a:cs typeface="Arial" pitchFamily="34" charset="0"/>
            </a:rPr>
            <a:t> Sheet</a:t>
          </a:r>
          <a:endParaRPr lang="en-US" sz="1100">
            <a:solidFill>
              <a:schemeClr val="tx1"/>
            </a:solidFill>
            <a:latin typeface="Arial Black" pitchFamily="34" charset="0"/>
            <a:cs typeface="Arial" pitchFamily="34" charset="0"/>
          </a:endParaRPr>
        </a:p>
      </xdr:txBody>
    </xdr:sp>
    <xdr:clientData/>
  </xdr:twoCellAnchor>
  <xdr:twoCellAnchor>
    <xdr:from>
      <xdr:col>15</xdr:col>
      <xdr:colOff>42522</xdr:colOff>
      <xdr:row>14</xdr:row>
      <xdr:rowOff>76543</xdr:rowOff>
    </xdr:from>
    <xdr:to>
      <xdr:col>16</xdr:col>
      <xdr:colOff>601437</xdr:colOff>
      <xdr:row>18</xdr:row>
      <xdr:rowOff>2</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1A00-000005000000}"/>
            </a:ext>
          </a:extLst>
        </xdr:cNvPr>
        <xdr:cNvSpPr/>
      </xdr:nvSpPr>
      <xdr:spPr bwMode="auto">
        <a:xfrm>
          <a:off x="8632031" y="3044601"/>
          <a:ext cx="1290299" cy="569798"/>
        </a:xfrm>
        <a:prstGeom prst="roundRect">
          <a:avLst/>
        </a:prstGeom>
        <a:solidFill>
          <a:schemeClr val="accent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latin typeface="Arial Black" pitchFamily="34" charset="0"/>
            </a:rPr>
            <a:t>Anexure-I</a:t>
          </a:r>
        </a:p>
      </xdr:txBody>
    </xdr:sp>
    <xdr:clientData/>
  </xdr:twoCellAnchor>
  <xdr:twoCellAnchor>
    <xdr:from>
      <xdr:col>16</xdr:col>
      <xdr:colOff>678998</xdr:colOff>
      <xdr:row>14</xdr:row>
      <xdr:rowOff>8506</xdr:rowOff>
    </xdr:from>
    <xdr:to>
      <xdr:col>18</xdr:col>
      <xdr:colOff>487139</xdr:colOff>
      <xdr:row>17</xdr:row>
      <xdr:rowOff>139814</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1A00-000006000000}"/>
            </a:ext>
          </a:extLst>
        </xdr:cNvPr>
        <xdr:cNvSpPr/>
      </xdr:nvSpPr>
      <xdr:spPr bwMode="auto">
        <a:xfrm>
          <a:off x="9999891" y="2976564"/>
          <a:ext cx="1338944" cy="616063"/>
        </a:xfrm>
        <a:prstGeom prst="roundRect">
          <a:avLst/>
        </a:prstGeom>
        <a:solidFill>
          <a:schemeClr val="accent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latin typeface="Arial Black" pitchFamily="34" charset="0"/>
            </a:rPr>
            <a:t>Form-16</a:t>
          </a:r>
        </a:p>
      </xdr:txBody>
    </xdr:sp>
    <xdr:clientData/>
  </xdr:twoCellAnchor>
  <xdr:twoCellAnchor>
    <xdr:from>
      <xdr:col>15</xdr:col>
      <xdr:colOff>79941</xdr:colOff>
      <xdr:row>18</xdr:row>
      <xdr:rowOff>78583</xdr:rowOff>
    </xdr:from>
    <xdr:to>
      <xdr:col>16</xdr:col>
      <xdr:colOff>629330</xdr:colOff>
      <xdr:row>21</xdr:row>
      <xdr:rowOff>161585</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1A00-000007000000}"/>
            </a:ext>
          </a:extLst>
        </xdr:cNvPr>
        <xdr:cNvSpPr/>
      </xdr:nvSpPr>
      <xdr:spPr bwMode="auto">
        <a:xfrm>
          <a:off x="8669450" y="3692980"/>
          <a:ext cx="1280773" cy="567757"/>
        </a:xfrm>
        <a:prstGeom prst="roundRect">
          <a:avLst/>
        </a:prstGeom>
        <a:solidFill>
          <a:srgbClr val="FF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latin typeface="Arial Black" pitchFamily="34" charset="0"/>
            </a:rPr>
            <a:t>Form-16(Back</a:t>
          </a:r>
          <a:r>
            <a:rPr lang="en-US" sz="1100"/>
            <a:t>)</a:t>
          </a:r>
        </a:p>
      </xdr:txBody>
    </xdr:sp>
    <xdr:clientData/>
  </xdr:twoCellAnchor>
  <xdr:twoCellAnchor>
    <xdr:from>
      <xdr:col>16</xdr:col>
      <xdr:colOff>722539</xdr:colOff>
      <xdr:row>18</xdr:row>
      <xdr:rowOff>48987</xdr:rowOff>
    </xdr:from>
    <xdr:to>
      <xdr:col>18</xdr:col>
      <xdr:colOff>530680</xdr:colOff>
      <xdr:row>21</xdr:row>
      <xdr:rowOff>161585</xdr:rowOff>
    </xdr:to>
    <xdr:sp macro="" textlink="">
      <xdr:nvSpPr>
        <xdr:cNvPr id="8" name="Rounded Rectangle 7">
          <a:hlinkClick xmlns:r="http://schemas.openxmlformats.org/officeDocument/2006/relationships" r:id="rId6"/>
          <a:extLst>
            <a:ext uri="{FF2B5EF4-FFF2-40B4-BE49-F238E27FC236}">
              <a16:creationId xmlns:a16="http://schemas.microsoft.com/office/drawing/2014/main" id="{00000000-0008-0000-1A00-000008000000}"/>
            </a:ext>
          </a:extLst>
        </xdr:cNvPr>
        <xdr:cNvSpPr/>
      </xdr:nvSpPr>
      <xdr:spPr bwMode="auto">
        <a:xfrm>
          <a:off x="10043432" y="3663384"/>
          <a:ext cx="1338944" cy="597353"/>
        </a:xfrm>
        <a:prstGeom prst="roundRect">
          <a:avLst/>
        </a:prstGeom>
        <a:solidFill>
          <a:schemeClr val="accent3"/>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latin typeface="Arial Black" pitchFamily="34" charset="0"/>
            </a:rPr>
            <a:t>Form-12BB</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17</xdr:col>
      <xdr:colOff>333375</xdr:colOff>
      <xdr:row>4</xdr:row>
      <xdr:rowOff>180975</xdr:rowOff>
    </xdr:from>
    <xdr:to>
      <xdr:col>19</xdr:col>
      <xdr:colOff>495299</xdr:colOff>
      <xdr:row>7</xdr:row>
      <xdr:rowOff>114300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bwMode="auto">
        <a:xfrm>
          <a:off x="9772650" y="895350"/>
          <a:ext cx="1381124" cy="523875"/>
        </a:xfrm>
        <a:prstGeom prst="roundRect">
          <a:avLst/>
        </a:prstGeom>
        <a:solidFill>
          <a:schemeClr val="tx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Welcome</a:t>
          </a:r>
        </a:p>
      </xdr:txBody>
    </xdr:sp>
    <xdr:clientData/>
  </xdr:twoCellAnchor>
  <xdr:twoCellAnchor>
    <xdr:from>
      <xdr:col>19</xdr:col>
      <xdr:colOff>552450</xdr:colOff>
      <xdr:row>4</xdr:row>
      <xdr:rowOff>161925</xdr:rowOff>
    </xdr:from>
    <xdr:to>
      <xdr:col>22</xdr:col>
      <xdr:colOff>104774</xdr:colOff>
      <xdr:row>7</xdr:row>
      <xdr:rowOff>95250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1B00-000003000000}"/>
            </a:ext>
          </a:extLst>
        </xdr:cNvPr>
        <xdr:cNvSpPr/>
      </xdr:nvSpPr>
      <xdr:spPr bwMode="auto">
        <a:xfrm>
          <a:off x="11210925" y="876300"/>
          <a:ext cx="1381124" cy="523875"/>
        </a:xfrm>
        <a:prstGeom prst="roundRect">
          <a:avLst/>
        </a:prstGeom>
        <a:solidFill>
          <a:schemeClr val="tx2"/>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a:t>
          </a:r>
          <a:r>
            <a:rPr lang="en-US" sz="1100" baseline="0">
              <a:solidFill>
                <a:schemeClr val="bg1"/>
              </a:solidFill>
              <a:latin typeface="Arial Black" pitchFamily="34" charset="0"/>
            </a:rPr>
            <a:t> Sheet</a:t>
          </a:r>
          <a:endParaRPr lang="en-US" sz="1100">
            <a:solidFill>
              <a:schemeClr val="bg1"/>
            </a:solidFill>
            <a:latin typeface="Arial Black" pitchFamily="34" charset="0"/>
          </a:endParaRPr>
        </a:p>
      </xdr:txBody>
    </xdr:sp>
    <xdr:clientData/>
  </xdr:twoCellAnchor>
  <xdr:twoCellAnchor>
    <xdr:from>
      <xdr:col>17</xdr:col>
      <xdr:colOff>342900</xdr:colOff>
      <xdr:row>8</xdr:row>
      <xdr:rowOff>19050</xdr:rowOff>
    </xdr:from>
    <xdr:to>
      <xdr:col>19</xdr:col>
      <xdr:colOff>504824</xdr:colOff>
      <xdr:row>10</xdr:row>
      <xdr:rowOff>123825</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1B00-000004000000}"/>
            </a:ext>
          </a:extLst>
        </xdr:cNvPr>
        <xdr:cNvSpPr/>
      </xdr:nvSpPr>
      <xdr:spPr bwMode="auto">
        <a:xfrm>
          <a:off x="9782175" y="1533525"/>
          <a:ext cx="1381124" cy="523875"/>
        </a:xfrm>
        <a:prstGeom prst="roundRect">
          <a:avLst/>
        </a:prstGeom>
        <a:solidFill>
          <a:srgbClr val="0070C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Anexure-I</a:t>
          </a:r>
        </a:p>
      </xdr:txBody>
    </xdr:sp>
    <xdr:clientData/>
  </xdr:twoCellAnchor>
  <xdr:twoCellAnchor>
    <xdr:from>
      <xdr:col>19</xdr:col>
      <xdr:colOff>561975</xdr:colOff>
      <xdr:row>8</xdr:row>
      <xdr:rowOff>38100</xdr:rowOff>
    </xdr:from>
    <xdr:to>
      <xdr:col>22</xdr:col>
      <xdr:colOff>114299</xdr:colOff>
      <xdr:row>10</xdr:row>
      <xdr:rowOff>142875</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1B00-000005000000}"/>
            </a:ext>
          </a:extLst>
        </xdr:cNvPr>
        <xdr:cNvSpPr/>
      </xdr:nvSpPr>
      <xdr:spPr bwMode="auto">
        <a:xfrm>
          <a:off x="11220450" y="1552575"/>
          <a:ext cx="1381124" cy="523875"/>
        </a:xfrm>
        <a:prstGeom prst="roundRect">
          <a:avLst/>
        </a:prstGeom>
        <a:solidFill>
          <a:srgbClr val="00206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Income Tax</a:t>
          </a:r>
        </a:p>
      </xdr:txBody>
    </xdr:sp>
    <xdr:clientData/>
  </xdr:twoCellAnchor>
  <xdr:twoCellAnchor>
    <xdr:from>
      <xdr:col>17</xdr:col>
      <xdr:colOff>381000</xdr:colOff>
      <xdr:row>11</xdr:row>
      <xdr:rowOff>76200</xdr:rowOff>
    </xdr:from>
    <xdr:to>
      <xdr:col>19</xdr:col>
      <xdr:colOff>542924</xdr:colOff>
      <xdr:row>14</xdr:row>
      <xdr:rowOff>28575</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1B00-000006000000}"/>
            </a:ext>
          </a:extLst>
        </xdr:cNvPr>
        <xdr:cNvSpPr/>
      </xdr:nvSpPr>
      <xdr:spPr bwMode="auto">
        <a:xfrm>
          <a:off x="9820275" y="2200275"/>
          <a:ext cx="1381124" cy="523875"/>
        </a:xfrm>
        <a:prstGeom prst="roundRect">
          <a:avLst/>
        </a:prstGeom>
        <a:solidFill>
          <a:srgbClr val="FF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Form-16(Back)</a:t>
          </a:r>
        </a:p>
      </xdr:txBody>
    </xdr:sp>
    <xdr:clientData/>
  </xdr:twoCellAnchor>
  <xdr:twoCellAnchor>
    <xdr:from>
      <xdr:col>20</xdr:col>
      <xdr:colOff>0</xdr:colOff>
      <xdr:row>11</xdr:row>
      <xdr:rowOff>76200</xdr:rowOff>
    </xdr:from>
    <xdr:to>
      <xdr:col>22</xdr:col>
      <xdr:colOff>161924</xdr:colOff>
      <xdr:row>14</xdr:row>
      <xdr:rowOff>28575</xdr:rowOff>
    </xdr:to>
    <xdr:sp macro="" textlink="">
      <xdr:nvSpPr>
        <xdr:cNvPr id="7" name="Rounded Rectangle 6">
          <a:hlinkClick xmlns:r="http://schemas.openxmlformats.org/officeDocument/2006/relationships" r:id="rId6"/>
          <a:extLst>
            <a:ext uri="{FF2B5EF4-FFF2-40B4-BE49-F238E27FC236}">
              <a16:creationId xmlns:a16="http://schemas.microsoft.com/office/drawing/2014/main" id="{00000000-0008-0000-1B00-000007000000}"/>
            </a:ext>
          </a:extLst>
        </xdr:cNvPr>
        <xdr:cNvSpPr/>
      </xdr:nvSpPr>
      <xdr:spPr bwMode="auto">
        <a:xfrm>
          <a:off x="11268075" y="2200275"/>
          <a:ext cx="1381124" cy="523875"/>
        </a:xfrm>
        <a:prstGeom prst="roundRect">
          <a:avLst/>
        </a:prstGeom>
        <a:solidFill>
          <a:srgbClr val="FFFF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ysClr val="windowText" lastClr="000000"/>
              </a:solidFill>
              <a:latin typeface="Arial Black" pitchFamily="34" charset="0"/>
            </a:rPr>
            <a:t>Form-12BB</a:t>
          </a:r>
        </a:p>
      </xdr:txBody>
    </xdr:sp>
    <xdr:clientData/>
  </xdr:twoCellAnchor>
  <xdr:twoCellAnchor>
    <xdr:from>
      <xdr:col>17</xdr:col>
      <xdr:colOff>476250</xdr:colOff>
      <xdr:row>14</xdr:row>
      <xdr:rowOff>133350</xdr:rowOff>
    </xdr:from>
    <xdr:to>
      <xdr:col>19</xdr:col>
      <xdr:colOff>504825</xdr:colOff>
      <xdr:row>16</xdr:row>
      <xdr:rowOff>152400</xdr:rowOff>
    </xdr:to>
    <xdr:sp macro="" textlink="">
      <xdr:nvSpPr>
        <xdr:cNvPr id="8" name="Rounded Rectangle 8">
          <a:hlinkClick xmlns:r="http://schemas.openxmlformats.org/officeDocument/2006/relationships" r:id="rId7"/>
          <a:extLst>
            <a:ext uri="{FF2B5EF4-FFF2-40B4-BE49-F238E27FC236}">
              <a16:creationId xmlns:a16="http://schemas.microsoft.com/office/drawing/2014/main" id="{00000000-0008-0000-1B00-000008000000}"/>
            </a:ext>
          </a:extLst>
        </xdr:cNvPr>
        <xdr:cNvSpPr/>
      </xdr:nvSpPr>
      <xdr:spPr bwMode="auto">
        <a:xfrm>
          <a:off x="9915525" y="2828925"/>
          <a:ext cx="1247775" cy="476250"/>
        </a:xfrm>
        <a:prstGeom prst="roundRect">
          <a:avLst/>
        </a:prstGeom>
        <a:solidFill>
          <a:srgbClr val="00206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 Sheet-II</a:t>
          </a:r>
        </a:p>
      </xdr:txBody>
    </xdr:sp>
    <xdr:clientData/>
  </xdr:twoCellAnchor>
  <xdr:twoCellAnchor>
    <xdr:from>
      <xdr:col>20</xdr:col>
      <xdr:colOff>66675</xdr:colOff>
      <xdr:row>14</xdr:row>
      <xdr:rowOff>142875</xdr:rowOff>
    </xdr:from>
    <xdr:to>
      <xdr:col>22</xdr:col>
      <xdr:colOff>95250</xdr:colOff>
      <xdr:row>16</xdr:row>
      <xdr:rowOff>123825</xdr:rowOff>
    </xdr:to>
    <xdr:sp macro="" textlink="">
      <xdr:nvSpPr>
        <xdr:cNvPr id="9" name="Rounded Rectangle 9">
          <a:hlinkClick xmlns:r="http://schemas.openxmlformats.org/officeDocument/2006/relationships" r:id="rId8"/>
          <a:extLst>
            <a:ext uri="{FF2B5EF4-FFF2-40B4-BE49-F238E27FC236}">
              <a16:creationId xmlns:a16="http://schemas.microsoft.com/office/drawing/2014/main" id="{00000000-0008-0000-1B00-000009000000}"/>
            </a:ext>
          </a:extLst>
        </xdr:cNvPr>
        <xdr:cNvSpPr/>
      </xdr:nvSpPr>
      <xdr:spPr bwMode="auto">
        <a:xfrm>
          <a:off x="11334750" y="2838450"/>
          <a:ext cx="1247775" cy="438150"/>
        </a:xfrm>
        <a:prstGeom prst="roundRect">
          <a:avLst/>
        </a:prstGeom>
        <a:solidFill>
          <a:schemeClr val="tx1">
            <a:lumMod val="65000"/>
            <a:lumOff val="35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a:t>
          </a:r>
          <a:r>
            <a:rPr lang="en-US" sz="1100" baseline="0">
              <a:solidFill>
                <a:schemeClr val="bg1"/>
              </a:solidFill>
              <a:latin typeface="Arial Black" pitchFamily="34" charset="0"/>
            </a:rPr>
            <a:t> Sheet-III</a:t>
          </a:r>
          <a:endParaRPr lang="en-US" sz="1100">
            <a:solidFill>
              <a:schemeClr val="bg1"/>
            </a:solidFill>
            <a:latin typeface="Arial Black"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14</xdr:col>
      <xdr:colOff>0</xdr:colOff>
      <xdr:row>6</xdr:row>
      <xdr:rowOff>0</xdr:rowOff>
    </xdr:from>
    <xdr:to>
      <xdr:col>17</xdr:col>
      <xdr:colOff>228599</xdr:colOff>
      <xdr:row>8</xdr:row>
      <xdr:rowOff>142875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bwMode="auto">
        <a:xfrm>
          <a:off x="7581900" y="1057275"/>
          <a:ext cx="1381124" cy="523875"/>
        </a:xfrm>
        <a:prstGeom prst="roundRect">
          <a:avLst/>
        </a:prstGeom>
        <a:solidFill>
          <a:srgbClr val="00206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Welcome</a:t>
          </a:r>
        </a:p>
      </xdr:txBody>
    </xdr:sp>
    <xdr:clientData/>
  </xdr:twoCellAnchor>
  <xdr:twoCellAnchor>
    <xdr:from>
      <xdr:col>17</xdr:col>
      <xdr:colOff>276225</xdr:colOff>
      <xdr:row>6</xdr:row>
      <xdr:rowOff>0</xdr:rowOff>
    </xdr:from>
    <xdr:to>
      <xdr:col>19</xdr:col>
      <xdr:colOff>438149</xdr:colOff>
      <xdr:row>8</xdr:row>
      <xdr:rowOff>142875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1C00-000003000000}"/>
            </a:ext>
          </a:extLst>
        </xdr:cNvPr>
        <xdr:cNvSpPr/>
      </xdr:nvSpPr>
      <xdr:spPr bwMode="auto">
        <a:xfrm>
          <a:off x="9010650" y="1057275"/>
          <a:ext cx="1381124" cy="523875"/>
        </a:xfrm>
        <a:prstGeom prst="roundRect">
          <a:avLst/>
        </a:prstGeom>
        <a:solidFill>
          <a:srgbClr val="0070C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a:t>
          </a:r>
          <a:r>
            <a:rPr lang="en-US" sz="1100" baseline="0">
              <a:solidFill>
                <a:schemeClr val="bg1"/>
              </a:solidFill>
              <a:latin typeface="Arial Black" pitchFamily="34" charset="0"/>
            </a:rPr>
            <a:t> Sheet</a:t>
          </a:r>
          <a:endParaRPr lang="en-US" sz="1100">
            <a:solidFill>
              <a:schemeClr val="bg1"/>
            </a:solidFill>
            <a:latin typeface="Arial Black" pitchFamily="34" charset="0"/>
          </a:endParaRPr>
        </a:p>
      </xdr:txBody>
    </xdr:sp>
    <xdr:clientData/>
  </xdr:twoCellAnchor>
  <xdr:twoCellAnchor>
    <xdr:from>
      <xdr:col>13</xdr:col>
      <xdr:colOff>419100</xdr:colOff>
      <xdr:row>8</xdr:row>
      <xdr:rowOff>161926</xdr:rowOff>
    </xdr:from>
    <xdr:to>
      <xdr:col>17</xdr:col>
      <xdr:colOff>209550</xdr:colOff>
      <xdr:row>11</xdr:row>
      <xdr:rowOff>104776</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1C00-000004000000}"/>
            </a:ext>
          </a:extLst>
        </xdr:cNvPr>
        <xdr:cNvSpPr/>
      </xdr:nvSpPr>
      <xdr:spPr bwMode="auto">
        <a:xfrm>
          <a:off x="7572375" y="1600201"/>
          <a:ext cx="1371600" cy="514350"/>
        </a:xfrm>
        <a:prstGeom prst="roundRect">
          <a:avLst/>
        </a:prstGeom>
        <a:solidFill>
          <a:schemeClr val="accent2"/>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Anexure-I</a:t>
          </a:r>
        </a:p>
      </xdr:txBody>
    </xdr:sp>
    <xdr:clientData/>
  </xdr:twoCellAnchor>
  <xdr:twoCellAnchor>
    <xdr:from>
      <xdr:col>17</xdr:col>
      <xdr:colOff>257175</xdr:colOff>
      <xdr:row>8</xdr:row>
      <xdr:rowOff>152400</xdr:rowOff>
    </xdr:from>
    <xdr:to>
      <xdr:col>19</xdr:col>
      <xdr:colOff>419099</xdr:colOff>
      <xdr:row>11</xdr:row>
      <xdr:rowOff>104775</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1C00-000005000000}"/>
            </a:ext>
          </a:extLst>
        </xdr:cNvPr>
        <xdr:cNvSpPr/>
      </xdr:nvSpPr>
      <xdr:spPr bwMode="auto">
        <a:xfrm>
          <a:off x="8991600" y="1590675"/>
          <a:ext cx="1381124" cy="523875"/>
        </a:xfrm>
        <a:prstGeom prst="roundRect">
          <a:avLst/>
        </a:prstGeom>
        <a:solidFill>
          <a:schemeClr val="accent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Old Tax Regime</a:t>
          </a:r>
        </a:p>
      </xdr:txBody>
    </xdr:sp>
    <xdr:clientData/>
  </xdr:twoCellAnchor>
  <xdr:twoCellAnchor>
    <xdr:from>
      <xdr:col>13</xdr:col>
      <xdr:colOff>409575</xdr:colOff>
      <xdr:row>11</xdr:row>
      <xdr:rowOff>142875</xdr:rowOff>
    </xdr:from>
    <xdr:to>
      <xdr:col>17</xdr:col>
      <xdr:colOff>209549</xdr:colOff>
      <xdr:row>14</xdr:row>
      <xdr:rowOff>95250</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1C00-000006000000}"/>
            </a:ext>
          </a:extLst>
        </xdr:cNvPr>
        <xdr:cNvSpPr/>
      </xdr:nvSpPr>
      <xdr:spPr bwMode="auto">
        <a:xfrm>
          <a:off x="7562850" y="2152650"/>
          <a:ext cx="1381124" cy="523875"/>
        </a:xfrm>
        <a:prstGeom prst="roundRect">
          <a:avLst/>
        </a:prstGeom>
        <a:solidFill>
          <a:srgbClr val="C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Form-16</a:t>
          </a:r>
        </a:p>
      </xdr:txBody>
    </xdr:sp>
    <xdr:clientData/>
  </xdr:twoCellAnchor>
  <xdr:twoCellAnchor>
    <xdr:from>
      <xdr:col>17</xdr:col>
      <xdr:colOff>266700</xdr:colOff>
      <xdr:row>11</xdr:row>
      <xdr:rowOff>161925</xdr:rowOff>
    </xdr:from>
    <xdr:to>
      <xdr:col>19</xdr:col>
      <xdr:colOff>428624</xdr:colOff>
      <xdr:row>14</xdr:row>
      <xdr:rowOff>114300</xdr:rowOff>
    </xdr:to>
    <xdr:sp macro="" textlink="">
      <xdr:nvSpPr>
        <xdr:cNvPr id="7" name="Rounded Rectangle 6">
          <a:hlinkClick xmlns:r="http://schemas.openxmlformats.org/officeDocument/2006/relationships" r:id="rId6"/>
          <a:extLst>
            <a:ext uri="{FF2B5EF4-FFF2-40B4-BE49-F238E27FC236}">
              <a16:creationId xmlns:a16="http://schemas.microsoft.com/office/drawing/2014/main" id="{00000000-0008-0000-1C00-000007000000}"/>
            </a:ext>
          </a:extLst>
        </xdr:cNvPr>
        <xdr:cNvSpPr/>
      </xdr:nvSpPr>
      <xdr:spPr bwMode="auto">
        <a:xfrm>
          <a:off x="9001125" y="2171700"/>
          <a:ext cx="1381124" cy="523875"/>
        </a:xfrm>
        <a:prstGeom prst="roundRect">
          <a:avLst/>
        </a:prstGeom>
        <a:solidFill>
          <a:srgbClr val="00B05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Form-12BB</a:t>
          </a:r>
        </a:p>
      </xdr:txBody>
    </xdr:sp>
    <xdr:clientData/>
  </xdr:twoCellAnchor>
  <xdr:twoCellAnchor>
    <xdr:from>
      <xdr:col>14</xdr:col>
      <xdr:colOff>114300</xdr:colOff>
      <xdr:row>14</xdr:row>
      <xdr:rowOff>161925</xdr:rowOff>
    </xdr:from>
    <xdr:to>
      <xdr:col>17</xdr:col>
      <xdr:colOff>209550</xdr:colOff>
      <xdr:row>17</xdr:row>
      <xdr:rowOff>38100</xdr:rowOff>
    </xdr:to>
    <xdr:sp macro="" textlink="">
      <xdr:nvSpPr>
        <xdr:cNvPr id="8" name="Rounded Rectangle 8">
          <a:hlinkClick xmlns:r="http://schemas.openxmlformats.org/officeDocument/2006/relationships" r:id="rId7"/>
          <a:extLst>
            <a:ext uri="{FF2B5EF4-FFF2-40B4-BE49-F238E27FC236}">
              <a16:creationId xmlns:a16="http://schemas.microsoft.com/office/drawing/2014/main" id="{00000000-0008-0000-1C00-000008000000}"/>
            </a:ext>
          </a:extLst>
        </xdr:cNvPr>
        <xdr:cNvSpPr/>
      </xdr:nvSpPr>
      <xdr:spPr bwMode="auto">
        <a:xfrm>
          <a:off x="7696200" y="2743200"/>
          <a:ext cx="1247775" cy="476250"/>
        </a:xfrm>
        <a:prstGeom prst="roundRect">
          <a:avLst/>
        </a:prstGeom>
        <a:solidFill>
          <a:srgbClr val="6600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 Sheet-II</a:t>
          </a:r>
        </a:p>
      </xdr:txBody>
    </xdr:sp>
    <xdr:clientData/>
  </xdr:twoCellAnchor>
  <xdr:twoCellAnchor>
    <xdr:from>
      <xdr:col>17</xdr:col>
      <xdr:colOff>304800</xdr:colOff>
      <xdr:row>14</xdr:row>
      <xdr:rowOff>152400</xdr:rowOff>
    </xdr:from>
    <xdr:to>
      <xdr:col>19</xdr:col>
      <xdr:colOff>333375</xdr:colOff>
      <xdr:row>17</xdr:row>
      <xdr:rowOff>28575</xdr:rowOff>
    </xdr:to>
    <xdr:sp macro="" textlink="">
      <xdr:nvSpPr>
        <xdr:cNvPr id="9" name="Rounded Rectangle 10">
          <a:hlinkClick xmlns:r="http://schemas.openxmlformats.org/officeDocument/2006/relationships" r:id="rId8"/>
          <a:extLst>
            <a:ext uri="{FF2B5EF4-FFF2-40B4-BE49-F238E27FC236}">
              <a16:creationId xmlns:a16="http://schemas.microsoft.com/office/drawing/2014/main" id="{00000000-0008-0000-1C00-000009000000}"/>
            </a:ext>
          </a:extLst>
        </xdr:cNvPr>
        <xdr:cNvSpPr/>
      </xdr:nvSpPr>
      <xdr:spPr bwMode="auto">
        <a:xfrm>
          <a:off x="9039225" y="2733675"/>
          <a:ext cx="1247775" cy="476250"/>
        </a:xfrm>
        <a:prstGeom prst="roundRect">
          <a:avLst/>
        </a:prstGeom>
        <a:solidFill>
          <a:srgbClr val="FFC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tx1"/>
              </a:solidFill>
              <a:latin typeface="Arial Black" pitchFamily="34" charset="0"/>
            </a:rPr>
            <a:t>Data Sheet-III</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19049</xdr:colOff>
      <xdr:row>55</xdr:row>
      <xdr:rowOff>257174</xdr:rowOff>
    </xdr:from>
    <xdr:to>
      <xdr:col>21</xdr:col>
      <xdr:colOff>0</xdr:colOff>
      <xdr:row>62</xdr:row>
      <xdr:rowOff>247649</xdr:rowOff>
    </xdr:to>
    <xdr:sp macro="" textlink="">
      <xdr:nvSpPr>
        <xdr:cNvPr id="2" name="Rectangle 1">
          <a:extLst>
            <a:ext uri="{FF2B5EF4-FFF2-40B4-BE49-F238E27FC236}">
              <a16:creationId xmlns:a16="http://schemas.microsoft.com/office/drawing/2014/main" id="{00000000-0008-0000-0100-000002000000}"/>
            </a:ext>
          </a:extLst>
        </xdr:cNvPr>
        <xdr:cNvSpPr/>
      </xdr:nvSpPr>
      <xdr:spPr>
        <a:xfrm>
          <a:off x="10915649" y="15373349"/>
          <a:ext cx="2295526" cy="1704975"/>
        </a:xfrm>
        <a:prstGeom prst="rect">
          <a:avLst/>
        </a:prstGeom>
        <a:solidFill>
          <a:schemeClr val="tx1"/>
        </a:solidFill>
        <a:ln>
          <a:solidFill>
            <a:srgbClr val="002060"/>
          </a:solidFill>
        </a:ln>
        <a:effectLst>
          <a:outerShdw blurRad="50800" dist="38100" algn="l" rotWithShape="0">
            <a:prstClr val="black">
              <a:alpha val="40000"/>
            </a:prstClr>
          </a:outerShdw>
        </a:effectLst>
      </xdr:spPr>
      <xdr:style>
        <a:lnRef idx="1">
          <a:schemeClr val="dk1"/>
        </a:lnRef>
        <a:fillRef idx="2">
          <a:schemeClr val="dk1"/>
        </a:fillRef>
        <a:effectRef idx="1">
          <a:schemeClr val="dk1"/>
        </a:effectRef>
        <a:fontRef idx="minor">
          <a:schemeClr val="dk1"/>
        </a:fontRef>
      </xdr:style>
      <xdr:txBody>
        <a:bodyPr vertOverflow="clip" horzOverflow="clip" wrap="square" anchor="ctr"/>
        <a:lstStyle/>
        <a:p>
          <a:pPr algn="l">
            <a:lnSpc>
              <a:spcPts val="1100"/>
            </a:lnSpc>
          </a:pPr>
          <a:r>
            <a:rPr lang="en-US" sz="1200" b="0" i="1" cap="none" spc="0">
              <a:ln>
                <a:noFill/>
              </a:ln>
              <a:solidFill>
                <a:srgbClr val="FFFF00"/>
              </a:solidFill>
              <a:effectLst/>
              <a:latin typeface="+mj-lt"/>
              <a:cs typeface="Arial" panose="020B0604020202020204" pitchFamily="34" charset="0"/>
            </a:rPr>
            <a:t>B.SAIDI </a:t>
          </a:r>
          <a:r>
            <a:rPr lang="en-US" sz="1200" b="0" i="0" cap="none" spc="0">
              <a:ln>
                <a:noFill/>
              </a:ln>
              <a:solidFill>
                <a:srgbClr val="FFFF00"/>
              </a:solidFill>
              <a:effectLst/>
              <a:latin typeface="+mj-lt"/>
              <a:cs typeface="Arial" panose="020B0604020202020204" pitchFamily="34" charset="0"/>
            </a:rPr>
            <a:t>REDDY   </a:t>
          </a:r>
        </a:p>
        <a:p>
          <a:pPr algn="l">
            <a:lnSpc>
              <a:spcPts val="1100"/>
            </a:lnSpc>
          </a:pPr>
          <a:r>
            <a:rPr lang="en-US" sz="1200" b="0" i="0" cap="none" spc="0">
              <a:ln>
                <a:noFill/>
              </a:ln>
              <a:solidFill>
                <a:srgbClr val="FFFF00"/>
              </a:solidFill>
              <a:effectLst/>
              <a:latin typeface="+mj-lt"/>
              <a:cs typeface="Arial" panose="020B0604020202020204" pitchFamily="34" charset="0"/>
            </a:rPr>
            <a:t>Assistant</a:t>
          </a:r>
          <a:r>
            <a:rPr lang="en-US" sz="1200" b="0" i="0" cap="none" spc="0" baseline="0">
              <a:ln>
                <a:noFill/>
              </a:ln>
              <a:solidFill>
                <a:srgbClr val="FFFF00"/>
              </a:solidFill>
              <a:effectLst/>
              <a:latin typeface="+mj-lt"/>
              <a:cs typeface="Arial" panose="020B0604020202020204" pitchFamily="34" charset="0"/>
            </a:rPr>
            <a:t> Professor of Mathematics</a:t>
          </a:r>
        </a:p>
        <a:p>
          <a:pPr algn="l"/>
          <a:r>
            <a:rPr lang="en-US" sz="1200" b="0" i="0" cap="none" spc="0" baseline="0">
              <a:ln>
                <a:noFill/>
              </a:ln>
              <a:solidFill>
                <a:srgbClr val="FFFF00"/>
              </a:solidFill>
              <a:effectLst/>
              <a:latin typeface="+mj-lt"/>
              <a:cs typeface="Arial" panose="020B0604020202020204" pitchFamily="34" charset="0"/>
            </a:rPr>
            <a:t>KRR Govt.Arts&amp;Science College,Kodad</a:t>
          </a:r>
        </a:p>
        <a:p>
          <a:pPr algn="l"/>
          <a:r>
            <a:rPr lang="en-US" sz="1200" b="0" i="1" cap="none" spc="0" baseline="0">
              <a:ln>
                <a:noFill/>
              </a:ln>
              <a:solidFill>
                <a:srgbClr val="FFFF00"/>
              </a:solidFill>
              <a:effectLst/>
              <a:latin typeface="+mj-lt"/>
              <a:cs typeface="Arial" panose="020B0604020202020204" pitchFamily="34" charset="0"/>
            </a:rPr>
            <a:t>Nalgonda(Dist)</a:t>
          </a:r>
        </a:p>
        <a:p>
          <a:pPr algn="l"/>
          <a:r>
            <a:rPr lang="en-US" sz="1200" b="0" i="1" cap="none" spc="0" baseline="0">
              <a:ln>
                <a:noFill/>
              </a:ln>
              <a:solidFill>
                <a:srgbClr val="FFFF00"/>
              </a:solidFill>
              <a:effectLst/>
              <a:latin typeface="+mj-lt"/>
              <a:cs typeface="Arial" panose="020B0604020202020204" pitchFamily="34" charset="0"/>
            </a:rPr>
            <a:t>Telangana(State)</a:t>
          </a:r>
        </a:p>
        <a:p>
          <a:pPr algn="l"/>
          <a:r>
            <a:rPr lang="en-US" sz="1200" b="0" i="1" cap="none" spc="0" baseline="0">
              <a:ln>
                <a:noFill/>
              </a:ln>
              <a:solidFill>
                <a:srgbClr val="FFFF00"/>
              </a:solidFill>
              <a:effectLst/>
              <a:latin typeface="+mj-lt"/>
              <a:cs typeface="Arial" panose="020B0604020202020204" pitchFamily="34" charset="0"/>
            </a:rPr>
            <a:t>Cell No.9492185921</a:t>
          </a:r>
        </a:p>
        <a:p>
          <a:pPr algn="l"/>
          <a:r>
            <a:rPr lang="en-US" sz="1200" b="0" i="1" cap="none" spc="0" baseline="0">
              <a:ln>
                <a:noFill/>
              </a:ln>
              <a:solidFill>
                <a:srgbClr val="FFFF00"/>
              </a:solidFill>
              <a:effectLst/>
              <a:latin typeface="+mj-lt"/>
              <a:cs typeface="Arial" panose="020B0604020202020204" pitchFamily="34" charset="0"/>
            </a:rPr>
            <a:t>Mail.Id:saidireddy74@gm</a:t>
          </a:r>
          <a:r>
            <a:rPr lang="en-US" sz="1100" b="0" i="1" cap="none" spc="0" baseline="0">
              <a:ln>
                <a:noFill/>
              </a:ln>
              <a:solidFill>
                <a:srgbClr val="FFFF00"/>
              </a:solidFill>
              <a:effectLst/>
              <a:latin typeface="+mj-lt"/>
              <a:cs typeface="Arial" panose="020B0604020202020204" pitchFamily="34" charset="0"/>
            </a:rPr>
            <a:t>ail.com</a:t>
          </a:r>
          <a:endParaRPr lang="en-US" sz="2000" b="0" i="1" cap="none" spc="0">
            <a:ln>
              <a:noFill/>
            </a:ln>
            <a:solidFill>
              <a:srgbClr val="FFFF00"/>
            </a:solidFill>
            <a:effectLst/>
            <a:latin typeface="+mj-lt"/>
            <a:cs typeface="Arial" panose="020B0604020202020204" pitchFamily="34" charset="0"/>
          </a:endParaRPr>
        </a:p>
      </xdr:txBody>
    </xdr:sp>
    <xdr:clientData/>
  </xdr:twoCellAnchor>
  <xdr:twoCellAnchor editAs="oneCell">
    <xdr:from>
      <xdr:col>19</xdr:col>
      <xdr:colOff>9525</xdr:colOff>
      <xdr:row>48</xdr:row>
      <xdr:rowOff>161926</xdr:rowOff>
    </xdr:from>
    <xdr:to>
      <xdr:col>20</xdr:col>
      <xdr:colOff>1981200</xdr:colOff>
      <xdr:row>55</xdr:row>
      <xdr:rowOff>161925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0906125" y="12963526"/>
          <a:ext cx="2247900" cy="2314574"/>
        </a:xfrm>
        <a:prstGeom prst="roundRect">
          <a:avLst>
            <a:gd name="adj" fmla="val 4167"/>
          </a:avLst>
        </a:prstGeom>
        <a:solidFill>
          <a:srgbClr val="FFFFFF"/>
        </a:solidFill>
        <a:ln w="76200" cap="sq">
          <a:solidFill>
            <a:schemeClr val="accent1"/>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19</xdr:col>
      <xdr:colOff>85725</xdr:colOff>
      <xdr:row>31</xdr:row>
      <xdr:rowOff>85725</xdr:rowOff>
    </xdr:from>
    <xdr:to>
      <xdr:col>20</xdr:col>
      <xdr:colOff>1990725</xdr:colOff>
      <xdr:row>39</xdr:row>
      <xdr:rowOff>66675</xdr:rowOff>
    </xdr:to>
    <xdr:pic>
      <xdr:nvPicPr>
        <xdr:cNvPr id="7" name="Picture 6" descr="Surender Reddy.jpg">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 cstate="print"/>
        <a:stretch>
          <a:fillRect/>
        </a:stretch>
      </xdr:blipFill>
      <xdr:spPr>
        <a:xfrm>
          <a:off x="10982325" y="8267700"/>
          <a:ext cx="2181225" cy="2581275"/>
        </a:xfrm>
        <a:prstGeom prst="round2DiagRect">
          <a:avLst>
            <a:gd name="adj1" fmla="val 16667"/>
            <a:gd name="adj2" fmla="val 0"/>
          </a:avLst>
        </a:prstGeom>
        <a:ln w="88900" cap="sq">
          <a:solidFill>
            <a:srgbClr val="002060"/>
          </a:solidFill>
          <a:miter lim="800000"/>
        </a:ln>
        <a:effectLst>
          <a:outerShdw blurRad="254000" algn="tl" rotWithShape="0">
            <a:srgbClr val="000000">
              <a:alpha val="43000"/>
            </a:srgbClr>
          </a:outerShdw>
        </a:effectLst>
      </xdr:spPr>
    </xdr:pic>
    <xdr:clientData/>
  </xdr:twoCellAnchor>
  <xdr:twoCellAnchor>
    <xdr:from>
      <xdr:col>19</xdr:col>
      <xdr:colOff>28575</xdr:colOff>
      <xdr:row>39</xdr:row>
      <xdr:rowOff>190499</xdr:rowOff>
    </xdr:from>
    <xdr:to>
      <xdr:col>20</xdr:col>
      <xdr:colOff>1981200</xdr:colOff>
      <xdr:row>48</xdr:row>
      <xdr:rowOff>28574</xdr:rowOff>
    </xdr:to>
    <xdr:sp macro="" textlink="">
      <xdr:nvSpPr>
        <xdr:cNvPr id="4" name="Round Same Side Corner Rectangle 3">
          <a:extLst>
            <a:ext uri="{FF2B5EF4-FFF2-40B4-BE49-F238E27FC236}">
              <a16:creationId xmlns:a16="http://schemas.microsoft.com/office/drawing/2014/main" id="{00000000-0008-0000-0100-000004000000}"/>
            </a:ext>
          </a:extLst>
        </xdr:cNvPr>
        <xdr:cNvSpPr/>
      </xdr:nvSpPr>
      <xdr:spPr bwMode="auto">
        <a:xfrm>
          <a:off x="10925175" y="10972799"/>
          <a:ext cx="2228850" cy="1857375"/>
        </a:xfrm>
        <a:prstGeom prst="round2SameRect">
          <a:avLst/>
        </a:prstGeom>
        <a:solidFill>
          <a:schemeClr val="accent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ctr" upright="1"/>
        <a:lstStyle/>
        <a:p>
          <a:pPr algn="l"/>
          <a:r>
            <a:rPr lang="en-US" sz="1100">
              <a:latin typeface="Comic Sans MS" pitchFamily="66" charset="0"/>
            </a:rPr>
            <a:t>     Dr.K.Surender Reddy</a:t>
          </a:r>
        </a:p>
        <a:p>
          <a:pPr algn="l"/>
          <a:r>
            <a:rPr lang="en-US" sz="1100">
              <a:latin typeface="Comic Sans MS" pitchFamily="66" charset="0"/>
            </a:rPr>
            <a:t> </a:t>
          </a:r>
          <a:r>
            <a:rPr lang="en-US" sz="1050">
              <a:latin typeface="Comic Sans MS" pitchFamily="66" charset="0"/>
            </a:rPr>
            <a:t>Assistant Professor in Zoology</a:t>
          </a:r>
        </a:p>
        <a:p>
          <a:pPr algn="l"/>
          <a:r>
            <a:rPr lang="en-US" sz="1100">
              <a:latin typeface="Comic Sans MS" pitchFamily="66" charset="0"/>
            </a:rPr>
            <a:t>TGCGTA State Secretary ,Telangana</a:t>
          </a:r>
        </a:p>
        <a:p>
          <a:pPr algn="l"/>
          <a:r>
            <a:rPr lang="en-US" sz="1100">
              <a:latin typeface="Comic Sans MS" pitchFamily="66" charset="0"/>
            </a:rPr>
            <a:t>Cell  No.9849500923</a:t>
          </a:r>
        </a:p>
        <a:p>
          <a:pPr algn="l"/>
          <a:r>
            <a:rPr lang="en-US" sz="1100" b="0" i="1" u="none" strike="noStrike">
              <a:effectLst/>
              <a:latin typeface="Comic Sans MS" pitchFamily="66" charset="0"/>
              <a:ea typeface="+mn-ea"/>
              <a:cs typeface="+mn-cs"/>
              <a:hlinkClick xmlns:r="http://schemas.openxmlformats.org/officeDocument/2006/relationships" r:id=""/>
            </a:rPr>
            <a:t>surenderkadaru@gmail.com</a:t>
          </a:r>
          <a:r>
            <a:rPr lang="en-US">
              <a:latin typeface="Comic Sans MS" pitchFamily="66" charset="0"/>
            </a:rPr>
            <a:t> </a:t>
          </a:r>
          <a:endParaRPr lang="en-US" sz="1100">
            <a:latin typeface="Comic Sans MS" pitchFamily="66"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123825</xdr:colOff>
          <xdr:row>5</xdr:row>
          <xdr:rowOff>57150</xdr:rowOff>
        </xdr:from>
        <xdr:to>
          <xdr:col>5</xdr:col>
          <xdr:colOff>419100</xdr:colOff>
          <xdr:row>6</xdr:row>
          <xdr:rowOff>285750</xdr:rowOff>
        </xdr:to>
        <xdr:sp macro="" textlink="">
          <xdr:nvSpPr>
            <xdr:cNvPr id="115713" name="Drop Down 1" hidden="1">
              <a:extLst>
                <a:ext uri="{63B3BB69-23CF-44E3-9099-C40C66FF867C}">
                  <a14:compatExt spid="_x0000_s115713"/>
                </a:ext>
                <a:ext uri="{FF2B5EF4-FFF2-40B4-BE49-F238E27FC236}">
                  <a16:creationId xmlns:a16="http://schemas.microsoft.com/office/drawing/2014/main" id="{00000000-0008-0000-0100-000001C40100}"/>
                </a:ext>
              </a:extLst>
            </xdr:cNvPr>
            <xdr:cNvSpPr/>
          </xdr:nvSpPr>
          <xdr:spPr bwMode="auto">
            <a:xfrm>
              <a:off x="0" y="0"/>
              <a:ext cx="0" cy="0"/>
            </a:xfrm>
            <a:prstGeom prst="rect">
              <a:avLst/>
            </a:prstGeom>
            <a:noFill/>
            <a:ln>
              <a:noFill/>
            </a:ln>
            <a:effectLst/>
            <a:extLst>
              <a:ext uri="{91240B29-F687-4F45-9708-019B960494DF}">
                <a14:hiddenLine w="9525">
                  <a:noFill/>
                  <a:miter lim="800000"/>
                  <a:headEnd/>
                  <a:tailEnd/>
                </a14:hiddenLine>
              </a:ext>
              <a:ext uri="{53640926-AAD7-44D8-BBD7-CCE9431645EC}">
                <a14:shadowObscured val="1"/>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29</xdr:col>
      <xdr:colOff>19051</xdr:colOff>
      <xdr:row>68</xdr:row>
      <xdr:rowOff>38100</xdr:rowOff>
    </xdr:from>
    <xdr:to>
      <xdr:col>31</xdr:col>
      <xdr:colOff>1343026</xdr:colOff>
      <xdr:row>72</xdr:row>
      <xdr:rowOff>152401</xdr:rowOff>
    </xdr:to>
    <xdr:sp macro="" textlink="">
      <xdr:nvSpPr>
        <xdr:cNvPr id="2" name="Rectangle 1">
          <a:extLst>
            <a:ext uri="{FF2B5EF4-FFF2-40B4-BE49-F238E27FC236}">
              <a16:creationId xmlns:a16="http://schemas.microsoft.com/office/drawing/2014/main" id="{00000000-0008-0000-0700-000002000000}"/>
            </a:ext>
          </a:extLst>
        </xdr:cNvPr>
        <xdr:cNvSpPr/>
      </xdr:nvSpPr>
      <xdr:spPr>
        <a:xfrm>
          <a:off x="14316076" y="22793325"/>
          <a:ext cx="2286000" cy="1609726"/>
        </a:xfrm>
        <a:prstGeom prst="rect">
          <a:avLst/>
        </a:prstGeom>
        <a:solidFill>
          <a:schemeClr val="tx1"/>
        </a:solidFill>
        <a:ln>
          <a:solidFill>
            <a:srgbClr val="002060"/>
          </a:solidFill>
        </a:ln>
        <a:effectLst>
          <a:outerShdw blurRad="50800" dist="38100" algn="l" rotWithShape="0">
            <a:prstClr val="black">
              <a:alpha val="40000"/>
            </a:prstClr>
          </a:outerShdw>
        </a:effectLst>
      </xdr:spPr>
      <xdr:style>
        <a:lnRef idx="1">
          <a:schemeClr val="dk1"/>
        </a:lnRef>
        <a:fillRef idx="2">
          <a:schemeClr val="dk1"/>
        </a:fillRef>
        <a:effectRef idx="1">
          <a:schemeClr val="dk1"/>
        </a:effectRef>
        <a:fontRef idx="minor">
          <a:schemeClr val="dk1"/>
        </a:fontRef>
      </xdr:style>
      <xdr:txBody>
        <a:bodyPr vertOverflow="clip" horzOverflow="clip" wrap="square" anchor="ctr"/>
        <a:lstStyle/>
        <a:p>
          <a:r>
            <a:rPr lang="en-US" sz="900" b="0" i="1" cap="none" spc="0">
              <a:ln>
                <a:noFill/>
              </a:ln>
              <a:solidFill>
                <a:schemeClr val="bg1"/>
              </a:solidFill>
              <a:effectLst/>
              <a:latin typeface="Verdana" pitchFamily="34" charset="0"/>
              <a:ea typeface="Verdana" pitchFamily="34" charset="0"/>
              <a:cs typeface="Times New Roman" pitchFamily="18" charset="0"/>
            </a:rPr>
            <a:t>B.SAIDI REDDY   </a:t>
          </a:r>
        </a:p>
        <a:p>
          <a:r>
            <a:rPr lang="en-US" sz="900" b="0" i="1" cap="none" spc="0">
              <a:ln>
                <a:noFill/>
              </a:ln>
              <a:solidFill>
                <a:schemeClr val="bg1"/>
              </a:solidFill>
              <a:effectLst/>
              <a:latin typeface="Verdana" pitchFamily="34" charset="0"/>
              <a:ea typeface="Verdana" pitchFamily="34" charset="0"/>
              <a:cs typeface="Times New Roman" pitchFamily="18" charset="0"/>
            </a:rPr>
            <a:t>Assistant</a:t>
          </a:r>
          <a:r>
            <a:rPr lang="en-US" sz="900" b="0" i="1" cap="none" spc="0" baseline="0">
              <a:ln>
                <a:noFill/>
              </a:ln>
              <a:solidFill>
                <a:schemeClr val="bg1"/>
              </a:solidFill>
              <a:effectLst/>
              <a:latin typeface="Verdana" pitchFamily="34" charset="0"/>
              <a:ea typeface="Verdana" pitchFamily="34" charset="0"/>
              <a:cs typeface="Times New Roman" pitchFamily="18" charset="0"/>
            </a:rPr>
            <a:t> Professor of Mathematics</a:t>
          </a:r>
        </a:p>
        <a:p>
          <a:r>
            <a:rPr lang="en-US" sz="900" b="0" i="1" cap="none" spc="0" baseline="0">
              <a:ln>
                <a:noFill/>
              </a:ln>
              <a:solidFill>
                <a:schemeClr val="bg1"/>
              </a:solidFill>
              <a:effectLst/>
              <a:latin typeface="Verdana" pitchFamily="34" charset="0"/>
              <a:ea typeface="Verdana" pitchFamily="34" charset="0"/>
              <a:cs typeface="Times New Roman" pitchFamily="18" charset="0"/>
            </a:rPr>
            <a:t>KRR Govt.Arts &amp; Science College(A),Kodad</a:t>
          </a:r>
        </a:p>
        <a:p>
          <a:r>
            <a:rPr lang="en-US" sz="900" b="0" i="1" cap="none" spc="0" baseline="0">
              <a:ln>
                <a:noFill/>
              </a:ln>
              <a:solidFill>
                <a:schemeClr val="bg1"/>
              </a:solidFill>
              <a:effectLst/>
              <a:latin typeface="Verdana" pitchFamily="34" charset="0"/>
              <a:ea typeface="Verdana" pitchFamily="34" charset="0"/>
              <a:cs typeface="Times New Roman" pitchFamily="18" charset="0"/>
            </a:rPr>
            <a:t>Suryapet(Dist)</a:t>
          </a:r>
        </a:p>
        <a:p>
          <a:r>
            <a:rPr lang="en-US" sz="900" b="0" i="1" cap="none" spc="0" baseline="0">
              <a:ln>
                <a:noFill/>
              </a:ln>
              <a:solidFill>
                <a:schemeClr val="bg1"/>
              </a:solidFill>
              <a:effectLst/>
              <a:latin typeface="Verdana" pitchFamily="34" charset="0"/>
              <a:ea typeface="Verdana" pitchFamily="34" charset="0"/>
              <a:cs typeface="Times New Roman" pitchFamily="18" charset="0"/>
            </a:rPr>
            <a:t>Telangana(State)</a:t>
          </a:r>
        </a:p>
        <a:p>
          <a:r>
            <a:rPr lang="en-US" sz="900" b="0" i="1" cap="none" spc="0" baseline="0">
              <a:ln>
                <a:noFill/>
              </a:ln>
              <a:solidFill>
                <a:schemeClr val="bg1"/>
              </a:solidFill>
              <a:effectLst/>
              <a:latin typeface="Verdana" pitchFamily="34" charset="0"/>
              <a:ea typeface="Verdana" pitchFamily="34" charset="0"/>
              <a:cs typeface="Times New Roman" pitchFamily="18" charset="0"/>
            </a:rPr>
            <a:t>Cell No.9492185921</a:t>
          </a:r>
        </a:p>
        <a:p>
          <a:r>
            <a:rPr lang="en-US" sz="900" b="0" i="1" cap="none" spc="0" baseline="0">
              <a:ln>
                <a:noFill/>
              </a:ln>
              <a:solidFill>
                <a:schemeClr val="bg1"/>
              </a:solidFill>
              <a:effectLst/>
              <a:latin typeface="Verdana" pitchFamily="34" charset="0"/>
              <a:ea typeface="Verdana" pitchFamily="34" charset="0"/>
              <a:cs typeface="Times New Roman" pitchFamily="18" charset="0"/>
            </a:rPr>
            <a:t>Mail.Id:saidireddy74@gmail.com</a:t>
          </a:r>
          <a:endParaRPr lang="en-US" sz="900" b="0" i="1" cap="none" spc="0">
            <a:ln>
              <a:noFill/>
            </a:ln>
            <a:solidFill>
              <a:schemeClr val="bg1"/>
            </a:solidFill>
            <a:effectLst/>
            <a:latin typeface="Verdana" pitchFamily="34" charset="0"/>
            <a:ea typeface="Verdana" pitchFamily="34" charset="0"/>
            <a:cs typeface="Times New Roman" pitchFamily="18" charset="0"/>
          </a:endParaRPr>
        </a:p>
      </xdr:txBody>
    </xdr:sp>
    <xdr:clientData/>
  </xdr:twoCellAnchor>
  <xdr:twoCellAnchor editAs="oneCell">
    <xdr:from>
      <xdr:col>29</xdr:col>
      <xdr:colOff>123825</xdr:colOff>
      <xdr:row>63</xdr:row>
      <xdr:rowOff>76200</xdr:rowOff>
    </xdr:from>
    <xdr:to>
      <xdr:col>31</xdr:col>
      <xdr:colOff>1162050</xdr:colOff>
      <xdr:row>67</xdr:row>
      <xdr:rowOff>342900</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14420850" y="20869275"/>
          <a:ext cx="2000250" cy="1847850"/>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xdr:from>
      <xdr:col>40</xdr:col>
      <xdr:colOff>114298</xdr:colOff>
      <xdr:row>30</xdr:row>
      <xdr:rowOff>133351</xdr:rowOff>
    </xdr:from>
    <xdr:to>
      <xdr:col>41</xdr:col>
      <xdr:colOff>571500</xdr:colOff>
      <xdr:row>31</xdr:row>
      <xdr:rowOff>161925</xdr:rowOff>
    </xdr:to>
    <xdr:sp macro="" textlink="">
      <xdr:nvSpPr>
        <xdr:cNvPr id="9" name="Rounded Rectangle 8">
          <a:hlinkClick xmlns:r="http://schemas.openxmlformats.org/officeDocument/2006/relationships" r:id="rId2"/>
          <a:extLst>
            <a:ext uri="{FF2B5EF4-FFF2-40B4-BE49-F238E27FC236}">
              <a16:creationId xmlns:a16="http://schemas.microsoft.com/office/drawing/2014/main" id="{00000000-0008-0000-0700-000009000000}"/>
            </a:ext>
          </a:extLst>
        </xdr:cNvPr>
        <xdr:cNvSpPr/>
      </xdr:nvSpPr>
      <xdr:spPr bwMode="auto">
        <a:xfrm>
          <a:off x="18116548" y="9915526"/>
          <a:ext cx="1276352" cy="428624"/>
        </a:xfrm>
        <a:prstGeom prst="roundRect">
          <a:avLst/>
        </a:prstGeom>
        <a:solidFill>
          <a:schemeClr val="tx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Anexure-I</a:t>
          </a:r>
        </a:p>
      </xdr:txBody>
    </xdr:sp>
    <xdr:clientData/>
  </xdr:twoCellAnchor>
  <xdr:twoCellAnchor>
    <xdr:from>
      <xdr:col>41</xdr:col>
      <xdr:colOff>704850</xdr:colOff>
      <xdr:row>30</xdr:row>
      <xdr:rowOff>152401</xdr:rowOff>
    </xdr:from>
    <xdr:to>
      <xdr:col>43</xdr:col>
      <xdr:colOff>266700</xdr:colOff>
      <xdr:row>31</xdr:row>
      <xdr:rowOff>171451</xdr:rowOff>
    </xdr:to>
    <xdr:sp macro="" textlink="">
      <xdr:nvSpPr>
        <xdr:cNvPr id="10" name="Rounded Rectangle 9">
          <a:hlinkClick xmlns:r="http://schemas.openxmlformats.org/officeDocument/2006/relationships" r:id="rId3"/>
          <a:extLst>
            <a:ext uri="{FF2B5EF4-FFF2-40B4-BE49-F238E27FC236}">
              <a16:creationId xmlns:a16="http://schemas.microsoft.com/office/drawing/2014/main" id="{00000000-0008-0000-0700-00000A000000}"/>
            </a:ext>
          </a:extLst>
        </xdr:cNvPr>
        <xdr:cNvSpPr/>
      </xdr:nvSpPr>
      <xdr:spPr bwMode="auto">
        <a:xfrm>
          <a:off x="19526250" y="9934576"/>
          <a:ext cx="1314450" cy="419100"/>
        </a:xfrm>
        <a:prstGeom prst="roundRect">
          <a:avLst/>
        </a:prstGeom>
        <a:solidFill>
          <a:srgbClr val="0070C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Old Tax Regime</a:t>
          </a:r>
        </a:p>
      </xdr:txBody>
    </xdr:sp>
    <xdr:clientData/>
  </xdr:twoCellAnchor>
  <xdr:twoCellAnchor>
    <xdr:from>
      <xdr:col>40</xdr:col>
      <xdr:colOff>152400</xdr:colOff>
      <xdr:row>31</xdr:row>
      <xdr:rowOff>285750</xdr:rowOff>
    </xdr:from>
    <xdr:to>
      <xdr:col>41</xdr:col>
      <xdr:colOff>590550</xdr:colOff>
      <xdr:row>33</xdr:row>
      <xdr:rowOff>28575</xdr:rowOff>
    </xdr:to>
    <xdr:sp macro="" textlink="">
      <xdr:nvSpPr>
        <xdr:cNvPr id="11" name="Rounded Rectangle 10">
          <a:hlinkClick xmlns:r="http://schemas.openxmlformats.org/officeDocument/2006/relationships" r:id="rId4"/>
          <a:extLst>
            <a:ext uri="{FF2B5EF4-FFF2-40B4-BE49-F238E27FC236}">
              <a16:creationId xmlns:a16="http://schemas.microsoft.com/office/drawing/2014/main" id="{00000000-0008-0000-0700-00000B000000}"/>
            </a:ext>
          </a:extLst>
        </xdr:cNvPr>
        <xdr:cNvSpPr/>
      </xdr:nvSpPr>
      <xdr:spPr bwMode="auto">
        <a:xfrm>
          <a:off x="18154650" y="10467975"/>
          <a:ext cx="1257300" cy="447675"/>
        </a:xfrm>
        <a:prstGeom prst="roundRect">
          <a:avLst/>
        </a:prstGeom>
        <a:solidFill>
          <a:srgbClr val="7030A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Form-16</a:t>
          </a:r>
        </a:p>
      </xdr:txBody>
    </xdr:sp>
    <xdr:clientData/>
  </xdr:twoCellAnchor>
  <xdr:twoCellAnchor>
    <xdr:from>
      <xdr:col>41</xdr:col>
      <xdr:colOff>723900</xdr:colOff>
      <xdr:row>31</xdr:row>
      <xdr:rowOff>295276</xdr:rowOff>
    </xdr:from>
    <xdr:to>
      <xdr:col>43</xdr:col>
      <xdr:colOff>266700</xdr:colOff>
      <xdr:row>33</xdr:row>
      <xdr:rowOff>28576</xdr:rowOff>
    </xdr:to>
    <xdr:sp macro="" textlink="">
      <xdr:nvSpPr>
        <xdr:cNvPr id="12" name="Rounded Rectangle 11">
          <a:hlinkClick xmlns:r="http://schemas.openxmlformats.org/officeDocument/2006/relationships" r:id="rId5"/>
          <a:extLst>
            <a:ext uri="{FF2B5EF4-FFF2-40B4-BE49-F238E27FC236}">
              <a16:creationId xmlns:a16="http://schemas.microsoft.com/office/drawing/2014/main" id="{00000000-0008-0000-0700-00000C000000}"/>
            </a:ext>
          </a:extLst>
        </xdr:cNvPr>
        <xdr:cNvSpPr/>
      </xdr:nvSpPr>
      <xdr:spPr bwMode="auto">
        <a:xfrm>
          <a:off x="19545300" y="10477501"/>
          <a:ext cx="1295400" cy="438150"/>
        </a:xfrm>
        <a:prstGeom prst="roundRect">
          <a:avLst/>
        </a:prstGeom>
        <a:solidFill>
          <a:schemeClr val="accent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ysClr val="windowText" lastClr="000000"/>
              </a:solidFill>
              <a:latin typeface="Arial Black" pitchFamily="34" charset="0"/>
            </a:rPr>
            <a:t>Form-16(Back)</a:t>
          </a:r>
        </a:p>
      </xdr:txBody>
    </xdr:sp>
    <xdr:clientData/>
  </xdr:twoCellAnchor>
  <xdr:twoCellAnchor>
    <xdr:from>
      <xdr:col>40</xdr:col>
      <xdr:colOff>76200</xdr:colOff>
      <xdr:row>29</xdr:row>
      <xdr:rowOff>1</xdr:rowOff>
    </xdr:from>
    <xdr:to>
      <xdr:col>41</xdr:col>
      <xdr:colOff>533400</xdr:colOff>
      <xdr:row>29</xdr:row>
      <xdr:rowOff>419101</xdr:rowOff>
    </xdr:to>
    <xdr:sp macro="" textlink="">
      <xdr:nvSpPr>
        <xdr:cNvPr id="13" name="Rounded Rectangle 12">
          <a:hlinkClick xmlns:r="http://schemas.openxmlformats.org/officeDocument/2006/relationships" r:id="rId6"/>
          <a:extLst>
            <a:ext uri="{FF2B5EF4-FFF2-40B4-BE49-F238E27FC236}">
              <a16:creationId xmlns:a16="http://schemas.microsoft.com/office/drawing/2014/main" id="{00000000-0008-0000-0700-00000D000000}"/>
            </a:ext>
          </a:extLst>
        </xdr:cNvPr>
        <xdr:cNvSpPr/>
      </xdr:nvSpPr>
      <xdr:spPr bwMode="auto">
        <a:xfrm>
          <a:off x="18078450" y="9353551"/>
          <a:ext cx="1276350" cy="419100"/>
        </a:xfrm>
        <a:prstGeom prst="roundRect">
          <a:avLst>
            <a:gd name="adj" fmla="val 0"/>
          </a:avLst>
        </a:prstGeom>
        <a:solidFill>
          <a:schemeClr val="tx2"/>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Welcome</a:t>
          </a:r>
        </a:p>
      </xdr:txBody>
    </xdr:sp>
    <xdr:clientData/>
  </xdr:twoCellAnchor>
  <xdr:twoCellAnchor>
    <xdr:from>
      <xdr:col>40</xdr:col>
      <xdr:colOff>200025</xdr:colOff>
      <xdr:row>33</xdr:row>
      <xdr:rowOff>171449</xdr:rowOff>
    </xdr:from>
    <xdr:to>
      <xdr:col>41</xdr:col>
      <xdr:colOff>628650</xdr:colOff>
      <xdr:row>34</xdr:row>
      <xdr:rowOff>304799</xdr:rowOff>
    </xdr:to>
    <xdr:sp macro="" textlink="">
      <xdr:nvSpPr>
        <xdr:cNvPr id="14" name="Rounded Rectangle 13">
          <a:hlinkClick xmlns:r="http://schemas.openxmlformats.org/officeDocument/2006/relationships" r:id="rId7"/>
          <a:extLst>
            <a:ext uri="{FF2B5EF4-FFF2-40B4-BE49-F238E27FC236}">
              <a16:creationId xmlns:a16="http://schemas.microsoft.com/office/drawing/2014/main" id="{00000000-0008-0000-0700-00000E000000}"/>
            </a:ext>
          </a:extLst>
        </xdr:cNvPr>
        <xdr:cNvSpPr/>
      </xdr:nvSpPr>
      <xdr:spPr bwMode="auto">
        <a:xfrm>
          <a:off x="18202275" y="11058524"/>
          <a:ext cx="1247775" cy="466725"/>
        </a:xfrm>
        <a:prstGeom prst="roundRect">
          <a:avLst/>
        </a:prstGeom>
        <a:solidFill>
          <a:srgbClr val="0070C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Form-12BB</a:t>
          </a:r>
        </a:p>
      </xdr:txBody>
    </xdr:sp>
    <xdr:clientData/>
  </xdr:twoCellAnchor>
  <xdr:twoCellAnchor>
    <xdr:from>
      <xdr:col>29</xdr:col>
      <xdr:colOff>57151</xdr:colOff>
      <xdr:row>38</xdr:row>
      <xdr:rowOff>381001</xdr:rowOff>
    </xdr:from>
    <xdr:to>
      <xdr:col>31</xdr:col>
      <xdr:colOff>1304925</xdr:colOff>
      <xdr:row>44</xdr:row>
      <xdr:rowOff>95251</xdr:rowOff>
    </xdr:to>
    <xdr:sp macro="" textlink="">
      <xdr:nvSpPr>
        <xdr:cNvPr id="104" name="Rounded Rectangle 103">
          <a:extLst>
            <a:ext uri="{FF2B5EF4-FFF2-40B4-BE49-F238E27FC236}">
              <a16:creationId xmlns:a16="http://schemas.microsoft.com/office/drawing/2014/main" id="{00000000-0008-0000-0700-000068000000}"/>
            </a:ext>
          </a:extLst>
        </xdr:cNvPr>
        <xdr:cNvSpPr/>
      </xdr:nvSpPr>
      <xdr:spPr bwMode="auto">
        <a:xfrm>
          <a:off x="14468476" y="13087351"/>
          <a:ext cx="2209799" cy="1885950"/>
        </a:xfrm>
        <a:prstGeom prst="roundRect">
          <a:avLst/>
        </a:prstGeom>
        <a:solidFill>
          <a:schemeClr val="accent5">
            <a:lumMod val="60000"/>
            <a:lumOff val="40000"/>
          </a:schemeClr>
        </a:solidFill>
        <a:ln w="9525" cap="flat" cmpd="sng" algn="ctr">
          <a:solidFill>
            <a:srgbClr val="000000"/>
          </a:solidFill>
          <a:prstDash val="solid"/>
          <a:round/>
          <a:headEnd type="none" w="med" len="med"/>
          <a:tailEnd type="none" w="med" len="med"/>
        </a:ln>
        <a:effectLst>
          <a:innerShdw blurRad="63500" dist="50800" dir="16200000">
            <a:prstClr val="black">
              <a:alpha val="50000"/>
            </a:prstClr>
          </a:innerShdw>
        </a:effectLst>
      </xdr:spPr>
      <xdr:txBody>
        <a:bodyPr vertOverflow="clip" wrap="square" lIns="18288" tIns="0" rIns="0" bIns="0" rtlCol="0" anchor="ctr" upright="1"/>
        <a:lstStyle/>
        <a:p>
          <a:pPr algn="ctr"/>
          <a:r>
            <a:rPr lang="en-US" sz="1200">
              <a:solidFill>
                <a:sysClr val="windowText" lastClr="000000"/>
              </a:solidFill>
              <a:latin typeface="Lucida Fax" pitchFamily="18" charset="0"/>
              <a:cs typeface="Times New Roman" pitchFamily="18" charset="0"/>
            </a:rPr>
            <a:t>Dr.K.Surender</a:t>
          </a:r>
          <a:r>
            <a:rPr lang="en-US" sz="1200" baseline="0">
              <a:solidFill>
                <a:sysClr val="windowText" lastClr="000000"/>
              </a:solidFill>
              <a:latin typeface="Lucida Fax" pitchFamily="18" charset="0"/>
              <a:cs typeface="Times New Roman" pitchFamily="18" charset="0"/>
            </a:rPr>
            <a:t> Reddy</a:t>
          </a:r>
          <a:endParaRPr lang="en-US" sz="1200">
            <a:solidFill>
              <a:sysClr val="windowText" lastClr="000000"/>
            </a:solidFill>
            <a:latin typeface="Lucida Fax" pitchFamily="18" charset="0"/>
            <a:cs typeface="Times New Roman" pitchFamily="18" charset="0"/>
          </a:endParaRPr>
        </a:p>
        <a:p>
          <a:pPr algn="ctr"/>
          <a:r>
            <a:rPr lang="en-US" sz="1200">
              <a:solidFill>
                <a:sysClr val="windowText" lastClr="000000"/>
              </a:solidFill>
              <a:latin typeface="Lucida Fax" pitchFamily="18" charset="0"/>
              <a:cs typeface="Times New Roman" pitchFamily="18" charset="0"/>
            </a:rPr>
            <a:t>Assistant Professor of</a:t>
          </a:r>
        </a:p>
        <a:p>
          <a:pPr algn="l"/>
          <a:r>
            <a:rPr lang="en-US" sz="1200" baseline="0">
              <a:solidFill>
                <a:sysClr val="windowText" lastClr="000000"/>
              </a:solidFill>
              <a:latin typeface="Lucida Fax" pitchFamily="18" charset="0"/>
              <a:cs typeface="Times New Roman" pitchFamily="18" charset="0"/>
            </a:rPr>
            <a:t>    </a:t>
          </a:r>
          <a:r>
            <a:rPr lang="en-US" sz="1200">
              <a:solidFill>
                <a:sysClr val="windowText" lastClr="000000"/>
              </a:solidFill>
              <a:latin typeface="Lucida Fax" pitchFamily="18" charset="0"/>
              <a:cs typeface="Times New Roman" pitchFamily="18" charset="0"/>
            </a:rPr>
            <a:t>Zoology     </a:t>
          </a:r>
        </a:p>
        <a:p>
          <a:pPr algn="ctr"/>
          <a:r>
            <a:rPr lang="en-US" sz="1200">
              <a:solidFill>
                <a:sysClr val="windowText" lastClr="000000"/>
              </a:solidFill>
              <a:latin typeface="Lucida Fax" pitchFamily="18" charset="0"/>
              <a:cs typeface="Times New Roman" pitchFamily="18" charset="0"/>
            </a:rPr>
            <a:t>TGCGTA State General Secretary,Telangana                            Mobile No. 9849500923  </a:t>
          </a:r>
        </a:p>
        <a:p>
          <a:pPr algn="ctr"/>
          <a:r>
            <a:rPr lang="en-US" sz="1100">
              <a:solidFill>
                <a:srgbClr val="FF0000"/>
              </a:solidFill>
              <a:latin typeface="Lucida Fax" pitchFamily="18" charset="0"/>
              <a:cs typeface="Times New Roman" pitchFamily="18" charset="0"/>
            </a:rPr>
            <a:t>surenderkadaru@gmail.co</a:t>
          </a:r>
          <a:r>
            <a:rPr lang="en-US" sz="1200">
              <a:solidFill>
                <a:srgbClr val="FF0000"/>
              </a:solidFill>
              <a:latin typeface="Comic Sans MS" pitchFamily="66" charset="0"/>
              <a:cs typeface="Times New Roman" pitchFamily="18" charset="0"/>
            </a:rPr>
            <a:t>m</a:t>
          </a:r>
        </a:p>
      </xdr:txBody>
    </xdr:sp>
    <xdr:clientData/>
  </xdr:twoCellAnchor>
  <xdr:twoCellAnchor>
    <xdr:from>
      <xdr:col>41</xdr:col>
      <xdr:colOff>685801</xdr:colOff>
      <xdr:row>28</xdr:row>
      <xdr:rowOff>400050</xdr:rowOff>
    </xdr:from>
    <xdr:to>
      <xdr:col>43</xdr:col>
      <xdr:colOff>209551</xdr:colOff>
      <xdr:row>29</xdr:row>
      <xdr:rowOff>381000</xdr:rowOff>
    </xdr:to>
    <xdr:sp macro="" textlink="">
      <xdr:nvSpPr>
        <xdr:cNvPr id="95" name="Rounded Rectangle 94">
          <a:hlinkClick xmlns:r="http://schemas.openxmlformats.org/officeDocument/2006/relationships" r:id="rId8"/>
          <a:extLst>
            <a:ext uri="{FF2B5EF4-FFF2-40B4-BE49-F238E27FC236}">
              <a16:creationId xmlns:a16="http://schemas.microsoft.com/office/drawing/2014/main" id="{00000000-0008-0000-0700-00005F000000}"/>
            </a:ext>
          </a:extLst>
        </xdr:cNvPr>
        <xdr:cNvSpPr/>
      </xdr:nvSpPr>
      <xdr:spPr bwMode="auto">
        <a:xfrm>
          <a:off x="19507201" y="9324975"/>
          <a:ext cx="1276350" cy="409575"/>
        </a:xfrm>
        <a:prstGeom prst="roundRect">
          <a:avLst/>
        </a:prstGeom>
        <a:solidFill>
          <a:schemeClr val="accent4"/>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 Sheet-III</a:t>
          </a:r>
        </a:p>
      </xdr:txBody>
    </xdr:sp>
    <xdr:clientData/>
  </xdr:twoCellAnchor>
  <mc:AlternateContent xmlns:mc="http://schemas.openxmlformats.org/markup-compatibility/2006">
    <mc:Choice xmlns:a14="http://schemas.microsoft.com/office/drawing/2010/main" Requires="a14">
      <xdr:twoCellAnchor editAs="oneCell">
        <xdr:from>
          <xdr:col>24</xdr:col>
          <xdr:colOff>0</xdr:colOff>
          <xdr:row>6</xdr:row>
          <xdr:rowOff>304800</xdr:rowOff>
        </xdr:from>
        <xdr:to>
          <xdr:col>26</xdr:col>
          <xdr:colOff>0</xdr:colOff>
          <xdr:row>7</xdr:row>
          <xdr:rowOff>304800</xdr:rowOff>
        </xdr:to>
        <xdr:sp macro="" textlink="">
          <xdr:nvSpPr>
            <xdr:cNvPr id="100354" name="Drop Down 2" hidden="1">
              <a:extLst>
                <a:ext uri="{63B3BB69-23CF-44E3-9099-C40C66FF867C}">
                  <a14:compatExt spid="_x0000_s100354"/>
                </a:ext>
                <a:ext uri="{FF2B5EF4-FFF2-40B4-BE49-F238E27FC236}">
                  <a16:creationId xmlns:a16="http://schemas.microsoft.com/office/drawing/2014/main" id="{00000000-0008-0000-0700-000002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8</xdr:row>
          <xdr:rowOff>304800</xdr:rowOff>
        </xdr:from>
        <xdr:to>
          <xdr:col>25</xdr:col>
          <xdr:colOff>581025</xdr:colOff>
          <xdr:row>9</xdr:row>
          <xdr:rowOff>333375</xdr:rowOff>
        </xdr:to>
        <xdr:sp macro="" textlink="">
          <xdr:nvSpPr>
            <xdr:cNvPr id="100356" name="Drop Down 4" hidden="1">
              <a:extLst>
                <a:ext uri="{63B3BB69-23CF-44E3-9099-C40C66FF867C}">
                  <a14:compatExt spid="_x0000_s100356"/>
                </a:ext>
                <a:ext uri="{FF2B5EF4-FFF2-40B4-BE49-F238E27FC236}">
                  <a16:creationId xmlns:a16="http://schemas.microsoft.com/office/drawing/2014/main" id="{00000000-0008-0000-0700-000004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20</xdr:row>
          <xdr:rowOff>9525</xdr:rowOff>
        </xdr:from>
        <xdr:to>
          <xdr:col>23</xdr:col>
          <xdr:colOff>847725</xdr:colOff>
          <xdr:row>20</xdr:row>
          <xdr:rowOff>352425</xdr:rowOff>
        </xdr:to>
        <xdr:sp macro="" textlink="">
          <xdr:nvSpPr>
            <xdr:cNvPr id="100366" name="Drop Down 14" hidden="1">
              <a:extLst>
                <a:ext uri="{63B3BB69-23CF-44E3-9099-C40C66FF867C}">
                  <a14:compatExt spid="_x0000_s100366"/>
                </a:ext>
                <a:ext uri="{FF2B5EF4-FFF2-40B4-BE49-F238E27FC236}">
                  <a16:creationId xmlns:a16="http://schemas.microsoft.com/office/drawing/2014/main" id="{00000000-0008-0000-0700-00000E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11</xdr:row>
          <xdr:rowOff>38100</xdr:rowOff>
        </xdr:from>
        <xdr:to>
          <xdr:col>25</xdr:col>
          <xdr:colOff>581025</xdr:colOff>
          <xdr:row>12</xdr:row>
          <xdr:rowOff>114300</xdr:rowOff>
        </xdr:to>
        <xdr:sp macro="" textlink="">
          <xdr:nvSpPr>
            <xdr:cNvPr id="100375" name="Drop Down 23" hidden="1">
              <a:extLst>
                <a:ext uri="{63B3BB69-23CF-44E3-9099-C40C66FF867C}">
                  <a14:compatExt spid="_x0000_s100375"/>
                </a:ext>
                <a:ext uri="{FF2B5EF4-FFF2-40B4-BE49-F238E27FC236}">
                  <a16:creationId xmlns:a16="http://schemas.microsoft.com/office/drawing/2014/main" id="{00000000-0008-0000-0700-000017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809625</xdr:colOff>
          <xdr:row>35</xdr:row>
          <xdr:rowOff>371475</xdr:rowOff>
        </xdr:from>
        <xdr:to>
          <xdr:col>14</xdr:col>
          <xdr:colOff>9525</xdr:colOff>
          <xdr:row>36</xdr:row>
          <xdr:rowOff>352425</xdr:rowOff>
        </xdr:to>
        <xdr:sp macro="" textlink="">
          <xdr:nvSpPr>
            <xdr:cNvPr id="100377" name="Drop Down 25" hidden="1">
              <a:extLst>
                <a:ext uri="{63B3BB69-23CF-44E3-9099-C40C66FF867C}">
                  <a14:compatExt spid="_x0000_s100377"/>
                </a:ext>
                <a:ext uri="{FF2B5EF4-FFF2-40B4-BE49-F238E27FC236}">
                  <a16:creationId xmlns:a16="http://schemas.microsoft.com/office/drawing/2014/main" id="{00000000-0008-0000-0700-000019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809625</xdr:colOff>
          <xdr:row>34</xdr:row>
          <xdr:rowOff>295275</xdr:rowOff>
        </xdr:from>
        <xdr:to>
          <xdr:col>14</xdr:col>
          <xdr:colOff>9525</xdr:colOff>
          <xdr:row>35</xdr:row>
          <xdr:rowOff>371475</xdr:rowOff>
        </xdr:to>
        <xdr:sp macro="" textlink="">
          <xdr:nvSpPr>
            <xdr:cNvPr id="100378" name="Drop Down 26" hidden="1">
              <a:extLst>
                <a:ext uri="{63B3BB69-23CF-44E3-9099-C40C66FF867C}">
                  <a14:compatExt spid="_x0000_s100378"/>
                </a:ext>
                <a:ext uri="{FF2B5EF4-FFF2-40B4-BE49-F238E27FC236}">
                  <a16:creationId xmlns:a16="http://schemas.microsoft.com/office/drawing/2014/main" id="{00000000-0008-0000-0700-00001A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38</xdr:row>
          <xdr:rowOff>381000</xdr:rowOff>
        </xdr:from>
        <xdr:to>
          <xdr:col>14</xdr:col>
          <xdr:colOff>28575</xdr:colOff>
          <xdr:row>39</xdr:row>
          <xdr:rowOff>342900</xdr:rowOff>
        </xdr:to>
        <xdr:sp macro="" textlink="">
          <xdr:nvSpPr>
            <xdr:cNvPr id="100384" name="Drop Down 32" hidden="1">
              <a:extLst>
                <a:ext uri="{63B3BB69-23CF-44E3-9099-C40C66FF867C}">
                  <a14:compatExt spid="_x0000_s100384"/>
                </a:ext>
                <a:ext uri="{FF2B5EF4-FFF2-40B4-BE49-F238E27FC236}">
                  <a16:creationId xmlns:a16="http://schemas.microsoft.com/office/drawing/2014/main" id="{00000000-0008-0000-0700-000020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41</xdr:row>
          <xdr:rowOff>28575</xdr:rowOff>
        </xdr:from>
        <xdr:to>
          <xdr:col>14</xdr:col>
          <xdr:colOff>38100</xdr:colOff>
          <xdr:row>41</xdr:row>
          <xdr:rowOff>409575</xdr:rowOff>
        </xdr:to>
        <xdr:sp macro="" textlink="">
          <xdr:nvSpPr>
            <xdr:cNvPr id="100385" name="Drop Down 33" hidden="1">
              <a:extLst>
                <a:ext uri="{63B3BB69-23CF-44E3-9099-C40C66FF867C}">
                  <a14:compatExt spid="_x0000_s100385"/>
                </a:ext>
                <a:ext uri="{FF2B5EF4-FFF2-40B4-BE49-F238E27FC236}">
                  <a16:creationId xmlns:a16="http://schemas.microsoft.com/office/drawing/2014/main" id="{00000000-0008-0000-0700-000021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10</xdr:row>
          <xdr:rowOff>0</xdr:rowOff>
        </xdr:from>
        <xdr:to>
          <xdr:col>25</xdr:col>
          <xdr:colOff>581025</xdr:colOff>
          <xdr:row>11</xdr:row>
          <xdr:rowOff>28575</xdr:rowOff>
        </xdr:to>
        <xdr:sp macro="" textlink="">
          <xdr:nvSpPr>
            <xdr:cNvPr id="100386" name="Drop Down 34" hidden="1">
              <a:extLst>
                <a:ext uri="{63B3BB69-23CF-44E3-9099-C40C66FF867C}">
                  <a14:compatExt spid="_x0000_s100386"/>
                </a:ext>
                <a:ext uri="{FF2B5EF4-FFF2-40B4-BE49-F238E27FC236}">
                  <a16:creationId xmlns:a16="http://schemas.microsoft.com/office/drawing/2014/main" id="{00000000-0008-0000-0700-000022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xdr:row>
          <xdr:rowOff>9525</xdr:rowOff>
        </xdr:from>
        <xdr:to>
          <xdr:col>6</xdr:col>
          <xdr:colOff>590550</xdr:colOff>
          <xdr:row>7</xdr:row>
          <xdr:rowOff>285750</xdr:rowOff>
        </xdr:to>
        <xdr:sp macro="" textlink="">
          <xdr:nvSpPr>
            <xdr:cNvPr id="100401" name="Drop Down 49" hidden="1">
              <a:extLst>
                <a:ext uri="{63B3BB69-23CF-44E3-9099-C40C66FF867C}">
                  <a14:compatExt spid="_x0000_s100401"/>
                </a:ext>
                <a:ext uri="{FF2B5EF4-FFF2-40B4-BE49-F238E27FC236}">
                  <a16:creationId xmlns:a16="http://schemas.microsoft.com/office/drawing/2014/main" id="{00000000-0008-0000-0700-000031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63</xdr:row>
          <xdr:rowOff>19050</xdr:rowOff>
        </xdr:from>
        <xdr:to>
          <xdr:col>6</xdr:col>
          <xdr:colOff>342900</xdr:colOff>
          <xdr:row>63</xdr:row>
          <xdr:rowOff>390525</xdr:rowOff>
        </xdr:to>
        <xdr:sp macro="" textlink="">
          <xdr:nvSpPr>
            <xdr:cNvPr id="100410" name="Drop Down 58" hidden="1">
              <a:extLst>
                <a:ext uri="{63B3BB69-23CF-44E3-9099-C40C66FF867C}">
                  <a14:compatExt spid="_x0000_s100410"/>
                </a:ext>
                <a:ext uri="{FF2B5EF4-FFF2-40B4-BE49-F238E27FC236}">
                  <a16:creationId xmlns:a16="http://schemas.microsoft.com/office/drawing/2014/main" id="{00000000-0008-0000-0700-00003A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64</xdr:row>
          <xdr:rowOff>9525</xdr:rowOff>
        </xdr:from>
        <xdr:to>
          <xdr:col>6</xdr:col>
          <xdr:colOff>352425</xdr:colOff>
          <xdr:row>64</xdr:row>
          <xdr:rowOff>371475</xdr:rowOff>
        </xdr:to>
        <xdr:sp macro="" textlink="">
          <xdr:nvSpPr>
            <xdr:cNvPr id="100411" name="Drop Down 59" hidden="1">
              <a:extLst>
                <a:ext uri="{63B3BB69-23CF-44E3-9099-C40C66FF867C}">
                  <a14:compatExt spid="_x0000_s100411"/>
                </a:ext>
                <a:ext uri="{FF2B5EF4-FFF2-40B4-BE49-F238E27FC236}">
                  <a16:creationId xmlns:a16="http://schemas.microsoft.com/office/drawing/2014/main" id="{00000000-0008-0000-0700-00003B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13</xdr:row>
          <xdr:rowOff>0</xdr:rowOff>
        </xdr:from>
        <xdr:to>
          <xdr:col>25</xdr:col>
          <xdr:colOff>581025</xdr:colOff>
          <xdr:row>14</xdr:row>
          <xdr:rowOff>0</xdr:rowOff>
        </xdr:to>
        <xdr:sp macro="" textlink="">
          <xdr:nvSpPr>
            <xdr:cNvPr id="100438" name="Drop Down 86" hidden="1">
              <a:extLst>
                <a:ext uri="{63B3BB69-23CF-44E3-9099-C40C66FF867C}">
                  <a14:compatExt spid="_x0000_s100438"/>
                </a:ext>
                <a:ext uri="{FF2B5EF4-FFF2-40B4-BE49-F238E27FC236}">
                  <a16:creationId xmlns:a16="http://schemas.microsoft.com/office/drawing/2014/main" id="{00000000-0008-0000-0700-000056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14</xdr:row>
          <xdr:rowOff>0</xdr:rowOff>
        </xdr:from>
        <xdr:to>
          <xdr:col>25</xdr:col>
          <xdr:colOff>581025</xdr:colOff>
          <xdr:row>14</xdr:row>
          <xdr:rowOff>371475</xdr:rowOff>
        </xdr:to>
        <xdr:sp macro="" textlink="">
          <xdr:nvSpPr>
            <xdr:cNvPr id="100440" name="Drop Down 88" hidden="1">
              <a:extLst>
                <a:ext uri="{63B3BB69-23CF-44E3-9099-C40C66FF867C}">
                  <a14:compatExt spid="_x0000_s100440"/>
                </a:ext>
                <a:ext uri="{FF2B5EF4-FFF2-40B4-BE49-F238E27FC236}">
                  <a16:creationId xmlns:a16="http://schemas.microsoft.com/office/drawing/2014/main" id="{00000000-0008-0000-0700-000058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18</xdr:row>
          <xdr:rowOff>0</xdr:rowOff>
        </xdr:from>
        <xdr:to>
          <xdr:col>25</xdr:col>
          <xdr:colOff>581025</xdr:colOff>
          <xdr:row>19</xdr:row>
          <xdr:rowOff>38100</xdr:rowOff>
        </xdr:to>
        <xdr:sp macro="" textlink="">
          <xdr:nvSpPr>
            <xdr:cNvPr id="100442" name="Drop Down 90" hidden="1">
              <a:extLst>
                <a:ext uri="{63B3BB69-23CF-44E3-9099-C40C66FF867C}">
                  <a14:compatExt spid="_x0000_s100442"/>
                </a:ext>
                <a:ext uri="{FF2B5EF4-FFF2-40B4-BE49-F238E27FC236}">
                  <a16:creationId xmlns:a16="http://schemas.microsoft.com/office/drawing/2014/main" id="{00000000-0008-0000-0700-00005A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19</xdr:row>
          <xdr:rowOff>0</xdr:rowOff>
        </xdr:from>
        <xdr:to>
          <xdr:col>26</xdr:col>
          <xdr:colOff>0</xdr:colOff>
          <xdr:row>19</xdr:row>
          <xdr:rowOff>381000</xdr:rowOff>
        </xdr:to>
        <xdr:sp macro="" textlink="">
          <xdr:nvSpPr>
            <xdr:cNvPr id="100444" name="Drop Down 92" hidden="1">
              <a:extLst>
                <a:ext uri="{63B3BB69-23CF-44E3-9099-C40C66FF867C}">
                  <a14:compatExt spid="_x0000_s100444"/>
                </a:ext>
                <a:ext uri="{FF2B5EF4-FFF2-40B4-BE49-F238E27FC236}">
                  <a16:creationId xmlns:a16="http://schemas.microsoft.com/office/drawing/2014/main" id="{00000000-0008-0000-0700-00005C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19</xdr:row>
          <xdr:rowOff>390525</xdr:rowOff>
        </xdr:from>
        <xdr:to>
          <xdr:col>25</xdr:col>
          <xdr:colOff>581025</xdr:colOff>
          <xdr:row>20</xdr:row>
          <xdr:rowOff>352425</xdr:rowOff>
        </xdr:to>
        <xdr:sp macro="" textlink="">
          <xdr:nvSpPr>
            <xdr:cNvPr id="100446" name="Drop Down 94" hidden="1">
              <a:extLst>
                <a:ext uri="{63B3BB69-23CF-44E3-9099-C40C66FF867C}">
                  <a14:compatExt spid="_x0000_s100446"/>
                </a:ext>
                <a:ext uri="{FF2B5EF4-FFF2-40B4-BE49-F238E27FC236}">
                  <a16:creationId xmlns:a16="http://schemas.microsoft.com/office/drawing/2014/main" id="{00000000-0008-0000-0700-00005E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20</xdr:row>
          <xdr:rowOff>371475</xdr:rowOff>
        </xdr:from>
        <xdr:to>
          <xdr:col>25</xdr:col>
          <xdr:colOff>571500</xdr:colOff>
          <xdr:row>22</xdr:row>
          <xdr:rowOff>0</xdr:rowOff>
        </xdr:to>
        <xdr:sp macro="" textlink="">
          <xdr:nvSpPr>
            <xdr:cNvPr id="100448" name="Drop Down 96" hidden="1">
              <a:extLst>
                <a:ext uri="{63B3BB69-23CF-44E3-9099-C40C66FF867C}">
                  <a14:compatExt spid="_x0000_s100448"/>
                </a:ext>
                <a:ext uri="{FF2B5EF4-FFF2-40B4-BE49-F238E27FC236}">
                  <a16:creationId xmlns:a16="http://schemas.microsoft.com/office/drawing/2014/main" id="{00000000-0008-0000-0700-000060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31</xdr:row>
          <xdr:rowOff>0</xdr:rowOff>
        </xdr:from>
        <xdr:to>
          <xdr:col>25</xdr:col>
          <xdr:colOff>581025</xdr:colOff>
          <xdr:row>31</xdr:row>
          <xdr:rowOff>342900</xdr:rowOff>
        </xdr:to>
        <xdr:sp macro="" textlink="">
          <xdr:nvSpPr>
            <xdr:cNvPr id="100455" name="Drop Down 103" hidden="1">
              <a:extLst>
                <a:ext uri="{63B3BB69-23CF-44E3-9099-C40C66FF867C}">
                  <a14:compatExt spid="_x0000_s100455"/>
                </a:ext>
                <a:ext uri="{FF2B5EF4-FFF2-40B4-BE49-F238E27FC236}">
                  <a16:creationId xmlns:a16="http://schemas.microsoft.com/office/drawing/2014/main" id="{00000000-0008-0000-0700-000067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31</xdr:row>
          <xdr:rowOff>361950</xdr:rowOff>
        </xdr:from>
        <xdr:to>
          <xdr:col>26</xdr:col>
          <xdr:colOff>9525</xdr:colOff>
          <xdr:row>32</xdr:row>
          <xdr:rowOff>304800</xdr:rowOff>
        </xdr:to>
        <xdr:sp macro="" textlink="">
          <xdr:nvSpPr>
            <xdr:cNvPr id="100457" name="Drop Down 105" hidden="1">
              <a:extLst>
                <a:ext uri="{63B3BB69-23CF-44E3-9099-C40C66FF867C}">
                  <a14:compatExt spid="_x0000_s100457"/>
                </a:ext>
                <a:ext uri="{FF2B5EF4-FFF2-40B4-BE49-F238E27FC236}">
                  <a16:creationId xmlns:a16="http://schemas.microsoft.com/office/drawing/2014/main" id="{00000000-0008-0000-0700-000069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xdr:row>
          <xdr:rowOff>0</xdr:rowOff>
        </xdr:from>
        <xdr:to>
          <xdr:col>26</xdr:col>
          <xdr:colOff>0</xdr:colOff>
          <xdr:row>37</xdr:row>
          <xdr:rowOff>352425</xdr:rowOff>
        </xdr:to>
        <xdr:sp macro="" textlink="">
          <xdr:nvSpPr>
            <xdr:cNvPr id="100459" name="Drop Down 107" hidden="1">
              <a:extLst>
                <a:ext uri="{63B3BB69-23CF-44E3-9099-C40C66FF867C}">
                  <a14:compatExt spid="_x0000_s100459"/>
                </a:ext>
                <a:ext uri="{FF2B5EF4-FFF2-40B4-BE49-F238E27FC236}">
                  <a16:creationId xmlns:a16="http://schemas.microsoft.com/office/drawing/2014/main" id="{00000000-0008-0000-0700-00006B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33</xdr:row>
          <xdr:rowOff>323850</xdr:rowOff>
        </xdr:from>
        <xdr:to>
          <xdr:col>26</xdr:col>
          <xdr:colOff>19050</xdr:colOff>
          <xdr:row>35</xdr:row>
          <xdr:rowOff>47625</xdr:rowOff>
        </xdr:to>
        <xdr:sp macro="" textlink="">
          <xdr:nvSpPr>
            <xdr:cNvPr id="100461" name="Drop Down 109" hidden="1">
              <a:extLst>
                <a:ext uri="{63B3BB69-23CF-44E3-9099-C40C66FF867C}">
                  <a14:compatExt spid="_x0000_s100461"/>
                </a:ext>
                <a:ext uri="{FF2B5EF4-FFF2-40B4-BE49-F238E27FC236}">
                  <a16:creationId xmlns:a16="http://schemas.microsoft.com/office/drawing/2014/main" id="{00000000-0008-0000-0700-00006D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33</xdr:row>
          <xdr:rowOff>323850</xdr:rowOff>
        </xdr:from>
        <xdr:to>
          <xdr:col>24</xdr:col>
          <xdr:colOff>0</xdr:colOff>
          <xdr:row>35</xdr:row>
          <xdr:rowOff>19050</xdr:rowOff>
        </xdr:to>
        <xdr:sp macro="" textlink="">
          <xdr:nvSpPr>
            <xdr:cNvPr id="100463" name="Drop Down 111" hidden="1">
              <a:extLst>
                <a:ext uri="{63B3BB69-23CF-44E3-9099-C40C66FF867C}">
                  <a14:compatExt spid="_x0000_s100463"/>
                </a:ext>
                <a:ext uri="{FF2B5EF4-FFF2-40B4-BE49-F238E27FC236}">
                  <a16:creationId xmlns:a16="http://schemas.microsoft.com/office/drawing/2014/main" id="{00000000-0008-0000-0700-00006F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49</xdr:row>
          <xdr:rowOff>0</xdr:rowOff>
        </xdr:from>
        <xdr:to>
          <xdr:col>25</xdr:col>
          <xdr:colOff>581025</xdr:colOff>
          <xdr:row>50</xdr:row>
          <xdr:rowOff>38100</xdr:rowOff>
        </xdr:to>
        <xdr:sp macro="" textlink="">
          <xdr:nvSpPr>
            <xdr:cNvPr id="100467" name="Drop Down 115" hidden="1">
              <a:extLst>
                <a:ext uri="{63B3BB69-23CF-44E3-9099-C40C66FF867C}">
                  <a14:compatExt spid="_x0000_s100467"/>
                </a:ext>
                <a:ext uri="{FF2B5EF4-FFF2-40B4-BE49-F238E27FC236}">
                  <a16:creationId xmlns:a16="http://schemas.microsoft.com/office/drawing/2014/main" id="{00000000-0008-0000-0700-000073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50</xdr:row>
          <xdr:rowOff>0</xdr:rowOff>
        </xdr:from>
        <xdr:to>
          <xdr:col>26</xdr:col>
          <xdr:colOff>0</xdr:colOff>
          <xdr:row>50</xdr:row>
          <xdr:rowOff>381000</xdr:rowOff>
        </xdr:to>
        <xdr:sp macro="" textlink="">
          <xdr:nvSpPr>
            <xdr:cNvPr id="100469" name="Drop Down 117" hidden="1">
              <a:extLst>
                <a:ext uri="{63B3BB69-23CF-44E3-9099-C40C66FF867C}">
                  <a14:compatExt spid="_x0000_s100469"/>
                </a:ext>
                <a:ext uri="{FF2B5EF4-FFF2-40B4-BE49-F238E27FC236}">
                  <a16:creationId xmlns:a16="http://schemas.microsoft.com/office/drawing/2014/main" id="{00000000-0008-0000-0700-000075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51</xdr:row>
          <xdr:rowOff>19050</xdr:rowOff>
        </xdr:from>
        <xdr:to>
          <xdr:col>24</xdr:col>
          <xdr:colOff>0</xdr:colOff>
          <xdr:row>51</xdr:row>
          <xdr:rowOff>361950</xdr:rowOff>
        </xdr:to>
        <xdr:sp macro="" textlink="">
          <xdr:nvSpPr>
            <xdr:cNvPr id="100471" name="Drop Down 119" hidden="1">
              <a:extLst>
                <a:ext uri="{63B3BB69-23CF-44E3-9099-C40C66FF867C}">
                  <a14:compatExt spid="_x0000_s100471"/>
                </a:ext>
                <a:ext uri="{FF2B5EF4-FFF2-40B4-BE49-F238E27FC236}">
                  <a16:creationId xmlns:a16="http://schemas.microsoft.com/office/drawing/2014/main" id="{00000000-0008-0000-0700-000077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857250</xdr:colOff>
          <xdr:row>50</xdr:row>
          <xdr:rowOff>381000</xdr:rowOff>
        </xdr:from>
        <xdr:to>
          <xdr:col>26</xdr:col>
          <xdr:colOff>0</xdr:colOff>
          <xdr:row>51</xdr:row>
          <xdr:rowOff>361950</xdr:rowOff>
        </xdr:to>
        <xdr:sp macro="" textlink="">
          <xdr:nvSpPr>
            <xdr:cNvPr id="100473" name="Drop Down 121" hidden="1">
              <a:extLst>
                <a:ext uri="{63B3BB69-23CF-44E3-9099-C40C66FF867C}">
                  <a14:compatExt spid="_x0000_s100473"/>
                </a:ext>
                <a:ext uri="{FF2B5EF4-FFF2-40B4-BE49-F238E27FC236}">
                  <a16:creationId xmlns:a16="http://schemas.microsoft.com/office/drawing/2014/main" id="{00000000-0008-0000-0700-000079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56</xdr:row>
          <xdr:rowOff>438150</xdr:rowOff>
        </xdr:from>
        <xdr:to>
          <xdr:col>26</xdr:col>
          <xdr:colOff>0</xdr:colOff>
          <xdr:row>57</xdr:row>
          <xdr:rowOff>428625</xdr:rowOff>
        </xdr:to>
        <xdr:sp macro="" textlink="">
          <xdr:nvSpPr>
            <xdr:cNvPr id="100477" name="Drop Down 125" hidden="1">
              <a:extLst>
                <a:ext uri="{63B3BB69-23CF-44E3-9099-C40C66FF867C}">
                  <a14:compatExt spid="_x0000_s100477"/>
                </a:ext>
                <a:ext uri="{FF2B5EF4-FFF2-40B4-BE49-F238E27FC236}">
                  <a16:creationId xmlns:a16="http://schemas.microsoft.com/office/drawing/2014/main" id="{00000000-0008-0000-0700-00007D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62</xdr:row>
          <xdr:rowOff>428625</xdr:rowOff>
        </xdr:from>
        <xdr:to>
          <xdr:col>26</xdr:col>
          <xdr:colOff>0</xdr:colOff>
          <xdr:row>63</xdr:row>
          <xdr:rowOff>381000</xdr:rowOff>
        </xdr:to>
        <xdr:sp macro="" textlink="">
          <xdr:nvSpPr>
            <xdr:cNvPr id="100504" name="Drop Down 152" hidden="1">
              <a:extLst>
                <a:ext uri="{63B3BB69-23CF-44E3-9099-C40C66FF867C}">
                  <a14:compatExt spid="_x0000_s100504"/>
                </a:ext>
                <a:ext uri="{FF2B5EF4-FFF2-40B4-BE49-F238E27FC236}">
                  <a16:creationId xmlns:a16="http://schemas.microsoft.com/office/drawing/2014/main" id="{00000000-0008-0000-0700-000098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64</xdr:row>
          <xdr:rowOff>0</xdr:rowOff>
        </xdr:from>
        <xdr:to>
          <xdr:col>26</xdr:col>
          <xdr:colOff>0</xdr:colOff>
          <xdr:row>64</xdr:row>
          <xdr:rowOff>361950</xdr:rowOff>
        </xdr:to>
        <xdr:sp macro="" textlink="">
          <xdr:nvSpPr>
            <xdr:cNvPr id="100506" name="Drop Down 154" hidden="1">
              <a:extLst>
                <a:ext uri="{63B3BB69-23CF-44E3-9099-C40C66FF867C}">
                  <a14:compatExt spid="_x0000_s100506"/>
                </a:ext>
                <a:ext uri="{FF2B5EF4-FFF2-40B4-BE49-F238E27FC236}">
                  <a16:creationId xmlns:a16="http://schemas.microsoft.com/office/drawing/2014/main" id="{00000000-0008-0000-0700-00009A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65</xdr:row>
          <xdr:rowOff>0</xdr:rowOff>
        </xdr:from>
        <xdr:to>
          <xdr:col>25</xdr:col>
          <xdr:colOff>581025</xdr:colOff>
          <xdr:row>66</xdr:row>
          <xdr:rowOff>0</xdr:rowOff>
        </xdr:to>
        <xdr:sp macro="" textlink="">
          <xdr:nvSpPr>
            <xdr:cNvPr id="100508" name="Drop Down 156" hidden="1">
              <a:extLst>
                <a:ext uri="{63B3BB69-23CF-44E3-9099-C40C66FF867C}">
                  <a14:compatExt spid="_x0000_s100508"/>
                </a:ext>
                <a:ext uri="{FF2B5EF4-FFF2-40B4-BE49-F238E27FC236}">
                  <a16:creationId xmlns:a16="http://schemas.microsoft.com/office/drawing/2014/main" id="{00000000-0008-0000-0700-00009C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66</xdr:row>
          <xdr:rowOff>57150</xdr:rowOff>
        </xdr:from>
        <xdr:to>
          <xdr:col>24</xdr:col>
          <xdr:colOff>0</xdr:colOff>
          <xdr:row>67</xdr:row>
          <xdr:rowOff>9525</xdr:rowOff>
        </xdr:to>
        <xdr:sp macro="" textlink="">
          <xdr:nvSpPr>
            <xdr:cNvPr id="100510" name="Drop Down 158" hidden="1">
              <a:extLst>
                <a:ext uri="{63B3BB69-23CF-44E3-9099-C40C66FF867C}">
                  <a14:compatExt spid="_x0000_s100510"/>
                </a:ext>
                <a:ext uri="{FF2B5EF4-FFF2-40B4-BE49-F238E27FC236}">
                  <a16:creationId xmlns:a16="http://schemas.microsoft.com/office/drawing/2014/main" id="{00000000-0008-0000-0700-00009E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66</xdr:row>
          <xdr:rowOff>38100</xdr:rowOff>
        </xdr:from>
        <xdr:to>
          <xdr:col>25</xdr:col>
          <xdr:colOff>581025</xdr:colOff>
          <xdr:row>67</xdr:row>
          <xdr:rowOff>19050</xdr:rowOff>
        </xdr:to>
        <xdr:sp macro="" textlink="">
          <xdr:nvSpPr>
            <xdr:cNvPr id="100512" name="Drop Down 160" hidden="1">
              <a:extLst>
                <a:ext uri="{63B3BB69-23CF-44E3-9099-C40C66FF867C}">
                  <a14:compatExt spid="_x0000_s100512"/>
                </a:ext>
                <a:ext uri="{FF2B5EF4-FFF2-40B4-BE49-F238E27FC236}">
                  <a16:creationId xmlns:a16="http://schemas.microsoft.com/office/drawing/2014/main" id="{00000000-0008-0000-0700-0000A0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67</xdr:row>
          <xdr:rowOff>28575</xdr:rowOff>
        </xdr:from>
        <xdr:to>
          <xdr:col>25</xdr:col>
          <xdr:colOff>581025</xdr:colOff>
          <xdr:row>67</xdr:row>
          <xdr:rowOff>390525</xdr:rowOff>
        </xdr:to>
        <xdr:sp macro="" textlink="">
          <xdr:nvSpPr>
            <xdr:cNvPr id="100514" name="Drop Down 162" hidden="1">
              <a:extLst>
                <a:ext uri="{63B3BB69-23CF-44E3-9099-C40C66FF867C}">
                  <a14:compatExt spid="_x0000_s100514"/>
                </a:ext>
                <a:ext uri="{FF2B5EF4-FFF2-40B4-BE49-F238E27FC236}">
                  <a16:creationId xmlns:a16="http://schemas.microsoft.com/office/drawing/2014/main" id="{00000000-0008-0000-0700-0000A2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50</xdr:row>
          <xdr:rowOff>19050</xdr:rowOff>
        </xdr:from>
        <xdr:to>
          <xdr:col>12</xdr:col>
          <xdr:colOff>0</xdr:colOff>
          <xdr:row>51</xdr:row>
          <xdr:rowOff>9525</xdr:rowOff>
        </xdr:to>
        <xdr:sp macro="" textlink="">
          <xdr:nvSpPr>
            <xdr:cNvPr id="100516" name="Drop Down 164" hidden="1">
              <a:extLst>
                <a:ext uri="{63B3BB69-23CF-44E3-9099-C40C66FF867C}">
                  <a14:compatExt spid="_x0000_s100516"/>
                </a:ext>
                <a:ext uri="{FF2B5EF4-FFF2-40B4-BE49-F238E27FC236}">
                  <a16:creationId xmlns:a16="http://schemas.microsoft.com/office/drawing/2014/main" id="{00000000-0008-0000-0700-0000A4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50</xdr:row>
          <xdr:rowOff>0</xdr:rowOff>
        </xdr:from>
        <xdr:to>
          <xdr:col>15</xdr:col>
          <xdr:colOff>9525</xdr:colOff>
          <xdr:row>50</xdr:row>
          <xdr:rowOff>371475</xdr:rowOff>
        </xdr:to>
        <xdr:sp macro="" textlink="">
          <xdr:nvSpPr>
            <xdr:cNvPr id="100518" name="Drop Down 166" hidden="1">
              <a:extLst>
                <a:ext uri="{63B3BB69-23CF-44E3-9099-C40C66FF867C}">
                  <a14:compatExt spid="_x0000_s100518"/>
                </a:ext>
                <a:ext uri="{FF2B5EF4-FFF2-40B4-BE49-F238E27FC236}">
                  <a16:creationId xmlns:a16="http://schemas.microsoft.com/office/drawing/2014/main" id="{00000000-0008-0000-0700-0000A6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52</xdr:row>
          <xdr:rowOff>28575</xdr:rowOff>
        </xdr:from>
        <xdr:to>
          <xdr:col>12</xdr:col>
          <xdr:colOff>0</xdr:colOff>
          <xdr:row>53</xdr:row>
          <xdr:rowOff>19050</xdr:rowOff>
        </xdr:to>
        <xdr:sp macro="" textlink="">
          <xdr:nvSpPr>
            <xdr:cNvPr id="100519" name="Drop Down 167" hidden="1">
              <a:extLst>
                <a:ext uri="{63B3BB69-23CF-44E3-9099-C40C66FF867C}">
                  <a14:compatExt spid="_x0000_s100519"/>
                </a:ext>
                <a:ext uri="{FF2B5EF4-FFF2-40B4-BE49-F238E27FC236}">
                  <a16:creationId xmlns:a16="http://schemas.microsoft.com/office/drawing/2014/main" id="{00000000-0008-0000-0700-0000A7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485775</xdr:colOff>
          <xdr:row>52</xdr:row>
          <xdr:rowOff>9525</xdr:rowOff>
        </xdr:from>
        <xdr:to>
          <xdr:col>14</xdr:col>
          <xdr:colOff>857250</xdr:colOff>
          <xdr:row>52</xdr:row>
          <xdr:rowOff>381000</xdr:rowOff>
        </xdr:to>
        <xdr:sp macro="" textlink="">
          <xdr:nvSpPr>
            <xdr:cNvPr id="100521" name="Drop Down 169" hidden="1">
              <a:extLst>
                <a:ext uri="{63B3BB69-23CF-44E3-9099-C40C66FF867C}">
                  <a14:compatExt spid="_x0000_s100521"/>
                </a:ext>
                <a:ext uri="{FF2B5EF4-FFF2-40B4-BE49-F238E27FC236}">
                  <a16:creationId xmlns:a16="http://schemas.microsoft.com/office/drawing/2014/main" id="{00000000-0008-0000-0700-0000A9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53</xdr:row>
          <xdr:rowOff>371475</xdr:rowOff>
        </xdr:from>
        <xdr:to>
          <xdr:col>12</xdr:col>
          <xdr:colOff>0</xdr:colOff>
          <xdr:row>54</xdr:row>
          <xdr:rowOff>361950</xdr:rowOff>
        </xdr:to>
        <xdr:sp macro="" textlink="">
          <xdr:nvSpPr>
            <xdr:cNvPr id="100523" name="Drop Down 171" hidden="1">
              <a:extLst>
                <a:ext uri="{63B3BB69-23CF-44E3-9099-C40C66FF867C}">
                  <a14:compatExt spid="_x0000_s100523"/>
                </a:ext>
                <a:ext uri="{FF2B5EF4-FFF2-40B4-BE49-F238E27FC236}">
                  <a16:creationId xmlns:a16="http://schemas.microsoft.com/office/drawing/2014/main" id="{00000000-0008-0000-0700-0000AB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53</xdr:row>
          <xdr:rowOff>381000</xdr:rowOff>
        </xdr:from>
        <xdr:to>
          <xdr:col>14</xdr:col>
          <xdr:colOff>857250</xdr:colOff>
          <xdr:row>54</xdr:row>
          <xdr:rowOff>361950</xdr:rowOff>
        </xdr:to>
        <xdr:sp macro="" textlink="">
          <xdr:nvSpPr>
            <xdr:cNvPr id="100525" name="Drop Down 173" hidden="1">
              <a:extLst>
                <a:ext uri="{63B3BB69-23CF-44E3-9099-C40C66FF867C}">
                  <a14:compatExt spid="_x0000_s100525"/>
                </a:ext>
                <a:ext uri="{FF2B5EF4-FFF2-40B4-BE49-F238E27FC236}">
                  <a16:creationId xmlns:a16="http://schemas.microsoft.com/office/drawing/2014/main" id="{00000000-0008-0000-0700-0000AD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56</xdr:row>
          <xdr:rowOff>19050</xdr:rowOff>
        </xdr:from>
        <xdr:to>
          <xdr:col>11</xdr:col>
          <xdr:colOff>819150</xdr:colOff>
          <xdr:row>56</xdr:row>
          <xdr:rowOff>400050</xdr:rowOff>
        </xdr:to>
        <xdr:sp macro="" textlink="">
          <xdr:nvSpPr>
            <xdr:cNvPr id="100526" name="Drop Down 174" hidden="1">
              <a:extLst>
                <a:ext uri="{63B3BB69-23CF-44E3-9099-C40C66FF867C}">
                  <a14:compatExt spid="_x0000_s100526"/>
                </a:ext>
                <a:ext uri="{FF2B5EF4-FFF2-40B4-BE49-F238E27FC236}">
                  <a16:creationId xmlns:a16="http://schemas.microsoft.com/office/drawing/2014/main" id="{00000000-0008-0000-0700-0000AE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56</xdr:row>
          <xdr:rowOff>19050</xdr:rowOff>
        </xdr:from>
        <xdr:to>
          <xdr:col>15</xdr:col>
          <xdr:colOff>9525</xdr:colOff>
          <xdr:row>56</xdr:row>
          <xdr:rowOff>390525</xdr:rowOff>
        </xdr:to>
        <xdr:sp macro="" textlink="">
          <xdr:nvSpPr>
            <xdr:cNvPr id="100528" name="Drop Down 176" hidden="1">
              <a:extLst>
                <a:ext uri="{63B3BB69-23CF-44E3-9099-C40C66FF867C}">
                  <a14:compatExt spid="_x0000_s100528"/>
                </a:ext>
                <a:ext uri="{FF2B5EF4-FFF2-40B4-BE49-F238E27FC236}">
                  <a16:creationId xmlns:a16="http://schemas.microsoft.com/office/drawing/2014/main" id="{00000000-0008-0000-0700-0000B0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39</xdr:row>
          <xdr:rowOff>342900</xdr:rowOff>
        </xdr:from>
        <xdr:to>
          <xdr:col>14</xdr:col>
          <xdr:colOff>28575</xdr:colOff>
          <xdr:row>41</xdr:row>
          <xdr:rowOff>19050</xdr:rowOff>
        </xdr:to>
        <xdr:sp macro="" textlink="">
          <xdr:nvSpPr>
            <xdr:cNvPr id="100532" name="Drop Down 180" hidden="1">
              <a:extLst>
                <a:ext uri="{63B3BB69-23CF-44E3-9099-C40C66FF867C}">
                  <a14:compatExt spid="_x0000_s100532"/>
                </a:ext>
                <a:ext uri="{FF2B5EF4-FFF2-40B4-BE49-F238E27FC236}">
                  <a16:creationId xmlns:a16="http://schemas.microsoft.com/office/drawing/2014/main" id="{00000000-0008-0000-0700-0000B4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581025</xdr:colOff>
          <xdr:row>21</xdr:row>
          <xdr:rowOff>19050</xdr:rowOff>
        </xdr:from>
        <xdr:to>
          <xdr:col>6</xdr:col>
          <xdr:colOff>600075</xdr:colOff>
          <xdr:row>21</xdr:row>
          <xdr:rowOff>323850</xdr:rowOff>
        </xdr:to>
        <xdr:sp macro="" textlink="">
          <xdr:nvSpPr>
            <xdr:cNvPr id="100535" name="Drop Down 183" hidden="1">
              <a:extLst>
                <a:ext uri="{63B3BB69-23CF-44E3-9099-C40C66FF867C}">
                  <a14:compatExt spid="_x0000_s100535"/>
                </a:ext>
                <a:ext uri="{FF2B5EF4-FFF2-40B4-BE49-F238E27FC236}">
                  <a16:creationId xmlns:a16="http://schemas.microsoft.com/office/drawing/2014/main" id="{00000000-0008-0000-0700-0000B7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819150</xdr:colOff>
          <xdr:row>41</xdr:row>
          <xdr:rowOff>409575</xdr:rowOff>
        </xdr:from>
        <xdr:to>
          <xdr:col>14</xdr:col>
          <xdr:colOff>28575</xdr:colOff>
          <xdr:row>42</xdr:row>
          <xdr:rowOff>400050</xdr:rowOff>
        </xdr:to>
        <xdr:sp macro="" textlink="">
          <xdr:nvSpPr>
            <xdr:cNvPr id="100619" name="Drop Down 267" hidden="1">
              <a:extLst>
                <a:ext uri="{63B3BB69-23CF-44E3-9099-C40C66FF867C}">
                  <a14:compatExt spid="_x0000_s100619"/>
                </a:ext>
                <a:ext uri="{FF2B5EF4-FFF2-40B4-BE49-F238E27FC236}">
                  <a16:creationId xmlns:a16="http://schemas.microsoft.com/office/drawing/2014/main" id="{00000000-0008-0000-0700-00000B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35</xdr:row>
          <xdr:rowOff>66675</xdr:rowOff>
        </xdr:from>
        <xdr:to>
          <xdr:col>26</xdr:col>
          <xdr:colOff>9525</xdr:colOff>
          <xdr:row>36</xdr:row>
          <xdr:rowOff>28575</xdr:rowOff>
        </xdr:to>
        <xdr:sp macro="" textlink="">
          <xdr:nvSpPr>
            <xdr:cNvPr id="100628" name="Drop Down 276" hidden="1">
              <a:extLst>
                <a:ext uri="{63B3BB69-23CF-44E3-9099-C40C66FF867C}">
                  <a14:compatExt spid="_x0000_s100628"/>
                </a:ext>
                <a:ext uri="{FF2B5EF4-FFF2-40B4-BE49-F238E27FC236}">
                  <a16:creationId xmlns:a16="http://schemas.microsoft.com/office/drawing/2014/main" id="{00000000-0008-0000-0700-000014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36</xdr:row>
          <xdr:rowOff>28575</xdr:rowOff>
        </xdr:from>
        <xdr:to>
          <xdr:col>26</xdr:col>
          <xdr:colOff>28575</xdr:colOff>
          <xdr:row>36</xdr:row>
          <xdr:rowOff>381000</xdr:rowOff>
        </xdr:to>
        <xdr:sp macro="" textlink="">
          <xdr:nvSpPr>
            <xdr:cNvPr id="100629" name="Drop Down 277" hidden="1">
              <a:extLst>
                <a:ext uri="{63B3BB69-23CF-44E3-9099-C40C66FF867C}">
                  <a14:compatExt spid="_x0000_s100629"/>
                </a:ext>
                <a:ext uri="{FF2B5EF4-FFF2-40B4-BE49-F238E27FC236}">
                  <a16:creationId xmlns:a16="http://schemas.microsoft.com/office/drawing/2014/main" id="{00000000-0008-0000-0700-000015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42</xdr:row>
          <xdr:rowOff>381000</xdr:rowOff>
        </xdr:from>
        <xdr:to>
          <xdr:col>25</xdr:col>
          <xdr:colOff>571500</xdr:colOff>
          <xdr:row>43</xdr:row>
          <xdr:rowOff>304800</xdr:rowOff>
        </xdr:to>
        <xdr:sp macro="" textlink="">
          <xdr:nvSpPr>
            <xdr:cNvPr id="100631" name="Drop Down 279" hidden="1">
              <a:extLst>
                <a:ext uri="{63B3BB69-23CF-44E3-9099-C40C66FF867C}">
                  <a14:compatExt spid="_x0000_s100631"/>
                </a:ext>
                <a:ext uri="{FF2B5EF4-FFF2-40B4-BE49-F238E27FC236}">
                  <a16:creationId xmlns:a16="http://schemas.microsoft.com/office/drawing/2014/main" id="{00000000-0008-0000-0700-000017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43</xdr:row>
          <xdr:rowOff>323850</xdr:rowOff>
        </xdr:from>
        <xdr:to>
          <xdr:col>26</xdr:col>
          <xdr:colOff>0</xdr:colOff>
          <xdr:row>44</xdr:row>
          <xdr:rowOff>323850</xdr:rowOff>
        </xdr:to>
        <xdr:sp macro="" textlink="">
          <xdr:nvSpPr>
            <xdr:cNvPr id="100632" name="Drop Down 280" hidden="1">
              <a:extLst>
                <a:ext uri="{63B3BB69-23CF-44E3-9099-C40C66FF867C}">
                  <a14:compatExt spid="_x0000_s100632"/>
                </a:ext>
                <a:ext uri="{FF2B5EF4-FFF2-40B4-BE49-F238E27FC236}">
                  <a16:creationId xmlns:a16="http://schemas.microsoft.com/office/drawing/2014/main" id="{00000000-0008-0000-0700-000018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64</xdr:row>
          <xdr:rowOff>381000</xdr:rowOff>
        </xdr:from>
        <xdr:to>
          <xdr:col>6</xdr:col>
          <xdr:colOff>352425</xdr:colOff>
          <xdr:row>65</xdr:row>
          <xdr:rowOff>352425</xdr:rowOff>
        </xdr:to>
        <xdr:sp macro="" textlink="">
          <xdr:nvSpPr>
            <xdr:cNvPr id="100667" name="Drop Down 315" hidden="1">
              <a:extLst>
                <a:ext uri="{63B3BB69-23CF-44E3-9099-C40C66FF867C}">
                  <a14:compatExt spid="_x0000_s100667"/>
                </a:ext>
                <a:ext uri="{FF2B5EF4-FFF2-40B4-BE49-F238E27FC236}">
                  <a16:creationId xmlns:a16="http://schemas.microsoft.com/office/drawing/2014/main" id="{00000000-0008-0000-0700-00003B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61</xdr:row>
          <xdr:rowOff>0</xdr:rowOff>
        </xdr:from>
        <xdr:to>
          <xdr:col>23</xdr:col>
          <xdr:colOff>847725</xdr:colOff>
          <xdr:row>61</xdr:row>
          <xdr:rowOff>409575</xdr:rowOff>
        </xdr:to>
        <xdr:sp macro="" textlink="">
          <xdr:nvSpPr>
            <xdr:cNvPr id="100674" name="Drop Down 322" hidden="1">
              <a:extLst>
                <a:ext uri="{63B3BB69-23CF-44E3-9099-C40C66FF867C}">
                  <a14:compatExt spid="_x0000_s100674"/>
                </a:ext>
                <a:ext uri="{FF2B5EF4-FFF2-40B4-BE49-F238E27FC236}">
                  <a16:creationId xmlns:a16="http://schemas.microsoft.com/office/drawing/2014/main" id="{00000000-0008-0000-0700-000042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23</xdr:row>
          <xdr:rowOff>0</xdr:rowOff>
        </xdr:from>
        <xdr:to>
          <xdr:col>25</xdr:col>
          <xdr:colOff>581025</xdr:colOff>
          <xdr:row>23</xdr:row>
          <xdr:rowOff>447675</xdr:rowOff>
        </xdr:to>
        <xdr:sp macro="" textlink="">
          <xdr:nvSpPr>
            <xdr:cNvPr id="100675" name="Drop Down 323" hidden="1">
              <a:extLst>
                <a:ext uri="{63B3BB69-23CF-44E3-9099-C40C66FF867C}">
                  <a14:compatExt spid="_x0000_s100675"/>
                </a:ext>
                <a:ext uri="{FF2B5EF4-FFF2-40B4-BE49-F238E27FC236}">
                  <a16:creationId xmlns:a16="http://schemas.microsoft.com/office/drawing/2014/main" id="{00000000-0008-0000-0700-000043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23</xdr:row>
          <xdr:rowOff>457200</xdr:rowOff>
        </xdr:from>
        <xdr:to>
          <xdr:col>26</xdr:col>
          <xdr:colOff>19050</xdr:colOff>
          <xdr:row>25</xdr:row>
          <xdr:rowOff>0</xdr:rowOff>
        </xdr:to>
        <xdr:sp macro="" textlink="">
          <xdr:nvSpPr>
            <xdr:cNvPr id="100676" name="Drop Down 324" hidden="1">
              <a:extLst>
                <a:ext uri="{63B3BB69-23CF-44E3-9099-C40C66FF867C}">
                  <a14:compatExt spid="_x0000_s100676"/>
                </a:ext>
                <a:ext uri="{FF2B5EF4-FFF2-40B4-BE49-F238E27FC236}">
                  <a16:creationId xmlns:a16="http://schemas.microsoft.com/office/drawing/2014/main" id="{00000000-0008-0000-0700-000044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866775</xdr:colOff>
          <xdr:row>25</xdr:row>
          <xdr:rowOff>409575</xdr:rowOff>
        </xdr:from>
        <xdr:to>
          <xdr:col>26</xdr:col>
          <xdr:colOff>9525</xdr:colOff>
          <xdr:row>26</xdr:row>
          <xdr:rowOff>361950</xdr:rowOff>
        </xdr:to>
        <xdr:sp macro="" textlink="">
          <xdr:nvSpPr>
            <xdr:cNvPr id="100679" name="Drop Down 327" hidden="1">
              <a:extLst>
                <a:ext uri="{63B3BB69-23CF-44E3-9099-C40C66FF867C}">
                  <a14:compatExt spid="_x0000_s100679"/>
                </a:ext>
                <a:ext uri="{FF2B5EF4-FFF2-40B4-BE49-F238E27FC236}">
                  <a16:creationId xmlns:a16="http://schemas.microsoft.com/office/drawing/2014/main" id="{00000000-0008-0000-0700-000047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53</xdr:row>
          <xdr:rowOff>371475</xdr:rowOff>
        </xdr:from>
        <xdr:to>
          <xdr:col>25</xdr:col>
          <xdr:colOff>581025</xdr:colOff>
          <xdr:row>55</xdr:row>
          <xdr:rowOff>38100</xdr:rowOff>
        </xdr:to>
        <xdr:sp macro="" textlink="">
          <xdr:nvSpPr>
            <xdr:cNvPr id="100682" name="Drop Down 330" hidden="1">
              <a:extLst>
                <a:ext uri="{63B3BB69-23CF-44E3-9099-C40C66FF867C}">
                  <a14:compatExt spid="_x0000_s100682"/>
                </a:ext>
                <a:ext uri="{FF2B5EF4-FFF2-40B4-BE49-F238E27FC236}">
                  <a16:creationId xmlns:a16="http://schemas.microsoft.com/office/drawing/2014/main" id="{00000000-0008-0000-0700-00004A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866775</xdr:colOff>
          <xdr:row>55</xdr:row>
          <xdr:rowOff>28575</xdr:rowOff>
        </xdr:from>
        <xdr:to>
          <xdr:col>25</xdr:col>
          <xdr:colOff>581025</xdr:colOff>
          <xdr:row>55</xdr:row>
          <xdr:rowOff>428625</xdr:rowOff>
        </xdr:to>
        <xdr:sp macro="" textlink="">
          <xdr:nvSpPr>
            <xdr:cNvPr id="100684" name="Drop Down 332" hidden="1">
              <a:extLst>
                <a:ext uri="{63B3BB69-23CF-44E3-9099-C40C66FF867C}">
                  <a14:compatExt spid="_x0000_s100684"/>
                </a:ext>
                <a:ext uri="{FF2B5EF4-FFF2-40B4-BE49-F238E27FC236}">
                  <a16:creationId xmlns:a16="http://schemas.microsoft.com/office/drawing/2014/main" id="{00000000-0008-0000-0700-00004C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83</xdr:row>
          <xdr:rowOff>333375</xdr:rowOff>
        </xdr:from>
        <xdr:to>
          <xdr:col>25</xdr:col>
          <xdr:colOff>476250</xdr:colOff>
          <xdr:row>84</xdr:row>
          <xdr:rowOff>381000</xdr:rowOff>
        </xdr:to>
        <xdr:sp macro="" textlink="">
          <xdr:nvSpPr>
            <xdr:cNvPr id="100690" name="Drop Down 338" hidden="1">
              <a:extLst>
                <a:ext uri="{63B3BB69-23CF-44E3-9099-C40C66FF867C}">
                  <a14:compatExt spid="_x0000_s100690"/>
                </a:ext>
                <a:ext uri="{FF2B5EF4-FFF2-40B4-BE49-F238E27FC236}">
                  <a16:creationId xmlns:a16="http://schemas.microsoft.com/office/drawing/2014/main" id="{00000000-0008-0000-0700-000052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125</xdr:row>
          <xdr:rowOff>9525</xdr:rowOff>
        </xdr:from>
        <xdr:to>
          <xdr:col>25</xdr:col>
          <xdr:colOff>409575</xdr:colOff>
          <xdr:row>125</xdr:row>
          <xdr:rowOff>457200</xdr:rowOff>
        </xdr:to>
        <xdr:sp macro="" textlink="">
          <xdr:nvSpPr>
            <xdr:cNvPr id="100757" name="Drop Down 405" hidden="1">
              <a:extLst>
                <a:ext uri="{63B3BB69-23CF-44E3-9099-C40C66FF867C}">
                  <a14:compatExt spid="_x0000_s100757"/>
                </a:ext>
                <a:ext uri="{FF2B5EF4-FFF2-40B4-BE49-F238E27FC236}">
                  <a16:creationId xmlns:a16="http://schemas.microsoft.com/office/drawing/2014/main" id="{00000000-0008-0000-0700-000095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552450</xdr:colOff>
          <xdr:row>125</xdr:row>
          <xdr:rowOff>0</xdr:rowOff>
        </xdr:from>
        <xdr:to>
          <xdr:col>27</xdr:col>
          <xdr:colOff>714375</xdr:colOff>
          <xdr:row>125</xdr:row>
          <xdr:rowOff>447675</xdr:rowOff>
        </xdr:to>
        <xdr:sp macro="" textlink="">
          <xdr:nvSpPr>
            <xdr:cNvPr id="100759" name="Drop Down 407" hidden="1">
              <a:extLst>
                <a:ext uri="{63B3BB69-23CF-44E3-9099-C40C66FF867C}">
                  <a14:compatExt spid="_x0000_s100759"/>
                </a:ext>
                <a:ext uri="{FF2B5EF4-FFF2-40B4-BE49-F238E27FC236}">
                  <a16:creationId xmlns:a16="http://schemas.microsoft.com/office/drawing/2014/main" id="{00000000-0008-0000-0700-000097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409575</xdr:colOff>
          <xdr:row>124</xdr:row>
          <xdr:rowOff>19050</xdr:rowOff>
        </xdr:from>
        <xdr:to>
          <xdr:col>26</xdr:col>
          <xdr:colOff>533400</xdr:colOff>
          <xdr:row>124</xdr:row>
          <xdr:rowOff>400050</xdr:rowOff>
        </xdr:to>
        <xdr:sp macro="" textlink="">
          <xdr:nvSpPr>
            <xdr:cNvPr id="100760" name="Drop Down 408" hidden="1">
              <a:extLst>
                <a:ext uri="{63B3BB69-23CF-44E3-9099-C40C66FF867C}">
                  <a14:compatExt spid="_x0000_s100760"/>
                </a:ext>
                <a:ext uri="{FF2B5EF4-FFF2-40B4-BE49-F238E27FC236}">
                  <a16:creationId xmlns:a16="http://schemas.microsoft.com/office/drawing/2014/main" id="{00000000-0008-0000-0700-000098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126</xdr:row>
          <xdr:rowOff>19050</xdr:rowOff>
        </xdr:from>
        <xdr:to>
          <xdr:col>25</xdr:col>
          <xdr:colOff>428625</xdr:colOff>
          <xdr:row>126</xdr:row>
          <xdr:rowOff>400050</xdr:rowOff>
        </xdr:to>
        <xdr:sp macro="" textlink="">
          <xdr:nvSpPr>
            <xdr:cNvPr id="100761" name="Drop Down 409" hidden="1">
              <a:extLst>
                <a:ext uri="{63B3BB69-23CF-44E3-9099-C40C66FF867C}">
                  <a14:compatExt spid="_x0000_s100761"/>
                </a:ext>
                <a:ext uri="{FF2B5EF4-FFF2-40B4-BE49-F238E27FC236}">
                  <a16:creationId xmlns:a16="http://schemas.microsoft.com/office/drawing/2014/main" id="{00000000-0008-0000-0700-000099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128</xdr:row>
          <xdr:rowOff>19050</xdr:rowOff>
        </xdr:from>
        <xdr:to>
          <xdr:col>25</xdr:col>
          <xdr:colOff>428625</xdr:colOff>
          <xdr:row>128</xdr:row>
          <xdr:rowOff>400050</xdr:rowOff>
        </xdr:to>
        <xdr:sp macro="" textlink="">
          <xdr:nvSpPr>
            <xdr:cNvPr id="100763" name="Drop Down 411" hidden="1">
              <a:extLst>
                <a:ext uri="{63B3BB69-23CF-44E3-9099-C40C66FF867C}">
                  <a14:compatExt spid="_x0000_s100763"/>
                </a:ext>
                <a:ext uri="{FF2B5EF4-FFF2-40B4-BE49-F238E27FC236}">
                  <a16:creationId xmlns:a16="http://schemas.microsoft.com/office/drawing/2014/main" id="{00000000-0008-0000-0700-00009B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129</xdr:row>
          <xdr:rowOff>19050</xdr:rowOff>
        </xdr:from>
        <xdr:to>
          <xdr:col>25</xdr:col>
          <xdr:colOff>428625</xdr:colOff>
          <xdr:row>129</xdr:row>
          <xdr:rowOff>400050</xdr:rowOff>
        </xdr:to>
        <xdr:sp macro="" textlink="">
          <xdr:nvSpPr>
            <xdr:cNvPr id="100764" name="Drop Down 412" hidden="1">
              <a:extLst>
                <a:ext uri="{63B3BB69-23CF-44E3-9099-C40C66FF867C}">
                  <a14:compatExt spid="_x0000_s100764"/>
                </a:ext>
                <a:ext uri="{FF2B5EF4-FFF2-40B4-BE49-F238E27FC236}">
                  <a16:creationId xmlns:a16="http://schemas.microsoft.com/office/drawing/2014/main" id="{00000000-0008-0000-0700-00009C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136</xdr:row>
          <xdr:rowOff>9525</xdr:rowOff>
        </xdr:from>
        <xdr:to>
          <xdr:col>25</xdr:col>
          <xdr:colOff>409575</xdr:colOff>
          <xdr:row>136</xdr:row>
          <xdr:rowOff>419100</xdr:rowOff>
        </xdr:to>
        <xdr:sp macro="" textlink="">
          <xdr:nvSpPr>
            <xdr:cNvPr id="100765" name="Drop Down 413" hidden="1">
              <a:extLst>
                <a:ext uri="{63B3BB69-23CF-44E3-9099-C40C66FF867C}">
                  <a14:compatExt spid="_x0000_s100765"/>
                </a:ext>
                <a:ext uri="{FF2B5EF4-FFF2-40B4-BE49-F238E27FC236}">
                  <a16:creationId xmlns:a16="http://schemas.microsoft.com/office/drawing/2014/main" id="{00000000-0008-0000-0700-00009D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552450</xdr:colOff>
          <xdr:row>136</xdr:row>
          <xdr:rowOff>0</xdr:rowOff>
        </xdr:from>
        <xdr:to>
          <xdr:col>27</xdr:col>
          <xdr:colOff>714375</xdr:colOff>
          <xdr:row>136</xdr:row>
          <xdr:rowOff>400050</xdr:rowOff>
        </xdr:to>
        <xdr:sp macro="" textlink="">
          <xdr:nvSpPr>
            <xdr:cNvPr id="100766" name="Drop Down 414" hidden="1">
              <a:extLst>
                <a:ext uri="{63B3BB69-23CF-44E3-9099-C40C66FF867C}">
                  <a14:compatExt spid="_x0000_s100766"/>
                </a:ext>
                <a:ext uri="{FF2B5EF4-FFF2-40B4-BE49-F238E27FC236}">
                  <a16:creationId xmlns:a16="http://schemas.microsoft.com/office/drawing/2014/main" id="{00000000-0008-0000-0700-00009E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419100</xdr:colOff>
          <xdr:row>135</xdr:row>
          <xdr:rowOff>104775</xdr:rowOff>
        </xdr:from>
        <xdr:to>
          <xdr:col>26</xdr:col>
          <xdr:colOff>542925</xdr:colOff>
          <xdr:row>135</xdr:row>
          <xdr:rowOff>466725</xdr:rowOff>
        </xdr:to>
        <xdr:sp macro="" textlink="">
          <xdr:nvSpPr>
            <xdr:cNvPr id="100767" name="Drop Down 415" hidden="1">
              <a:extLst>
                <a:ext uri="{63B3BB69-23CF-44E3-9099-C40C66FF867C}">
                  <a14:compatExt spid="_x0000_s100767"/>
                </a:ext>
                <a:ext uri="{FF2B5EF4-FFF2-40B4-BE49-F238E27FC236}">
                  <a16:creationId xmlns:a16="http://schemas.microsoft.com/office/drawing/2014/main" id="{00000000-0008-0000-0700-00009F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143</xdr:row>
          <xdr:rowOff>9525</xdr:rowOff>
        </xdr:from>
        <xdr:to>
          <xdr:col>25</xdr:col>
          <xdr:colOff>419100</xdr:colOff>
          <xdr:row>143</xdr:row>
          <xdr:rowOff>447675</xdr:rowOff>
        </xdr:to>
        <xdr:sp macro="" textlink="">
          <xdr:nvSpPr>
            <xdr:cNvPr id="100768" name="Drop Down 416" hidden="1">
              <a:extLst>
                <a:ext uri="{63B3BB69-23CF-44E3-9099-C40C66FF867C}">
                  <a14:compatExt spid="_x0000_s100768"/>
                </a:ext>
                <a:ext uri="{FF2B5EF4-FFF2-40B4-BE49-F238E27FC236}">
                  <a16:creationId xmlns:a16="http://schemas.microsoft.com/office/drawing/2014/main" id="{00000000-0008-0000-0700-0000A0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590550</xdr:colOff>
          <xdr:row>143</xdr:row>
          <xdr:rowOff>0</xdr:rowOff>
        </xdr:from>
        <xdr:to>
          <xdr:col>27</xdr:col>
          <xdr:colOff>714375</xdr:colOff>
          <xdr:row>143</xdr:row>
          <xdr:rowOff>438150</xdr:rowOff>
        </xdr:to>
        <xdr:sp macro="" textlink="">
          <xdr:nvSpPr>
            <xdr:cNvPr id="100769" name="Drop Down 417" hidden="1">
              <a:extLst>
                <a:ext uri="{63B3BB69-23CF-44E3-9099-C40C66FF867C}">
                  <a14:compatExt spid="_x0000_s100769"/>
                </a:ext>
                <a:ext uri="{FF2B5EF4-FFF2-40B4-BE49-F238E27FC236}">
                  <a16:creationId xmlns:a16="http://schemas.microsoft.com/office/drawing/2014/main" id="{00000000-0008-0000-0700-0000A1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419100</xdr:colOff>
          <xdr:row>142</xdr:row>
          <xdr:rowOff>104775</xdr:rowOff>
        </xdr:from>
        <xdr:to>
          <xdr:col>26</xdr:col>
          <xdr:colOff>542925</xdr:colOff>
          <xdr:row>143</xdr:row>
          <xdr:rowOff>0</xdr:rowOff>
        </xdr:to>
        <xdr:sp macro="" textlink="">
          <xdr:nvSpPr>
            <xdr:cNvPr id="100770" name="Drop Down 418" hidden="1">
              <a:extLst>
                <a:ext uri="{63B3BB69-23CF-44E3-9099-C40C66FF867C}">
                  <a14:compatExt spid="_x0000_s100770"/>
                </a:ext>
                <a:ext uri="{FF2B5EF4-FFF2-40B4-BE49-F238E27FC236}">
                  <a16:creationId xmlns:a16="http://schemas.microsoft.com/office/drawing/2014/main" id="{00000000-0008-0000-0700-0000A2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91</xdr:row>
          <xdr:rowOff>0</xdr:rowOff>
        </xdr:from>
        <xdr:to>
          <xdr:col>25</xdr:col>
          <xdr:colOff>457200</xdr:colOff>
          <xdr:row>91</xdr:row>
          <xdr:rowOff>400050</xdr:rowOff>
        </xdr:to>
        <xdr:sp macro="" textlink="">
          <xdr:nvSpPr>
            <xdr:cNvPr id="100771" name="Drop Down 419" hidden="1">
              <a:extLst>
                <a:ext uri="{63B3BB69-23CF-44E3-9099-C40C66FF867C}">
                  <a14:compatExt spid="_x0000_s100771"/>
                </a:ext>
                <a:ext uri="{FF2B5EF4-FFF2-40B4-BE49-F238E27FC236}">
                  <a16:creationId xmlns:a16="http://schemas.microsoft.com/office/drawing/2014/main" id="{00000000-0008-0000-0700-0000A3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29</xdr:col>
      <xdr:colOff>123825</xdr:colOff>
      <xdr:row>8</xdr:row>
      <xdr:rowOff>11431</xdr:rowOff>
    </xdr:from>
    <xdr:to>
      <xdr:col>39</xdr:col>
      <xdr:colOff>123825</xdr:colOff>
      <xdr:row>8</xdr:row>
      <xdr:rowOff>152400</xdr:rowOff>
    </xdr:to>
    <xdr:sp macro="" textlink="">
      <xdr:nvSpPr>
        <xdr:cNvPr id="4" name="Right Arrow 3">
          <a:extLst>
            <a:ext uri="{FF2B5EF4-FFF2-40B4-BE49-F238E27FC236}">
              <a16:creationId xmlns:a16="http://schemas.microsoft.com/office/drawing/2014/main" id="{00000000-0008-0000-0700-000004000000}"/>
            </a:ext>
          </a:extLst>
        </xdr:cNvPr>
        <xdr:cNvSpPr/>
      </xdr:nvSpPr>
      <xdr:spPr bwMode="auto">
        <a:xfrm>
          <a:off x="14563725" y="1583056"/>
          <a:ext cx="2962275" cy="140969"/>
        </a:xfrm>
        <a:prstGeom prst="rightArrow">
          <a:avLst/>
        </a:prstGeom>
        <a:solidFill>
          <a:srgbClr val="FF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l"/>
          <a:endParaRPr lang="en-US" sz="1100"/>
        </a:p>
      </xdr:txBody>
    </xdr:sp>
    <xdr:clientData/>
  </xdr:twoCellAnchor>
  <xdr:twoCellAnchor editAs="oneCell">
    <xdr:from>
      <xdr:col>29</xdr:col>
      <xdr:colOff>47625</xdr:colOff>
      <xdr:row>49</xdr:row>
      <xdr:rowOff>57150</xdr:rowOff>
    </xdr:from>
    <xdr:to>
      <xdr:col>31</xdr:col>
      <xdr:colOff>1304925</xdr:colOff>
      <xdr:row>54</xdr:row>
      <xdr:rowOff>333375</xdr:rowOff>
    </xdr:to>
    <xdr:pic>
      <xdr:nvPicPr>
        <xdr:cNvPr id="85" name="Picture 84">
          <a:extLst>
            <a:ext uri="{FF2B5EF4-FFF2-40B4-BE49-F238E27FC236}">
              <a16:creationId xmlns:a16="http://schemas.microsoft.com/office/drawing/2014/main" id="{00000000-0008-0000-0700-000055000000}"/>
            </a:ext>
          </a:extLst>
        </xdr:cNvPr>
        <xdr:cNvPicPr>
          <a:picLocks noChangeAspect="1"/>
        </xdr:cNvPicPr>
      </xdr:nvPicPr>
      <xdr:blipFill>
        <a:blip xmlns:r="http://schemas.openxmlformats.org/officeDocument/2006/relationships" r:embed="rId9"/>
        <a:stretch>
          <a:fillRect/>
        </a:stretch>
      </xdr:blipFill>
      <xdr:spPr>
        <a:xfrm>
          <a:off x="14487525" y="16630650"/>
          <a:ext cx="2219325" cy="2228850"/>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xdr:from>
      <xdr:col>29</xdr:col>
      <xdr:colOff>1</xdr:colOff>
      <xdr:row>55</xdr:row>
      <xdr:rowOff>28575</xdr:rowOff>
    </xdr:from>
    <xdr:to>
      <xdr:col>31</xdr:col>
      <xdr:colOff>1343026</xdr:colOff>
      <xdr:row>58</xdr:row>
      <xdr:rowOff>333374</xdr:rowOff>
    </xdr:to>
    <xdr:sp macro="" textlink="">
      <xdr:nvSpPr>
        <xdr:cNvPr id="86" name="Rectangle 85">
          <a:extLst>
            <a:ext uri="{FF2B5EF4-FFF2-40B4-BE49-F238E27FC236}">
              <a16:creationId xmlns:a16="http://schemas.microsoft.com/office/drawing/2014/main" id="{00000000-0008-0000-0700-000056000000}"/>
            </a:ext>
          </a:extLst>
        </xdr:cNvPr>
        <xdr:cNvSpPr/>
      </xdr:nvSpPr>
      <xdr:spPr bwMode="auto">
        <a:xfrm>
          <a:off x="14439901" y="18945225"/>
          <a:ext cx="2305050" cy="1638299"/>
        </a:xfrm>
        <a:prstGeom prst="rect">
          <a:avLst/>
        </a:prstGeom>
        <a:solidFill>
          <a:srgbClr val="003366"/>
        </a:solidFill>
        <a:ln>
          <a:headEnd type="none" w="med" len="med"/>
          <a:tailEnd type="none" w="med" len="med"/>
        </a:ln>
        <a:effectLst>
          <a:outerShdw blurRad="50800" dist="38100" dir="5400000" algn="t" rotWithShape="0">
            <a:prstClr val="black">
              <a:alpha val="40000"/>
            </a:prstClr>
          </a:outerShdw>
        </a:effectLst>
      </xdr:spPr>
      <xdr:style>
        <a:lnRef idx="0">
          <a:schemeClr val="accent5"/>
        </a:lnRef>
        <a:fillRef idx="3">
          <a:schemeClr val="accent5"/>
        </a:fillRef>
        <a:effectRef idx="3">
          <a:schemeClr val="accent5"/>
        </a:effectRef>
        <a:fontRef idx="minor">
          <a:schemeClr val="lt1"/>
        </a:fontRef>
      </xdr:style>
      <xdr:txBody>
        <a:bodyPr vertOverflow="clip" horzOverflow="clip" wrap="square" lIns="18288" tIns="0" rIns="0" bIns="0" rtlCol="0" anchor="t" upright="1"/>
        <a:lstStyle/>
        <a:p>
          <a:pPr algn="ctr"/>
          <a:endParaRPr lang="en-US" sz="1400">
            <a:solidFill>
              <a:schemeClr val="bg1"/>
            </a:solidFill>
            <a:latin typeface="Book Antiqua" pitchFamily="18" charset="0"/>
            <a:cs typeface="Arial" pitchFamily="34" charset="0"/>
          </a:endParaRPr>
        </a:p>
        <a:p>
          <a:pPr algn="l"/>
          <a:r>
            <a:rPr lang="en-US" sz="1200" b="1" i="1">
              <a:solidFill>
                <a:schemeClr val="bg1"/>
              </a:solidFill>
              <a:latin typeface="Book Antiqua" pitchFamily="18" charset="0"/>
              <a:cs typeface="Arial" pitchFamily="34" charset="0"/>
            </a:rPr>
            <a:t>                  </a:t>
          </a:r>
          <a:r>
            <a:rPr lang="en-US" sz="1050" b="1" i="1">
              <a:solidFill>
                <a:schemeClr val="bg1"/>
              </a:solidFill>
              <a:latin typeface="Lucida Fax" pitchFamily="18" charset="0"/>
              <a:cs typeface="Arial" pitchFamily="34" charset="0"/>
            </a:rPr>
            <a:t>Dr.N.Gopi</a:t>
          </a:r>
        </a:p>
        <a:p>
          <a:pPr algn="l"/>
          <a:r>
            <a:rPr lang="en-US" sz="1050" b="1" i="1">
              <a:solidFill>
                <a:schemeClr val="bg1"/>
              </a:solidFill>
              <a:latin typeface="Lucida Fax" pitchFamily="18" charset="0"/>
              <a:cs typeface="Arial" pitchFamily="34" charset="0"/>
            </a:rPr>
            <a:t> Assistant Professor of</a:t>
          </a:r>
          <a:r>
            <a:rPr lang="en-US" sz="1050" b="1" i="1" baseline="0">
              <a:solidFill>
                <a:schemeClr val="bg1"/>
              </a:solidFill>
              <a:latin typeface="Lucida Fax" pitchFamily="18" charset="0"/>
              <a:cs typeface="Arial" pitchFamily="34" charset="0"/>
            </a:rPr>
            <a:t>  </a:t>
          </a:r>
        </a:p>
        <a:p>
          <a:pPr algn="l"/>
          <a:r>
            <a:rPr lang="en-US" sz="1050" b="1" i="1" baseline="0">
              <a:solidFill>
                <a:schemeClr val="bg1"/>
              </a:solidFill>
              <a:latin typeface="Lucida Fax" pitchFamily="18" charset="0"/>
              <a:cs typeface="Arial" pitchFamily="34" charset="0"/>
            </a:rPr>
            <a:t> Economics</a:t>
          </a:r>
        </a:p>
        <a:p>
          <a:pPr algn="l"/>
          <a:r>
            <a:rPr lang="en-US" sz="1050" b="1" i="1" baseline="0">
              <a:solidFill>
                <a:schemeClr val="bg1"/>
              </a:solidFill>
              <a:latin typeface="Lucida Fax" pitchFamily="18" charset="0"/>
              <a:cs typeface="Arial" pitchFamily="34" charset="0"/>
            </a:rPr>
            <a:t> Govt.Degree  </a:t>
          </a:r>
          <a:r>
            <a:rPr lang="en-US" sz="1100" b="1" i="1" baseline="0">
              <a:solidFill>
                <a:schemeClr val="lt1"/>
              </a:solidFill>
              <a:effectLst/>
              <a:latin typeface="+mn-lt"/>
              <a:ea typeface="+mn-ea"/>
              <a:cs typeface="+mn-cs"/>
            </a:rPr>
            <a:t>College(A),</a:t>
          </a:r>
          <a:r>
            <a:rPr lang="en-US" sz="1050" b="1" i="1" baseline="0">
              <a:solidFill>
                <a:schemeClr val="bg1"/>
              </a:solidFill>
              <a:latin typeface="Lucida Fax" pitchFamily="18" charset="0"/>
              <a:cs typeface="Arial" pitchFamily="34" charset="0"/>
            </a:rPr>
            <a:t>           </a:t>
          </a:r>
        </a:p>
        <a:p>
          <a:pPr algn="l"/>
          <a:r>
            <a:rPr lang="en-US" sz="1050" b="1" i="1" baseline="0">
              <a:solidFill>
                <a:schemeClr val="bg1"/>
              </a:solidFill>
              <a:latin typeface="Lucida Fax" pitchFamily="18" charset="0"/>
              <a:cs typeface="Arial" pitchFamily="34" charset="0"/>
            </a:rPr>
            <a:t>  Sattupally</a:t>
          </a:r>
        </a:p>
        <a:p>
          <a:pPr algn="l"/>
          <a:r>
            <a:rPr lang="en-US" sz="1050" b="1" i="1" baseline="0">
              <a:solidFill>
                <a:schemeClr val="bg1"/>
              </a:solidFill>
              <a:latin typeface="Lucida Fax" pitchFamily="18" charset="0"/>
              <a:cs typeface="Arial" pitchFamily="34" charset="0"/>
            </a:rPr>
            <a:t>TGCGTA State President</a:t>
          </a:r>
        </a:p>
        <a:p>
          <a:pPr algn="l"/>
          <a:r>
            <a:rPr lang="en-US" sz="1050" b="1" i="1" baseline="0">
              <a:solidFill>
                <a:schemeClr val="bg1"/>
              </a:solidFill>
              <a:latin typeface="Lucida Fax" pitchFamily="18" charset="0"/>
              <a:cs typeface="Arial" pitchFamily="34" charset="0"/>
            </a:rPr>
            <a:t>Cell No.: 9182226319</a:t>
          </a:r>
        </a:p>
        <a:p>
          <a:pPr algn="l"/>
          <a:r>
            <a:rPr lang="en-US" sz="1050" b="1" i="1" baseline="0">
              <a:solidFill>
                <a:schemeClr val="bg1"/>
              </a:solidFill>
              <a:latin typeface="Lucida Fax" pitchFamily="18" charset="0"/>
              <a:cs typeface="Arial" pitchFamily="34" charset="0"/>
            </a:rPr>
            <a:t>Mail Id:  naruna081@gmail.com</a:t>
          </a:r>
          <a:endParaRPr lang="en-US" sz="1050" b="1" i="1">
            <a:solidFill>
              <a:schemeClr val="bg1"/>
            </a:solidFill>
            <a:latin typeface="Lucida Fax" pitchFamily="18"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24</xdr:col>
          <xdr:colOff>85725</xdr:colOff>
          <xdr:row>98</xdr:row>
          <xdr:rowOff>0</xdr:rowOff>
        </xdr:from>
        <xdr:to>
          <xdr:col>25</xdr:col>
          <xdr:colOff>457200</xdr:colOff>
          <xdr:row>98</xdr:row>
          <xdr:rowOff>400050</xdr:rowOff>
        </xdr:to>
        <xdr:sp macro="" textlink="">
          <xdr:nvSpPr>
            <xdr:cNvPr id="100772" name="Drop Down 420" hidden="1">
              <a:extLst>
                <a:ext uri="{63B3BB69-23CF-44E3-9099-C40C66FF867C}">
                  <a14:compatExt spid="_x0000_s100772"/>
                </a:ext>
                <a:ext uri="{FF2B5EF4-FFF2-40B4-BE49-F238E27FC236}">
                  <a16:creationId xmlns:a16="http://schemas.microsoft.com/office/drawing/2014/main" id="{00000000-0008-0000-0700-0000A4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257175</xdr:colOff>
          <xdr:row>150</xdr:row>
          <xdr:rowOff>76200</xdr:rowOff>
        </xdr:from>
        <xdr:to>
          <xdr:col>25</xdr:col>
          <xdr:colOff>457200</xdr:colOff>
          <xdr:row>150</xdr:row>
          <xdr:rowOff>466725</xdr:rowOff>
        </xdr:to>
        <xdr:sp macro="" textlink="">
          <xdr:nvSpPr>
            <xdr:cNvPr id="100773" name="Drop Down 421" hidden="1">
              <a:extLst>
                <a:ext uri="{63B3BB69-23CF-44E3-9099-C40C66FF867C}">
                  <a14:compatExt spid="_x0000_s100773"/>
                </a:ext>
                <a:ext uri="{FF2B5EF4-FFF2-40B4-BE49-F238E27FC236}">
                  <a16:creationId xmlns:a16="http://schemas.microsoft.com/office/drawing/2014/main" id="{00000000-0008-0000-0700-0000A5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29</xdr:col>
      <xdr:colOff>1</xdr:colOff>
      <xdr:row>31</xdr:row>
      <xdr:rowOff>9526</xdr:rowOff>
    </xdr:from>
    <xdr:to>
      <xdr:col>31</xdr:col>
      <xdr:colOff>1313186</xdr:colOff>
      <xdr:row>38</xdr:row>
      <xdr:rowOff>238125</xdr:rowOff>
    </xdr:to>
    <xdr:pic>
      <xdr:nvPicPr>
        <xdr:cNvPr id="91" name="Picture 90" descr="C:\Users\USER\Desktop\New IT Software -2025\K.Surender Reddy.jpeg">
          <a:extLst>
            <a:ext uri="{FF2B5EF4-FFF2-40B4-BE49-F238E27FC236}">
              <a16:creationId xmlns:a16="http://schemas.microsoft.com/office/drawing/2014/main" id="{00000000-0008-0000-0700-00005B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411326" y="10191751"/>
          <a:ext cx="2275210" cy="2752724"/>
        </a:xfrm>
        <a:prstGeom prst="roundRect">
          <a:avLst>
            <a:gd name="adj" fmla="val 4167"/>
          </a:avLst>
        </a:prstGeom>
        <a:solidFill>
          <a:srgbClr val="FFFFFF"/>
        </a:solidFill>
        <a:ln w="76200" cap="sq">
          <a:solidFill>
            <a:srgbClr val="292929"/>
          </a:solidFill>
          <a:miter lim="800000"/>
        </a:ln>
        <a:effectLst>
          <a:reflection blurRad="12700" stA="28000" endPos="28000" dist="5000" dir="5400000" sy="-100000" algn="bl" rotWithShape="0"/>
        </a:effectLst>
        <a:scene3d>
          <a:camera prst="orthographicFront"/>
          <a:lightRig rig="threePt" dir="t">
            <a:rot lat="0" lon="0" rev="2700000"/>
          </a:lightRig>
        </a:scene3d>
        <a:sp3d>
          <a:bevelT h="38100"/>
          <a:contourClr>
            <a:srgbClr val="C0C0C0"/>
          </a:contourClr>
        </a:sp3d>
      </xdr:spPr>
    </xdr:pic>
    <xdr:clientData/>
  </xdr:twoCellAnchor>
  <mc:AlternateContent xmlns:mc="http://schemas.openxmlformats.org/markup-compatibility/2006">
    <mc:Choice xmlns:a14="http://schemas.microsoft.com/office/drawing/2010/main" Requires="a14">
      <xdr:twoCellAnchor editAs="oneCell">
        <xdr:from>
          <xdr:col>24</xdr:col>
          <xdr:colOff>85725</xdr:colOff>
          <xdr:row>105</xdr:row>
          <xdr:rowOff>0</xdr:rowOff>
        </xdr:from>
        <xdr:to>
          <xdr:col>25</xdr:col>
          <xdr:colOff>457200</xdr:colOff>
          <xdr:row>105</xdr:row>
          <xdr:rowOff>438150</xdr:rowOff>
        </xdr:to>
        <xdr:sp macro="" textlink="">
          <xdr:nvSpPr>
            <xdr:cNvPr id="100774" name="Drop Down 422" hidden="1">
              <a:extLst>
                <a:ext uri="{63B3BB69-23CF-44E3-9099-C40C66FF867C}">
                  <a14:compatExt spid="_x0000_s100774"/>
                </a:ext>
                <a:ext uri="{FF2B5EF4-FFF2-40B4-BE49-F238E27FC236}">
                  <a16:creationId xmlns:a16="http://schemas.microsoft.com/office/drawing/2014/main" id="{00000000-0008-0000-0700-0000A6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73</xdr:row>
          <xdr:rowOff>0</xdr:rowOff>
        </xdr:from>
        <xdr:to>
          <xdr:col>27</xdr:col>
          <xdr:colOff>161925</xdr:colOff>
          <xdr:row>73</xdr:row>
          <xdr:rowOff>390525</xdr:rowOff>
        </xdr:to>
        <xdr:sp macro="" textlink="">
          <xdr:nvSpPr>
            <xdr:cNvPr id="100775" name="Drop Down 423" hidden="1">
              <a:extLst>
                <a:ext uri="{63B3BB69-23CF-44E3-9099-C40C66FF867C}">
                  <a14:compatExt spid="_x0000_s100775"/>
                </a:ext>
                <a:ext uri="{FF2B5EF4-FFF2-40B4-BE49-F238E27FC236}">
                  <a16:creationId xmlns:a16="http://schemas.microsoft.com/office/drawing/2014/main" id="{00000000-0008-0000-0700-0000A7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72</xdr:row>
          <xdr:rowOff>381000</xdr:rowOff>
        </xdr:from>
        <xdr:to>
          <xdr:col>23</xdr:col>
          <xdr:colOff>866775</xdr:colOff>
          <xdr:row>73</xdr:row>
          <xdr:rowOff>371475</xdr:rowOff>
        </xdr:to>
        <xdr:sp macro="" textlink="">
          <xdr:nvSpPr>
            <xdr:cNvPr id="100776" name="Drop Down 424" hidden="1">
              <a:extLst>
                <a:ext uri="{63B3BB69-23CF-44E3-9099-C40C66FF867C}">
                  <a14:compatExt spid="_x0000_s100776"/>
                </a:ext>
                <a:ext uri="{FF2B5EF4-FFF2-40B4-BE49-F238E27FC236}">
                  <a16:creationId xmlns:a16="http://schemas.microsoft.com/office/drawing/2014/main" id="{00000000-0008-0000-0700-0000A8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819150</xdr:colOff>
          <xdr:row>36</xdr:row>
          <xdr:rowOff>352425</xdr:rowOff>
        </xdr:from>
        <xdr:to>
          <xdr:col>14</xdr:col>
          <xdr:colOff>19050</xdr:colOff>
          <xdr:row>37</xdr:row>
          <xdr:rowOff>333375</xdr:rowOff>
        </xdr:to>
        <xdr:sp macro="" textlink="">
          <xdr:nvSpPr>
            <xdr:cNvPr id="100777" name="Drop Down 425" hidden="1">
              <a:extLst>
                <a:ext uri="{63B3BB69-23CF-44E3-9099-C40C66FF867C}">
                  <a14:compatExt spid="_x0000_s100777"/>
                </a:ext>
                <a:ext uri="{FF2B5EF4-FFF2-40B4-BE49-F238E27FC236}">
                  <a16:creationId xmlns:a16="http://schemas.microsoft.com/office/drawing/2014/main" id="{00000000-0008-0000-0700-0000A9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112</xdr:row>
          <xdr:rowOff>0</xdr:rowOff>
        </xdr:from>
        <xdr:to>
          <xdr:col>25</xdr:col>
          <xdr:colOff>457200</xdr:colOff>
          <xdr:row>112</xdr:row>
          <xdr:rowOff>438150</xdr:rowOff>
        </xdr:to>
        <xdr:sp macro="" textlink="">
          <xdr:nvSpPr>
            <xdr:cNvPr id="100778" name="Drop Down 426" hidden="1">
              <a:extLst>
                <a:ext uri="{63B3BB69-23CF-44E3-9099-C40C66FF867C}">
                  <a14:compatExt spid="_x0000_s100778"/>
                </a:ext>
                <a:ext uri="{FF2B5EF4-FFF2-40B4-BE49-F238E27FC236}">
                  <a16:creationId xmlns:a16="http://schemas.microsoft.com/office/drawing/2014/main" id="{00000000-0008-0000-0700-0000AA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119</xdr:row>
          <xdr:rowOff>0</xdr:rowOff>
        </xdr:from>
        <xdr:to>
          <xdr:col>25</xdr:col>
          <xdr:colOff>457200</xdr:colOff>
          <xdr:row>119</xdr:row>
          <xdr:rowOff>438150</xdr:rowOff>
        </xdr:to>
        <xdr:sp macro="" textlink="">
          <xdr:nvSpPr>
            <xdr:cNvPr id="100779" name="Drop Down 427" hidden="1">
              <a:extLst>
                <a:ext uri="{63B3BB69-23CF-44E3-9099-C40C66FF867C}">
                  <a14:compatExt spid="_x0000_s100779"/>
                </a:ext>
                <a:ext uri="{FF2B5EF4-FFF2-40B4-BE49-F238E27FC236}">
                  <a16:creationId xmlns:a16="http://schemas.microsoft.com/office/drawing/2014/main" id="{00000000-0008-0000-0700-0000AB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26</xdr:col>
      <xdr:colOff>47625</xdr:colOff>
      <xdr:row>37</xdr:row>
      <xdr:rowOff>76200</xdr:rowOff>
    </xdr:from>
    <xdr:to>
      <xdr:col>28</xdr:col>
      <xdr:colOff>1419225</xdr:colOff>
      <xdr:row>41</xdr:row>
      <xdr:rowOff>247650</xdr:rowOff>
    </xdr:to>
    <xdr:sp macro="" textlink="">
      <xdr:nvSpPr>
        <xdr:cNvPr id="2" name="Rectangle 1">
          <a:extLst>
            <a:ext uri="{FF2B5EF4-FFF2-40B4-BE49-F238E27FC236}">
              <a16:creationId xmlns:a16="http://schemas.microsoft.com/office/drawing/2014/main" id="{00000000-0008-0000-0800-000002000000}"/>
            </a:ext>
          </a:extLst>
        </xdr:cNvPr>
        <xdr:cNvSpPr/>
      </xdr:nvSpPr>
      <xdr:spPr>
        <a:xfrm>
          <a:off x="13496925" y="12601575"/>
          <a:ext cx="3057525" cy="1847850"/>
        </a:xfrm>
        <a:prstGeom prst="rect">
          <a:avLst/>
        </a:prstGeom>
        <a:blipFill>
          <a:blip xmlns:r="http://schemas.openxmlformats.org/officeDocument/2006/relationships" r:embed="rId1"/>
          <a:tile tx="0" ty="0" sx="100000" sy="100000" flip="none" algn="tl"/>
        </a:bli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2"/>
        </a:lnRef>
        <a:fillRef idx="3">
          <a:schemeClr val="accent2"/>
        </a:fillRef>
        <a:effectRef idx="3">
          <a:schemeClr val="accent2"/>
        </a:effectRef>
        <a:fontRef idx="minor">
          <a:schemeClr val="lt1"/>
        </a:fontRef>
      </xdr:style>
      <xdr:txBody>
        <a:bodyPr vertOverflow="clip" horzOverflow="clip" wrap="square" anchor="ctr"/>
        <a:lstStyle/>
        <a:p>
          <a:r>
            <a:rPr lang="en-US" sz="1100" b="1" i="1" cap="none" spc="0">
              <a:ln>
                <a:noFill/>
              </a:ln>
              <a:solidFill>
                <a:srgbClr val="FFFF00"/>
              </a:solidFill>
              <a:effectLst/>
              <a:latin typeface="Lucida Fax" pitchFamily="18" charset="0"/>
              <a:ea typeface="Verdana" pitchFamily="34" charset="0"/>
              <a:cs typeface="Times New Roman" pitchFamily="18" charset="0"/>
            </a:rPr>
            <a:t>B.SAIDI REDDY   </a:t>
          </a:r>
        </a:p>
        <a:p>
          <a:r>
            <a:rPr lang="en-US" sz="1100" b="1" i="1" cap="none" spc="0">
              <a:ln>
                <a:noFill/>
              </a:ln>
              <a:solidFill>
                <a:srgbClr val="FFFF00"/>
              </a:solidFill>
              <a:effectLst/>
              <a:latin typeface="Lucida Fax" pitchFamily="18" charset="0"/>
              <a:ea typeface="Verdana" pitchFamily="34" charset="0"/>
              <a:cs typeface="Times New Roman" pitchFamily="18" charset="0"/>
            </a:rPr>
            <a:t>Assistant</a:t>
          </a:r>
          <a:r>
            <a:rPr lang="en-US" sz="1100" b="1" i="1" cap="none" spc="0" baseline="0">
              <a:ln>
                <a:noFill/>
              </a:ln>
              <a:solidFill>
                <a:srgbClr val="FFFF00"/>
              </a:solidFill>
              <a:effectLst/>
              <a:latin typeface="Lucida Fax" pitchFamily="18" charset="0"/>
              <a:ea typeface="Verdana" pitchFamily="34" charset="0"/>
              <a:cs typeface="Times New Roman" pitchFamily="18" charset="0"/>
            </a:rPr>
            <a:t> Professor of Mathematics</a:t>
          </a:r>
        </a:p>
        <a:p>
          <a:r>
            <a:rPr lang="en-US" sz="1100" b="1" i="1" cap="none" spc="0" baseline="0">
              <a:ln>
                <a:noFill/>
              </a:ln>
              <a:solidFill>
                <a:srgbClr val="FFFF00"/>
              </a:solidFill>
              <a:effectLst/>
              <a:latin typeface="Lucida Fax" pitchFamily="18" charset="0"/>
              <a:ea typeface="Verdana" pitchFamily="34" charset="0"/>
              <a:cs typeface="Times New Roman" pitchFamily="18" charset="0"/>
            </a:rPr>
            <a:t> KRR Govt.Arts &amp; Science College(A),Kodad</a:t>
          </a:r>
        </a:p>
        <a:p>
          <a:r>
            <a:rPr lang="en-US" sz="1100" b="1" i="1" cap="none" spc="0" baseline="0">
              <a:ln>
                <a:noFill/>
              </a:ln>
              <a:solidFill>
                <a:srgbClr val="FFFF00"/>
              </a:solidFill>
              <a:effectLst/>
              <a:latin typeface="Lucida Fax" pitchFamily="18" charset="0"/>
              <a:ea typeface="Verdana" pitchFamily="34" charset="0"/>
              <a:cs typeface="Times New Roman" pitchFamily="18" charset="0"/>
            </a:rPr>
            <a:t>Suryapet(Dist)</a:t>
          </a:r>
        </a:p>
        <a:p>
          <a:r>
            <a:rPr lang="en-US" sz="1100" b="1" i="1" cap="none" spc="0" baseline="0">
              <a:ln>
                <a:noFill/>
              </a:ln>
              <a:solidFill>
                <a:srgbClr val="FFFF00"/>
              </a:solidFill>
              <a:effectLst/>
              <a:latin typeface="Lucida Fax" pitchFamily="18" charset="0"/>
              <a:ea typeface="Verdana" pitchFamily="34" charset="0"/>
              <a:cs typeface="Times New Roman" pitchFamily="18" charset="0"/>
            </a:rPr>
            <a:t>Telangana(State)</a:t>
          </a:r>
        </a:p>
        <a:p>
          <a:r>
            <a:rPr lang="en-US" sz="1100" b="1" i="1" cap="none" spc="0" baseline="0">
              <a:ln>
                <a:noFill/>
              </a:ln>
              <a:solidFill>
                <a:srgbClr val="FFFF00"/>
              </a:solidFill>
              <a:effectLst/>
              <a:latin typeface="Lucida Fax" pitchFamily="18" charset="0"/>
              <a:ea typeface="Verdana" pitchFamily="34" charset="0"/>
              <a:cs typeface="Times New Roman" pitchFamily="18" charset="0"/>
            </a:rPr>
            <a:t>Cell No.9492185921</a:t>
          </a:r>
        </a:p>
        <a:p>
          <a:r>
            <a:rPr lang="en-US" sz="1100" b="1" i="1" cap="none" spc="0" baseline="0">
              <a:ln>
                <a:noFill/>
              </a:ln>
              <a:solidFill>
                <a:srgbClr val="FFFF00"/>
              </a:solidFill>
              <a:effectLst/>
              <a:latin typeface="Lucida Fax" pitchFamily="18" charset="0"/>
              <a:ea typeface="Verdana" pitchFamily="34" charset="0"/>
              <a:cs typeface="Times New Roman" pitchFamily="18" charset="0"/>
            </a:rPr>
            <a:t>Mail.Id:saidireddy74@gmail.com</a:t>
          </a:r>
          <a:endParaRPr lang="en-US" sz="1100" b="1" i="1" cap="none" spc="0">
            <a:ln>
              <a:noFill/>
            </a:ln>
            <a:solidFill>
              <a:srgbClr val="FFFF00"/>
            </a:solidFill>
            <a:effectLst/>
            <a:latin typeface="Lucida Fax" pitchFamily="18" charset="0"/>
            <a:ea typeface="Verdana" pitchFamily="34" charset="0"/>
            <a:cs typeface="Times New Roman" pitchFamily="18" charset="0"/>
          </a:endParaRPr>
        </a:p>
      </xdr:txBody>
    </xdr:sp>
    <xdr:clientData/>
  </xdr:twoCellAnchor>
  <xdr:twoCellAnchor editAs="oneCell">
    <xdr:from>
      <xdr:col>26</xdr:col>
      <xdr:colOff>523875</xdr:colOff>
      <xdr:row>31</xdr:row>
      <xdr:rowOff>76200</xdr:rowOff>
    </xdr:from>
    <xdr:to>
      <xdr:col>28</xdr:col>
      <xdr:colOff>1104900</xdr:colOff>
      <xdr:row>37</xdr:row>
      <xdr:rowOff>9525</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3973175" y="10420350"/>
          <a:ext cx="2266950" cy="2114550"/>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xdr:from>
      <xdr:col>26</xdr:col>
      <xdr:colOff>19051</xdr:colOff>
      <xdr:row>13</xdr:row>
      <xdr:rowOff>57150</xdr:rowOff>
    </xdr:from>
    <xdr:to>
      <xdr:col>28</xdr:col>
      <xdr:colOff>1457326</xdr:colOff>
      <xdr:row>19</xdr:row>
      <xdr:rowOff>219074</xdr:rowOff>
    </xdr:to>
    <xdr:sp macro="" textlink="">
      <xdr:nvSpPr>
        <xdr:cNvPr id="15" name="Rounded Rectangle 14">
          <a:extLst>
            <a:ext uri="{FF2B5EF4-FFF2-40B4-BE49-F238E27FC236}">
              <a16:creationId xmlns:a16="http://schemas.microsoft.com/office/drawing/2014/main" id="{00000000-0008-0000-0800-00000F000000}"/>
            </a:ext>
          </a:extLst>
        </xdr:cNvPr>
        <xdr:cNvSpPr/>
      </xdr:nvSpPr>
      <xdr:spPr bwMode="auto">
        <a:xfrm>
          <a:off x="13468351" y="3857625"/>
          <a:ext cx="3124200" cy="2114549"/>
        </a:xfrm>
        <a:prstGeom prst="roundRect">
          <a:avLst/>
        </a:prstGeom>
        <a:solidFill>
          <a:srgbClr val="99CC00"/>
        </a:solidFill>
        <a:ln w="9525" cap="flat" cmpd="sng" algn="ctr">
          <a:solidFill>
            <a:srgbClr val="000000"/>
          </a:solidFill>
          <a:prstDash val="solid"/>
          <a:round/>
          <a:headEnd type="none" w="med" len="med"/>
          <a:tailEnd type="none" w="med" len="med"/>
        </a:ln>
        <a:effectLst>
          <a:innerShdw blurRad="63500" dist="50800" dir="16200000">
            <a:prstClr val="black">
              <a:alpha val="50000"/>
            </a:prstClr>
          </a:innerShdw>
        </a:effectLst>
      </xdr:spPr>
      <xdr:txBody>
        <a:bodyPr vertOverflow="clip" wrap="square" lIns="18288" tIns="0" rIns="0" bIns="0" rtlCol="0" anchor="ctr" upright="1"/>
        <a:lstStyle/>
        <a:p>
          <a:pPr algn="ctr"/>
          <a:r>
            <a:rPr lang="en-US" sz="1300">
              <a:solidFill>
                <a:sysClr val="windowText" lastClr="000000"/>
              </a:solidFill>
              <a:latin typeface="Times New Roman" pitchFamily="18" charset="0"/>
              <a:cs typeface="Times New Roman" pitchFamily="18" charset="0"/>
            </a:rPr>
            <a:t>Dr.K.Surender</a:t>
          </a:r>
          <a:r>
            <a:rPr lang="en-US" sz="1300" baseline="0">
              <a:solidFill>
                <a:sysClr val="windowText" lastClr="000000"/>
              </a:solidFill>
              <a:latin typeface="Times New Roman" pitchFamily="18" charset="0"/>
              <a:cs typeface="Times New Roman" pitchFamily="18" charset="0"/>
            </a:rPr>
            <a:t> Reddy</a:t>
          </a:r>
          <a:endParaRPr lang="en-US" sz="1300">
            <a:solidFill>
              <a:sysClr val="windowText" lastClr="000000"/>
            </a:solidFill>
            <a:latin typeface="Times New Roman" pitchFamily="18" charset="0"/>
            <a:cs typeface="Times New Roman" pitchFamily="18" charset="0"/>
          </a:endParaRPr>
        </a:p>
        <a:p>
          <a:pPr algn="ctr"/>
          <a:r>
            <a:rPr lang="en-US" sz="1300">
              <a:solidFill>
                <a:sysClr val="windowText" lastClr="000000"/>
              </a:solidFill>
              <a:latin typeface="Times New Roman" pitchFamily="18" charset="0"/>
              <a:cs typeface="Times New Roman" pitchFamily="18" charset="0"/>
            </a:rPr>
            <a:t>Assistant Professor of Zoology     TGCGTA State General Secretary,Telangana                            Mobile No. 9849500923  </a:t>
          </a:r>
        </a:p>
        <a:p>
          <a:pPr algn="ctr"/>
          <a:r>
            <a:rPr lang="en-US" sz="1300">
              <a:solidFill>
                <a:schemeClr val="tx2"/>
              </a:solidFill>
              <a:latin typeface="Times New Roman" pitchFamily="18" charset="0"/>
              <a:cs typeface="Times New Roman" pitchFamily="18" charset="0"/>
            </a:rPr>
            <a:t>surenderkadaru@gmail.com</a:t>
          </a:r>
        </a:p>
      </xdr:txBody>
    </xdr:sp>
    <xdr:clientData/>
  </xdr:twoCellAnchor>
  <xdr:twoCellAnchor>
    <xdr:from>
      <xdr:col>30</xdr:col>
      <xdr:colOff>619125</xdr:colOff>
      <xdr:row>5</xdr:row>
      <xdr:rowOff>9525</xdr:rowOff>
    </xdr:from>
    <xdr:to>
      <xdr:col>32</xdr:col>
      <xdr:colOff>590550</xdr:colOff>
      <xdr:row>6</xdr:row>
      <xdr:rowOff>133350</xdr:rowOff>
    </xdr:to>
    <xdr:sp macro="" textlink="">
      <xdr:nvSpPr>
        <xdr:cNvPr id="33" name="Rounded Rectangle 32">
          <a:hlinkClick xmlns:r="http://schemas.openxmlformats.org/officeDocument/2006/relationships" r:id="rId3"/>
          <a:extLst>
            <a:ext uri="{FF2B5EF4-FFF2-40B4-BE49-F238E27FC236}">
              <a16:creationId xmlns:a16="http://schemas.microsoft.com/office/drawing/2014/main" id="{00000000-0008-0000-0800-000021000000}"/>
            </a:ext>
          </a:extLst>
        </xdr:cNvPr>
        <xdr:cNvSpPr/>
      </xdr:nvSpPr>
      <xdr:spPr bwMode="auto">
        <a:xfrm>
          <a:off x="17316450" y="981075"/>
          <a:ext cx="1247775" cy="476250"/>
        </a:xfrm>
        <a:prstGeom prst="roundRect">
          <a:avLst/>
        </a:prstGeom>
        <a:solidFill>
          <a:schemeClr val="tx2"/>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Welcome</a:t>
          </a:r>
        </a:p>
      </xdr:txBody>
    </xdr:sp>
    <xdr:clientData/>
  </xdr:twoCellAnchor>
  <xdr:twoCellAnchor>
    <xdr:from>
      <xdr:col>33</xdr:col>
      <xdr:colOff>0</xdr:colOff>
      <xdr:row>5</xdr:row>
      <xdr:rowOff>0</xdr:rowOff>
    </xdr:from>
    <xdr:to>
      <xdr:col>34</xdr:col>
      <xdr:colOff>609600</xdr:colOff>
      <xdr:row>6</xdr:row>
      <xdr:rowOff>123825</xdr:rowOff>
    </xdr:to>
    <xdr:sp macro="" textlink="">
      <xdr:nvSpPr>
        <xdr:cNvPr id="35" name="Rounded Rectangle 34">
          <a:hlinkClick xmlns:r="http://schemas.openxmlformats.org/officeDocument/2006/relationships" r:id="rId4"/>
          <a:extLst>
            <a:ext uri="{FF2B5EF4-FFF2-40B4-BE49-F238E27FC236}">
              <a16:creationId xmlns:a16="http://schemas.microsoft.com/office/drawing/2014/main" id="{00000000-0008-0000-0800-000023000000}"/>
            </a:ext>
          </a:extLst>
        </xdr:cNvPr>
        <xdr:cNvSpPr/>
      </xdr:nvSpPr>
      <xdr:spPr bwMode="auto">
        <a:xfrm>
          <a:off x="18611850" y="971550"/>
          <a:ext cx="1247775" cy="476250"/>
        </a:xfrm>
        <a:prstGeom prst="roundRect">
          <a:avLst/>
        </a:prstGeom>
        <a:solidFill>
          <a:schemeClr val="accent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a:t>
          </a:r>
          <a:r>
            <a:rPr lang="en-US" sz="1100" baseline="0">
              <a:solidFill>
                <a:schemeClr val="bg1"/>
              </a:solidFill>
              <a:latin typeface="Arial Black" pitchFamily="34" charset="0"/>
            </a:rPr>
            <a:t> Sheet-II</a:t>
          </a:r>
          <a:endParaRPr lang="en-US" sz="1100">
            <a:solidFill>
              <a:schemeClr val="bg1"/>
            </a:solidFill>
            <a:latin typeface="Arial Black" pitchFamily="34" charset="0"/>
          </a:endParaRPr>
        </a:p>
      </xdr:txBody>
    </xdr:sp>
    <xdr:clientData/>
  </xdr:twoCellAnchor>
  <xdr:twoCellAnchor>
    <xdr:from>
      <xdr:col>31</xdr:col>
      <xdr:colOff>0</xdr:colOff>
      <xdr:row>7</xdr:row>
      <xdr:rowOff>0</xdr:rowOff>
    </xdr:from>
    <xdr:to>
      <xdr:col>32</xdr:col>
      <xdr:colOff>609600</xdr:colOff>
      <xdr:row>8</xdr:row>
      <xdr:rowOff>123825</xdr:rowOff>
    </xdr:to>
    <xdr:sp macro="" textlink="">
      <xdr:nvSpPr>
        <xdr:cNvPr id="36" name="Rounded Rectangle 35">
          <a:hlinkClick xmlns:r="http://schemas.openxmlformats.org/officeDocument/2006/relationships" r:id="rId5"/>
          <a:extLst>
            <a:ext uri="{FF2B5EF4-FFF2-40B4-BE49-F238E27FC236}">
              <a16:creationId xmlns:a16="http://schemas.microsoft.com/office/drawing/2014/main" id="{00000000-0008-0000-0800-000024000000}"/>
            </a:ext>
          </a:extLst>
        </xdr:cNvPr>
        <xdr:cNvSpPr/>
      </xdr:nvSpPr>
      <xdr:spPr bwMode="auto">
        <a:xfrm>
          <a:off x="17335500" y="1676400"/>
          <a:ext cx="1247775" cy="476250"/>
        </a:xfrm>
        <a:prstGeom prst="roundRect">
          <a:avLst/>
        </a:prstGeom>
        <a:solidFill>
          <a:schemeClr val="tx1">
            <a:lumMod val="65000"/>
            <a:lumOff val="35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Anexure-I</a:t>
          </a:r>
        </a:p>
      </xdr:txBody>
    </xdr:sp>
    <xdr:clientData/>
  </xdr:twoCellAnchor>
  <xdr:twoCellAnchor>
    <xdr:from>
      <xdr:col>33</xdr:col>
      <xdr:colOff>0</xdr:colOff>
      <xdr:row>7</xdr:row>
      <xdr:rowOff>0</xdr:rowOff>
    </xdr:from>
    <xdr:to>
      <xdr:col>34</xdr:col>
      <xdr:colOff>609600</xdr:colOff>
      <xdr:row>8</xdr:row>
      <xdr:rowOff>123825</xdr:rowOff>
    </xdr:to>
    <xdr:sp macro="" textlink="">
      <xdr:nvSpPr>
        <xdr:cNvPr id="37" name="Rounded Rectangle 36">
          <a:hlinkClick xmlns:r="http://schemas.openxmlformats.org/officeDocument/2006/relationships" r:id="rId6"/>
          <a:extLst>
            <a:ext uri="{FF2B5EF4-FFF2-40B4-BE49-F238E27FC236}">
              <a16:creationId xmlns:a16="http://schemas.microsoft.com/office/drawing/2014/main" id="{00000000-0008-0000-0800-000025000000}"/>
            </a:ext>
          </a:extLst>
        </xdr:cNvPr>
        <xdr:cNvSpPr/>
      </xdr:nvSpPr>
      <xdr:spPr bwMode="auto">
        <a:xfrm>
          <a:off x="18611850" y="1676400"/>
          <a:ext cx="1247775" cy="476250"/>
        </a:xfrm>
        <a:prstGeom prst="roundRect">
          <a:avLst/>
        </a:prstGeom>
        <a:solidFill>
          <a:schemeClr val="accent5">
            <a:lumMod val="75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Old</a:t>
          </a:r>
          <a:r>
            <a:rPr lang="en-US" sz="1100" baseline="0">
              <a:solidFill>
                <a:schemeClr val="bg1"/>
              </a:solidFill>
              <a:latin typeface="Arial Black" pitchFamily="34" charset="0"/>
            </a:rPr>
            <a:t> Tax Regim</a:t>
          </a:r>
          <a:endParaRPr lang="en-US" sz="1100">
            <a:solidFill>
              <a:schemeClr val="bg1"/>
            </a:solidFill>
            <a:latin typeface="Arial Black" pitchFamily="34" charset="0"/>
          </a:endParaRPr>
        </a:p>
      </xdr:txBody>
    </xdr:sp>
    <xdr:clientData/>
  </xdr:twoCellAnchor>
  <xdr:twoCellAnchor>
    <xdr:from>
      <xdr:col>31</xdr:col>
      <xdr:colOff>0</xdr:colOff>
      <xdr:row>9</xdr:row>
      <xdr:rowOff>0</xdr:rowOff>
    </xdr:from>
    <xdr:to>
      <xdr:col>32</xdr:col>
      <xdr:colOff>609600</xdr:colOff>
      <xdr:row>10</xdr:row>
      <xdr:rowOff>123825</xdr:rowOff>
    </xdr:to>
    <xdr:sp macro="" textlink="">
      <xdr:nvSpPr>
        <xdr:cNvPr id="38" name="Rounded Rectangle 37">
          <a:hlinkClick xmlns:r="http://schemas.openxmlformats.org/officeDocument/2006/relationships" r:id="rId7"/>
          <a:extLst>
            <a:ext uri="{FF2B5EF4-FFF2-40B4-BE49-F238E27FC236}">
              <a16:creationId xmlns:a16="http://schemas.microsoft.com/office/drawing/2014/main" id="{00000000-0008-0000-0800-000026000000}"/>
            </a:ext>
          </a:extLst>
        </xdr:cNvPr>
        <xdr:cNvSpPr/>
      </xdr:nvSpPr>
      <xdr:spPr bwMode="auto">
        <a:xfrm>
          <a:off x="17335500" y="2390775"/>
          <a:ext cx="1247775" cy="476250"/>
        </a:xfrm>
        <a:prstGeom prst="roundRect">
          <a:avLst/>
        </a:prstGeom>
        <a:solidFill>
          <a:schemeClr val="accent2">
            <a:lumMod val="75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Form-16</a:t>
          </a:r>
        </a:p>
      </xdr:txBody>
    </xdr:sp>
    <xdr:clientData/>
  </xdr:twoCellAnchor>
  <xdr:twoCellAnchor>
    <xdr:from>
      <xdr:col>33</xdr:col>
      <xdr:colOff>0</xdr:colOff>
      <xdr:row>9</xdr:row>
      <xdr:rowOff>0</xdr:rowOff>
    </xdr:from>
    <xdr:to>
      <xdr:col>34</xdr:col>
      <xdr:colOff>609600</xdr:colOff>
      <xdr:row>10</xdr:row>
      <xdr:rowOff>123825</xdr:rowOff>
    </xdr:to>
    <xdr:sp macro="" textlink="">
      <xdr:nvSpPr>
        <xdr:cNvPr id="39" name="Rounded Rectangle 38">
          <a:hlinkClick xmlns:r="http://schemas.openxmlformats.org/officeDocument/2006/relationships" r:id="rId8"/>
          <a:extLst>
            <a:ext uri="{FF2B5EF4-FFF2-40B4-BE49-F238E27FC236}">
              <a16:creationId xmlns:a16="http://schemas.microsoft.com/office/drawing/2014/main" id="{00000000-0008-0000-0800-000027000000}"/>
            </a:ext>
          </a:extLst>
        </xdr:cNvPr>
        <xdr:cNvSpPr/>
      </xdr:nvSpPr>
      <xdr:spPr bwMode="auto">
        <a:xfrm>
          <a:off x="18611850" y="2390775"/>
          <a:ext cx="1247775" cy="476250"/>
        </a:xfrm>
        <a:prstGeom prst="roundRect">
          <a:avLst/>
        </a:prstGeom>
        <a:solidFill>
          <a:srgbClr val="0070C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Form-16(Back)</a:t>
          </a:r>
        </a:p>
      </xdr:txBody>
    </xdr:sp>
    <xdr:clientData/>
  </xdr:twoCellAnchor>
  <xdr:twoCellAnchor>
    <xdr:from>
      <xdr:col>31</xdr:col>
      <xdr:colOff>76200</xdr:colOff>
      <xdr:row>10</xdr:row>
      <xdr:rowOff>238125</xdr:rowOff>
    </xdr:from>
    <xdr:to>
      <xdr:col>33</xdr:col>
      <xdr:colOff>47625</xdr:colOff>
      <xdr:row>12</xdr:row>
      <xdr:rowOff>9525</xdr:rowOff>
    </xdr:to>
    <xdr:sp macro="" textlink="">
      <xdr:nvSpPr>
        <xdr:cNvPr id="40" name="Rounded Rectangle 39">
          <a:hlinkClick xmlns:r="http://schemas.openxmlformats.org/officeDocument/2006/relationships" r:id="rId9"/>
          <a:extLst>
            <a:ext uri="{FF2B5EF4-FFF2-40B4-BE49-F238E27FC236}">
              <a16:creationId xmlns:a16="http://schemas.microsoft.com/office/drawing/2014/main" id="{00000000-0008-0000-0800-000028000000}"/>
            </a:ext>
          </a:extLst>
        </xdr:cNvPr>
        <xdr:cNvSpPr/>
      </xdr:nvSpPr>
      <xdr:spPr bwMode="auto">
        <a:xfrm>
          <a:off x="17411700" y="2981325"/>
          <a:ext cx="1247775" cy="476250"/>
        </a:xfrm>
        <a:prstGeom prst="roundRect">
          <a:avLst/>
        </a:prstGeom>
        <a:solidFill>
          <a:srgbClr val="FFC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tx1"/>
              </a:solidFill>
              <a:latin typeface="Arial Black" pitchFamily="34" charset="0"/>
            </a:rPr>
            <a:t>Form-12BB</a:t>
          </a:r>
        </a:p>
      </xdr:txBody>
    </xdr:sp>
    <xdr:clientData/>
  </xdr:twoCellAnchor>
  <mc:AlternateContent xmlns:mc="http://schemas.openxmlformats.org/markup-compatibility/2006">
    <mc:Choice xmlns:a14="http://schemas.microsoft.com/office/drawing/2010/main" Requires="a14">
      <xdr:twoCellAnchor editAs="oneCell">
        <xdr:from>
          <xdr:col>5</xdr:col>
          <xdr:colOff>142875</xdr:colOff>
          <xdr:row>6</xdr:row>
          <xdr:rowOff>9525</xdr:rowOff>
        </xdr:from>
        <xdr:to>
          <xdr:col>12</xdr:col>
          <xdr:colOff>66675</xdr:colOff>
          <xdr:row>6</xdr:row>
          <xdr:rowOff>342900</xdr:rowOff>
        </xdr:to>
        <xdr:sp macro="" textlink="">
          <xdr:nvSpPr>
            <xdr:cNvPr id="128010" name="Drop Down 10" hidden="1">
              <a:extLst>
                <a:ext uri="{63B3BB69-23CF-44E3-9099-C40C66FF867C}">
                  <a14:compatExt spid="_x0000_s128010"/>
                </a:ext>
                <a:ext uri="{FF2B5EF4-FFF2-40B4-BE49-F238E27FC236}">
                  <a16:creationId xmlns:a16="http://schemas.microsoft.com/office/drawing/2014/main" id="{00000000-0008-0000-0800-00000A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xdr:row>
          <xdr:rowOff>0</xdr:rowOff>
        </xdr:from>
        <xdr:to>
          <xdr:col>12</xdr:col>
          <xdr:colOff>85725</xdr:colOff>
          <xdr:row>7</xdr:row>
          <xdr:rowOff>342900</xdr:rowOff>
        </xdr:to>
        <xdr:sp macro="" textlink="">
          <xdr:nvSpPr>
            <xdr:cNvPr id="128012" name="Drop Down 12" hidden="1">
              <a:extLst>
                <a:ext uri="{63B3BB69-23CF-44E3-9099-C40C66FF867C}">
                  <a14:compatExt spid="_x0000_s128012"/>
                </a:ext>
                <a:ext uri="{FF2B5EF4-FFF2-40B4-BE49-F238E27FC236}">
                  <a16:creationId xmlns:a16="http://schemas.microsoft.com/office/drawing/2014/main" id="{00000000-0008-0000-0800-00000C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8</xdr:row>
          <xdr:rowOff>9525</xdr:rowOff>
        </xdr:from>
        <xdr:to>
          <xdr:col>12</xdr:col>
          <xdr:colOff>85725</xdr:colOff>
          <xdr:row>8</xdr:row>
          <xdr:rowOff>352425</xdr:rowOff>
        </xdr:to>
        <xdr:sp macro="" textlink="">
          <xdr:nvSpPr>
            <xdr:cNvPr id="128013" name="Drop Down 13" hidden="1">
              <a:extLst>
                <a:ext uri="{63B3BB69-23CF-44E3-9099-C40C66FF867C}">
                  <a14:compatExt spid="_x0000_s128013"/>
                </a:ext>
                <a:ext uri="{FF2B5EF4-FFF2-40B4-BE49-F238E27FC236}">
                  <a16:creationId xmlns:a16="http://schemas.microsoft.com/office/drawing/2014/main" id="{00000000-0008-0000-0800-00000D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9</xdr:row>
          <xdr:rowOff>0</xdr:rowOff>
        </xdr:from>
        <xdr:to>
          <xdr:col>12</xdr:col>
          <xdr:colOff>85725</xdr:colOff>
          <xdr:row>9</xdr:row>
          <xdr:rowOff>333375</xdr:rowOff>
        </xdr:to>
        <xdr:sp macro="" textlink="">
          <xdr:nvSpPr>
            <xdr:cNvPr id="128014" name="Drop Down 14" hidden="1">
              <a:extLst>
                <a:ext uri="{63B3BB69-23CF-44E3-9099-C40C66FF867C}">
                  <a14:compatExt spid="_x0000_s128014"/>
                </a:ext>
                <a:ext uri="{FF2B5EF4-FFF2-40B4-BE49-F238E27FC236}">
                  <a16:creationId xmlns:a16="http://schemas.microsoft.com/office/drawing/2014/main" id="{00000000-0008-0000-0800-00000E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9</xdr:row>
          <xdr:rowOff>304800</xdr:rowOff>
        </xdr:from>
        <xdr:to>
          <xdr:col>12</xdr:col>
          <xdr:colOff>85725</xdr:colOff>
          <xdr:row>10</xdr:row>
          <xdr:rowOff>295275</xdr:rowOff>
        </xdr:to>
        <xdr:sp macro="" textlink="">
          <xdr:nvSpPr>
            <xdr:cNvPr id="128015" name="Drop Down 15" hidden="1">
              <a:extLst>
                <a:ext uri="{63B3BB69-23CF-44E3-9099-C40C66FF867C}">
                  <a14:compatExt spid="_x0000_s128015"/>
                </a:ext>
                <a:ext uri="{FF2B5EF4-FFF2-40B4-BE49-F238E27FC236}">
                  <a16:creationId xmlns:a16="http://schemas.microsoft.com/office/drawing/2014/main" id="{00000000-0008-0000-0800-00000F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10</xdr:row>
          <xdr:rowOff>295275</xdr:rowOff>
        </xdr:from>
        <xdr:to>
          <xdr:col>12</xdr:col>
          <xdr:colOff>85725</xdr:colOff>
          <xdr:row>11</xdr:row>
          <xdr:rowOff>323850</xdr:rowOff>
        </xdr:to>
        <xdr:sp macro="" textlink="">
          <xdr:nvSpPr>
            <xdr:cNvPr id="128016" name="Drop Down 16" hidden="1">
              <a:extLst>
                <a:ext uri="{63B3BB69-23CF-44E3-9099-C40C66FF867C}">
                  <a14:compatExt spid="_x0000_s128016"/>
                </a:ext>
                <a:ext uri="{FF2B5EF4-FFF2-40B4-BE49-F238E27FC236}">
                  <a16:creationId xmlns:a16="http://schemas.microsoft.com/office/drawing/2014/main" id="{00000000-0008-0000-0800-000010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11</xdr:row>
          <xdr:rowOff>333375</xdr:rowOff>
        </xdr:from>
        <xdr:to>
          <xdr:col>12</xdr:col>
          <xdr:colOff>76200</xdr:colOff>
          <xdr:row>12</xdr:row>
          <xdr:rowOff>333375</xdr:rowOff>
        </xdr:to>
        <xdr:sp macro="" textlink="">
          <xdr:nvSpPr>
            <xdr:cNvPr id="128017" name="Drop Down 17" hidden="1">
              <a:extLst>
                <a:ext uri="{63B3BB69-23CF-44E3-9099-C40C66FF867C}">
                  <a14:compatExt spid="_x0000_s128017"/>
                </a:ext>
                <a:ext uri="{FF2B5EF4-FFF2-40B4-BE49-F238E27FC236}">
                  <a16:creationId xmlns:a16="http://schemas.microsoft.com/office/drawing/2014/main" id="{00000000-0008-0000-0800-000011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314325</xdr:colOff>
          <xdr:row>44</xdr:row>
          <xdr:rowOff>0</xdr:rowOff>
        </xdr:from>
        <xdr:to>
          <xdr:col>12</xdr:col>
          <xdr:colOff>762000</xdr:colOff>
          <xdr:row>44</xdr:row>
          <xdr:rowOff>342900</xdr:rowOff>
        </xdr:to>
        <xdr:sp macro="" textlink="">
          <xdr:nvSpPr>
            <xdr:cNvPr id="128024" name="Drop Down 24" hidden="1">
              <a:extLst>
                <a:ext uri="{63B3BB69-23CF-44E3-9099-C40C66FF867C}">
                  <a14:compatExt spid="_x0000_s128024"/>
                </a:ext>
                <a:ext uri="{FF2B5EF4-FFF2-40B4-BE49-F238E27FC236}">
                  <a16:creationId xmlns:a16="http://schemas.microsoft.com/office/drawing/2014/main" id="{00000000-0008-0000-0800-000018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59</xdr:row>
          <xdr:rowOff>9525</xdr:rowOff>
        </xdr:from>
        <xdr:to>
          <xdr:col>12</xdr:col>
          <xdr:colOff>600075</xdr:colOff>
          <xdr:row>59</xdr:row>
          <xdr:rowOff>361950</xdr:rowOff>
        </xdr:to>
        <xdr:sp macro="" textlink="">
          <xdr:nvSpPr>
            <xdr:cNvPr id="128028" name="Drop Down 28" hidden="1">
              <a:extLst>
                <a:ext uri="{63B3BB69-23CF-44E3-9099-C40C66FF867C}">
                  <a14:compatExt spid="_x0000_s128028"/>
                </a:ext>
                <a:ext uri="{FF2B5EF4-FFF2-40B4-BE49-F238E27FC236}">
                  <a16:creationId xmlns:a16="http://schemas.microsoft.com/office/drawing/2014/main" id="{00000000-0008-0000-0800-00001C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18</xdr:row>
          <xdr:rowOff>0</xdr:rowOff>
        </xdr:from>
        <xdr:to>
          <xdr:col>15</xdr:col>
          <xdr:colOff>819150</xdr:colOff>
          <xdr:row>18</xdr:row>
          <xdr:rowOff>428625</xdr:rowOff>
        </xdr:to>
        <xdr:sp macro="" textlink="">
          <xdr:nvSpPr>
            <xdr:cNvPr id="128083" name="Drop Down 83" hidden="1">
              <a:extLst>
                <a:ext uri="{63B3BB69-23CF-44E3-9099-C40C66FF867C}">
                  <a14:compatExt spid="_x0000_s128083"/>
                </a:ext>
                <a:ext uri="{FF2B5EF4-FFF2-40B4-BE49-F238E27FC236}">
                  <a16:creationId xmlns:a16="http://schemas.microsoft.com/office/drawing/2014/main" id="{00000000-0008-0000-0800-000053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29</xdr:row>
          <xdr:rowOff>381000</xdr:rowOff>
        </xdr:from>
        <xdr:to>
          <xdr:col>16</xdr:col>
          <xdr:colOff>0</xdr:colOff>
          <xdr:row>30</xdr:row>
          <xdr:rowOff>342900</xdr:rowOff>
        </xdr:to>
        <xdr:sp macro="" textlink="">
          <xdr:nvSpPr>
            <xdr:cNvPr id="128085" name="Drop Down 85" hidden="1">
              <a:extLst>
                <a:ext uri="{63B3BB69-23CF-44E3-9099-C40C66FF867C}">
                  <a14:compatExt spid="_x0000_s128085"/>
                </a:ext>
                <a:ext uri="{FF2B5EF4-FFF2-40B4-BE49-F238E27FC236}">
                  <a16:creationId xmlns:a16="http://schemas.microsoft.com/office/drawing/2014/main" id="{00000000-0008-0000-0800-000055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34</xdr:row>
          <xdr:rowOff>0</xdr:rowOff>
        </xdr:from>
        <xdr:to>
          <xdr:col>16</xdr:col>
          <xdr:colOff>9525</xdr:colOff>
          <xdr:row>34</xdr:row>
          <xdr:rowOff>381000</xdr:rowOff>
        </xdr:to>
        <xdr:sp macro="" textlink="">
          <xdr:nvSpPr>
            <xdr:cNvPr id="128086" name="Drop Down 86" hidden="1">
              <a:extLst>
                <a:ext uri="{63B3BB69-23CF-44E3-9099-C40C66FF867C}">
                  <a14:compatExt spid="_x0000_s128086"/>
                </a:ext>
                <a:ext uri="{FF2B5EF4-FFF2-40B4-BE49-F238E27FC236}">
                  <a16:creationId xmlns:a16="http://schemas.microsoft.com/office/drawing/2014/main" id="{00000000-0008-0000-0800-000056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37</xdr:row>
          <xdr:rowOff>409575</xdr:rowOff>
        </xdr:from>
        <xdr:to>
          <xdr:col>15</xdr:col>
          <xdr:colOff>819150</xdr:colOff>
          <xdr:row>38</xdr:row>
          <xdr:rowOff>390525</xdr:rowOff>
        </xdr:to>
        <xdr:sp macro="" textlink="">
          <xdr:nvSpPr>
            <xdr:cNvPr id="128087" name="Drop Down 87" hidden="1">
              <a:extLst>
                <a:ext uri="{63B3BB69-23CF-44E3-9099-C40C66FF867C}">
                  <a14:compatExt spid="_x0000_s128087"/>
                </a:ext>
                <a:ext uri="{FF2B5EF4-FFF2-40B4-BE49-F238E27FC236}">
                  <a16:creationId xmlns:a16="http://schemas.microsoft.com/office/drawing/2014/main" id="{00000000-0008-0000-0800-000057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50</xdr:row>
          <xdr:rowOff>9525</xdr:rowOff>
        </xdr:from>
        <xdr:to>
          <xdr:col>12</xdr:col>
          <xdr:colOff>704850</xdr:colOff>
          <xdr:row>50</xdr:row>
          <xdr:rowOff>390525</xdr:rowOff>
        </xdr:to>
        <xdr:sp macro="" textlink="">
          <xdr:nvSpPr>
            <xdr:cNvPr id="128088" name="Drop Down 88" hidden="1">
              <a:extLst>
                <a:ext uri="{63B3BB69-23CF-44E3-9099-C40C66FF867C}">
                  <a14:compatExt spid="_x0000_s128088"/>
                </a:ext>
                <a:ext uri="{FF2B5EF4-FFF2-40B4-BE49-F238E27FC236}">
                  <a16:creationId xmlns:a16="http://schemas.microsoft.com/office/drawing/2014/main" id="{00000000-0008-0000-0800-000058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47</xdr:row>
          <xdr:rowOff>0</xdr:rowOff>
        </xdr:from>
        <xdr:to>
          <xdr:col>12</xdr:col>
          <xdr:colOff>723900</xdr:colOff>
          <xdr:row>47</xdr:row>
          <xdr:rowOff>381000</xdr:rowOff>
        </xdr:to>
        <xdr:sp macro="" textlink="">
          <xdr:nvSpPr>
            <xdr:cNvPr id="128089" name="Drop Down 89" hidden="1">
              <a:extLst>
                <a:ext uri="{63B3BB69-23CF-44E3-9099-C40C66FF867C}">
                  <a14:compatExt spid="_x0000_s128089"/>
                </a:ext>
                <a:ext uri="{FF2B5EF4-FFF2-40B4-BE49-F238E27FC236}">
                  <a16:creationId xmlns:a16="http://schemas.microsoft.com/office/drawing/2014/main" id="{00000000-0008-0000-0800-000059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52</xdr:row>
          <xdr:rowOff>28575</xdr:rowOff>
        </xdr:from>
        <xdr:to>
          <xdr:col>12</xdr:col>
          <xdr:colOff>704850</xdr:colOff>
          <xdr:row>52</xdr:row>
          <xdr:rowOff>400050</xdr:rowOff>
        </xdr:to>
        <xdr:sp macro="" textlink="">
          <xdr:nvSpPr>
            <xdr:cNvPr id="128090" name="Drop Down 90" hidden="1">
              <a:extLst>
                <a:ext uri="{63B3BB69-23CF-44E3-9099-C40C66FF867C}">
                  <a14:compatExt spid="_x0000_s128090"/>
                </a:ext>
                <a:ext uri="{FF2B5EF4-FFF2-40B4-BE49-F238E27FC236}">
                  <a16:creationId xmlns:a16="http://schemas.microsoft.com/office/drawing/2014/main" id="{00000000-0008-0000-0800-00005A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23</xdr:row>
          <xdr:rowOff>9525</xdr:rowOff>
        </xdr:from>
        <xdr:to>
          <xdr:col>16</xdr:col>
          <xdr:colOff>19050</xdr:colOff>
          <xdr:row>24</xdr:row>
          <xdr:rowOff>19050</xdr:rowOff>
        </xdr:to>
        <xdr:sp macro="" textlink="">
          <xdr:nvSpPr>
            <xdr:cNvPr id="128130" name="Drop Down 130" hidden="1">
              <a:extLst>
                <a:ext uri="{63B3BB69-23CF-44E3-9099-C40C66FF867C}">
                  <a14:compatExt spid="_x0000_s128130"/>
                </a:ext>
                <a:ext uri="{FF2B5EF4-FFF2-40B4-BE49-F238E27FC236}">
                  <a16:creationId xmlns:a16="http://schemas.microsoft.com/office/drawing/2014/main" id="{00000000-0008-0000-0800-000082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12</xdr:row>
          <xdr:rowOff>342900</xdr:rowOff>
        </xdr:from>
        <xdr:to>
          <xdr:col>12</xdr:col>
          <xdr:colOff>85725</xdr:colOff>
          <xdr:row>13</xdr:row>
          <xdr:rowOff>342900</xdr:rowOff>
        </xdr:to>
        <xdr:sp macro="" textlink="">
          <xdr:nvSpPr>
            <xdr:cNvPr id="128141" name="Drop Down 141" hidden="1">
              <a:extLst>
                <a:ext uri="{63B3BB69-23CF-44E3-9099-C40C66FF867C}">
                  <a14:compatExt spid="_x0000_s128141"/>
                </a:ext>
                <a:ext uri="{FF2B5EF4-FFF2-40B4-BE49-F238E27FC236}">
                  <a16:creationId xmlns:a16="http://schemas.microsoft.com/office/drawing/2014/main" id="{00000000-0008-0000-0800-00008D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971550</xdr:colOff>
          <xdr:row>6</xdr:row>
          <xdr:rowOff>333375</xdr:rowOff>
        </xdr:from>
        <xdr:to>
          <xdr:col>24</xdr:col>
          <xdr:colOff>666750</xdr:colOff>
          <xdr:row>7</xdr:row>
          <xdr:rowOff>342900</xdr:rowOff>
        </xdr:to>
        <xdr:sp macro="" textlink="">
          <xdr:nvSpPr>
            <xdr:cNvPr id="128143" name="Drop Down 143" hidden="1">
              <a:extLst>
                <a:ext uri="{63B3BB69-23CF-44E3-9099-C40C66FF867C}">
                  <a14:compatExt spid="_x0000_s128143"/>
                </a:ext>
                <a:ext uri="{FF2B5EF4-FFF2-40B4-BE49-F238E27FC236}">
                  <a16:creationId xmlns:a16="http://schemas.microsoft.com/office/drawing/2014/main" id="{00000000-0008-0000-0800-00008F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56</xdr:row>
          <xdr:rowOff>19050</xdr:rowOff>
        </xdr:from>
        <xdr:to>
          <xdr:col>12</xdr:col>
          <xdr:colOff>704850</xdr:colOff>
          <xdr:row>56</xdr:row>
          <xdr:rowOff>390525</xdr:rowOff>
        </xdr:to>
        <xdr:sp macro="" textlink="">
          <xdr:nvSpPr>
            <xdr:cNvPr id="128146" name="Drop Down 146" hidden="1">
              <a:extLst>
                <a:ext uri="{63B3BB69-23CF-44E3-9099-C40C66FF867C}">
                  <a14:compatExt spid="_x0000_s128146"/>
                </a:ext>
                <a:ext uri="{FF2B5EF4-FFF2-40B4-BE49-F238E27FC236}">
                  <a16:creationId xmlns:a16="http://schemas.microsoft.com/office/drawing/2014/main" id="{00000000-0008-0000-0800-000092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26</xdr:col>
      <xdr:colOff>400050</xdr:colOff>
      <xdr:row>19</xdr:row>
      <xdr:rowOff>361951</xdr:rowOff>
    </xdr:from>
    <xdr:to>
      <xdr:col>28</xdr:col>
      <xdr:colOff>1238250</xdr:colOff>
      <xdr:row>25</xdr:row>
      <xdr:rowOff>333375</xdr:rowOff>
    </xdr:to>
    <xdr:pic>
      <xdr:nvPicPr>
        <xdr:cNvPr id="34" name="Picture 33">
          <a:extLst>
            <a:ext uri="{FF2B5EF4-FFF2-40B4-BE49-F238E27FC236}">
              <a16:creationId xmlns:a16="http://schemas.microsoft.com/office/drawing/2014/main" id="{00000000-0008-0000-0800-000022000000}"/>
            </a:ext>
          </a:extLst>
        </xdr:cNvPr>
        <xdr:cNvPicPr>
          <a:picLocks noChangeAspect="1"/>
        </xdr:cNvPicPr>
      </xdr:nvPicPr>
      <xdr:blipFill>
        <a:blip xmlns:r="http://schemas.openxmlformats.org/officeDocument/2006/relationships" r:embed="rId10"/>
        <a:stretch>
          <a:fillRect/>
        </a:stretch>
      </xdr:blipFill>
      <xdr:spPr>
        <a:xfrm>
          <a:off x="13849350" y="6115051"/>
          <a:ext cx="2524125" cy="2257424"/>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xdr:from>
      <xdr:col>26</xdr:col>
      <xdr:colOff>66675</xdr:colOff>
      <xdr:row>26</xdr:row>
      <xdr:rowOff>85725</xdr:rowOff>
    </xdr:from>
    <xdr:to>
      <xdr:col>28</xdr:col>
      <xdr:colOff>1409700</xdr:colOff>
      <xdr:row>30</xdr:row>
      <xdr:rowOff>285749</xdr:rowOff>
    </xdr:to>
    <xdr:sp macro="" textlink="">
      <xdr:nvSpPr>
        <xdr:cNvPr id="41" name="Rectangle 40">
          <a:extLst>
            <a:ext uri="{FF2B5EF4-FFF2-40B4-BE49-F238E27FC236}">
              <a16:creationId xmlns:a16="http://schemas.microsoft.com/office/drawing/2014/main" id="{00000000-0008-0000-0800-000029000000}"/>
            </a:ext>
          </a:extLst>
        </xdr:cNvPr>
        <xdr:cNvSpPr/>
      </xdr:nvSpPr>
      <xdr:spPr bwMode="auto">
        <a:xfrm>
          <a:off x="13515975" y="8505825"/>
          <a:ext cx="3028950" cy="1752599"/>
        </a:xfrm>
        <a:prstGeom prst="rect">
          <a:avLst/>
        </a:prstGeom>
        <a:solidFill>
          <a:schemeClr val="tx2">
            <a:lumMod val="75000"/>
          </a:schemeClr>
        </a:solidFill>
        <a:ln>
          <a:headEnd type="none" w="med" len="med"/>
          <a:tailEnd type="none" w="med" len="med"/>
        </a:ln>
        <a:effectLst>
          <a:outerShdw blurRad="50800" dist="38100" dir="5400000" algn="t" rotWithShape="0">
            <a:prstClr val="black">
              <a:alpha val="40000"/>
            </a:prstClr>
          </a:outerShdw>
        </a:effectLst>
      </xdr:spPr>
      <xdr:style>
        <a:lnRef idx="0">
          <a:schemeClr val="accent5"/>
        </a:lnRef>
        <a:fillRef idx="3">
          <a:schemeClr val="accent5"/>
        </a:fillRef>
        <a:effectRef idx="3">
          <a:schemeClr val="accent5"/>
        </a:effectRef>
        <a:fontRef idx="minor">
          <a:schemeClr val="lt1"/>
        </a:fontRef>
      </xdr:style>
      <xdr:txBody>
        <a:bodyPr vertOverflow="clip" horzOverflow="clip" wrap="square" lIns="18288" tIns="0" rIns="0" bIns="0" rtlCol="0" anchor="t" upright="1"/>
        <a:lstStyle/>
        <a:p>
          <a:pPr algn="ctr"/>
          <a:endParaRPr lang="en-US" sz="1400">
            <a:solidFill>
              <a:schemeClr val="bg1"/>
            </a:solidFill>
            <a:latin typeface="Book Antiqua" pitchFamily="18" charset="0"/>
            <a:cs typeface="Arial" pitchFamily="34" charset="0"/>
          </a:endParaRPr>
        </a:p>
        <a:p>
          <a:pPr algn="l"/>
          <a:r>
            <a:rPr lang="en-US" sz="1200" b="1" i="1">
              <a:solidFill>
                <a:schemeClr val="bg1"/>
              </a:solidFill>
              <a:latin typeface="Book Antiqua" pitchFamily="18" charset="0"/>
              <a:cs typeface="Arial" pitchFamily="34" charset="0"/>
            </a:rPr>
            <a:t>                  </a:t>
          </a:r>
          <a:r>
            <a:rPr lang="en-US" sz="1050" b="1" i="1">
              <a:solidFill>
                <a:schemeClr val="bg1"/>
              </a:solidFill>
              <a:latin typeface="Lucida Fax" pitchFamily="18" charset="0"/>
              <a:cs typeface="Arial" pitchFamily="34" charset="0"/>
            </a:rPr>
            <a:t>Dr.N.Gopi</a:t>
          </a:r>
        </a:p>
        <a:p>
          <a:pPr algn="l"/>
          <a:r>
            <a:rPr lang="en-US" sz="1050" b="1" i="1">
              <a:solidFill>
                <a:schemeClr val="bg1"/>
              </a:solidFill>
              <a:latin typeface="Lucida Fax" pitchFamily="18" charset="0"/>
              <a:cs typeface="Arial" pitchFamily="34" charset="0"/>
            </a:rPr>
            <a:t>   Assistant Professor of</a:t>
          </a:r>
          <a:r>
            <a:rPr lang="en-US" sz="1050" b="1" i="1" baseline="0">
              <a:solidFill>
                <a:schemeClr val="bg1"/>
              </a:solidFill>
              <a:latin typeface="Lucida Fax" pitchFamily="18" charset="0"/>
              <a:cs typeface="Arial" pitchFamily="34" charset="0"/>
            </a:rPr>
            <a:t>  Economics</a:t>
          </a:r>
        </a:p>
        <a:p>
          <a:pPr algn="l"/>
          <a:r>
            <a:rPr lang="en-US" sz="1050" b="1" i="1" baseline="0">
              <a:solidFill>
                <a:schemeClr val="bg1"/>
              </a:solidFill>
              <a:latin typeface="Lucida Fax" pitchFamily="18" charset="0"/>
              <a:cs typeface="Arial" pitchFamily="34" charset="0"/>
            </a:rPr>
            <a:t>   Govt.Degree  College(A) ,             </a:t>
          </a:r>
        </a:p>
        <a:p>
          <a:pPr algn="l"/>
          <a:r>
            <a:rPr lang="en-US" sz="1050" b="1" i="1" baseline="0">
              <a:solidFill>
                <a:schemeClr val="bg1"/>
              </a:solidFill>
              <a:latin typeface="Lucida Fax" pitchFamily="18" charset="0"/>
              <a:cs typeface="Arial" pitchFamily="34" charset="0"/>
            </a:rPr>
            <a:t>    Sattupally</a:t>
          </a:r>
        </a:p>
        <a:p>
          <a:pPr algn="l"/>
          <a:r>
            <a:rPr lang="en-US" sz="1050" b="1" i="1" baseline="0">
              <a:solidFill>
                <a:schemeClr val="bg1"/>
              </a:solidFill>
              <a:latin typeface="Lucida Fax" pitchFamily="18" charset="0"/>
              <a:cs typeface="Arial" pitchFamily="34" charset="0"/>
            </a:rPr>
            <a:t>   TGCGTA State President</a:t>
          </a:r>
        </a:p>
        <a:p>
          <a:pPr algn="l"/>
          <a:r>
            <a:rPr lang="en-US" sz="1050" b="1" i="1" baseline="0">
              <a:solidFill>
                <a:schemeClr val="bg1"/>
              </a:solidFill>
              <a:latin typeface="Lucida Fax" pitchFamily="18" charset="0"/>
              <a:cs typeface="Arial" pitchFamily="34" charset="0"/>
            </a:rPr>
            <a:t>    Cell No.: 9182226319</a:t>
          </a:r>
        </a:p>
        <a:p>
          <a:pPr algn="l"/>
          <a:r>
            <a:rPr lang="en-US" sz="1050" b="1" i="1" baseline="0">
              <a:solidFill>
                <a:schemeClr val="bg1"/>
              </a:solidFill>
              <a:latin typeface="Lucida Fax" pitchFamily="18" charset="0"/>
              <a:cs typeface="Arial" pitchFamily="34" charset="0"/>
            </a:rPr>
            <a:t>    Mail Id:  naruna081@gmail.com</a:t>
          </a:r>
          <a:endParaRPr lang="en-US" sz="1050" b="1" i="1">
            <a:solidFill>
              <a:schemeClr val="bg1"/>
            </a:solidFill>
            <a:latin typeface="Lucida Fax" pitchFamily="18" charset="0"/>
            <a:cs typeface="Arial" pitchFamily="34" charset="0"/>
          </a:endParaRPr>
        </a:p>
      </xdr:txBody>
    </xdr:sp>
    <xdr:clientData/>
  </xdr:twoCellAnchor>
  <xdr:twoCellAnchor editAs="oneCell">
    <xdr:from>
      <xdr:col>26</xdr:col>
      <xdr:colOff>419100</xdr:colOff>
      <xdr:row>6</xdr:row>
      <xdr:rowOff>76199</xdr:rowOff>
    </xdr:from>
    <xdr:to>
      <xdr:col>28</xdr:col>
      <xdr:colOff>1171575</xdr:colOff>
      <xdr:row>12</xdr:row>
      <xdr:rowOff>295275</xdr:rowOff>
    </xdr:to>
    <xdr:pic>
      <xdr:nvPicPr>
        <xdr:cNvPr id="43" name="Picture 42" descr="C:\Users\USER\Desktop\New IT Software -2025\K.Surender Reddy.jpeg">
          <a:extLst>
            <a:ext uri="{FF2B5EF4-FFF2-40B4-BE49-F238E27FC236}">
              <a16:creationId xmlns:a16="http://schemas.microsoft.com/office/drawing/2014/main" id="{00000000-0008-0000-0800-00002B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3868400" y="1400174"/>
          <a:ext cx="2438400" cy="2343151"/>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1095375</xdr:colOff>
      <xdr:row>3</xdr:row>
      <xdr:rowOff>1</xdr:rowOff>
    </xdr:from>
    <xdr:to>
      <xdr:col>3</xdr:col>
      <xdr:colOff>190500</xdr:colOff>
      <xdr:row>5</xdr:row>
      <xdr:rowOff>123826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bwMode="auto">
        <a:xfrm>
          <a:off x="1333500" y="142876"/>
          <a:ext cx="1304925" cy="495300"/>
        </a:xfrm>
        <a:prstGeom prst="roundRect">
          <a:avLst/>
        </a:prstGeom>
        <a:solidFill>
          <a:srgbClr val="00206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chemeClr val="bg1"/>
              </a:solidFill>
              <a:latin typeface="Arial Black" pitchFamily="34" charset="0"/>
              <a:ea typeface="+mn-ea"/>
              <a:cs typeface="+mn-cs"/>
            </a:rPr>
            <a:t>Welcome</a:t>
          </a:r>
          <a:endParaRPr lang="en-US">
            <a:solidFill>
              <a:schemeClr val="bg1"/>
            </a:solidFill>
            <a:latin typeface="Arial Black" pitchFamily="34" charset="0"/>
          </a:endParaRPr>
        </a:p>
        <a:p>
          <a:pPr algn="ctr"/>
          <a:endParaRPr lang="en-US" sz="1100">
            <a:solidFill>
              <a:schemeClr val="bg1"/>
            </a:solidFill>
          </a:endParaRPr>
        </a:p>
      </xdr:txBody>
    </xdr:sp>
    <xdr:clientData/>
  </xdr:twoCellAnchor>
  <xdr:twoCellAnchor>
    <xdr:from>
      <xdr:col>3</xdr:col>
      <xdr:colOff>209550</xdr:colOff>
      <xdr:row>3</xdr:row>
      <xdr:rowOff>28575</xdr:rowOff>
    </xdr:from>
    <xdr:to>
      <xdr:col>5</xdr:col>
      <xdr:colOff>533400</xdr:colOff>
      <xdr:row>5</xdr:row>
      <xdr:rowOff>152400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bwMode="auto">
        <a:xfrm>
          <a:off x="2657475" y="171450"/>
          <a:ext cx="1304925" cy="495300"/>
        </a:xfrm>
        <a:prstGeom prst="roundRect">
          <a:avLst/>
        </a:prstGeom>
        <a:solidFill>
          <a:srgbClr val="00B0F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chemeClr val="bg1"/>
              </a:solidFill>
              <a:latin typeface="Arial Black" pitchFamily="34" charset="0"/>
              <a:ea typeface="+mn-ea"/>
              <a:cs typeface="+mn-cs"/>
            </a:rPr>
            <a:t>Data Sheet</a:t>
          </a:r>
          <a:endParaRPr lang="en-US">
            <a:solidFill>
              <a:schemeClr val="bg1"/>
            </a:solidFill>
            <a:latin typeface="Arial Black" pitchFamily="34" charset="0"/>
          </a:endParaRPr>
        </a:p>
        <a:p>
          <a:pPr algn="ctr"/>
          <a:endParaRPr lang="en-US" sz="1100">
            <a:solidFill>
              <a:schemeClr val="bg1"/>
            </a:solidFill>
          </a:endParaRPr>
        </a:p>
      </xdr:txBody>
    </xdr:sp>
    <xdr:clientData/>
  </xdr:twoCellAnchor>
  <xdr:twoCellAnchor>
    <xdr:from>
      <xdr:col>6</xdr:col>
      <xdr:colOff>19050</xdr:colOff>
      <xdr:row>3</xdr:row>
      <xdr:rowOff>38100</xdr:rowOff>
    </xdr:from>
    <xdr:to>
      <xdr:col>9</xdr:col>
      <xdr:colOff>266700</xdr:colOff>
      <xdr:row>5</xdr:row>
      <xdr:rowOff>161925</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B00-000004000000}"/>
            </a:ext>
          </a:extLst>
        </xdr:cNvPr>
        <xdr:cNvSpPr/>
      </xdr:nvSpPr>
      <xdr:spPr bwMode="auto">
        <a:xfrm>
          <a:off x="3990975" y="180975"/>
          <a:ext cx="1304925" cy="495300"/>
        </a:xfrm>
        <a:prstGeom prst="roundRect">
          <a:avLst/>
        </a:prstGeom>
        <a:solidFill>
          <a:schemeClr val="accent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chemeClr val="bg1"/>
              </a:solidFill>
              <a:latin typeface="Arial Black" pitchFamily="34" charset="0"/>
              <a:ea typeface="+mn-ea"/>
              <a:cs typeface="+mn-cs"/>
            </a:rPr>
            <a:t>Income</a:t>
          </a:r>
          <a:r>
            <a:rPr lang="en-US" sz="1100" baseline="0">
              <a:solidFill>
                <a:schemeClr val="bg1"/>
              </a:solidFill>
              <a:latin typeface="Arial Black" pitchFamily="34" charset="0"/>
              <a:ea typeface="+mn-ea"/>
              <a:cs typeface="+mn-cs"/>
            </a:rPr>
            <a:t> Tax</a:t>
          </a:r>
          <a:endParaRPr lang="en-US">
            <a:solidFill>
              <a:schemeClr val="bg1"/>
            </a:solidFill>
            <a:latin typeface="Arial Black" pitchFamily="34" charset="0"/>
          </a:endParaRPr>
        </a:p>
      </xdr:txBody>
    </xdr:sp>
    <xdr:clientData/>
  </xdr:twoCellAnchor>
  <xdr:twoCellAnchor>
    <xdr:from>
      <xdr:col>9</xdr:col>
      <xdr:colOff>285750</xdr:colOff>
      <xdr:row>3</xdr:row>
      <xdr:rowOff>38100</xdr:rowOff>
    </xdr:from>
    <xdr:to>
      <xdr:col>12</xdr:col>
      <xdr:colOff>0</xdr:colOff>
      <xdr:row>5</xdr:row>
      <xdr:rowOff>161925</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0B00-000005000000}"/>
            </a:ext>
          </a:extLst>
        </xdr:cNvPr>
        <xdr:cNvSpPr/>
      </xdr:nvSpPr>
      <xdr:spPr bwMode="auto">
        <a:xfrm>
          <a:off x="5314950" y="180975"/>
          <a:ext cx="1304925" cy="495300"/>
        </a:xfrm>
        <a:prstGeom prst="roundRect">
          <a:avLst/>
        </a:prstGeom>
        <a:solidFill>
          <a:schemeClr val="accent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chemeClr val="bg1"/>
              </a:solidFill>
              <a:latin typeface="Arial Black" pitchFamily="34" charset="0"/>
              <a:ea typeface="+mn-ea"/>
              <a:cs typeface="+mn-cs"/>
            </a:rPr>
            <a:t>Form-16</a:t>
          </a:r>
          <a:endParaRPr lang="en-US">
            <a:solidFill>
              <a:schemeClr val="bg1"/>
            </a:solidFill>
            <a:latin typeface="Arial Black" pitchFamily="34" charset="0"/>
          </a:endParaRPr>
        </a:p>
        <a:p>
          <a:pPr algn="ctr"/>
          <a:endParaRPr lang="en-US" sz="1100">
            <a:solidFill>
              <a:schemeClr val="bg1"/>
            </a:solidFill>
          </a:endParaRPr>
        </a:p>
      </xdr:txBody>
    </xdr:sp>
    <xdr:clientData/>
  </xdr:twoCellAnchor>
  <xdr:twoCellAnchor>
    <xdr:from>
      <xdr:col>12</xdr:col>
      <xdr:colOff>0</xdr:colOff>
      <xdr:row>4</xdr:row>
      <xdr:rowOff>9525</xdr:rowOff>
    </xdr:from>
    <xdr:to>
      <xdr:col>13</xdr:col>
      <xdr:colOff>457200</xdr:colOff>
      <xdr:row>5</xdr:row>
      <xdr:rowOff>180975</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0B00-000006000000}"/>
            </a:ext>
          </a:extLst>
        </xdr:cNvPr>
        <xdr:cNvSpPr/>
      </xdr:nvSpPr>
      <xdr:spPr bwMode="auto">
        <a:xfrm>
          <a:off x="6629400" y="200025"/>
          <a:ext cx="1304925" cy="495300"/>
        </a:xfrm>
        <a:prstGeom prst="roundRect">
          <a:avLst/>
        </a:prstGeom>
        <a:solidFill>
          <a:schemeClr val="accent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chemeClr val="bg1"/>
              </a:solidFill>
              <a:latin typeface="Arial Black" pitchFamily="34" charset="0"/>
              <a:ea typeface="+mn-ea"/>
              <a:cs typeface="+mn-cs"/>
            </a:rPr>
            <a:t>Form-16(Back)</a:t>
          </a:r>
          <a:endParaRPr lang="en-US">
            <a:solidFill>
              <a:schemeClr val="bg1"/>
            </a:solidFill>
            <a:latin typeface="Arial Black" pitchFamily="34" charset="0"/>
          </a:endParaRPr>
        </a:p>
        <a:p>
          <a:pPr algn="ctr"/>
          <a:endParaRPr lang="en-US" sz="1100">
            <a:solidFill>
              <a:schemeClr val="bg1"/>
            </a:solidFill>
          </a:endParaRPr>
        </a:p>
      </xdr:txBody>
    </xdr:sp>
    <xdr:clientData/>
  </xdr:twoCellAnchor>
  <xdr:twoCellAnchor>
    <xdr:from>
      <xdr:col>13</xdr:col>
      <xdr:colOff>457200</xdr:colOff>
      <xdr:row>4</xdr:row>
      <xdr:rowOff>28575</xdr:rowOff>
    </xdr:from>
    <xdr:to>
      <xdr:col>17</xdr:col>
      <xdr:colOff>85725</xdr:colOff>
      <xdr:row>5</xdr:row>
      <xdr:rowOff>180975</xdr:rowOff>
    </xdr:to>
    <xdr:sp macro="" textlink="">
      <xdr:nvSpPr>
        <xdr:cNvPr id="7" name="Rounded Rectangle 6">
          <a:hlinkClick xmlns:r="http://schemas.openxmlformats.org/officeDocument/2006/relationships" r:id="rId6"/>
          <a:extLst>
            <a:ext uri="{FF2B5EF4-FFF2-40B4-BE49-F238E27FC236}">
              <a16:creationId xmlns:a16="http://schemas.microsoft.com/office/drawing/2014/main" id="{00000000-0008-0000-0B00-000007000000}"/>
            </a:ext>
          </a:extLst>
        </xdr:cNvPr>
        <xdr:cNvSpPr/>
      </xdr:nvSpPr>
      <xdr:spPr bwMode="auto">
        <a:xfrm>
          <a:off x="7934325" y="219075"/>
          <a:ext cx="1304925" cy="476250"/>
        </a:xfrm>
        <a:prstGeom prst="roundRect">
          <a:avLst/>
        </a:prstGeom>
        <a:solidFill>
          <a:srgbClr val="FFFF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ysClr val="windowText" lastClr="000000"/>
              </a:solidFill>
              <a:latin typeface="Arial Black" pitchFamily="34" charset="0"/>
              <a:ea typeface="+mn-ea"/>
              <a:cs typeface="+mn-cs"/>
            </a:rPr>
            <a:t>Form-12BB</a:t>
          </a:r>
          <a:endParaRPr lang="en-US">
            <a:solidFill>
              <a:sysClr val="windowText" lastClr="000000"/>
            </a:solidFill>
            <a:latin typeface="Arial Black" pitchFamily="34" charset="0"/>
          </a:endParaRPr>
        </a:p>
        <a:p>
          <a:pPr algn="ctr"/>
          <a:endParaRPr lang="en-US" sz="1100">
            <a:solidFill>
              <a:schemeClr val="bg1"/>
            </a:solidFill>
          </a:endParaRPr>
        </a:p>
      </xdr:txBody>
    </xdr:sp>
    <xdr:clientData/>
  </xdr:twoCellAnchor>
  <xdr:twoCellAnchor>
    <xdr:from>
      <xdr:col>17</xdr:col>
      <xdr:colOff>161925</xdr:colOff>
      <xdr:row>4</xdr:row>
      <xdr:rowOff>0</xdr:rowOff>
    </xdr:from>
    <xdr:to>
      <xdr:col>20</xdr:col>
      <xdr:colOff>171450</xdr:colOff>
      <xdr:row>5</xdr:row>
      <xdr:rowOff>152400</xdr:rowOff>
    </xdr:to>
    <xdr:sp macro="" textlink="">
      <xdr:nvSpPr>
        <xdr:cNvPr id="9" name="Rounded Rectangle 8">
          <a:hlinkClick xmlns:r="http://schemas.openxmlformats.org/officeDocument/2006/relationships" r:id="rId7"/>
          <a:extLst>
            <a:ext uri="{FF2B5EF4-FFF2-40B4-BE49-F238E27FC236}">
              <a16:creationId xmlns:a16="http://schemas.microsoft.com/office/drawing/2014/main" id="{00000000-0008-0000-0B00-000009000000}"/>
            </a:ext>
          </a:extLst>
        </xdr:cNvPr>
        <xdr:cNvSpPr/>
      </xdr:nvSpPr>
      <xdr:spPr bwMode="auto">
        <a:xfrm>
          <a:off x="9086850" y="190500"/>
          <a:ext cx="1247775" cy="476250"/>
        </a:xfrm>
        <a:prstGeom prst="roundRect">
          <a:avLst/>
        </a:prstGeom>
        <a:solidFill>
          <a:srgbClr val="8000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 Sheet-II</a:t>
          </a:r>
        </a:p>
      </xdr:txBody>
    </xdr:sp>
    <xdr:clientData/>
  </xdr:twoCellAnchor>
  <xdr:twoCellAnchor>
    <xdr:from>
      <xdr:col>20</xdr:col>
      <xdr:colOff>219075</xdr:colOff>
      <xdr:row>3</xdr:row>
      <xdr:rowOff>28575</xdr:rowOff>
    </xdr:from>
    <xdr:to>
      <xdr:col>22</xdr:col>
      <xdr:colOff>400050</xdr:colOff>
      <xdr:row>5</xdr:row>
      <xdr:rowOff>133350</xdr:rowOff>
    </xdr:to>
    <xdr:sp macro="" textlink="">
      <xdr:nvSpPr>
        <xdr:cNvPr id="10" name="Rounded Rectangle 9">
          <a:hlinkClick xmlns:r="http://schemas.openxmlformats.org/officeDocument/2006/relationships" r:id="rId8"/>
          <a:extLst>
            <a:ext uri="{FF2B5EF4-FFF2-40B4-BE49-F238E27FC236}">
              <a16:creationId xmlns:a16="http://schemas.microsoft.com/office/drawing/2014/main" id="{00000000-0008-0000-0B00-00000A000000}"/>
            </a:ext>
          </a:extLst>
        </xdr:cNvPr>
        <xdr:cNvSpPr/>
      </xdr:nvSpPr>
      <xdr:spPr bwMode="auto">
        <a:xfrm>
          <a:off x="10382250" y="171450"/>
          <a:ext cx="1247775" cy="476250"/>
        </a:xfrm>
        <a:prstGeom prst="roundRect">
          <a:avLst/>
        </a:prstGeom>
        <a:solidFill>
          <a:srgbClr val="FFFF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tx1"/>
              </a:solidFill>
              <a:latin typeface="Arial Black" pitchFamily="34" charset="0"/>
            </a:rPr>
            <a:t>Data Sheet-III</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23131</xdr:colOff>
      <xdr:row>15</xdr:row>
      <xdr:rowOff>155121</xdr:rowOff>
    </xdr:from>
    <xdr:to>
      <xdr:col>24</xdr:col>
      <xdr:colOff>688861</xdr:colOff>
      <xdr:row>16</xdr:row>
      <xdr:rowOff>127567</xdr:rowOff>
    </xdr:to>
    <xdr:sp macro="" textlink="">
      <xdr:nvSpPr>
        <xdr:cNvPr id="99496" name="Left Arrow 1">
          <a:extLst>
            <a:ext uri="{FF2B5EF4-FFF2-40B4-BE49-F238E27FC236}">
              <a16:creationId xmlns:a16="http://schemas.microsoft.com/office/drawing/2014/main" id="{00000000-0008-0000-0D00-0000A8840100}"/>
            </a:ext>
          </a:extLst>
        </xdr:cNvPr>
        <xdr:cNvSpPr>
          <a:spLocks noChangeArrowheads="1"/>
        </xdr:cNvSpPr>
      </xdr:nvSpPr>
      <xdr:spPr bwMode="auto">
        <a:xfrm>
          <a:off x="13017952" y="3055143"/>
          <a:ext cx="3710329" cy="134031"/>
        </a:xfrm>
        <a:prstGeom prst="leftArrow">
          <a:avLst>
            <a:gd name="adj1" fmla="val 50000"/>
            <a:gd name="adj2" fmla="val 49974"/>
          </a:avLst>
        </a:prstGeom>
        <a:solidFill>
          <a:srgbClr val="FFFF00"/>
        </a:solidFill>
        <a:ln w="9525" algn="ctr">
          <a:solidFill>
            <a:srgbClr val="000000"/>
          </a:solidFill>
          <a:round/>
          <a:headEnd/>
          <a:tailEnd/>
        </a:ln>
        <a:effectLst>
          <a:outerShdw dist="35921" dir="2700000" algn="ctr" rotWithShape="0">
            <a:srgbClr val="000000"/>
          </a:outerShdw>
        </a:effectLst>
      </xdr:spPr>
    </xdr:sp>
    <xdr:clientData/>
  </xdr:twoCellAnchor>
  <xdr:twoCellAnchor>
    <xdr:from>
      <xdr:col>14</xdr:col>
      <xdr:colOff>523196</xdr:colOff>
      <xdr:row>37</xdr:row>
      <xdr:rowOff>0</xdr:rowOff>
    </xdr:from>
    <xdr:to>
      <xdr:col>16</xdr:col>
      <xdr:colOff>365353</xdr:colOff>
      <xdr:row>39</xdr:row>
      <xdr:rowOff>204106</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D00-000003000000}"/>
            </a:ext>
          </a:extLst>
        </xdr:cNvPr>
        <xdr:cNvSpPr/>
      </xdr:nvSpPr>
      <xdr:spPr bwMode="auto">
        <a:xfrm>
          <a:off x="8517392" y="6021161"/>
          <a:ext cx="1304925" cy="595311"/>
        </a:xfrm>
        <a:prstGeom prst="roundRect">
          <a:avLst/>
        </a:prstGeom>
        <a:solidFill>
          <a:schemeClr val="tx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Welcome</a:t>
          </a:r>
        </a:p>
      </xdr:txBody>
    </xdr:sp>
    <xdr:clientData/>
  </xdr:twoCellAnchor>
  <xdr:twoCellAnchor>
    <xdr:from>
      <xdr:col>16</xdr:col>
      <xdr:colOff>382700</xdr:colOff>
      <xdr:row>37</xdr:row>
      <xdr:rowOff>8505</xdr:rowOff>
    </xdr:from>
    <xdr:to>
      <xdr:col>18</xdr:col>
      <xdr:colOff>187101</xdr:colOff>
      <xdr:row>39</xdr:row>
      <xdr:rowOff>176552</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D00-000004000000}"/>
            </a:ext>
          </a:extLst>
        </xdr:cNvPr>
        <xdr:cNvSpPr/>
      </xdr:nvSpPr>
      <xdr:spPr bwMode="auto">
        <a:xfrm>
          <a:off x="10137321" y="6641987"/>
          <a:ext cx="1301186" cy="508226"/>
        </a:xfrm>
        <a:prstGeom prst="roundRect">
          <a:avLst/>
        </a:prstGeom>
        <a:solidFill>
          <a:srgbClr val="FFFF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tx1"/>
              </a:solidFill>
              <a:latin typeface="Arial Black" pitchFamily="34" charset="0"/>
              <a:cs typeface="Arial" pitchFamily="34" charset="0"/>
            </a:rPr>
            <a:t>Data</a:t>
          </a:r>
          <a:r>
            <a:rPr lang="en-US" sz="1100" baseline="0">
              <a:solidFill>
                <a:schemeClr val="tx1"/>
              </a:solidFill>
              <a:latin typeface="Arial Black" pitchFamily="34" charset="0"/>
              <a:cs typeface="Arial" pitchFamily="34" charset="0"/>
            </a:rPr>
            <a:t> Sheet</a:t>
          </a:r>
          <a:endParaRPr lang="en-US" sz="1100">
            <a:solidFill>
              <a:schemeClr val="tx1"/>
            </a:solidFill>
            <a:latin typeface="Arial Black" pitchFamily="34" charset="0"/>
            <a:cs typeface="Arial" pitchFamily="34" charset="0"/>
          </a:endParaRPr>
        </a:p>
      </xdr:txBody>
    </xdr:sp>
    <xdr:clientData/>
  </xdr:twoCellAnchor>
  <xdr:twoCellAnchor>
    <xdr:from>
      <xdr:col>14</xdr:col>
      <xdr:colOff>512651</xdr:colOff>
      <xdr:row>40</xdr:row>
      <xdr:rowOff>13266</xdr:rowOff>
    </xdr:from>
    <xdr:to>
      <xdr:col>16</xdr:col>
      <xdr:colOff>354808</xdr:colOff>
      <xdr:row>42</xdr:row>
      <xdr:rowOff>107836</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D00-000005000000}"/>
            </a:ext>
          </a:extLst>
        </xdr:cNvPr>
        <xdr:cNvSpPr/>
      </xdr:nvSpPr>
      <xdr:spPr bwMode="auto">
        <a:xfrm>
          <a:off x="8523176" y="6652191"/>
          <a:ext cx="1309007" cy="485095"/>
        </a:xfrm>
        <a:prstGeom prst="roundRect">
          <a:avLst/>
        </a:prstGeom>
        <a:solidFill>
          <a:schemeClr val="accent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latin typeface="Arial Black" pitchFamily="34" charset="0"/>
            </a:rPr>
            <a:t>Anexure-I</a:t>
          </a:r>
        </a:p>
      </xdr:txBody>
    </xdr:sp>
    <xdr:clientData/>
  </xdr:twoCellAnchor>
  <xdr:twoCellAnchor>
    <xdr:from>
      <xdr:col>16</xdr:col>
      <xdr:colOff>355829</xdr:colOff>
      <xdr:row>39</xdr:row>
      <xdr:rowOff>172810</xdr:rowOff>
    </xdr:from>
    <xdr:to>
      <xdr:col>18</xdr:col>
      <xdr:colOff>163968</xdr:colOff>
      <xdr:row>42</xdr:row>
      <xdr:rowOff>80281</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D00-000006000000}"/>
            </a:ext>
          </a:extLst>
        </xdr:cNvPr>
        <xdr:cNvSpPr/>
      </xdr:nvSpPr>
      <xdr:spPr bwMode="auto">
        <a:xfrm>
          <a:off x="9833204" y="6611710"/>
          <a:ext cx="1303564" cy="498021"/>
        </a:xfrm>
        <a:prstGeom prst="roundRect">
          <a:avLst/>
        </a:prstGeom>
        <a:solidFill>
          <a:schemeClr val="accent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latin typeface="Arial Black" pitchFamily="34" charset="0"/>
            </a:rPr>
            <a:t>Form-16</a:t>
          </a:r>
        </a:p>
      </xdr:txBody>
    </xdr:sp>
    <xdr:clientData/>
  </xdr:twoCellAnchor>
  <xdr:twoCellAnchor>
    <xdr:from>
      <xdr:col>14</xdr:col>
      <xdr:colOff>547688</xdr:colOff>
      <xdr:row>42</xdr:row>
      <xdr:rowOff>146616</xdr:rowOff>
    </xdr:from>
    <xdr:to>
      <xdr:col>16</xdr:col>
      <xdr:colOff>389845</xdr:colOff>
      <xdr:row>45</xdr:row>
      <xdr:rowOff>147637</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0D00-000007000000}"/>
            </a:ext>
          </a:extLst>
        </xdr:cNvPr>
        <xdr:cNvSpPr/>
      </xdr:nvSpPr>
      <xdr:spPr bwMode="auto">
        <a:xfrm>
          <a:off x="8558213" y="7176066"/>
          <a:ext cx="1309007" cy="486796"/>
        </a:xfrm>
        <a:prstGeom prst="roundRect">
          <a:avLst/>
        </a:prstGeom>
        <a:solidFill>
          <a:srgbClr val="FF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latin typeface="Arial Black" pitchFamily="34" charset="0"/>
            </a:rPr>
            <a:t>Form-16(Back</a:t>
          </a:r>
          <a:r>
            <a:rPr lang="en-US" sz="1100"/>
            <a:t>)</a:t>
          </a:r>
        </a:p>
      </xdr:txBody>
    </xdr:sp>
    <xdr:clientData/>
  </xdr:twoCellAnchor>
  <xdr:twoCellAnchor>
    <xdr:from>
      <xdr:col>16</xdr:col>
      <xdr:colOff>382361</xdr:colOff>
      <xdr:row>42</xdr:row>
      <xdr:rowOff>91508</xdr:rowOff>
    </xdr:from>
    <xdr:to>
      <xdr:col>18</xdr:col>
      <xdr:colOff>190500</xdr:colOff>
      <xdr:row>45</xdr:row>
      <xdr:rowOff>119063</xdr:rowOff>
    </xdr:to>
    <xdr:sp macro="" textlink="">
      <xdr:nvSpPr>
        <xdr:cNvPr id="8" name="Rounded Rectangle 7">
          <a:hlinkClick xmlns:r="http://schemas.openxmlformats.org/officeDocument/2006/relationships" r:id="rId6"/>
          <a:extLst>
            <a:ext uri="{FF2B5EF4-FFF2-40B4-BE49-F238E27FC236}">
              <a16:creationId xmlns:a16="http://schemas.microsoft.com/office/drawing/2014/main" id="{00000000-0008-0000-0D00-000008000000}"/>
            </a:ext>
          </a:extLst>
        </xdr:cNvPr>
        <xdr:cNvSpPr/>
      </xdr:nvSpPr>
      <xdr:spPr bwMode="auto">
        <a:xfrm>
          <a:off x="9839325" y="7099187"/>
          <a:ext cx="1304925" cy="512309"/>
        </a:xfrm>
        <a:prstGeom prst="roundRect">
          <a:avLst/>
        </a:prstGeom>
        <a:solidFill>
          <a:schemeClr val="accent3"/>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latin typeface="Arial Black" pitchFamily="34" charset="0"/>
            </a:rPr>
            <a:t>Form-12BB</a:t>
          </a:r>
        </a:p>
      </xdr:txBody>
    </xdr:sp>
    <xdr:clientData/>
  </xdr:twoCellAnchor>
  <xdr:twoCellAnchor>
    <xdr:from>
      <xdr:col>14</xdr:col>
      <xdr:colOff>620826</xdr:colOff>
      <xdr:row>46</xdr:row>
      <xdr:rowOff>25514</xdr:rowOff>
    </xdr:from>
    <xdr:to>
      <xdr:col>16</xdr:col>
      <xdr:colOff>405833</xdr:colOff>
      <xdr:row>48</xdr:row>
      <xdr:rowOff>161585</xdr:rowOff>
    </xdr:to>
    <xdr:sp macro="" textlink="">
      <xdr:nvSpPr>
        <xdr:cNvPr id="9" name="Rounded Rectangle 8">
          <a:hlinkClick xmlns:r="http://schemas.openxmlformats.org/officeDocument/2006/relationships" r:id="rId7"/>
          <a:extLst>
            <a:ext uri="{FF2B5EF4-FFF2-40B4-BE49-F238E27FC236}">
              <a16:creationId xmlns:a16="http://schemas.microsoft.com/office/drawing/2014/main" id="{00000000-0008-0000-0D00-000009000000}"/>
            </a:ext>
          </a:extLst>
        </xdr:cNvPr>
        <xdr:cNvSpPr/>
      </xdr:nvSpPr>
      <xdr:spPr bwMode="auto">
        <a:xfrm>
          <a:off x="8912679" y="8257835"/>
          <a:ext cx="1247775" cy="476250"/>
        </a:xfrm>
        <a:prstGeom prst="roundRect">
          <a:avLst/>
        </a:prstGeom>
        <a:solidFill>
          <a:srgbClr val="FF66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 Sheet-II</a:t>
          </a:r>
        </a:p>
      </xdr:txBody>
    </xdr:sp>
    <xdr:clientData/>
  </xdr:twoCellAnchor>
  <xdr:twoCellAnchor>
    <xdr:from>
      <xdr:col>16</xdr:col>
      <xdr:colOff>450737</xdr:colOff>
      <xdr:row>46</xdr:row>
      <xdr:rowOff>34018</xdr:rowOff>
    </xdr:from>
    <xdr:to>
      <xdr:col>18</xdr:col>
      <xdr:colOff>201727</xdr:colOff>
      <xdr:row>49</xdr:row>
      <xdr:rowOff>0</xdr:rowOff>
    </xdr:to>
    <xdr:sp macro="" textlink="">
      <xdr:nvSpPr>
        <xdr:cNvPr id="10" name="Rounded Rectangle 9">
          <a:hlinkClick xmlns:r="http://schemas.openxmlformats.org/officeDocument/2006/relationships" r:id="rId8"/>
          <a:extLst>
            <a:ext uri="{FF2B5EF4-FFF2-40B4-BE49-F238E27FC236}">
              <a16:creationId xmlns:a16="http://schemas.microsoft.com/office/drawing/2014/main" id="{00000000-0008-0000-0D00-00000A000000}"/>
            </a:ext>
          </a:extLst>
        </xdr:cNvPr>
        <xdr:cNvSpPr/>
      </xdr:nvSpPr>
      <xdr:spPr bwMode="auto">
        <a:xfrm>
          <a:off x="10205358" y="8266339"/>
          <a:ext cx="1247775" cy="476250"/>
        </a:xfrm>
        <a:prstGeom prst="roundRect">
          <a:avLst/>
        </a:prstGeom>
        <a:solidFill>
          <a:srgbClr val="C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 Sheet-III</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17</xdr:col>
      <xdr:colOff>333375</xdr:colOff>
      <xdr:row>4</xdr:row>
      <xdr:rowOff>180975</xdr:rowOff>
    </xdr:from>
    <xdr:to>
      <xdr:col>19</xdr:col>
      <xdr:colOff>495299</xdr:colOff>
      <xdr:row>7</xdr:row>
      <xdr:rowOff>114300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bwMode="auto">
        <a:xfrm>
          <a:off x="8896350" y="904875"/>
          <a:ext cx="1381124" cy="523875"/>
        </a:xfrm>
        <a:prstGeom prst="roundRect">
          <a:avLst/>
        </a:prstGeom>
        <a:solidFill>
          <a:schemeClr val="tx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Welcome</a:t>
          </a:r>
        </a:p>
      </xdr:txBody>
    </xdr:sp>
    <xdr:clientData/>
  </xdr:twoCellAnchor>
  <xdr:twoCellAnchor>
    <xdr:from>
      <xdr:col>19</xdr:col>
      <xdr:colOff>552450</xdr:colOff>
      <xdr:row>4</xdr:row>
      <xdr:rowOff>161925</xdr:rowOff>
    </xdr:from>
    <xdr:to>
      <xdr:col>22</xdr:col>
      <xdr:colOff>104774</xdr:colOff>
      <xdr:row>7</xdr:row>
      <xdr:rowOff>95250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E00-000003000000}"/>
            </a:ext>
          </a:extLst>
        </xdr:cNvPr>
        <xdr:cNvSpPr/>
      </xdr:nvSpPr>
      <xdr:spPr bwMode="auto">
        <a:xfrm>
          <a:off x="10334625" y="885825"/>
          <a:ext cx="1381124" cy="523875"/>
        </a:xfrm>
        <a:prstGeom prst="roundRect">
          <a:avLst/>
        </a:prstGeom>
        <a:solidFill>
          <a:schemeClr val="tx2"/>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a:t>
          </a:r>
          <a:r>
            <a:rPr lang="en-US" sz="1100" baseline="0">
              <a:solidFill>
                <a:schemeClr val="bg1"/>
              </a:solidFill>
              <a:latin typeface="Arial Black" pitchFamily="34" charset="0"/>
            </a:rPr>
            <a:t> Sheet</a:t>
          </a:r>
          <a:endParaRPr lang="en-US" sz="1100">
            <a:solidFill>
              <a:schemeClr val="bg1"/>
            </a:solidFill>
            <a:latin typeface="Arial Black" pitchFamily="34" charset="0"/>
          </a:endParaRPr>
        </a:p>
      </xdr:txBody>
    </xdr:sp>
    <xdr:clientData/>
  </xdr:twoCellAnchor>
  <xdr:twoCellAnchor>
    <xdr:from>
      <xdr:col>17</xdr:col>
      <xdr:colOff>342900</xdr:colOff>
      <xdr:row>8</xdr:row>
      <xdr:rowOff>19050</xdr:rowOff>
    </xdr:from>
    <xdr:to>
      <xdr:col>19</xdr:col>
      <xdr:colOff>504824</xdr:colOff>
      <xdr:row>10</xdr:row>
      <xdr:rowOff>123825</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E00-000004000000}"/>
            </a:ext>
          </a:extLst>
        </xdr:cNvPr>
        <xdr:cNvSpPr/>
      </xdr:nvSpPr>
      <xdr:spPr bwMode="auto">
        <a:xfrm>
          <a:off x="8905875" y="1543050"/>
          <a:ext cx="1381124" cy="523875"/>
        </a:xfrm>
        <a:prstGeom prst="roundRect">
          <a:avLst/>
        </a:prstGeom>
        <a:solidFill>
          <a:srgbClr val="0070C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Anexure-I</a:t>
          </a:r>
        </a:p>
      </xdr:txBody>
    </xdr:sp>
    <xdr:clientData/>
  </xdr:twoCellAnchor>
  <xdr:twoCellAnchor>
    <xdr:from>
      <xdr:col>19</xdr:col>
      <xdr:colOff>561975</xdr:colOff>
      <xdr:row>8</xdr:row>
      <xdr:rowOff>38100</xdr:rowOff>
    </xdr:from>
    <xdr:to>
      <xdr:col>22</xdr:col>
      <xdr:colOff>114299</xdr:colOff>
      <xdr:row>10</xdr:row>
      <xdr:rowOff>142875</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0E00-000005000000}"/>
            </a:ext>
          </a:extLst>
        </xdr:cNvPr>
        <xdr:cNvSpPr/>
      </xdr:nvSpPr>
      <xdr:spPr bwMode="auto">
        <a:xfrm>
          <a:off x="10344150" y="1562100"/>
          <a:ext cx="1381124" cy="523875"/>
        </a:xfrm>
        <a:prstGeom prst="roundRect">
          <a:avLst/>
        </a:prstGeom>
        <a:solidFill>
          <a:srgbClr val="00206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Income Tax</a:t>
          </a:r>
        </a:p>
      </xdr:txBody>
    </xdr:sp>
    <xdr:clientData/>
  </xdr:twoCellAnchor>
  <xdr:twoCellAnchor>
    <xdr:from>
      <xdr:col>17</xdr:col>
      <xdr:colOff>381000</xdr:colOff>
      <xdr:row>11</xdr:row>
      <xdr:rowOff>76200</xdr:rowOff>
    </xdr:from>
    <xdr:to>
      <xdr:col>19</xdr:col>
      <xdr:colOff>542924</xdr:colOff>
      <xdr:row>14</xdr:row>
      <xdr:rowOff>28575</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0E00-000006000000}"/>
            </a:ext>
          </a:extLst>
        </xdr:cNvPr>
        <xdr:cNvSpPr/>
      </xdr:nvSpPr>
      <xdr:spPr bwMode="auto">
        <a:xfrm>
          <a:off x="8943975" y="2209800"/>
          <a:ext cx="1381124" cy="523875"/>
        </a:xfrm>
        <a:prstGeom prst="roundRect">
          <a:avLst/>
        </a:prstGeom>
        <a:solidFill>
          <a:srgbClr val="FF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Form-16(Back)</a:t>
          </a:r>
        </a:p>
      </xdr:txBody>
    </xdr:sp>
    <xdr:clientData/>
  </xdr:twoCellAnchor>
  <xdr:twoCellAnchor>
    <xdr:from>
      <xdr:col>20</xdr:col>
      <xdr:colOff>0</xdr:colOff>
      <xdr:row>11</xdr:row>
      <xdr:rowOff>76200</xdr:rowOff>
    </xdr:from>
    <xdr:to>
      <xdr:col>22</xdr:col>
      <xdr:colOff>161924</xdr:colOff>
      <xdr:row>14</xdr:row>
      <xdr:rowOff>28575</xdr:rowOff>
    </xdr:to>
    <xdr:sp macro="" textlink="">
      <xdr:nvSpPr>
        <xdr:cNvPr id="7" name="Rounded Rectangle 6">
          <a:hlinkClick xmlns:r="http://schemas.openxmlformats.org/officeDocument/2006/relationships" r:id="rId6"/>
          <a:extLst>
            <a:ext uri="{FF2B5EF4-FFF2-40B4-BE49-F238E27FC236}">
              <a16:creationId xmlns:a16="http://schemas.microsoft.com/office/drawing/2014/main" id="{00000000-0008-0000-0E00-000007000000}"/>
            </a:ext>
          </a:extLst>
        </xdr:cNvPr>
        <xdr:cNvSpPr/>
      </xdr:nvSpPr>
      <xdr:spPr bwMode="auto">
        <a:xfrm>
          <a:off x="10391775" y="2209800"/>
          <a:ext cx="1381124" cy="523875"/>
        </a:xfrm>
        <a:prstGeom prst="roundRect">
          <a:avLst/>
        </a:prstGeom>
        <a:solidFill>
          <a:srgbClr val="FFFF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ysClr val="windowText" lastClr="000000"/>
              </a:solidFill>
              <a:latin typeface="Arial Black" pitchFamily="34" charset="0"/>
            </a:rPr>
            <a:t>Form-12BB</a:t>
          </a:r>
        </a:p>
      </xdr:txBody>
    </xdr:sp>
    <xdr:clientData/>
  </xdr:twoCellAnchor>
  <xdr:twoCellAnchor>
    <xdr:from>
      <xdr:col>17</xdr:col>
      <xdr:colOff>476250</xdr:colOff>
      <xdr:row>14</xdr:row>
      <xdr:rowOff>133350</xdr:rowOff>
    </xdr:from>
    <xdr:to>
      <xdr:col>19</xdr:col>
      <xdr:colOff>504825</xdr:colOff>
      <xdr:row>16</xdr:row>
      <xdr:rowOff>152400</xdr:rowOff>
    </xdr:to>
    <xdr:sp macro="" textlink="">
      <xdr:nvSpPr>
        <xdr:cNvPr id="9" name="Rounded Rectangle 8">
          <a:hlinkClick xmlns:r="http://schemas.openxmlformats.org/officeDocument/2006/relationships" r:id="rId7"/>
          <a:extLst>
            <a:ext uri="{FF2B5EF4-FFF2-40B4-BE49-F238E27FC236}">
              <a16:creationId xmlns:a16="http://schemas.microsoft.com/office/drawing/2014/main" id="{00000000-0008-0000-0E00-000009000000}"/>
            </a:ext>
          </a:extLst>
        </xdr:cNvPr>
        <xdr:cNvSpPr/>
      </xdr:nvSpPr>
      <xdr:spPr bwMode="auto">
        <a:xfrm>
          <a:off x="9915525" y="2828925"/>
          <a:ext cx="1247775" cy="476250"/>
        </a:xfrm>
        <a:prstGeom prst="roundRect">
          <a:avLst/>
        </a:prstGeom>
        <a:solidFill>
          <a:srgbClr val="00206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 Sheet-II</a:t>
          </a:r>
        </a:p>
      </xdr:txBody>
    </xdr:sp>
    <xdr:clientData/>
  </xdr:twoCellAnchor>
  <xdr:twoCellAnchor>
    <xdr:from>
      <xdr:col>20</xdr:col>
      <xdr:colOff>66675</xdr:colOff>
      <xdr:row>14</xdr:row>
      <xdr:rowOff>142875</xdr:rowOff>
    </xdr:from>
    <xdr:to>
      <xdr:col>22</xdr:col>
      <xdr:colOff>95250</xdr:colOff>
      <xdr:row>16</xdr:row>
      <xdr:rowOff>123825</xdr:rowOff>
    </xdr:to>
    <xdr:sp macro="" textlink="">
      <xdr:nvSpPr>
        <xdr:cNvPr id="10" name="Rounded Rectangle 9">
          <a:hlinkClick xmlns:r="http://schemas.openxmlformats.org/officeDocument/2006/relationships" r:id="rId8"/>
          <a:extLst>
            <a:ext uri="{FF2B5EF4-FFF2-40B4-BE49-F238E27FC236}">
              <a16:creationId xmlns:a16="http://schemas.microsoft.com/office/drawing/2014/main" id="{00000000-0008-0000-0E00-00000A000000}"/>
            </a:ext>
          </a:extLst>
        </xdr:cNvPr>
        <xdr:cNvSpPr/>
      </xdr:nvSpPr>
      <xdr:spPr bwMode="auto">
        <a:xfrm>
          <a:off x="11334750" y="2838450"/>
          <a:ext cx="1247775" cy="438150"/>
        </a:xfrm>
        <a:prstGeom prst="roundRect">
          <a:avLst/>
        </a:prstGeom>
        <a:solidFill>
          <a:schemeClr val="tx1">
            <a:lumMod val="65000"/>
            <a:lumOff val="35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a:t>
          </a:r>
          <a:r>
            <a:rPr lang="en-US" sz="1100" baseline="0">
              <a:solidFill>
                <a:schemeClr val="bg1"/>
              </a:solidFill>
              <a:latin typeface="Arial Black" pitchFamily="34" charset="0"/>
            </a:rPr>
            <a:t> Sheet-III</a:t>
          </a:r>
          <a:endParaRPr lang="en-US" sz="1100">
            <a:solidFill>
              <a:schemeClr val="bg1"/>
            </a:solidFill>
            <a:latin typeface="Arial Black"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14</xdr:col>
      <xdr:colOff>0</xdr:colOff>
      <xdr:row>6</xdr:row>
      <xdr:rowOff>0</xdr:rowOff>
    </xdr:from>
    <xdr:to>
      <xdr:col>17</xdr:col>
      <xdr:colOff>228599</xdr:colOff>
      <xdr:row>8</xdr:row>
      <xdr:rowOff>142875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bwMode="auto">
        <a:xfrm>
          <a:off x="7439025" y="1057275"/>
          <a:ext cx="1381124" cy="523875"/>
        </a:xfrm>
        <a:prstGeom prst="roundRect">
          <a:avLst/>
        </a:prstGeom>
        <a:solidFill>
          <a:srgbClr val="00206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Welcome</a:t>
          </a:r>
        </a:p>
      </xdr:txBody>
    </xdr:sp>
    <xdr:clientData/>
  </xdr:twoCellAnchor>
  <xdr:twoCellAnchor>
    <xdr:from>
      <xdr:col>17</xdr:col>
      <xdr:colOff>276225</xdr:colOff>
      <xdr:row>6</xdr:row>
      <xdr:rowOff>0</xdr:rowOff>
    </xdr:from>
    <xdr:to>
      <xdr:col>19</xdr:col>
      <xdr:colOff>438149</xdr:colOff>
      <xdr:row>8</xdr:row>
      <xdr:rowOff>142875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F00-000003000000}"/>
            </a:ext>
          </a:extLst>
        </xdr:cNvPr>
        <xdr:cNvSpPr/>
      </xdr:nvSpPr>
      <xdr:spPr bwMode="auto">
        <a:xfrm>
          <a:off x="8867775" y="1057275"/>
          <a:ext cx="1381124" cy="523875"/>
        </a:xfrm>
        <a:prstGeom prst="roundRect">
          <a:avLst/>
        </a:prstGeom>
        <a:solidFill>
          <a:srgbClr val="0070C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a:t>
          </a:r>
          <a:r>
            <a:rPr lang="en-US" sz="1100" baseline="0">
              <a:solidFill>
                <a:schemeClr val="bg1"/>
              </a:solidFill>
              <a:latin typeface="Arial Black" pitchFamily="34" charset="0"/>
            </a:rPr>
            <a:t> Sheet</a:t>
          </a:r>
          <a:endParaRPr lang="en-US" sz="1100">
            <a:solidFill>
              <a:schemeClr val="bg1"/>
            </a:solidFill>
            <a:latin typeface="Arial Black" pitchFamily="34" charset="0"/>
          </a:endParaRPr>
        </a:p>
      </xdr:txBody>
    </xdr:sp>
    <xdr:clientData/>
  </xdr:twoCellAnchor>
  <xdr:twoCellAnchor>
    <xdr:from>
      <xdr:col>13</xdr:col>
      <xdr:colOff>419100</xdr:colOff>
      <xdr:row>8</xdr:row>
      <xdr:rowOff>161926</xdr:rowOff>
    </xdr:from>
    <xdr:to>
      <xdr:col>17</xdr:col>
      <xdr:colOff>209550</xdr:colOff>
      <xdr:row>11</xdr:row>
      <xdr:rowOff>104776</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F00-000004000000}"/>
            </a:ext>
          </a:extLst>
        </xdr:cNvPr>
        <xdr:cNvSpPr/>
      </xdr:nvSpPr>
      <xdr:spPr bwMode="auto">
        <a:xfrm>
          <a:off x="7429500" y="1600201"/>
          <a:ext cx="1371600" cy="514350"/>
        </a:xfrm>
        <a:prstGeom prst="roundRect">
          <a:avLst/>
        </a:prstGeom>
        <a:solidFill>
          <a:schemeClr val="accent2"/>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Anexure-I</a:t>
          </a:r>
        </a:p>
      </xdr:txBody>
    </xdr:sp>
    <xdr:clientData/>
  </xdr:twoCellAnchor>
  <xdr:twoCellAnchor>
    <xdr:from>
      <xdr:col>17</xdr:col>
      <xdr:colOff>257175</xdr:colOff>
      <xdr:row>8</xdr:row>
      <xdr:rowOff>152400</xdr:rowOff>
    </xdr:from>
    <xdr:to>
      <xdr:col>19</xdr:col>
      <xdr:colOff>419099</xdr:colOff>
      <xdr:row>11</xdr:row>
      <xdr:rowOff>104775</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0F00-000005000000}"/>
            </a:ext>
          </a:extLst>
        </xdr:cNvPr>
        <xdr:cNvSpPr/>
      </xdr:nvSpPr>
      <xdr:spPr bwMode="auto">
        <a:xfrm>
          <a:off x="8848725" y="1590675"/>
          <a:ext cx="1381124" cy="523875"/>
        </a:xfrm>
        <a:prstGeom prst="roundRect">
          <a:avLst/>
        </a:prstGeom>
        <a:solidFill>
          <a:schemeClr val="accent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Old Tax Regime</a:t>
          </a:r>
        </a:p>
      </xdr:txBody>
    </xdr:sp>
    <xdr:clientData/>
  </xdr:twoCellAnchor>
  <xdr:twoCellAnchor>
    <xdr:from>
      <xdr:col>13</xdr:col>
      <xdr:colOff>409575</xdr:colOff>
      <xdr:row>11</xdr:row>
      <xdr:rowOff>142875</xdr:rowOff>
    </xdr:from>
    <xdr:to>
      <xdr:col>17</xdr:col>
      <xdr:colOff>209549</xdr:colOff>
      <xdr:row>14</xdr:row>
      <xdr:rowOff>95250</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0F00-000006000000}"/>
            </a:ext>
          </a:extLst>
        </xdr:cNvPr>
        <xdr:cNvSpPr/>
      </xdr:nvSpPr>
      <xdr:spPr bwMode="auto">
        <a:xfrm>
          <a:off x="7419975" y="2152650"/>
          <a:ext cx="1381124" cy="523875"/>
        </a:xfrm>
        <a:prstGeom prst="roundRect">
          <a:avLst/>
        </a:prstGeom>
        <a:solidFill>
          <a:srgbClr val="C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Form-16</a:t>
          </a:r>
        </a:p>
      </xdr:txBody>
    </xdr:sp>
    <xdr:clientData/>
  </xdr:twoCellAnchor>
  <xdr:twoCellAnchor>
    <xdr:from>
      <xdr:col>17</xdr:col>
      <xdr:colOff>266700</xdr:colOff>
      <xdr:row>11</xdr:row>
      <xdr:rowOff>161925</xdr:rowOff>
    </xdr:from>
    <xdr:to>
      <xdr:col>19</xdr:col>
      <xdr:colOff>428624</xdr:colOff>
      <xdr:row>14</xdr:row>
      <xdr:rowOff>114300</xdr:rowOff>
    </xdr:to>
    <xdr:sp macro="" textlink="">
      <xdr:nvSpPr>
        <xdr:cNvPr id="7" name="Rounded Rectangle 6">
          <a:hlinkClick xmlns:r="http://schemas.openxmlformats.org/officeDocument/2006/relationships" r:id="rId6"/>
          <a:extLst>
            <a:ext uri="{FF2B5EF4-FFF2-40B4-BE49-F238E27FC236}">
              <a16:creationId xmlns:a16="http://schemas.microsoft.com/office/drawing/2014/main" id="{00000000-0008-0000-0F00-000007000000}"/>
            </a:ext>
          </a:extLst>
        </xdr:cNvPr>
        <xdr:cNvSpPr/>
      </xdr:nvSpPr>
      <xdr:spPr bwMode="auto">
        <a:xfrm>
          <a:off x="8858250" y="2171700"/>
          <a:ext cx="1381124" cy="523875"/>
        </a:xfrm>
        <a:prstGeom prst="roundRect">
          <a:avLst/>
        </a:prstGeom>
        <a:solidFill>
          <a:srgbClr val="00B05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Form-12BB</a:t>
          </a:r>
        </a:p>
      </xdr:txBody>
    </xdr:sp>
    <xdr:clientData/>
  </xdr:twoCellAnchor>
  <xdr:twoCellAnchor>
    <xdr:from>
      <xdr:col>14</xdr:col>
      <xdr:colOff>114300</xdr:colOff>
      <xdr:row>14</xdr:row>
      <xdr:rowOff>161925</xdr:rowOff>
    </xdr:from>
    <xdr:to>
      <xdr:col>17</xdr:col>
      <xdr:colOff>209550</xdr:colOff>
      <xdr:row>17</xdr:row>
      <xdr:rowOff>38100</xdr:rowOff>
    </xdr:to>
    <xdr:sp macro="" textlink="">
      <xdr:nvSpPr>
        <xdr:cNvPr id="9" name="Rounded Rectangle 8">
          <a:hlinkClick xmlns:r="http://schemas.openxmlformats.org/officeDocument/2006/relationships" r:id="rId7"/>
          <a:extLst>
            <a:ext uri="{FF2B5EF4-FFF2-40B4-BE49-F238E27FC236}">
              <a16:creationId xmlns:a16="http://schemas.microsoft.com/office/drawing/2014/main" id="{00000000-0008-0000-0F00-000009000000}"/>
            </a:ext>
          </a:extLst>
        </xdr:cNvPr>
        <xdr:cNvSpPr/>
      </xdr:nvSpPr>
      <xdr:spPr bwMode="auto">
        <a:xfrm>
          <a:off x="7696200" y="2743200"/>
          <a:ext cx="1247775" cy="476250"/>
        </a:xfrm>
        <a:prstGeom prst="roundRect">
          <a:avLst/>
        </a:prstGeom>
        <a:solidFill>
          <a:srgbClr val="6600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 Sheet-II</a:t>
          </a:r>
        </a:p>
      </xdr:txBody>
    </xdr:sp>
    <xdr:clientData/>
  </xdr:twoCellAnchor>
  <xdr:twoCellAnchor>
    <xdr:from>
      <xdr:col>17</xdr:col>
      <xdr:colOff>304800</xdr:colOff>
      <xdr:row>14</xdr:row>
      <xdr:rowOff>152400</xdr:rowOff>
    </xdr:from>
    <xdr:to>
      <xdr:col>19</xdr:col>
      <xdr:colOff>333375</xdr:colOff>
      <xdr:row>17</xdr:row>
      <xdr:rowOff>28575</xdr:rowOff>
    </xdr:to>
    <xdr:sp macro="" textlink="">
      <xdr:nvSpPr>
        <xdr:cNvPr id="11" name="Rounded Rectangle 10">
          <a:hlinkClick xmlns:r="http://schemas.openxmlformats.org/officeDocument/2006/relationships" r:id="rId8"/>
          <a:extLst>
            <a:ext uri="{FF2B5EF4-FFF2-40B4-BE49-F238E27FC236}">
              <a16:creationId xmlns:a16="http://schemas.microsoft.com/office/drawing/2014/main" id="{00000000-0008-0000-0F00-00000B000000}"/>
            </a:ext>
          </a:extLst>
        </xdr:cNvPr>
        <xdr:cNvSpPr/>
      </xdr:nvSpPr>
      <xdr:spPr bwMode="auto">
        <a:xfrm>
          <a:off x="9039225" y="2733675"/>
          <a:ext cx="1247775" cy="476250"/>
        </a:xfrm>
        <a:prstGeom prst="roundRect">
          <a:avLst/>
        </a:prstGeom>
        <a:solidFill>
          <a:srgbClr val="FFC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tx1"/>
              </a:solidFill>
              <a:latin typeface="Arial Black" pitchFamily="34" charset="0"/>
            </a:rPr>
            <a:t>Data Sheet-III</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609600</xdr:colOff>
      <xdr:row>3</xdr:row>
      <xdr:rowOff>0</xdr:rowOff>
    </xdr:from>
    <xdr:to>
      <xdr:col>14</xdr:col>
      <xdr:colOff>28575</xdr:colOff>
      <xdr:row>28</xdr:row>
      <xdr:rowOff>104775</xdr:rowOff>
    </xdr:to>
    <xdr:pic>
      <xdr:nvPicPr>
        <xdr:cNvPr id="97432" name="Picture 1" descr="Health Insurance Tax Benefits Section 80D Health insurance premium Income Tax Deductions FY 2018-19 AY 2019-20">
          <a:extLst>
            <a:ext uri="{FF2B5EF4-FFF2-40B4-BE49-F238E27FC236}">
              <a16:creationId xmlns:a16="http://schemas.microsoft.com/office/drawing/2014/main" id="{00000000-0008-0000-1200-0000987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733425"/>
          <a:ext cx="7953375" cy="486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600075</xdr:colOff>
      <xdr:row>50</xdr:row>
      <xdr:rowOff>361950</xdr:rowOff>
    </xdr:from>
    <xdr:to>
      <xdr:col>14</xdr:col>
      <xdr:colOff>85725</xdr:colOff>
      <xdr:row>71</xdr:row>
      <xdr:rowOff>95250</xdr:rowOff>
    </xdr:to>
    <xdr:pic>
      <xdr:nvPicPr>
        <xdr:cNvPr id="97433" name="Picture 2" descr="Budget 2017 2018 loss income from house property limited to 2 Lakh interest on home loan Section 24 rental income Section 24 limit pic">
          <a:extLst>
            <a:ext uri="{FF2B5EF4-FFF2-40B4-BE49-F238E27FC236}">
              <a16:creationId xmlns:a16="http://schemas.microsoft.com/office/drawing/2014/main" id="{00000000-0008-0000-1200-0000997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0075" y="10887075"/>
          <a:ext cx="8020050" cy="391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78</xdr:row>
      <xdr:rowOff>0</xdr:rowOff>
    </xdr:from>
    <xdr:to>
      <xdr:col>14</xdr:col>
      <xdr:colOff>342900</xdr:colOff>
      <xdr:row>100</xdr:row>
      <xdr:rowOff>123825</xdr:rowOff>
    </xdr:to>
    <xdr:pic>
      <xdr:nvPicPr>
        <xdr:cNvPr id="97434" name="Picture 13" descr="Latest Income Tax Slab Rates FY 2018-19 Tax rate chart Assessment year 2019-2020">
          <a:extLst>
            <a:ext uri="{FF2B5EF4-FFF2-40B4-BE49-F238E27FC236}">
              <a16:creationId xmlns:a16="http://schemas.microsoft.com/office/drawing/2014/main" id="{00000000-0008-0000-1200-00009A7C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600" y="16040100"/>
          <a:ext cx="8267700" cy="431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USER\AppData\Local\Temp\(Relief%20Under%20Section%2089(1)%20Income%20Tax%20software%20FY%202018-19(AY%202019-20)%20%20%20%20%20For%20Arrears%20drawn%20Employees%20)(Updated%20on%2008-02-2019)%20Trail%20Vers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Saidulu\Downloads\Tax%20software\incometax_2013-14_stu.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lcome "/>
      <sheetName val=" Data Sheet-I"/>
      <sheetName val="ABSTRACT"/>
      <sheetName val="Formula-I"/>
      <sheetName val="Formula-II"/>
      <sheetName val="Formula-III"/>
      <sheetName val="Data Sheet-II "/>
      <sheetName val="Table-A "/>
      <sheetName val="Form-10E"/>
      <sheetName val="Anexure-I(Relief US-89(1))"/>
      <sheetName val="Formula Table-A"/>
      <sheetName val="converts -I"/>
      <sheetName val="Anexure-I"/>
      <sheetName val="INCOMETAX"/>
      <sheetName val="Formula"/>
      <sheetName val="FORM-16"/>
      <sheetName val="FORM-16(Back)"/>
      <sheetName val="Form-12BB"/>
      <sheetName val="Rent Reciept"/>
      <sheetName val="Form 10-I"/>
      <sheetName val="Form 10-IA"/>
      <sheetName val="Clarification on 80CCD(1B)"/>
      <sheetName val="IT Information"/>
      <sheetName val="Sheet1"/>
    </sheetNames>
    <sheetDataSet>
      <sheetData sheetId="0" refreshError="1"/>
      <sheetData sheetId="1" refreshError="1">
        <row r="7">
          <cell r="G7" t="str">
            <v>B.Saidi Reddy</v>
          </cell>
        </row>
        <row r="22">
          <cell r="F22">
            <v>565800</v>
          </cell>
          <cell r="H22">
            <v>4500</v>
          </cell>
        </row>
        <row r="23">
          <cell r="F23">
            <v>365700</v>
          </cell>
          <cell r="H23">
            <v>36500</v>
          </cell>
        </row>
        <row r="24">
          <cell r="F24">
            <v>436500</v>
          </cell>
          <cell r="H24">
            <v>42800</v>
          </cell>
        </row>
        <row r="25">
          <cell r="F25">
            <v>345268</v>
          </cell>
          <cell r="H25">
            <v>63455</v>
          </cell>
        </row>
        <row r="26">
          <cell r="F26">
            <v>365400</v>
          </cell>
          <cell r="H26">
            <v>88800</v>
          </cell>
        </row>
        <row r="27">
          <cell r="F27">
            <v>425620</v>
          </cell>
          <cell r="H27">
            <v>68000</v>
          </cell>
        </row>
        <row r="28">
          <cell r="F28">
            <v>652800</v>
          </cell>
          <cell r="H28">
            <v>72000</v>
          </cell>
        </row>
        <row r="29">
          <cell r="F29">
            <v>565000</v>
          </cell>
          <cell r="H29">
            <v>36500</v>
          </cell>
        </row>
      </sheetData>
      <sheetData sheetId="2" refreshError="1"/>
      <sheetData sheetId="3" refreshError="1">
        <row r="207">
          <cell r="I207">
            <v>48575</v>
          </cell>
        </row>
        <row r="208">
          <cell r="I208">
            <v>19127</v>
          </cell>
        </row>
        <row r="209">
          <cell r="I209">
            <v>24360</v>
          </cell>
        </row>
        <row r="210">
          <cell r="I210">
            <v>12903</v>
          </cell>
        </row>
        <row r="211">
          <cell r="I211">
            <v>9826</v>
          </cell>
        </row>
        <row r="212">
          <cell r="I212">
            <v>16029</v>
          </cell>
        </row>
        <row r="213">
          <cell r="I213">
            <v>57227</v>
          </cell>
        </row>
        <row r="214">
          <cell r="I214">
            <v>26265</v>
          </cell>
        </row>
      </sheetData>
      <sheetData sheetId="4" refreshError="1">
        <row r="4">
          <cell r="P4">
            <v>1</v>
          </cell>
        </row>
        <row r="223">
          <cell r="I223">
            <v>49502</v>
          </cell>
        </row>
        <row r="224">
          <cell r="I224">
            <v>22886</v>
          </cell>
        </row>
        <row r="225">
          <cell r="I225">
            <v>28768</v>
          </cell>
        </row>
        <row r="226">
          <cell r="I226">
            <v>19438</v>
          </cell>
        </row>
        <row r="227">
          <cell r="I227">
            <v>18972</v>
          </cell>
        </row>
        <row r="228">
          <cell r="I228">
            <v>23033</v>
          </cell>
        </row>
        <row r="229">
          <cell r="I229">
            <v>72059</v>
          </cell>
        </row>
        <row r="230">
          <cell r="I230">
            <v>33784</v>
          </cell>
        </row>
      </sheetData>
      <sheetData sheetId="5" refreshError="1">
        <row r="11">
          <cell r="BO11">
            <v>666297</v>
          </cell>
        </row>
        <row r="27">
          <cell r="BO27">
            <v>39883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STATEMENT"/>
      <sheetName val="tax"/>
      <sheetName val="Form 16 page-1"/>
      <sheetName val="Form 16 page-2"/>
      <sheetName val="convert"/>
    </sheetNames>
    <sheetDataSet>
      <sheetData sheetId="0" refreshError="1"/>
      <sheetData sheetId="1" refreshError="1"/>
      <sheetData sheetId="2" refreshError="1"/>
      <sheetData sheetId="3" refreshError="1"/>
      <sheetData sheetId="4"/>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printerSettings" Target="../printerSettings/printerSettings3.bin"/><Relationship Id="rId7" Type="http://schemas.openxmlformats.org/officeDocument/2006/relationships/hyperlink" Target="mailto:surenderkadaru@gmail.com"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8" Type="http://schemas.openxmlformats.org/officeDocument/2006/relationships/vmlDrawing" Target="../drawings/vmlDrawing5.vml"/><Relationship Id="rId3" Type="http://schemas.openxmlformats.org/officeDocument/2006/relationships/printerSettings" Target="../printerSettings/printerSettings42.bin"/><Relationship Id="rId7" Type="http://schemas.openxmlformats.org/officeDocument/2006/relationships/drawing" Target="../drawings/drawing5.xml"/><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6" Type="http://schemas.openxmlformats.org/officeDocument/2006/relationships/printerSettings" Target="../printerSettings/printerSettings45.bin"/><Relationship Id="rId5" Type="http://schemas.openxmlformats.org/officeDocument/2006/relationships/printerSettings" Target="../printerSettings/printerSettings44.bin"/><Relationship Id="rId4" Type="http://schemas.openxmlformats.org/officeDocument/2006/relationships/printerSettings" Target="../printerSettings/printerSettings43.bin"/><Relationship Id="rId9"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printerSettings" Target="../printerSettings/printerSettings49.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5" Type="http://schemas.openxmlformats.org/officeDocument/2006/relationships/drawing" Target="../drawings/drawing6.xml"/><Relationship Id="rId4" Type="http://schemas.openxmlformats.org/officeDocument/2006/relationships/printerSettings" Target="../printerSettings/printerSettings53.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6.bin"/><Relationship Id="rId7" Type="http://schemas.openxmlformats.org/officeDocument/2006/relationships/drawing" Target="../drawings/drawing7.xml"/><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6" Type="http://schemas.openxmlformats.org/officeDocument/2006/relationships/printerSettings" Target="../printerSettings/printerSettings59.bin"/><Relationship Id="rId5" Type="http://schemas.openxmlformats.org/officeDocument/2006/relationships/printerSettings" Target="../printerSettings/printerSettings58.bin"/><Relationship Id="rId4" Type="http://schemas.openxmlformats.org/officeDocument/2006/relationships/printerSettings" Target="../printerSettings/printerSettings57.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62.bin"/><Relationship Id="rId7" Type="http://schemas.openxmlformats.org/officeDocument/2006/relationships/drawing" Target="../drawings/drawing8.xml"/><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6" Type="http://schemas.openxmlformats.org/officeDocument/2006/relationships/printerSettings" Target="../printerSettings/printerSettings65.bin"/><Relationship Id="rId5" Type="http://schemas.openxmlformats.org/officeDocument/2006/relationships/printerSettings" Target="../printerSettings/printerSettings64.bin"/><Relationship Id="rId4" Type="http://schemas.openxmlformats.org/officeDocument/2006/relationships/printerSettings" Target="../printerSettings/printerSettings63.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 Id="rId6" Type="http://schemas.openxmlformats.org/officeDocument/2006/relationships/printerSettings" Target="../printerSettings/printerSettings71.bin"/><Relationship Id="rId5" Type="http://schemas.openxmlformats.org/officeDocument/2006/relationships/printerSettings" Target="../printerSettings/printerSettings70.bin"/><Relationship Id="rId4" Type="http://schemas.openxmlformats.org/officeDocument/2006/relationships/printerSettings" Target="../printerSettings/printerSettings69.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6" Type="http://schemas.openxmlformats.org/officeDocument/2006/relationships/printerSettings" Target="../printerSettings/printerSettings77.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83.bin"/><Relationship Id="rId3" Type="http://schemas.openxmlformats.org/officeDocument/2006/relationships/printerSettings" Target="../printerSettings/printerSettings80.bin"/><Relationship Id="rId7" Type="http://schemas.openxmlformats.org/officeDocument/2006/relationships/hyperlink" Target="https://www.relakhs.com/wp-content/uploads/2017/02/Budget-2017-2018-loss-income-from-house-property-limited-to-2-Lakh-interest-on-home-loan-Section-24-rental-income-pic.jpg" TargetMode="External"/><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6" Type="http://schemas.openxmlformats.org/officeDocument/2006/relationships/hyperlink" Target="https://www.relakhs.com/wp-content/uploads/2018/02/Medical-Insurance-Premium-Tax-Benefits-Section-80D-Health-insurance-premium-Income-Tax-Deductions-FY-2018-19-AY-2019-20.jpg" TargetMode="External"/><Relationship Id="rId5" Type="http://schemas.openxmlformats.org/officeDocument/2006/relationships/printerSettings" Target="../printerSettings/printerSettings82.bin"/><Relationship Id="rId4" Type="http://schemas.openxmlformats.org/officeDocument/2006/relationships/printerSettings" Target="../printerSettings/printerSettings81.bin"/><Relationship Id="rId9"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printerSettings" Target="../printerSettings/printerSettings10.bin"/><Relationship Id="rId7" Type="http://schemas.openxmlformats.org/officeDocument/2006/relationships/ctrlProp" Target="../ctrlProps/ctrlProp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6" Type="http://schemas.openxmlformats.org/officeDocument/2006/relationships/printerSettings" Target="../printerSettings/printerSettings89.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s>
</file>

<file path=xl/worksheets/_rels/sheet22.xml.rels><?xml version="1.0" encoding="UTF-8" standalone="yes"?>
<Relationships xmlns="http://schemas.openxmlformats.org/package/2006/relationships"><Relationship Id="rId8" Type="http://schemas.openxmlformats.org/officeDocument/2006/relationships/comments" Target="../comments6.xml"/><Relationship Id="rId3" Type="http://schemas.openxmlformats.org/officeDocument/2006/relationships/printerSettings" Target="../printerSettings/printerSettings92.bin"/><Relationship Id="rId7" Type="http://schemas.openxmlformats.org/officeDocument/2006/relationships/vmlDrawing" Target="../drawings/vmlDrawing6.vml"/><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6" Type="http://schemas.openxmlformats.org/officeDocument/2006/relationships/printerSettings" Target="../printerSettings/printerSettings95.bin"/><Relationship Id="rId5" Type="http://schemas.openxmlformats.org/officeDocument/2006/relationships/printerSettings" Target="../printerSettings/printerSettings94.bin"/><Relationship Id="rId4" Type="http://schemas.openxmlformats.org/officeDocument/2006/relationships/printerSettings" Target="../printerSettings/printerSettings93.bin"/></Relationships>
</file>

<file path=xl/worksheets/_rels/sheet23.xml.rels><?xml version="1.0" encoding="UTF-8" standalone="yes"?>
<Relationships xmlns="http://schemas.openxmlformats.org/package/2006/relationships"><Relationship Id="rId8" Type="http://schemas.openxmlformats.org/officeDocument/2006/relationships/vmlDrawing" Target="../drawings/vmlDrawing7.vml"/><Relationship Id="rId3" Type="http://schemas.openxmlformats.org/officeDocument/2006/relationships/printerSettings" Target="../printerSettings/printerSettings98.bin"/><Relationship Id="rId7" Type="http://schemas.openxmlformats.org/officeDocument/2006/relationships/drawing" Target="../drawings/drawing10.xml"/><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 Id="rId6" Type="http://schemas.openxmlformats.org/officeDocument/2006/relationships/printerSettings" Target="../printerSettings/printerSettings101.bin"/><Relationship Id="rId5" Type="http://schemas.openxmlformats.org/officeDocument/2006/relationships/printerSettings" Target="../printerSettings/printerSettings100.bin"/><Relationship Id="rId4" Type="http://schemas.openxmlformats.org/officeDocument/2006/relationships/printerSettings" Target="../printerSettings/printerSettings99.bin"/><Relationship Id="rId9"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 Id="rId4" Type="http://schemas.openxmlformats.org/officeDocument/2006/relationships/printerSettings" Target="../printerSettings/printerSettings106.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4" Type="http://schemas.openxmlformats.org/officeDocument/2006/relationships/printerSettings" Target="../printerSettings/printerSettings110.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13.bin"/><Relationship Id="rId7" Type="http://schemas.openxmlformats.org/officeDocument/2006/relationships/drawing" Target="../drawings/drawing11.xml"/><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 Id="rId6" Type="http://schemas.openxmlformats.org/officeDocument/2006/relationships/printerSettings" Target="../printerSettings/printerSettings116.bin"/><Relationship Id="rId5" Type="http://schemas.openxmlformats.org/officeDocument/2006/relationships/printerSettings" Target="../printerSettings/printerSettings115.bin"/><Relationship Id="rId4" Type="http://schemas.openxmlformats.org/officeDocument/2006/relationships/printerSettings" Target="../printerSettings/printerSettings11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8.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4" Type="http://schemas.openxmlformats.org/officeDocument/2006/relationships/printerSettings" Target="../printerSettings/printerSettings15.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1.bin"/><Relationship Id="rId2" Type="http://schemas.openxmlformats.org/officeDocument/2006/relationships/printerSettings" Target="../printerSettings/printerSettings120.bin"/><Relationship Id="rId1" Type="http://schemas.openxmlformats.org/officeDocument/2006/relationships/printerSettings" Target="../printerSettings/printerSettings119.bin"/><Relationship Id="rId4" Type="http://schemas.openxmlformats.org/officeDocument/2006/relationships/printerSettings" Target="../printerSettings/printerSettings122.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6" Type="http://schemas.openxmlformats.org/officeDocument/2006/relationships/printerSettings" Target="../printerSettings/printerSettings128.bin"/><Relationship Id="rId5" Type="http://schemas.openxmlformats.org/officeDocument/2006/relationships/printerSettings" Target="../printerSettings/printerSettings127.bin"/><Relationship Id="rId4" Type="http://schemas.openxmlformats.org/officeDocument/2006/relationships/printerSettings" Target="../printerSettings/printerSettings12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4" Type="http://schemas.openxmlformats.org/officeDocument/2006/relationships/printerSettings" Target="../printerSettings/printerSettings23.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4" Type="http://schemas.openxmlformats.org/officeDocument/2006/relationships/printerSettings" Target="../printerSettings/printerSettings27.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printerSettings" Target="../printerSettings/printerSettings31.bin"/></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21.xml"/><Relationship Id="rId21" Type="http://schemas.openxmlformats.org/officeDocument/2006/relationships/ctrlProp" Target="../ctrlProps/ctrlProp16.xml"/><Relationship Id="rId42" Type="http://schemas.openxmlformats.org/officeDocument/2006/relationships/ctrlProp" Target="../ctrlProps/ctrlProp37.xml"/><Relationship Id="rId47" Type="http://schemas.openxmlformats.org/officeDocument/2006/relationships/ctrlProp" Target="../ctrlProps/ctrlProp42.xml"/><Relationship Id="rId63" Type="http://schemas.openxmlformats.org/officeDocument/2006/relationships/ctrlProp" Target="../ctrlProps/ctrlProp58.xml"/><Relationship Id="rId68" Type="http://schemas.openxmlformats.org/officeDocument/2006/relationships/ctrlProp" Target="../ctrlProps/ctrlProp63.xml"/><Relationship Id="rId84" Type="http://schemas.openxmlformats.org/officeDocument/2006/relationships/ctrlProp" Target="../ctrlProps/ctrlProp79.xml"/><Relationship Id="rId16" Type="http://schemas.openxmlformats.org/officeDocument/2006/relationships/ctrlProp" Target="../ctrlProps/ctrlProp11.xml"/><Relationship Id="rId11" Type="http://schemas.openxmlformats.org/officeDocument/2006/relationships/ctrlProp" Target="../ctrlProps/ctrlProp6.xml"/><Relationship Id="rId32" Type="http://schemas.openxmlformats.org/officeDocument/2006/relationships/ctrlProp" Target="../ctrlProps/ctrlProp27.xml"/><Relationship Id="rId37" Type="http://schemas.openxmlformats.org/officeDocument/2006/relationships/ctrlProp" Target="../ctrlProps/ctrlProp32.xml"/><Relationship Id="rId53" Type="http://schemas.openxmlformats.org/officeDocument/2006/relationships/ctrlProp" Target="../ctrlProps/ctrlProp48.xml"/><Relationship Id="rId58" Type="http://schemas.openxmlformats.org/officeDocument/2006/relationships/ctrlProp" Target="../ctrlProps/ctrlProp53.xml"/><Relationship Id="rId74" Type="http://schemas.openxmlformats.org/officeDocument/2006/relationships/ctrlProp" Target="../ctrlProps/ctrlProp69.xml"/><Relationship Id="rId79" Type="http://schemas.openxmlformats.org/officeDocument/2006/relationships/ctrlProp" Target="../ctrlProps/ctrlProp74.xml"/><Relationship Id="rId5" Type="http://schemas.openxmlformats.org/officeDocument/2006/relationships/drawing" Target="../drawings/drawing3.xml"/><Relationship Id="rId19" Type="http://schemas.openxmlformats.org/officeDocument/2006/relationships/ctrlProp" Target="../ctrlProps/ctrlProp14.xml"/><Relationship Id="rId14" Type="http://schemas.openxmlformats.org/officeDocument/2006/relationships/ctrlProp" Target="../ctrlProps/ctrlProp9.xml"/><Relationship Id="rId22" Type="http://schemas.openxmlformats.org/officeDocument/2006/relationships/ctrlProp" Target="../ctrlProps/ctrlProp17.xml"/><Relationship Id="rId27" Type="http://schemas.openxmlformats.org/officeDocument/2006/relationships/ctrlProp" Target="../ctrlProps/ctrlProp22.xml"/><Relationship Id="rId30" Type="http://schemas.openxmlformats.org/officeDocument/2006/relationships/ctrlProp" Target="../ctrlProps/ctrlProp25.xml"/><Relationship Id="rId35" Type="http://schemas.openxmlformats.org/officeDocument/2006/relationships/ctrlProp" Target="../ctrlProps/ctrlProp30.xml"/><Relationship Id="rId43" Type="http://schemas.openxmlformats.org/officeDocument/2006/relationships/ctrlProp" Target="../ctrlProps/ctrlProp38.xml"/><Relationship Id="rId48" Type="http://schemas.openxmlformats.org/officeDocument/2006/relationships/ctrlProp" Target="../ctrlProps/ctrlProp43.xml"/><Relationship Id="rId56" Type="http://schemas.openxmlformats.org/officeDocument/2006/relationships/ctrlProp" Target="../ctrlProps/ctrlProp51.xml"/><Relationship Id="rId64" Type="http://schemas.openxmlformats.org/officeDocument/2006/relationships/ctrlProp" Target="../ctrlProps/ctrlProp59.xml"/><Relationship Id="rId69" Type="http://schemas.openxmlformats.org/officeDocument/2006/relationships/ctrlProp" Target="../ctrlProps/ctrlProp64.xml"/><Relationship Id="rId77" Type="http://schemas.openxmlformats.org/officeDocument/2006/relationships/ctrlProp" Target="../ctrlProps/ctrlProp72.xml"/><Relationship Id="rId8" Type="http://schemas.openxmlformats.org/officeDocument/2006/relationships/ctrlProp" Target="../ctrlProps/ctrlProp3.xml"/><Relationship Id="rId51" Type="http://schemas.openxmlformats.org/officeDocument/2006/relationships/ctrlProp" Target="../ctrlProps/ctrlProp46.xml"/><Relationship Id="rId72" Type="http://schemas.openxmlformats.org/officeDocument/2006/relationships/ctrlProp" Target="../ctrlProps/ctrlProp67.xml"/><Relationship Id="rId80" Type="http://schemas.openxmlformats.org/officeDocument/2006/relationships/ctrlProp" Target="../ctrlProps/ctrlProp75.xml"/><Relationship Id="rId85" Type="http://schemas.openxmlformats.org/officeDocument/2006/relationships/comments" Target="../comments3.xml"/><Relationship Id="rId3" Type="http://schemas.openxmlformats.org/officeDocument/2006/relationships/printerSettings" Target="../printerSettings/printerSettings34.bin"/><Relationship Id="rId12" Type="http://schemas.openxmlformats.org/officeDocument/2006/relationships/ctrlProp" Target="../ctrlProps/ctrlProp7.xml"/><Relationship Id="rId17" Type="http://schemas.openxmlformats.org/officeDocument/2006/relationships/ctrlProp" Target="../ctrlProps/ctrlProp12.xml"/><Relationship Id="rId25" Type="http://schemas.openxmlformats.org/officeDocument/2006/relationships/ctrlProp" Target="../ctrlProps/ctrlProp20.xml"/><Relationship Id="rId33" Type="http://schemas.openxmlformats.org/officeDocument/2006/relationships/ctrlProp" Target="../ctrlProps/ctrlProp28.xml"/><Relationship Id="rId38" Type="http://schemas.openxmlformats.org/officeDocument/2006/relationships/ctrlProp" Target="../ctrlProps/ctrlProp33.xml"/><Relationship Id="rId46" Type="http://schemas.openxmlformats.org/officeDocument/2006/relationships/ctrlProp" Target="../ctrlProps/ctrlProp41.xml"/><Relationship Id="rId59" Type="http://schemas.openxmlformats.org/officeDocument/2006/relationships/ctrlProp" Target="../ctrlProps/ctrlProp54.xml"/><Relationship Id="rId67" Type="http://schemas.openxmlformats.org/officeDocument/2006/relationships/ctrlProp" Target="../ctrlProps/ctrlProp62.xml"/><Relationship Id="rId20" Type="http://schemas.openxmlformats.org/officeDocument/2006/relationships/ctrlProp" Target="../ctrlProps/ctrlProp15.xml"/><Relationship Id="rId41" Type="http://schemas.openxmlformats.org/officeDocument/2006/relationships/ctrlProp" Target="../ctrlProps/ctrlProp36.xml"/><Relationship Id="rId54" Type="http://schemas.openxmlformats.org/officeDocument/2006/relationships/ctrlProp" Target="../ctrlProps/ctrlProp49.xml"/><Relationship Id="rId62" Type="http://schemas.openxmlformats.org/officeDocument/2006/relationships/ctrlProp" Target="../ctrlProps/ctrlProp57.xml"/><Relationship Id="rId70" Type="http://schemas.openxmlformats.org/officeDocument/2006/relationships/ctrlProp" Target="../ctrlProps/ctrlProp65.xml"/><Relationship Id="rId75" Type="http://schemas.openxmlformats.org/officeDocument/2006/relationships/ctrlProp" Target="../ctrlProps/ctrlProp70.xml"/><Relationship Id="rId83" Type="http://schemas.openxmlformats.org/officeDocument/2006/relationships/ctrlProp" Target="../ctrlProps/ctrlProp78.xml"/><Relationship Id="rId1" Type="http://schemas.openxmlformats.org/officeDocument/2006/relationships/printerSettings" Target="../printerSettings/printerSettings32.bin"/><Relationship Id="rId6" Type="http://schemas.openxmlformats.org/officeDocument/2006/relationships/vmlDrawing" Target="../drawings/vmlDrawing3.vml"/><Relationship Id="rId15" Type="http://schemas.openxmlformats.org/officeDocument/2006/relationships/ctrlProp" Target="../ctrlProps/ctrlProp10.xml"/><Relationship Id="rId23" Type="http://schemas.openxmlformats.org/officeDocument/2006/relationships/ctrlProp" Target="../ctrlProps/ctrlProp18.xml"/><Relationship Id="rId28" Type="http://schemas.openxmlformats.org/officeDocument/2006/relationships/ctrlProp" Target="../ctrlProps/ctrlProp23.xml"/><Relationship Id="rId36" Type="http://schemas.openxmlformats.org/officeDocument/2006/relationships/ctrlProp" Target="../ctrlProps/ctrlProp31.xml"/><Relationship Id="rId49" Type="http://schemas.openxmlformats.org/officeDocument/2006/relationships/ctrlProp" Target="../ctrlProps/ctrlProp44.xml"/><Relationship Id="rId57" Type="http://schemas.openxmlformats.org/officeDocument/2006/relationships/ctrlProp" Target="../ctrlProps/ctrlProp52.xml"/><Relationship Id="rId10" Type="http://schemas.openxmlformats.org/officeDocument/2006/relationships/ctrlProp" Target="../ctrlProps/ctrlProp5.xml"/><Relationship Id="rId31" Type="http://schemas.openxmlformats.org/officeDocument/2006/relationships/ctrlProp" Target="../ctrlProps/ctrlProp26.xml"/><Relationship Id="rId44" Type="http://schemas.openxmlformats.org/officeDocument/2006/relationships/ctrlProp" Target="../ctrlProps/ctrlProp39.xml"/><Relationship Id="rId52" Type="http://schemas.openxmlformats.org/officeDocument/2006/relationships/ctrlProp" Target="../ctrlProps/ctrlProp47.xml"/><Relationship Id="rId60" Type="http://schemas.openxmlformats.org/officeDocument/2006/relationships/ctrlProp" Target="../ctrlProps/ctrlProp55.xml"/><Relationship Id="rId65" Type="http://schemas.openxmlformats.org/officeDocument/2006/relationships/ctrlProp" Target="../ctrlProps/ctrlProp60.xml"/><Relationship Id="rId73" Type="http://schemas.openxmlformats.org/officeDocument/2006/relationships/ctrlProp" Target="../ctrlProps/ctrlProp68.xml"/><Relationship Id="rId78" Type="http://schemas.openxmlformats.org/officeDocument/2006/relationships/ctrlProp" Target="../ctrlProps/ctrlProp73.xml"/><Relationship Id="rId81" Type="http://schemas.openxmlformats.org/officeDocument/2006/relationships/ctrlProp" Target="../ctrlProps/ctrlProp76.xml"/><Relationship Id="rId4" Type="http://schemas.openxmlformats.org/officeDocument/2006/relationships/printerSettings" Target="../printerSettings/printerSettings35.bin"/><Relationship Id="rId9" Type="http://schemas.openxmlformats.org/officeDocument/2006/relationships/ctrlProp" Target="../ctrlProps/ctrlProp4.xml"/><Relationship Id="rId13" Type="http://schemas.openxmlformats.org/officeDocument/2006/relationships/ctrlProp" Target="../ctrlProps/ctrlProp8.xml"/><Relationship Id="rId18" Type="http://schemas.openxmlformats.org/officeDocument/2006/relationships/ctrlProp" Target="../ctrlProps/ctrlProp13.xml"/><Relationship Id="rId39" Type="http://schemas.openxmlformats.org/officeDocument/2006/relationships/ctrlProp" Target="../ctrlProps/ctrlProp34.xml"/><Relationship Id="rId34" Type="http://schemas.openxmlformats.org/officeDocument/2006/relationships/ctrlProp" Target="../ctrlProps/ctrlProp29.xml"/><Relationship Id="rId50" Type="http://schemas.openxmlformats.org/officeDocument/2006/relationships/ctrlProp" Target="../ctrlProps/ctrlProp45.xml"/><Relationship Id="rId55" Type="http://schemas.openxmlformats.org/officeDocument/2006/relationships/ctrlProp" Target="../ctrlProps/ctrlProp50.xml"/><Relationship Id="rId76" Type="http://schemas.openxmlformats.org/officeDocument/2006/relationships/ctrlProp" Target="../ctrlProps/ctrlProp71.xml"/><Relationship Id="rId7" Type="http://schemas.openxmlformats.org/officeDocument/2006/relationships/ctrlProp" Target="../ctrlProps/ctrlProp2.xml"/><Relationship Id="rId71" Type="http://schemas.openxmlformats.org/officeDocument/2006/relationships/ctrlProp" Target="../ctrlProps/ctrlProp66.xml"/><Relationship Id="rId2" Type="http://schemas.openxmlformats.org/officeDocument/2006/relationships/printerSettings" Target="../printerSettings/printerSettings33.bin"/><Relationship Id="rId29" Type="http://schemas.openxmlformats.org/officeDocument/2006/relationships/ctrlProp" Target="../ctrlProps/ctrlProp24.xml"/><Relationship Id="rId24" Type="http://schemas.openxmlformats.org/officeDocument/2006/relationships/ctrlProp" Target="../ctrlProps/ctrlProp19.xml"/><Relationship Id="rId40" Type="http://schemas.openxmlformats.org/officeDocument/2006/relationships/ctrlProp" Target="../ctrlProps/ctrlProp35.xml"/><Relationship Id="rId45" Type="http://schemas.openxmlformats.org/officeDocument/2006/relationships/ctrlProp" Target="../ctrlProps/ctrlProp40.xml"/><Relationship Id="rId66" Type="http://schemas.openxmlformats.org/officeDocument/2006/relationships/ctrlProp" Target="../ctrlProps/ctrlProp61.xml"/><Relationship Id="rId61" Type="http://schemas.openxmlformats.org/officeDocument/2006/relationships/ctrlProp" Target="../ctrlProps/ctrlProp56.xml"/><Relationship Id="rId82" Type="http://schemas.openxmlformats.org/officeDocument/2006/relationships/ctrlProp" Target="../ctrlProps/ctrlProp77.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81.xml"/><Relationship Id="rId13" Type="http://schemas.openxmlformats.org/officeDocument/2006/relationships/ctrlProp" Target="../ctrlProps/ctrlProp86.xml"/><Relationship Id="rId18" Type="http://schemas.openxmlformats.org/officeDocument/2006/relationships/ctrlProp" Target="../ctrlProps/ctrlProp91.xml"/><Relationship Id="rId26" Type="http://schemas.openxmlformats.org/officeDocument/2006/relationships/ctrlProp" Target="../ctrlProps/ctrlProp99.xml"/><Relationship Id="rId3" Type="http://schemas.openxmlformats.org/officeDocument/2006/relationships/printerSettings" Target="../printerSettings/printerSettings38.bin"/><Relationship Id="rId21" Type="http://schemas.openxmlformats.org/officeDocument/2006/relationships/ctrlProp" Target="../ctrlProps/ctrlProp94.xml"/><Relationship Id="rId7" Type="http://schemas.openxmlformats.org/officeDocument/2006/relationships/ctrlProp" Target="../ctrlProps/ctrlProp80.xml"/><Relationship Id="rId12" Type="http://schemas.openxmlformats.org/officeDocument/2006/relationships/ctrlProp" Target="../ctrlProps/ctrlProp85.xml"/><Relationship Id="rId17" Type="http://schemas.openxmlformats.org/officeDocument/2006/relationships/ctrlProp" Target="../ctrlProps/ctrlProp90.xml"/><Relationship Id="rId25" Type="http://schemas.openxmlformats.org/officeDocument/2006/relationships/ctrlProp" Target="../ctrlProps/ctrlProp98.xml"/><Relationship Id="rId2" Type="http://schemas.openxmlformats.org/officeDocument/2006/relationships/printerSettings" Target="../printerSettings/printerSettings37.bin"/><Relationship Id="rId16" Type="http://schemas.openxmlformats.org/officeDocument/2006/relationships/ctrlProp" Target="../ctrlProps/ctrlProp89.xml"/><Relationship Id="rId20" Type="http://schemas.openxmlformats.org/officeDocument/2006/relationships/ctrlProp" Target="../ctrlProps/ctrlProp93.xml"/><Relationship Id="rId1" Type="http://schemas.openxmlformats.org/officeDocument/2006/relationships/printerSettings" Target="../printerSettings/printerSettings36.bin"/><Relationship Id="rId6" Type="http://schemas.openxmlformats.org/officeDocument/2006/relationships/vmlDrawing" Target="../drawings/vmlDrawing4.vml"/><Relationship Id="rId11" Type="http://schemas.openxmlformats.org/officeDocument/2006/relationships/ctrlProp" Target="../ctrlProps/ctrlProp84.xml"/><Relationship Id="rId24" Type="http://schemas.openxmlformats.org/officeDocument/2006/relationships/ctrlProp" Target="../ctrlProps/ctrlProp97.xml"/><Relationship Id="rId5" Type="http://schemas.openxmlformats.org/officeDocument/2006/relationships/drawing" Target="../drawings/drawing4.xml"/><Relationship Id="rId15" Type="http://schemas.openxmlformats.org/officeDocument/2006/relationships/ctrlProp" Target="../ctrlProps/ctrlProp88.xml"/><Relationship Id="rId23" Type="http://schemas.openxmlformats.org/officeDocument/2006/relationships/ctrlProp" Target="../ctrlProps/ctrlProp96.xml"/><Relationship Id="rId10" Type="http://schemas.openxmlformats.org/officeDocument/2006/relationships/ctrlProp" Target="../ctrlProps/ctrlProp83.xml"/><Relationship Id="rId19" Type="http://schemas.openxmlformats.org/officeDocument/2006/relationships/ctrlProp" Target="../ctrlProps/ctrlProp92.xml"/><Relationship Id="rId4" Type="http://schemas.openxmlformats.org/officeDocument/2006/relationships/printerSettings" Target="../printerSettings/printerSettings39.bin"/><Relationship Id="rId9" Type="http://schemas.openxmlformats.org/officeDocument/2006/relationships/ctrlProp" Target="../ctrlProps/ctrlProp82.xml"/><Relationship Id="rId14" Type="http://schemas.openxmlformats.org/officeDocument/2006/relationships/ctrlProp" Target="../ctrlProps/ctrlProp87.xml"/><Relationship Id="rId22" Type="http://schemas.openxmlformats.org/officeDocument/2006/relationships/ctrlProp" Target="../ctrlProps/ctrlProp95.xml"/><Relationship Id="rId27"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sheetPr>
  <dimension ref="A1:AL95"/>
  <sheetViews>
    <sheetView topLeftCell="A17" workbookViewId="0">
      <selection activeCell="K21" sqref="K21"/>
    </sheetView>
  </sheetViews>
  <sheetFormatPr defaultColWidth="0" defaultRowHeight="15" zeroHeight="1"/>
  <cols>
    <col min="1" max="2" width="0.7109375" customWidth="1"/>
    <col min="3" max="3" width="0.7109375" hidden="1" customWidth="1"/>
    <col min="4" max="6" width="6.7109375" customWidth="1"/>
    <col min="7" max="7" width="8.28515625" customWidth="1"/>
    <col min="8" max="8" width="6.7109375" customWidth="1"/>
    <col min="9" max="13" width="9.140625" customWidth="1"/>
    <col min="14" max="14" width="36.85546875" customWidth="1"/>
    <col min="15" max="15" width="14.85546875" customWidth="1"/>
    <col min="16" max="16" width="1.42578125" customWidth="1"/>
    <col min="17" max="17" width="12.7109375" customWidth="1"/>
    <col min="18" max="18" width="4" customWidth="1"/>
    <col min="19" max="21" width="9.140625" customWidth="1"/>
    <col min="22" max="22" width="10.42578125" customWidth="1"/>
    <col min="23" max="23" width="10.140625" hidden="1" customWidth="1"/>
    <col min="24" max="32" width="9.140625" hidden="1" customWidth="1"/>
    <col min="33" max="38" width="0" hidden="1" customWidth="1"/>
    <col min="39" max="16384" width="9.140625" hidden="1"/>
  </cols>
  <sheetData>
    <row r="1" spans="1:29" ht="9.75" customHeight="1">
      <c r="A1" s="3"/>
      <c r="B1" s="3"/>
      <c r="C1" s="3"/>
      <c r="D1" s="3"/>
      <c r="E1" s="21"/>
      <c r="F1" s="21"/>
      <c r="G1" s="21"/>
      <c r="H1" s="21"/>
      <c r="I1" s="21"/>
      <c r="J1" s="21"/>
      <c r="K1" s="21"/>
      <c r="L1" s="21"/>
      <c r="M1" s="21"/>
      <c r="N1" s="21"/>
      <c r="O1" s="21"/>
      <c r="P1" s="10"/>
      <c r="Q1" s="831"/>
      <c r="R1" s="831"/>
      <c r="S1" s="831"/>
      <c r="T1" s="831"/>
      <c r="U1" s="831"/>
      <c r="V1" s="831"/>
      <c r="W1" s="2"/>
      <c r="X1" s="2"/>
      <c r="Y1" s="2"/>
      <c r="Z1" s="2"/>
      <c r="AA1" s="2"/>
      <c r="AB1" s="2"/>
      <c r="AC1" s="2"/>
    </row>
    <row r="2" spans="1:29" ht="28.5">
      <c r="A2" s="10"/>
      <c r="B2" s="10"/>
      <c r="C2" s="10"/>
      <c r="D2" s="2"/>
      <c r="E2" s="2"/>
      <c r="F2" s="2"/>
      <c r="G2" s="2"/>
      <c r="H2" s="2"/>
      <c r="I2" s="2"/>
      <c r="J2" s="2"/>
      <c r="K2" s="2"/>
      <c r="L2" s="2"/>
      <c r="M2" s="2"/>
      <c r="N2" s="2"/>
      <c r="O2" s="2"/>
      <c r="P2" s="10"/>
      <c r="Q2" s="1166"/>
      <c r="R2" s="1166"/>
      <c r="S2" s="1166"/>
      <c r="T2" s="1166"/>
      <c r="U2" s="1166"/>
      <c r="V2" s="1166"/>
      <c r="W2" s="2"/>
      <c r="X2" s="2"/>
      <c r="Y2" s="2"/>
      <c r="Z2" s="2"/>
      <c r="AA2" s="2"/>
      <c r="AB2" s="2"/>
      <c r="AC2" s="2"/>
    </row>
    <row r="3" spans="1:29" ht="28.5">
      <c r="A3" s="10"/>
      <c r="B3" s="10"/>
      <c r="C3" s="10"/>
      <c r="D3" s="2"/>
      <c r="E3" s="2"/>
      <c r="F3" s="2"/>
      <c r="G3" s="2"/>
      <c r="H3" s="2"/>
      <c r="I3" s="2"/>
      <c r="J3" s="2"/>
      <c r="K3" s="2"/>
      <c r="L3" s="2"/>
      <c r="M3" s="2"/>
      <c r="N3" s="2"/>
      <c r="O3" s="2"/>
      <c r="P3" s="10"/>
      <c r="Q3" s="1167"/>
      <c r="R3" s="1167"/>
      <c r="S3" s="1167"/>
      <c r="T3" s="1167"/>
      <c r="U3" s="1167"/>
      <c r="V3" s="1167"/>
      <c r="W3" s="2"/>
      <c r="X3" s="2"/>
      <c r="Y3" s="2"/>
      <c r="Z3" s="2"/>
      <c r="AA3" s="2"/>
      <c r="AB3" s="2"/>
      <c r="AC3" s="2"/>
    </row>
    <row r="4" spans="1:29" ht="30" customHeight="1">
      <c r="A4" s="10"/>
      <c r="B4" s="10"/>
      <c r="C4" s="10"/>
      <c r="D4" s="6"/>
      <c r="E4" s="3815" t="s">
        <v>172</v>
      </c>
      <c r="F4" s="3815"/>
      <c r="G4" s="3815"/>
      <c r="H4" s="3815"/>
      <c r="I4" s="3815"/>
      <c r="J4" s="3815"/>
      <c r="K4" s="3815"/>
      <c r="L4" s="3815"/>
      <c r="M4" s="3815"/>
      <c r="N4" s="3815"/>
      <c r="O4" s="6"/>
      <c r="P4" s="10"/>
      <c r="Q4" s="1168"/>
      <c r="R4" s="1168"/>
      <c r="S4" s="1168"/>
      <c r="T4" s="1168"/>
      <c r="U4" s="1168"/>
      <c r="V4" s="1169"/>
      <c r="W4" s="45"/>
      <c r="X4" s="2"/>
      <c r="Y4" s="2"/>
      <c r="Z4" s="2"/>
      <c r="AA4" s="2"/>
      <c r="AB4" s="2"/>
      <c r="AC4" s="2"/>
    </row>
    <row r="5" spans="1:29" ht="18.75">
      <c r="A5" s="10"/>
      <c r="B5" s="10"/>
      <c r="C5" s="10"/>
      <c r="D5" s="3818" t="s">
        <v>571</v>
      </c>
      <c r="E5" s="3818"/>
      <c r="F5" s="3818"/>
      <c r="G5" s="3818"/>
      <c r="H5" s="3818"/>
      <c r="I5" s="3818"/>
      <c r="J5" s="3818"/>
      <c r="K5" s="3818"/>
      <c r="L5" s="3818"/>
      <c r="M5" s="3818"/>
      <c r="N5" s="3818"/>
      <c r="O5" s="3818"/>
      <c r="P5" s="10"/>
      <c r="Q5" s="1168"/>
      <c r="R5" s="1168"/>
      <c r="S5" s="1168"/>
      <c r="T5" s="1168"/>
      <c r="U5" s="1168"/>
      <c r="V5" s="1169"/>
      <c r="W5" s="45"/>
      <c r="X5" s="2"/>
      <c r="Y5" s="2"/>
      <c r="Z5" s="2"/>
      <c r="AA5" s="2"/>
      <c r="AB5" s="2"/>
      <c r="AC5" s="2"/>
    </row>
    <row r="6" spans="1:29" ht="27.75" customHeight="1" thickBot="1">
      <c r="A6" s="10"/>
      <c r="B6" s="10"/>
      <c r="C6" s="10"/>
      <c r="D6" s="3818"/>
      <c r="E6" s="3818"/>
      <c r="F6" s="3818"/>
      <c r="G6" s="3818"/>
      <c r="H6" s="3818"/>
      <c r="I6" s="3818"/>
      <c r="J6" s="3818"/>
      <c r="K6" s="3818"/>
      <c r="L6" s="3818"/>
      <c r="M6" s="3818"/>
      <c r="N6" s="3818"/>
      <c r="O6" s="3818"/>
      <c r="P6" s="10"/>
      <c r="Q6" s="1170"/>
      <c r="R6" s="1170"/>
      <c r="S6" s="1170"/>
      <c r="T6" s="1170"/>
      <c r="U6" s="1170"/>
      <c r="V6" s="1171"/>
      <c r="W6" s="45"/>
      <c r="X6" s="2"/>
      <c r="Y6" s="2"/>
      <c r="Z6" s="2"/>
      <c r="AA6" s="2"/>
      <c r="AB6" s="2"/>
      <c r="AC6" s="2"/>
    </row>
    <row r="7" spans="1:29" ht="27.75" customHeight="1" thickTop="1" thickBot="1">
      <c r="A7" s="10"/>
      <c r="B7" s="10"/>
      <c r="C7" s="10"/>
      <c r="D7" s="3816" t="s">
        <v>1715</v>
      </c>
      <c r="E7" s="3816"/>
      <c r="F7" s="3816"/>
      <c r="G7" s="3816"/>
      <c r="H7" s="3816"/>
      <c r="I7" s="3816"/>
      <c r="J7" s="3816"/>
      <c r="K7" s="3816"/>
      <c r="L7" s="651"/>
      <c r="M7" s="3817" t="s">
        <v>1716</v>
      </c>
      <c r="N7" s="3817"/>
      <c r="O7" s="288"/>
      <c r="P7" s="10"/>
      <c r="Q7" s="3828" t="s">
        <v>171</v>
      </c>
      <c r="R7" s="3829"/>
      <c r="S7" s="3829"/>
      <c r="T7" s="3829"/>
      <c r="U7" s="3829"/>
      <c r="V7" s="3830"/>
      <c r="W7" s="1157"/>
      <c r="X7" s="843"/>
      <c r="Y7" s="2"/>
      <c r="Z7" s="2"/>
      <c r="AA7" s="2"/>
      <c r="AB7" s="2"/>
      <c r="AC7" s="2"/>
    </row>
    <row r="8" spans="1:29" ht="27.75" customHeight="1" thickTop="1">
      <c r="A8" s="10"/>
      <c r="B8" s="10"/>
      <c r="C8" s="10"/>
      <c r="D8" s="3659"/>
      <c r="E8" s="3660"/>
      <c r="F8" s="3660"/>
      <c r="G8" s="3660"/>
      <c r="H8" s="3660"/>
      <c r="I8" s="3660"/>
      <c r="J8" s="3660"/>
      <c r="K8" s="3660"/>
      <c r="L8" s="3660"/>
      <c r="M8" s="3660"/>
      <c r="N8" s="3660"/>
      <c r="O8" s="3659"/>
      <c r="P8" s="10"/>
      <c r="Q8" s="3825"/>
      <c r="R8" s="3826"/>
      <c r="S8" s="3826"/>
      <c r="T8" s="3826"/>
      <c r="U8" s="3826"/>
      <c r="V8" s="3827"/>
      <c r="W8" s="1157"/>
      <c r="X8" s="843"/>
      <c r="Y8" s="843"/>
      <c r="Z8" s="2"/>
      <c r="AA8" s="2"/>
      <c r="AB8" s="2"/>
      <c r="AC8" s="2"/>
    </row>
    <row r="9" spans="1:29" ht="27.75" customHeight="1">
      <c r="A9" s="10"/>
      <c r="B9" s="10"/>
      <c r="C9" s="10"/>
      <c r="D9" s="3659"/>
      <c r="E9" s="3660"/>
      <c r="F9" s="3660"/>
      <c r="G9" s="3660"/>
      <c r="H9" s="3660"/>
      <c r="I9" s="3660"/>
      <c r="J9" s="3660"/>
      <c r="K9" s="3660"/>
      <c r="L9" s="3660"/>
      <c r="M9" s="3660"/>
      <c r="N9" s="3661"/>
      <c r="O9" s="3659"/>
      <c r="P9" s="10"/>
      <c r="Q9" s="3421"/>
      <c r="R9" s="3422"/>
      <c r="S9" s="3422"/>
      <c r="T9" s="3422"/>
      <c r="U9" s="3422"/>
      <c r="V9" s="3423"/>
      <c r="W9" s="1157"/>
      <c r="X9" s="843"/>
      <c r="Y9" s="2"/>
      <c r="Z9" s="2"/>
      <c r="AA9" s="2"/>
      <c r="AB9" s="2"/>
      <c r="AC9" s="2"/>
    </row>
    <row r="10" spans="1:29" ht="53.25" customHeight="1">
      <c r="A10" s="22"/>
      <c r="B10" s="22"/>
      <c r="C10" s="22"/>
      <c r="D10" s="3662"/>
      <c r="E10" s="3663"/>
      <c r="F10" s="3664"/>
      <c r="G10" s="3665"/>
      <c r="H10" s="3665"/>
      <c r="I10" s="3665"/>
      <c r="J10" s="3664"/>
      <c r="K10" s="3665"/>
      <c r="L10" s="3664"/>
      <c r="M10" s="3665"/>
      <c r="N10" s="3665"/>
      <c r="O10" s="3659"/>
      <c r="P10" s="10"/>
      <c r="Q10" s="3421"/>
      <c r="R10" s="3422"/>
      <c r="S10" s="3422"/>
      <c r="T10" s="3422"/>
      <c r="U10" s="3422"/>
      <c r="V10" s="3423"/>
      <c r="W10" s="1158"/>
      <c r="X10" s="843"/>
      <c r="Y10" s="2"/>
      <c r="Z10" s="2"/>
      <c r="AA10" s="2"/>
      <c r="AB10" s="2"/>
      <c r="AC10" s="2"/>
    </row>
    <row r="11" spans="1:29" ht="30" customHeight="1">
      <c r="A11" s="22"/>
      <c r="B11" s="22"/>
      <c r="C11" s="22"/>
      <c r="D11" s="3662"/>
      <c r="E11" s="3820" t="s">
        <v>995</v>
      </c>
      <c r="F11" s="3820"/>
      <c r="G11" s="3820"/>
      <c r="H11" s="3820"/>
      <c r="I11" s="3820"/>
      <c r="J11" s="3820"/>
      <c r="K11" s="3820"/>
      <c r="L11" s="3820"/>
      <c r="M11" s="3820"/>
      <c r="N11" s="3820"/>
      <c r="O11" s="3820"/>
      <c r="P11" s="10"/>
      <c r="Q11" s="3421"/>
      <c r="R11" s="3422"/>
      <c r="S11" s="3422"/>
      <c r="T11" s="3422"/>
      <c r="U11" s="3422"/>
      <c r="V11" s="3423"/>
      <c r="W11" s="1159"/>
      <c r="X11" s="843"/>
      <c r="Y11" s="2"/>
      <c r="Z11" s="2"/>
      <c r="AA11" s="2"/>
      <c r="AB11" s="2"/>
      <c r="AC11" s="2"/>
    </row>
    <row r="12" spans="1:29" ht="26.25">
      <c r="A12" s="22"/>
      <c r="B12" s="22"/>
      <c r="C12" s="22"/>
      <c r="D12" s="3662"/>
      <c r="E12" s="3820"/>
      <c r="F12" s="3820"/>
      <c r="G12" s="3820"/>
      <c r="H12" s="3820"/>
      <c r="I12" s="3820"/>
      <c r="J12" s="3820"/>
      <c r="K12" s="3820"/>
      <c r="L12" s="3820"/>
      <c r="M12" s="3820"/>
      <c r="N12" s="3820"/>
      <c r="O12" s="3820"/>
      <c r="P12" s="10"/>
      <c r="Q12" s="3421"/>
      <c r="R12" s="3422"/>
      <c r="S12" s="3422"/>
      <c r="T12" s="3422"/>
      <c r="U12" s="3422"/>
      <c r="V12" s="3423"/>
      <c r="W12" s="1160"/>
      <c r="X12" s="843"/>
      <c r="Y12" s="2"/>
      <c r="Z12" s="2"/>
      <c r="AA12" s="2"/>
      <c r="AB12" s="2"/>
      <c r="AC12" s="2"/>
    </row>
    <row r="13" spans="1:29" ht="28.5" customHeight="1">
      <c r="A13" s="22"/>
      <c r="B13" s="22"/>
      <c r="C13" s="22"/>
      <c r="D13" s="3662"/>
      <c r="E13" s="3819" t="s">
        <v>173</v>
      </c>
      <c r="F13" s="3819"/>
      <c r="G13" s="3819"/>
      <c r="H13" s="3819"/>
      <c r="I13" s="3819"/>
      <c r="J13" s="3819"/>
      <c r="K13" s="3819"/>
      <c r="L13" s="3819"/>
      <c r="M13" s="3819"/>
      <c r="N13" s="3819"/>
      <c r="O13" s="3659"/>
      <c r="P13" s="10"/>
      <c r="Q13" s="3421"/>
      <c r="R13" s="3422"/>
      <c r="S13" s="3422"/>
      <c r="T13" s="3422"/>
      <c r="U13" s="3422"/>
      <c r="V13" s="3423"/>
      <c r="W13" s="1160"/>
      <c r="X13" s="843"/>
      <c r="Y13" s="2"/>
      <c r="Z13" s="2"/>
      <c r="AA13" s="2"/>
      <c r="AB13" s="2"/>
      <c r="AC13" s="2"/>
    </row>
    <row r="14" spans="1:29" ht="28.5" customHeight="1">
      <c r="A14" s="843"/>
      <c r="B14" s="10"/>
      <c r="C14" s="10"/>
      <c r="D14" s="3659"/>
      <c r="E14" s="3663"/>
      <c r="F14" s="3666"/>
      <c r="G14" s="3666"/>
      <c r="H14" s="3666"/>
      <c r="I14" s="3666"/>
      <c r="J14" s="3666"/>
      <c r="K14" s="3666"/>
      <c r="L14" s="3666"/>
      <c r="M14" s="3666"/>
      <c r="N14" s="3666"/>
      <c r="O14" s="3666"/>
      <c r="P14" s="10"/>
      <c r="Q14" s="3421"/>
      <c r="R14" s="3422"/>
      <c r="S14" s="3422"/>
      <c r="T14" s="3422"/>
      <c r="U14" s="3422"/>
      <c r="V14" s="3423"/>
      <c r="W14" s="1160"/>
      <c r="X14" s="843"/>
      <c r="Y14" s="2"/>
      <c r="Z14" s="2"/>
      <c r="AA14" s="2"/>
      <c r="AB14" s="2"/>
      <c r="AC14" s="2"/>
    </row>
    <row r="15" spans="1:29" ht="43.5" customHeight="1" thickBot="1">
      <c r="A15" s="843"/>
      <c r="B15" s="10"/>
      <c r="C15" s="10"/>
      <c r="D15" s="3659"/>
      <c r="E15" s="3822" t="s">
        <v>175</v>
      </c>
      <c r="F15" s="3822"/>
      <c r="G15" s="3822"/>
      <c r="H15" s="3822"/>
      <c r="I15" s="3822"/>
      <c r="J15" s="3822"/>
      <c r="K15" s="3822"/>
      <c r="L15" s="3822"/>
      <c r="M15" s="3822"/>
      <c r="N15" s="3822"/>
      <c r="O15" s="3822"/>
      <c r="P15" s="10"/>
      <c r="Q15" s="3424"/>
      <c r="R15" s="3425"/>
      <c r="S15" s="3425"/>
      <c r="T15" s="3425"/>
      <c r="U15" s="3425"/>
      <c r="V15" s="3426"/>
      <c r="W15" s="1160"/>
      <c r="X15" s="843"/>
      <c r="Y15" s="2"/>
      <c r="Z15" s="2"/>
      <c r="AA15" s="2"/>
      <c r="AB15" s="2"/>
      <c r="AC15" s="2"/>
    </row>
    <row r="16" spans="1:29" ht="22.5" customHeight="1" thickTop="1">
      <c r="A16" s="843"/>
      <c r="B16" s="10"/>
      <c r="C16" s="10"/>
      <c r="D16" s="3659"/>
      <c r="E16" s="3667"/>
      <c r="F16" s="3667"/>
      <c r="G16" s="3667"/>
      <c r="H16" s="3667"/>
      <c r="I16" s="3667"/>
      <c r="J16" s="3667"/>
      <c r="K16" s="3667"/>
      <c r="L16" s="3667"/>
      <c r="M16" s="3667"/>
      <c r="N16" s="3667"/>
      <c r="O16" s="3659"/>
      <c r="P16" s="10"/>
      <c r="Q16" s="3823" t="s">
        <v>996</v>
      </c>
      <c r="R16" s="3823"/>
      <c r="S16" s="3823"/>
      <c r="T16" s="3823"/>
      <c r="U16" s="3823"/>
      <c r="V16" s="3823"/>
      <c r="W16" s="1161"/>
      <c r="X16" s="2"/>
      <c r="Y16" s="2"/>
      <c r="Z16" s="2"/>
      <c r="AA16" s="2"/>
      <c r="AB16" s="2"/>
      <c r="AC16" s="2"/>
    </row>
    <row r="17" spans="1:30" ht="30.75" customHeight="1">
      <c r="A17" s="843"/>
      <c r="B17" s="10"/>
      <c r="C17" s="10"/>
      <c r="D17" s="3659"/>
      <c r="E17" s="3821" t="s">
        <v>572</v>
      </c>
      <c r="F17" s="3821"/>
      <c r="G17" s="3821"/>
      <c r="H17" s="3821"/>
      <c r="I17" s="3821"/>
      <c r="J17" s="3821"/>
      <c r="K17" s="3821"/>
      <c r="L17" s="3821"/>
      <c r="M17" s="3821"/>
      <c r="N17" s="3668"/>
      <c r="O17" s="3668"/>
      <c r="P17" s="10"/>
      <c r="Q17" s="3823" t="s">
        <v>1694</v>
      </c>
      <c r="R17" s="3823"/>
      <c r="S17" s="3823"/>
      <c r="T17" s="3823"/>
      <c r="U17" s="3823"/>
      <c r="V17" s="3823"/>
      <c r="W17" s="1161"/>
      <c r="X17" s="2"/>
      <c r="Y17" s="2"/>
      <c r="Z17" s="2"/>
      <c r="AA17" s="2"/>
      <c r="AB17" s="2"/>
      <c r="AC17" s="2"/>
    </row>
    <row r="18" spans="1:30" ht="18.75" customHeight="1">
      <c r="A18" s="843"/>
      <c r="B18" s="10"/>
      <c r="C18" s="10"/>
      <c r="D18" s="3659"/>
      <c r="E18" s="3821"/>
      <c r="F18" s="3821"/>
      <c r="G18" s="3821"/>
      <c r="H18" s="3821"/>
      <c r="I18" s="3821"/>
      <c r="J18" s="3821"/>
      <c r="K18" s="3821"/>
      <c r="L18" s="3821"/>
      <c r="M18" s="3821"/>
      <c r="N18" s="3668"/>
      <c r="O18" s="3668"/>
      <c r="P18" s="10"/>
      <c r="Q18" s="3823" t="s">
        <v>672</v>
      </c>
      <c r="R18" s="3823"/>
      <c r="S18" s="3823"/>
      <c r="T18" s="3823"/>
      <c r="U18" s="3823"/>
      <c r="V18" s="3823"/>
      <c r="W18" s="1161"/>
      <c r="X18" s="2"/>
      <c r="Y18" s="2"/>
      <c r="Z18" s="2"/>
    </row>
    <row r="19" spans="1:30" ht="26.25">
      <c r="A19" s="843"/>
      <c r="B19" s="10"/>
      <c r="C19" s="10"/>
      <c r="D19" s="3659"/>
      <c r="E19" s="3669"/>
      <c r="F19" s="3669"/>
      <c r="G19" s="3669"/>
      <c r="H19" s="3669"/>
      <c r="I19" s="3669"/>
      <c r="J19" s="3669"/>
      <c r="K19" s="3669"/>
      <c r="L19" s="3669"/>
      <c r="M19" s="3670"/>
      <c r="N19" s="3670"/>
      <c r="O19" s="3659"/>
      <c r="P19" s="10"/>
      <c r="Q19" s="3823" t="s">
        <v>174</v>
      </c>
      <c r="R19" s="3823"/>
      <c r="S19" s="3823"/>
      <c r="T19" s="3823"/>
      <c r="U19" s="3823"/>
      <c r="V19" s="3823"/>
      <c r="W19" s="1161"/>
      <c r="X19" s="2"/>
      <c r="Y19" s="2"/>
      <c r="Z19" s="2"/>
    </row>
    <row r="20" spans="1:30" ht="26.25">
      <c r="A20" s="843"/>
      <c r="B20" s="10"/>
      <c r="C20" s="10"/>
      <c r="D20" s="3659"/>
      <c r="E20" s="3666"/>
      <c r="F20" s="3666"/>
      <c r="G20" s="3666"/>
      <c r="H20" s="3666"/>
      <c r="I20" s="3666"/>
      <c r="J20" s="3666"/>
      <c r="K20" s="3666"/>
      <c r="L20" s="3666"/>
      <c r="M20" s="3666"/>
      <c r="N20" s="3669"/>
      <c r="O20" s="3669"/>
      <c r="P20" s="10"/>
      <c r="Q20" s="3824" t="s">
        <v>1670</v>
      </c>
      <c r="R20" s="3824"/>
      <c r="S20" s="3824"/>
      <c r="T20" s="3824"/>
      <c r="U20" s="3824"/>
      <c r="V20" s="3824"/>
      <c r="W20" s="1162"/>
      <c r="X20" s="2"/>
      <c r="Y20" s="2"/>
      <c r="Z20" s="2"/>
    </row>
    <row r="21" spans="1:30" ht="33.75" customHeight="1" thickBot="1">
      <c r="A21" s="843"/>
      <c r="B21" s="10"/>
      <c r="C21" s="10"/>
      <c r="D21" s="3659"/>
      <c r="E21" s="3671"/>
      <c r="F21" s="3671"/>
      <c r="G21" s="3671"/>
      <c r="H21" s="3671"/>
      <c r="I21" s="3671"/>
      <c r="J21" s="3671"/>
      <c r="K21" s="3671"/>
      <c r="L21" s="3671"/>
      <c r="M21" s="3671"/>
      <c r="N21" s="3671"/>
      <c r="O21" s="3659"/>
      <c r="P21" s="10"/>
      <c r="Q21" s="1164"/>
      <c r="R21" s="1164"/>
      <c r="S21" s="1164"/>
      <c r="T21" s="1164"/>
      <c r="U21" s="1164"/>
      <c r="V21" s="1164"/>
      <c r="W21" s="1163"/>
      <c r="X21" s="2"/>
      <c r="Y21" s="2"/>
      <c r="Z21" s="2"/>
    </row>
    <row r="22" spans="1:30" ht="27" thickTop="1">
      <c r="A22" s="843"/>
      <c r="B22" s="10"/>
      <c r="C22" s="10"/>
      <c r="D22" s="3659"/>
      <c r="E22" s="3671"/>
      <c r="F22" s="3671"/>
      <c r="G22" s="3671"/>
      <c r="H22" s="3671"/>
      <c r="I22" s="3671"/>
      <c r="J22" s="3671"/>
      <c r="K22" s="3671"/>
      <c r="L22" s="3671"/>
      <c r="M22" s="3671"/>
      <c r="N22" s="3670"/>
      <c r="O22" s="3659"/>
      <c r="P22" s="10"/>
      <c r="Q22" s="3412"/>
      <c r="R22" s="3413"/>
      <c r="S22" s="3413"/>
      <c r="T22" s="3413"/>
      <c r="U22" s="3413"/>
      <c r="V22" s="3414"/>
      <c r="W22" s="2"/>
      <c r="X22" s="2"/>
      <c r="Y22" s="2"/>
      <c r="Z22" s="2"/>
    </row>
    <row r="23" spans="1:30" ht="26.25">
      <c r="A23" s="843"/>
      <c r="B23" s="10"/>
      <c r="C23" s="10"/>
      <c r="D23" s="3659"/>
      <c r="E23" s="3669"/>
      <c r="F23" s="3669"/>
      <c r="G23" s="3669"/>
      <c r="H23" s="3669"/>
      <c r="I23" s="3669"/>
      <c r="J23" s="3669"/>
      <c r="K23" s="3670"/>
      <c r="L23" s="3670"/>
      <c r="M23" s="3670"/>
      <c r="N23" s="3670"/>
      <c r="O23" s="3659"/>
      <c r="P23" s="10"/>
      <c r="Q23" s="3415"/>
      <c r="R23" s="941"/>
      <c r="S23" s="941"/>
      <c r="T23" s="941"/>
      <c r="U23" s="941"/>
      <c r="V23" s="3416"/>
      <c r="W23" s="2"/>
      <c r="X23" s="2"/>
      <c r="Y23" s="2"/>
      <c r="Z23" s="2"/>
    </row>
    <row r="24" spans="1:30" ht="23.25">
      <c r="A24" s="843"/>
      <c r="B24" s="10"/>
      <c r="C24" s="10"/>
      <c r="D24" s="3659"/>
      <c r="E24" s="3672"/>
      <c r="F24" s="3673"/>
      <c r="G24" s="3673"/>
      <c r="H24" s="3673"/>
      <c r="I24" s="3673"/>
      <c r="J24" s="3673"/>
      <c r="K24" s="3673"/>
      <c r="L24" s="3673"/>
      <c r="M24" s="3673"/>
      <c r="N24" s="3673"/>
      <c r="O24" s="3673"/>
      <c r="P24" s="10"/>
      <c r="Q24" s="3415"/>
      <c r="R24" s="941"/>
      <c r="S24" s="941"/>
      <c r="T24" s="941"/>
      <c r="U24" s="941"/>
      <c r="V24" s="3416"/>
      <c r="W24" s="2"/>
      <c r="X24" s="2"/>
      <c r="Y24" s="2"/>
      <c r="Z24" s="2"/>
    </row>
    <row r="25" spans="1:30" ht="18.75">
      <c r="A25" s="843"/>
      <c r="B25" s="10"/>
      <c r="C25" s="10"/>
      <c r="D25" s="3659"/>
      <c r="E25" s="3674"/>
      <c r="F25" s="3673"/>
      <c r="G25" s="3673"/>
      <c r="H25" s="3673"/>
      <c r="I25" s="3673"/>
      <c r="J25" s="3673"/>
      <c r="K25" s="3673"/>
      <c r="L25" s="3673"/>
      <c r="M25" s="3673"/>
      <c r="N25" s="3673"/>
      <c r="O25" s="3673"/>
      <c r="P25" s="10"/>
      <c r="Q25" s="3415"/>
      <c r="R25" s="941"/>
      <c r="S25" s="941"/>
      <c r="T25" s="941"/>
      <c r="U25" s="941"/>
      <c r="V25" s="3416"/>
      <c r="W25" s="2"/>
      <c r="X25" s="2"/>
      <c r="Y25" s="2"/>
      <c r="Z25" s="2"/>
    </row>
    <row r="26" spans="1:30" ht="27" customHeight="1">
      <c r="A26" s="843"/>
      <c r="B26" s="10"/>
      <c r="C26" s="10"/>
      <c r="D26" s="3675"/>
      <c r="E26" s="3676"/>
      <c r="F26" s="3677"/>
      <c r="G26" s="3678"/>
      <c r="H26" s="3678"/>
      <c r="I26" s="3678"/>
      <c r="J26" s="3678"/>
      <c r="K26" s="3678"/>
      <c r="L26" s="3678"/>
      <c r="M26" s="3678"/>
      <c r="N26" s="3678"/>
      <c r="O26" s="3678"/>
      <c r="P26" s="10"/>
      <c r="Q26" s="3415"/>
      <c r="R26" s="941"/>
      <c r="S26" s="941"/>
      <c r="T26" s="941"/>
      <c r="U26" s="941"/>
      <c r="V26" s="3417"/>
      <c r="W26" s="29"/>
      <c r="X26" s="29"/>
      <c r="Y26" s="2"/>
      <c r="Z26" s="2"/>
    </row>
    <row r="27" spans="1:30" ht="23.25" customHeight="1">
      <c r="A27" s="843"/>
      <c r="B27" s="10"/>
      <c r="C27" s="10"/>
      <c r="D27" s="3675"/>
      <c r="E27" s="3679"/>
      <c r="F27" s="3680"/>
      <c r="G27" s="3681"/>
      <c r="H27" s="3681"/>
      <c r="I27" s="3681"/>
      <c r="J27" s="3681"/>
      <c r="K27" s="3681"/>
      <c r="L27" s="3681"/>
      <c r="M27" s="3681"/>
      <c r="N27" s="3681"/>
      <c r="O27" s="3675"/>
      <c r="P27" s="10"/>
      <c r="Q27" s="3415"/>
      <c r="R27" s="941"/>
      <c r="S27" s="941"/>
      <c r="T27" s="941"/>
      <c r="U27" s="941"/>
      <c r="V27" s="3417"/>
      <c r="W27" s="29"/>
      <c r="X27" s="29"/>
      <c r="Y27" s="2"/>
      <c r="Z27" s="2"/>
    </row>
    <row r="28" spans="1:30" ht="23.25" customHeight="1">
      <c r="A28" s="843"/>
      <c r="B28" s="10"/>
      <c r="C28" s="10"/>
      <c r="D28" s="3675"/>
      <c r="E28" s="3679"/>
      <c r="F28" s="3680"/>
      <c r="G28" s="3681"/>
      <c r="H28" s="3681"/>
      <c r="I28" s="3681"/>
      <c r="J28" s="3681"/>
      <c r="K28" s="3681"/>
      <c r="L28" s="3681"/>
      <c r="M28" s="3681"/>
      <c r="N28" s="3681"/>
      <c r="O28" s="3675"/>
      <c r="P28" s="10"/>
      <c r="Q28" s="3415"/>
      <c r="R28" s="941"/>
      <c r="S28" s="941"/>
      <c r="T28" s="941"/>
      <c r="U28" s="941"/>
      <c r="V28" s="3417"/>
      <c r="W28" s="29"/>
      <c r="X28" s="29"/>
      <c r="Y28" s="2"/>
      <c r="Z28" s="2"/>
    </row>
    <row r="29" spans="1:30" ht="23.25">
      <c r="A29" s="843"/>
      <c r="B29" s="10"/>
      <c r="C29" s="10"/>
      <c r="D29" s="3675"/>
      <c r="E29" s="3679"/>
      <c r="F29" s="3680"/>
      <c r="G29" s="3680"/>
      <c r="H29" s="3680"/>
      <c r="I29" s="3680"/>
      <c r="J29" s="3680"/>
      <c r="K29" s="3680"/>
      <c r="L29" s="3680"/>
      <c r="M29" s="3680"/>
      <c r="N29" s="3680"/>
      <c r="O29" s="3674"/>
      <c r="P29" s="10"/>
      <c r="Q29" s="3415"/>
      <c r="R29" s="941"/>
      <c r="S29" s="941"/>
      <c r="T29" s="941"/>
      <c r="U29" s="941"/>
      <c r="V29" s="3417"/>
      <c r="W29" s="29"/>
      <c r="X29" s="29"/>
      <c r="Y29" s="2"/>
      <c r="Z29" s="2"/>
    </row>
    <row r="30" spans="1:30" ht="33" customHeight="1" thickBot="1">
      <c r="A30" s="843"/>
      <c r="B30" s="10"/>
      <c r="C30" s="10"/>
      <c r="D30" s="3675"/>
      <c r="E30" s="3679"/>
      <c r="F30" s="3680"/>
      <c r="G30" s="3680"/>
      <c r="H30" s="3680"/>
      <c r="I30" s="3680"/>
      <c r="J30" s="3680"/>
      <c r="K30" s="3680"/>
      <c r="L30" s="3680"/>
      <c r="M30" s="3680"/>
      <c r="N30" s="3680"/>
      <c r="O30" s="3674"/>
      <c r="P30" s="10"/>
      <c r="Q30" s="3418"/>
      <c r="R30" s="3419"/>
      <c r="S30" s="3419"/>
      <c r="T30" s="3419"/>
      <c r="U30" s="3419"/>
      <c r="V30" s="3420"/>
      <c r="W30" s="29"/>
      <c r="X30" s="29"/>
      <c r="Y30" s="2"/>
      <c r="Z30" s="2"/>
    </row>
    <row r="31" spans="1:30" ht="20.25" customHeight="1" thickTop="1">
      <c r="A31" s="843"/>
      <c r="B31" s="10"/>
      <c r="C31" s="10"/>
      <c r="D31" s="3675"/>
      <c r="E31" s="3682"/>
      <c r="F31" s="3680"/>
      <c r="G31" s="3680"/>
      <c r="H31" s="3680"/>
      <c r="I31" s="3680"/>
      <c r="J31" s="3680"/>
      <c r="K31" s="3680"/>
      <c r="L31" s="3683"/>
      <c r="M31" s="3683"/>
      <c r="N31" s="3683"/>
      <c r="O31" s="3674"/>
      <c r="P31" s="10"/>
      <c r="Q31" s="3403"/>
      <c r="R31" s="3404"/>
      <c r="S31" s="3404"/>
      <c r="T31" s="3404"/>
      <c r="U31" s="3404"/>
      <c r="V31" s="3405"/>
      <c r="W31" s="2"/>
      <c r="X31" s="2"/>
      <c r="Y31" s="2"/>
      <c r="Z31" s="2"/>
      <c r="AD31" s="1165"/>
    </row>
    <row r="32" spans="1:30" ht="25.5" customHeight="1">
      <c r="A32" s="843"/>
      <c r="B32" s="10"/>
      <c r="C32" s="10"/>
      <c r="D32" s="3675"/>
      <c r="E32" s="3684"/>
      <c r="F32" s="3680"/>
      <c r="G32" s="3685"/>
      <c r="H32" s="3685"/>
      <c r="I32" s="3685"/>
      <c r="J32" s="3685"/>
      <c r="K32" s="3685"/>
      <c r="L32" s="3686"/>
      <c r="M32" s="3686"/>
      <c r="N32" s="3686"/>
      <c r="O32" s="3675"/>
      <c r="P32" s="10"/>
      <c r="Q32" s="3406"/>
      <c r="R32" s="1226"/>
      <c r="S32" s="1226"/>
      <c r="T32" s="1226"/>
      <c r="U32" s="1226"/>
      <c r="V32" s="3407"/>
      <c r="W32" s="30"/>
      <c r="X32" s="30"/>
      <c r="Y32" s="2"/>
      <c r="Z32" s="2"/>
      <c r="AD32" s="1165"/>
    </row>
    <row r="33" spans="1:26" ht="26.25">
      <c r="A33" s="843"/>
      <c r="B33" s="10"/>
      <c r="C33" s="10"/>
      <c r="D33" s="3675"/>
      <c r="E33" s="3687"/>
      <c r="F33" s="3688"/>
      <c r="G33" s="3688"/>
      <c r="H33" s="3688"/>
      <c r="I33" s="3688"/>
      <c r="J33" s="3688"/>
      <c r="K33" s="3688"/>
      <c r="L33" s="3689"/>
      <c r="M33" s="3689"/>
      <c r="N33" s="3689"/>
      <c r="O33" s="3675"/>
      <c r="P33" s="10"/>
      <c r="Q33" s="3406"/>
      <c r="R33" s="1226"/>
      <c r="S33" s="1226"/>
      <c r="T33" s="1226"/>
      <c r="U33" s="1226"/>
      <c r="V33" s="3408"/>
      <c r="W33" s="31"/>
      <c r="X33" s="31"/>
      <c r="Y33" s="2"/>
      <c r="Z33" s="2"/>
    </row>
    <row r="34" spans="1:26" ht="23.25">
      <c r="A34" s="843"/>
      <c r="B34" s="10"/>
      <c r="C34" s="10"/>
      <c r="D34" s="3675"/>
      <c r="E34" s="3676"/>
      <c r="F34" s="3674"/>
      <c r="G34" s="3689"/>
      <c r="H34" s="3689"/>
      <c r="I34" s="3689"/>
      <c r="J34" s="3689"/>
      <c r="K34" s="3689"/>
      <c r="L34" s="3689"/>
      <c r="M34" s="3689"/>
      <c r="N34" s="3689"/>
      <c r="O34" s="3675"/>
      <c r="P34" s="10"/>
      <c r="Q34" s="3406"/>
      <c r="R34" s="1226"/>
      <c r="S34" s="1226"/>
      <c r="T34" s="1226"/>
      <c r="U34" s="1226"/>
      <c r="V34" s="3407"/>
      <c r="W34" s="30"/>
      <c r="X34" s="30"/>
      <c r="Y34" s="2"/>
      <c r="Z34" s="2"/>
    </row>
    <row r="35" spans="1:26">
      <c r="A35" s="843"/>
      <c r="B35" s="10"/>
      <c r="C35" s="10"/>
      <c r="D35" s="3675"/>
      <c r="E35" s="3675"/>
      <c r="F35" s="3675"/>
      <c r="G35" s="3675"/>
      <c r="H35" s="3675"/>
      <c r="I35" s="3675"/>
      <c r="J35" s="3675"/>
      <c r="K35" s="3675"/>
      <c r="L35" s="3675"/>
      <c r="M35" s="3675"/>
      <c r="N35" s="3675"/>
      <c r="O35" s="3675"/>
      <c r="P35" s="10"/>
      <c r="Q35" s="3406"/>
      <c r="R35" s="1226"/>
      <c r="S35" s="1226"/>
      <c r="T35" s="1226"/>
      <c r="U35" s="1226"/>
      <c r="V35" s="3407"/>
      <c r="W35" s="30"/>
      <c r="X35" s="30"/>
      <c r="Y35" s="2"/>
      <c r="Z35" s="2"/>
    </row>
    <row r="36" spans="1:26">
      <c r="A36" s="843"/>
      <c r="B36" s="10"/>
      <c r="C36" s="10"/>
      <c r="D36" s="3675"/>
      <c r="E36" s="3675"/>
      <c r="F36" s="3675"/>
      <c r="G36" s="3675"/>
      <c r="H36" s="3675"/>
      <c r="I36" s="3675"/>
      <c r="J36" s="3675"/>
      <c r="K36" s="3675"/>
      <c r="L36" s="3675"/>
      <c r="M36" s="3675"/>
      <c r="N36" s="3675"/>
      <c r="O36" s="3675"/>
      <c r="P36" s="10"/>
      <c r="Q36" s="3406"/>
      <c r="R36" s="1226"/>
      <c r="S36" s="1226"/>
      <c r="T36" s="1226"/>
      <c r="U36" s="1226"/>
      <c r="V36" s="3407"/>
      <c r="W36" s="30"/>
      <c r="X36" s="30"/>
      <c r="Y36" s="2"/>
      <c r="Z36" s="2"/>
    </row>
    <row r="37" spans="1:26">
      <c r="A37" s="843"/>
      <c r="B37" s="10"/>
      <c r="C37" s="10"/>
      <c r="D37" s="3675"/>
      <c r="E37" s="3675"/>
      <c r="F37" s="3675"/>
      <c r="G37" s="3675"/>
      <c r="H37" s="3675"/>
      <c r="I37" s="3675"/>
      <c r="J37" s="3675"/>
      <c r="K37" s="3675"/>
      <c r="L37" s="3675"/>
      <c r="M37" s="3675"/>
      <c r="N37" s="3675"/>
      <c r="O37" s="3675"/>
      <c r="P37" s="10"/>
      <c r="Q37" s="3406"/>
      <c r="R37" s="1226"/>
      <c r="S37" s="1226"/>
      <c r="T37" s="1226"/>
      <c r="U37" s="1226"/>
      <c r="V37" s="3407"/>
      <c r="W37" s="30"/>
      <c r="X37" s="30"/>
      <c r="Y37" s="2"/>
      <c r="Z37" s="2"/>
    </row>
    <row r="38" spans="1:26" ht="4.5" customHeight="1" thickBot="1">
      <c r="A38" s="10"/>
      <c r="B38" s="10"/>
      <c r="C38" s="10"/>
      <c r="D38" s="10"/>
      <c r="E38" s="10"/>
      <c r="F38" s="10"/>
      <c r="G38" s="10"/>
      <c r="H38" s="10"/>
      <c r="I38" s="10"/>
      <c r="J38" s="10"/>
      <c r="K38" s="10"/>
      <c r="L38" s="10"/>
      <c r="M38" s="10"/>
      <c r="N38" s="10"/>
      <c r="O38" s="10"/>
      <c r="P38" s="10"/>
      <c r="Q38" s="3409"/>
      <c r="R38" s="3410"/>
      <c r="S38" s="3410"/>
      <c r="T38" s="3410"/>
      <c r="U38" s="3410"/>
      <c r="V38" s="3411"/>
      <c r="W38" s="30"/>
      <c r="X38" s="30"/>
      <c r="Y38" s="2"/>
      <c r="Z38" s="2"/>
    </row>
    <row r="39" spans="1:26" hidden="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idden="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idden="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idden="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idden="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idden="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idden="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idden="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idden="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idden="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idden="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idden="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idden="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hidden="1">
      <c r="A52" s="2"/>
      <c r="B52" s="2"/>
      <c r="C52" s="2"/>
      <c r="D52" s="2"/>
      <c r="E52" s="2"/>
      <c r="F52" s="2"/>
      <c r="G52" s="2"/>
      <c r="H52" s="32"/>
      <c r="I52" s="32"/>
      <c r="J52" s="32"/>
      <c r="K52" s="33"/>
      <c r="L52" s="33"/>
      <c r="M52" s="33"/>
      <c r="N52" s="33"/>
      <c r="O52" s="33"/>
      <c r="P52" s="33"/>
      <c r="Q52" s="2"/>
      <c r="R52" s="2"/>
      <c r="S52" s="2"/>
      <c r="T52" s="2"/>
      <c r="U52" s="2"/>
      <c r="V52" s="2"/>
      <c r="W52" s="2"/>
      <c r="X52" s="2"/>
      <c r="Y52" s="2"/>
      <c r="Z52" s="2"/>
    </row>
    <row r="53" spans="1:26" hidden="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idden="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idden="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idden="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idden="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idden="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idden="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idden="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idden="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idden="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idden="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idden="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idden="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idden="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26.25" hidden="1">
      <c r="A67" s="2"/>
      <c r="B67" s="2"/>
      <c r="C67" s="2"/>
      <c r="D67" s="2"/>
      <c r="E67" s="2"/>
      <c r="F67" s="2"/>
      <c r="G67" s="2"/>
      <c r="H67" s="2"/>
      <c r="I67" s="2"/>
      <c r="J67" s="2"/>
      <c r="K67" s="2"/>
      <c r="L67" s="2"/>
      <c r="M67" s="2"/>
      <c r="N67" s="2"/>
      <c r="O67" s="2"/>
      <c r="P67" s="23"/>
      <c r="Q67" s="23"/>
      <c r="R67" s="23"/>
      <c r="S67" s="23"/>
      <c r="T67" s="23"/>
      <c r="U67" s="23"/>
      <c r="V67" s="2"/>
      <c r="W67" s="2"/>
      <c r="X67" s="2"/>
      <c r="Y67" s="2"/>
      <c r="Z67" s="2"/>
    </row>
    <row r="68" spans="1:26" ht="26.25" hidden="1">
      <c r="A68" s="2"/>
      <c r="B68" s="2"/>
      <c r="C68" s="2"/>
      <c r="D68" s="2"/>
      <c r="E68" s="2"/>
      <c r="F68" s="2"/>
      <c r="G68" s="2"/>
      <c r="H68" s="2"/>
      <c r="I68" s="2"/>
      <c r="J68" s="2"/>
      <c r="K68" s="2"/>
      <c r="L68" s="34"/>
      <c r="M68" s="34"/>
      <c r="N68" s="23"/>
      <c r="O68" s="23"/>
      <c r="P68" s="23"/>
      <c r="Q68" s="23"/>
      <c r="R68" s="23"/>
      <c r="S68" s="23"/>
      <c r="T68" s="23"/>
      <c r="U68" s="23"/>
      <c r="V68" s="2"/>
      <c r="W68" s="2"/>
      <c r="X68" s="2"/>
      <c r="Y68" s="2"/>
      <c r="Z68" s="2"/>
    </row>
    <row r="69" spans="1:26" ht="26.25" hidden="1">
      <c r="A69" s="2"/>
      <c r="B69" s="2"/>
      <c r="C69" s="2"/>
      <c r="D69" s="2"/>
      <c r="E69" s="2"/>
      <c r="F69" s="2"/>
      <c r="G69" s="2"/>
      <c r="H69" s="2"/>
      <c r="I69" s="2"/>
      <c r="J69" s="2"/>
      <c r="K69" s="35"/>
      <c r="L69" s="35"/>
      <c r="M69" s="35"/>
      <c r="N69" s="35"/>
      <c r="O69" s="2"/>
      <c r="P69" s="23"/>
      <c r="Q69" s="23"/>
      <c r="R69" s="23"/>
      <c r="S69" s="23"/>
      <c r="T69" s="23"/>
      <c r="U69" s="23"/>
      <c r="V69" s="2"/>
      <c r="W69" s="2"/>
      <c r="X69" s="2"/>
      <c r="Y69" s="2"/>
      <c r="Z69" s="2"/>
    </row>
    <row r="70" spans="1:26" ht="26.25" hidden="1">
      <c r="A70" s="2"/>
      <c r="B70" s="2"/>
      <c r="C70" s="2"/>
      <c r="D70" s="2"/>
      <c r="E70" s="2"/>
      <c r="F70" s="2"/>
      <c r="G70" s="2"/>
      <c r="H70" s="2"/>
      <c r="I70" s="2"/>
      <c r="J70" s="2"/>
      <c r="K70" s="2"/>
      <c r="L70" s="24"/>
      <c r="M70" s="24"/>
      <c r="N70" s="23"/>
      <c r="O70" s="23"/>
      <c r="P70" s="23"/>
      <c r="Q70" s="23"/>
      <c r="R70" s="23"/>
      <c r="S70" s="23"/>
      <c r="T70" s="23"/>
      <c r="U70" s="23"/>
      <c r="V70" s="2"/>
      <c r="W70" s="2"/>
      <c r="X70" s="2"/>
      <c r="Y70" s="2"/>
      <c r="Z70" s="2"/>
    </row>
    <row r="71" spans="1:26" ht="26.25" hidden="1">
      <c r="A71" s="2"/>
      <c r="B71" s="2"/>
      <c r="C71" s="2"/>
      <c r="D71" s="2"/>
      <c r="E71" s="2"/>
      <c r="F71" s="2"/>
      <c r="G71" s="2"/>
      <c r="H71" s="2"/>
      <c r="I71" s="2"/>
      <c r="J71" s="2"/>
      <c r="K71" s="29"/>
      <c r="L71" s="29"/>
      <c r="M71" s="29"/>
      <c r="N71" s="29"/>
      <c r="O71" s="29"/>
      <c r="P71" s="23"/>
      <c r="Q71" s="23"/>
      <c r="R71" s="23"/>
      <c r="S71" s="23"/>
      <c r="T71" s="23"/>
      <c r="U71" s="23"/>
      <c r="V71" s="2"/>
      <c r="W71" s="2"/>
      <c r="X71" s="2"/>
      <c r="Y71" s="2"/>
      <c r="Z71" s="2"/>
    </row>
    <row r="72" spans="1:26" ht="26.25" hidden="1">
      <c r="A72" s="2"/>
      <c r="B72" s="2"/>
      <c r="C72" s="2"/>
      <c r="D72" s="2"/>
      <c r="E72" s="2"/>
      <c r="F72" s="2"/>
      <c r="G72" s="2"/>
      <c r="H72" s="2"/>
      <c r="I72" s="2"/>
      <c r="J72" s="2"/>
      <c r="K72" s="29"/>
      <c r="L72" s="29"/>
      <c r="M72" s="29"/>
      <c r="N72" s="29"/>
      <c r="O72" s="29"/>
      <c r="P72" s="23"/>
      <c r="Q72" s="23"/>
      <c r="R72" s="23"/>
      <c r="S72" s="23"/>
      <c r="T72" s="23"/>
      <c r="U72" s="23"/>
      <c r="V72" s="2"/>
      <c r="W72" s="2"/>
      <c r="X72" s="2"/>
      <c r="Y72" s="2"/>
      <c r="Z72" s="2"/>
    </row>
    <row r="73" spans="1:26" ht="26.25" hidden="1">
      <c r="A73" s="2"/>
      <c r="B73" s="2"/>
      <c r="C73" s="2"/>
      <c r="D73" s="2"/>
      <c r="E73" s="2"/>
      <c r="F73" s="2"/>
      <c r="G73" s="2"/>
      <c r="H73" s="2"/>
      <c r="I73" s="2"/>
      <c r="J73" s="2"/>
      <c r="K73" s="36"/>
      <c r="L73" s="37"/>
      <c r="M73" s="37"/>
      <c r="N73" s="37"/>
      <c r="O73" s="37"/>
      <c r="P73" s="23"/>
      <c r="Q73" s="23"/>
      <c r="R73" s="23"/>
      <c r="S73" s="23"/>
      <c r="T73" s="23"/>
      <c r="U73" s="23"/>
      <c r="V73" s="2"/>
      <c r="W73" s="2"/>
      <c r="X73" s="2"/>
      <c r="Y73" s="2"/>
      <c r="Z73" s="2"/>
    </row>
    <row r="74" spans="1:26" ht="23.25" hidden="1">
      <c r="A74" s="2"/>
      <c r="B74" s="2"/>
      <c r="C74" s="2"/>
      <c r="D74" s="2"/>
      <c r="E74" s="2"/>
      <c r="F74" s="2"/>
      <c r="G74" s="2"/>
      <c r="H74" s="2"/>
      <c r="I74" s="2"/>
      <c r="J74" s="2"/>
      <c r="K74" s="29"/>
      <c r="L74" s="29"/>
      <c r="M74" s="29"/>
      <c r="N74" s="29"/>
      <c r="O74" s="29"/>
      <c r="P74" s="2"/>
      <c r="Q74" s="2"/>
      <c r="R74" s="2"/>
      <c r="S74" s="2"/>
      <c r="T74" s="2"/>
      <c r="U74" s="2"/>
      <c r="V74" s="2"/>
      <c r="W74" s="2"/>
      <c r="X74" s="2"/>
      <c r="Y74" s="2"/>
      <c r="Z74" s="2"/>
    </row>
    <row r="75" spans="1:26" ht="28.5" hidden="1">
      <c r="A75" s="2"/>
      <c r="B75" s="2"/>
      <c r="C75" s="2"/>
      <c r="D75" s="2"/>
      <c r="E75" s="2"/>
      <c r="F75" s="2"/>
      <c r="G75" s="2"/>
      <c r="H75" s="2"/>
      <c r="I75" s="2"/>
      <c r="J75" s="2"/>
      <c r="K75" s="38"/>
      <c r="L75" s="39"/>
      <c r="M75" s="39"/>
      <c r="N75" s="39"/>
      <c r="O75" s="29"/>
      <c r="P75" s="2"/>
      <c r="Q75" s="2"/>
      <c r="R75" s="2"/>
      <c r="S75" s="2"/>
      <c r="T75" s="2"/>
      <c r="U75" s="2"/>
      <c r="V75" s="2"/>
      <c r="W75" s="2"/>
      <c r="X75" s="2"/>
      <c r="Y75" s="2"/>
      <c r="Z75" s="2"/>
    </row>
    <row r="76" spans="1:26" hidden="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23.25" hidden="1">
      <c r="A77" s="2"/>
      <c r="B77" s="2"/>
      <c r="C77" s="2"/>
      <c r="D77" s="2"/>
      <c r="E77" s="2"/>
      <c r="F77" s="2"/>
      <c r="G77" s="2"/>
      <c r="H77" s="2"/>
      <c r="I77" s="2"/>
      <c r="J77" s="2"/>
      <c r="K77" s="29"/>
      <c r="L77" s="29"/>
      <c r="M77" s="29"/>
      <c r="N77" s="29"/>
      <c r="O77" s="29"/>
      <c r="P77" s="2"/>
      <c r="Q77" s="2"/>
      <c r="R77" s="2"/>
      <c r="S77" s="2"/>
      <c r="T77" s="2"/>
      <c r="U77" s="2"/>
      <c r="V77" s="2"/>
      <c r="W77" s="2"/>
      <c r="X77" s="2"/>
      <c r="Y77" s="2"/>
      <c r="Z77" s="2"/>
    </row>
    <row r="78" spans="1:26" ht="23.25" hidden="1">
      <c r="A78" s="2"/>
      <c r="B78" s="2"/>
      <c r="C78" s="2"/>
      <c r="D78" s="2"/>
      <c r="E78" s="2"/>
      <c r="F78" s="2"/>
      <c r="G78" s="2"/>
      <c r="H78" s="2"/>
      <c r="I78" s="2"/>
      <c r="J78" s="2"/>
      <c r="K78" s="40"/>
      <c r="L78" s="29"/>
      <c r="M78" s="29"/>
      <c r="N78" s="29"/>
      <c r="O78" s="29"/>
      <c r="P78" s="2"/>
      <c r="Q78" s="2"/>
      <c r="R78" s="2"/>
      <c r="S78" s="2"/>
      <c r="T78" s="2"/>
      <c r="U78" s="2"/>
      <c r="V78" s="2"/>
      <c r="W78" s="2"/>
      <c r="X78" s="2"/>
      <c r="Y78" s="2"/>
      <c r="Z78" s="2"/>
    </row>
    <row r="79" spans="1:26" ht="23.25" hidden="1">
      <c r="A79" s="2"/>
      <c r="B79" s="2"/>
      <c r="C79" s="2"/>
      <c r="D79" s="2"/>
      <c r="E79" s="2"/>
      <c r="F79" s="2"/>
      <c r="G79" s="2"/>
      <c r="H79" s="2"/>
      <c r="I79" s="2"/>
      <c r="J79" s="2"/>
      <c r="K79" s="40"/>
      <c r="L79" s="29"/>
      <c r="M79" s="29"/>
      <c r="N79" s="29"/>
      <c r="O79" s="29"/>
      <c r="P79" s="3831"/>
      <c r="Q79" s="3831"/>
      <c r="R79" s="3831"/>
      <c r="S79" s="3831"/>
      <c r="T79" s="3831"/>
      <c r="U79" s="3831"/>
      <c r="V79" s="2"/>
      <c r="W79" s="2"/>
      <c r="X79" s="2"/>
      <c r="Y79" s="2"/>
      <c r="Z79" s="2"/>
    </row>
    <row r="80" spans="1:26" ht="23.25" hidden="1">
      <c r="A80" s="2"/>
      <c r="B80" s="2"/>
      <c r="C80" s="2"/>
      <c r="D80" s="2"/>
      <c r="E80" s="2"/>
      <c r="F80" s="2"/>
      <c r="G80" s="2"/>
      <c r="H80" s="2"/>
      <c r="I80" s="2"/>
      <c r="J80" s="2"/>
      <c r="K80" s="41"/>
      <c r="L80" s="29"/>
      <c r="M80" s="29"/>
      <c r="N80" s="29"/>
      <c r="O80" s="29"/>
      <c r="P80" s="3831"/>
      <c r="Q80" s="3831"/>
      <c r="R80" s="3831"/>
      <c r="S80" s="3831"/>
      <c r="T80" s="3831"/>
      <c r="U80" s="3831"/>
      <c r="V80" s="2"/>
      <c r="W80" s="2"/>
      <c r="X80" s="2"/>
      <c r="Y80" s="2"/>
      <c r="Z80" s="2"/>
    </row>
    <row r="81" spans="1:26" ht="23.25" hidden="1">
      <c r="A81" s="2"/>
      <c r="B81" s="2"/>
      <c r="C81" s="2"/>
      <c r="D81" s="2"/>
      <c r="E81" s="2"/>
      <c r="F81" s="2"/>
      <c r="G81" s="2"/>
      <c r="H81" s="2"/>
      <c r="I81" s="2"/>
      <c r="J81" s="2"/>
      <c r="K81" s="29"/>
      <c r="L81" s="29"/>
      <c r="M81" s="29"/>
      <c r="N81" s="29"/>
      <c r="O81" s="29"/>
      <c r="P81" s="2"/>
      <c r="Q81" s="2"/>
      <c r="R81" s="2"/>
      <c r="S81" s="2"/>
      <c r="T81" s="2"/>
      <c r="U81" s="2"/>
      <c r="V81" s="2"/>
      <c r="W81" s="2"/>
      <c r="X81" s="2"/>
      <c r="Y81" s="2"/>
      <c r="Z81" s="2"/>
    </row>
    <row r="82" spans="1:26" ht="23.25" hidden="1">
      <c r="A82" s="2"/>
      <c r="B82" s="2"/>
      <c r="C82" s="2"/>
      <c r="D82" s="2"/>
      <c r="E82" s="2"/>
      <c r="F82" s="2"/>
      <c r="G82" s="2"/>
      <c r="H82" s="2"/>
      <c r="I82" s="2"/>
      <c r="J82" s="2"/>
      <c r="K82" s="29"/>
      <c r="L82" s="29"/>
      <c r="M82" s="29"/>
      <c r="N82" s="29"/>
      <c r="O82" s="29"/>
      <c r="P82" s="2"/>
      <c r="Q82" s="2"/>
      <c r="R82" s="2"/>
      <c r="S82" s="2"/>
      <c r="T82" s="2"/>
      <c r="U82" s="2"/>
      <c r="V82" s="2"/>
      <c r="W82" s="2"/>
      <c r="X82" s="2"/>
      <c r="Y82" s="2"/>
      <c r="Z82" s="2"/>
    </row>
    <row r="83" spans="1:26" ht="23.25" hidden="1">
      <c r="A83" s="2"/>
      <c r="B83" s="2"/>
      <c r="C83" s="2"/>
      <c r="D83" s="2"/>
      <c r="E83" s="2"/>
      <c r="F83" s="2"/>
      <c r="G83" s="2"/>
      <c r="H83" s="2"/>
      <c r="I83" s="2"/>
      <c r="J83" s="2"/>
      <c r="K83" s="29"/>
      <c r="L83" s="29"/>
      <c r="M83" s="29"/>
      <c r="N83" s="29"/>
      <c r="O83" s="29"/>
      <c r="P83" s="2"/>
      <c r="Q83" s="2"/>
      <c r="R83" s="2"/>
      <c r="S83" s="2"/>
      <c r="T83" s="2"/>
      <c r="U83" s="2"/>
      <c r="V83" s="2"/>
      <c r="W83" s="2"/>
      <c r="X83" s="2"/>
      <c r="Y83" s="2"/>
      <c r="Z83" s="2"/>
    </row>
    <row r="84" spans="1:26" hidden="1">
      <c r="A84" s="2"/>
      <c r="B84" s="2"/>
      <c r="C84" s="2"/>
      <c r="D84" s="2"/>
      <c r="E84" s="2"/>
      <c r="F84" s="2"/>
      <c r="G84" s="2"/>
      <c r="H84" s="2"/>
      <c r="I84" s="2"/>
      <c r="J84" s="2"/>
      <c r="K84" s="30"/>
      <c r="L84" s="30"/>
      <c r="M84" s="30"/>
      <c r="N84" s="30"/>
      <c r="O84" s="30"/>
      <c r="P84" s="2"/>
      <c r="Q84" s="2"/>
      <c r="R84" s="2"/>
      <c r="S84" s="2"/>
      <c r="T84" s="2"/>
      <c r="U84" s="2"/>
      <c r="V84" s="2"/>
      <c r="W84" s="2"/>
      <c r="X84" s="2"/>
      <c r="Y84" s="2"/>
      <c r="Z84" s="2"/>
    </row>
    <row r="85" spans="1:26" ht="26.25" hidden="1">
      <c r="A85" s="2"/>
      <c r="B85" s="2"/>
      <c r="C85" s="2"/>
      <c r="D85" s="2"/>
      <c r="E85" s="2"/>
      <c r="F85" s="2"/>
      <c r="G85" s="2"/>
      <c r="H85" s="2"/>
      <c r="I85" s="2"/>
      <c r="J85" s="2"/>
      <c r="K85" s="42"/>
      <c r="L85" s="29"/>
      <c r="M85" s="31"/>
      <c r="N85" s="31"/>
      <c r="O85" s="31"/>
      <c r="P85" s="2"/>
      <c r="Q85" s="2"/>
      <c r="R85" s="2"/>
      <c r="S85" s="2"/>
      <c r="T85" s="2"/>
      <c r="U85" s="2"/>
      <c r="V85" s="2"/>
      <c r="W85" s="2"/>
      <c r="X85" s="2"/>
      <c r="Y85" s="2"/>
      <c r="Z85" s="2"/>
    </row>
    <row r="86" spans="1:26" ht="23.25" hidden="1">
      <c r="A86" s="2"/>
      <c r="B86" s="2"/>
      <c r="C86" s="2"/>
      <c r="D86" s="2"/>
      <c r="E86" s="2"/>
      <c r="F86" s="2"/>
      <c r="G86" s="2"/>
      <c r="H86" s="2"/>
      <c r="I86" s="2"/>
      <c r="J86" s="2"/>
      <c r="K86" s="29"/>
      <c r="L86" s="30"/>
      <c r="M86" s="30"/>
      <c r="N86" s="30"/>
      <c r="O86" s="30"/>
      <c r="P86" s="2"/>
      <c r="Q86" s="2"/>
      <c r="R86" s="2"/>
      <c r="S86" s="2"/>
      <c r="T86" s="2"/>
      <c r="U86" s="2"/>
      <c r="V86" s="2"/>
      <c r="W86" s="2"/>
      <c r="X86" s="2"/>
      <c r="Y86" s="2"/>
      <c r="Z86" s="2"/>
    </row>
    <row r="87" spans="1:26" ht="23.25" hidden="1">
      <c r="A87" s="2"/>
      <c r="B87" s="2"/>
      <c r="C87" s="2"/>
      <c r="D87" s="2"/>
      <c r="E87" s="2"/>
      <c r="F87" s="2"/>
      <c r="G87" s="2"/>
      <c r="H87" s="2"/>
      <c r="I87" s="2"/>
      <c r="J87" s="2"/>
      <c r="K87" s="41"/>
      <c r="L87" s="29"/>
      <c r="M87" s="29"/>
      <c r="N87" s="29"/>
      <c r="O87" s="29"/>
      <c r="P87" s="2"/>
      <c r="Q87" s="2"/>
      <c r="R87" s="2"/>
      <c r="S87" s="2"/>
      <c r="T87" s="2"/>
      <c r="U87" s="2"/>
      <c r="V87" s="2"/>
      <c r="W87" s="2"/>
      <c r="X87" s="2"/>
      <c r="Y87" s="2"/>
      <c r="Z87" s="2"/>
    </row>
    <row r="88" spans="1:26" ht="23.25" hidden="1">
      <c r="A88" s="2"/>
      <c r="B88" s="2"/>
      <c r="C88" s="2"/>
      <c r="D88" s="2"/>
      <c r="E88" s="2"/>
      <c r="F88" s="2"/>
      <c r="G88" s="2"/>
      <c r="H88" s="2"/>
      <c r="I88" s="2"/>
      <c r="J88" s="2"/>
      <c r="K88" s="29"/>
      <c r="L88" s="29"/>
      <c r="M88" s="29"/>
      <c r="N88" s="29"/>
      <c r="O88" s="29"/>
      <c r="P88" s="2"/>
      <c r="Q88" s="2"/>
      <c r="R88" s="2"/>
      <c r="S88" s="2"/>
      <c r="T88" s="2"/>
      <c r="U88" s="2"/>
      <c r="V88" s="2"/>
      <c r="W88" s="2"/>
      <c r="X88" s="2"/>
      <c r="Y88" s="2"/>
      <c r="Z88" s="2"/>
    </row>
    <row r="89" spans="1:26" ht="23.25" hidden="1">
      <c r="A89" s="2"/>
      <c r="B89" s="2"/>
      <c r="C89" s="2"/>
      <c r="D89" s="2"/>
      <c r="E89" s="2"/>
      <c r="F89" s="2"/>
      <c r="G89" s="2"/>
      <c r="H89" s="2"/>
      <c r="I89" s="2"/>
      <c r="J89" s="2"/>
      <c r="K89" s="43"/>
      <c r="L89" s="44"/>
      <c r="M89" s="44"/>
      <c r="N89" s="44"/>
      <c r="O89" s="44"/>
      <c r="P89" s="2"/>
      <c r="Q89" s="2"/>
      <c r="R89" s="2"/>
      <c r="S89" s="2"/>
      <c r="T89" s="2"/>
      <c r="U89" s="2"/>
      <c r="V89" s="2"/>
      <c r="W89" s="2"/>
      <c r="X89" s="2"/>
      <c r="Y89" s="2"/>
      <c r="Z89" s="2"/>
    </row>
    <row r="90" spans="1:26" hidden="1">
      <c r="A90" s="2"/>
      <c r="B90" s="2"/>
      <c r="C90" s="2"/>
      <c r="D90" s="2"/>
      <c r="E90" s="2"/>
      <c r="F90" s="2"/>
      <c r="G90" s="2"/>
      <c r="H90" s="2"/>
      <c r="I90" s="2"/>
      <c r="J90" s="2"/>
      <c r="K90" s="30"/>
      <c r="L90" s="30"/>
      <c r="M90" s="30"/>
      <c r="N90" s="30"/>
      <c r="O90" s="30"/>
      <c r="P90" s="2"/>
      <c r="Q90" s="2"/>
      <c r="R90" s="2"/>
      <c r="S90" s="2"/>
      <c r="T90" s="2"/>
      <c r="U90" s="2"/>
      <c r="V90" s="2"/>
      <c r="W90" s="2"/>
      <c r="X90" s="2"/>
      <c r="Y90" s="2"/>
      <c r="Z90" s="2"/>
    </row>
    <row r="91" spans="1:26" hidden="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idden="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idden="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idden="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idden="1">
      <c r="A95" s="2"/>
      <c r="B95" s="2"/>
      <c r="C95" s="2"/>
      <c r="D95" s="2"/>
      <c r="E95" s="2"/>
      <c r="F95" s="2"/>
      <c r="G95" s="2"/>
      <c r="H95" s="2"/>
      <c r="I95" s="2"/>
      <c r="J95" s="2"/>
      <c r="K95" s="2"/>
      <c r="L95" s="2"/>
      <c r="M95" s="2"/>
      <c r="N95" s="2"/>
      <c r="O95" s="2"/>
      <c r="P95" s="2"/>
      <c r="Q95" s="2"/>
      <c r="R95" s="2"/>
      <c r="S95" s="2"/>
      <c r="T95" s="2"/>
      <c r="U95" s="2"/>
      <c r="V95" s="2"/>
      <c r="W95" s="2"/>
      <c r="X95" s="2"/>
      <c r="Y95" s="2"/>
      <c r="Z95" s="2"/>
    </row>
  </sheetData>
  <sheetProtection algorithmName="SHA-512" hashValue="QBFc5vsw6p2ULwxUlMswoD8+kth4HNchvhFZLh0ZU37riXH2n6tdHBmT/7vPmmvwkHUBet51D/Rkgr0wkdGMkA==" saltValue="hpsRFRb+y65GoP2hkYoyrg==" spinCount="100000" sheet="1" objects="1" scenarios="1" selectLockedCells="1"/>
  <customSheetViews>
    <customSheetView guid="{DDA22D69-94B5-45BC-9EE2-6055A845129B}" hiddenRows="1" hiddenColumns="1" topLeftCell="A19">
      <selection activeCell="A10" sqref="A10"/>
      <pageMargins left="0.7" right="0.7" top="0.75" bottom="0.75" header="0.3" footer="0.3"/>
      <pageSetup orientation="portrait" r:id="rId1"/>
    </customSheetView>
    <customSheetView guid="{1B7577DB-E3C4-4E68-B7CF-8F86FF7C5A82}" hiddenRows="1" hiddenColumns="1">
      <selection activeCell="J10" sqref="J10"/>
      <pageMargins left="0.7" right="0.7" top="0.75" bottom="0.75" header="0.3" footer="0.3"/>
      <pageSetup orientation="portrait" r:id="rId2"/>
    </customSheetView>
    <customSheetView guid="{E3C74456-A750-49FA-BEC5-0E8CCB23D22C}" hiddenColumns="1" topLeftCell="H7">
      <selection activeCell="Z11" sqref="Z11"/>
      <pageMargins left="0.7" right="0.7" top="0.75" bottom="0.75" header="0.3" footer="0.3"/>
      <pageSetup orientation="portrait" r:id="rId3"/>
    </customSheetView>
    <customSheetView guid="{2BE9587E-F957-49DF-9716-3F2B35B49DC1}" hiddenColumns="1" topLeftCell="H4">
      <selection activeCell="R9" sqref="R9"/>
      <pageMargins left="0.7" right="0.7" top="0.75" bottom="0.75" header="0.3" footer="0.3"/>
      <pageSetup orientation="portrait" r:id="rId4"/>
    </customSheetView>
    <customSheetView guid="{60E5615C-64A2-4675-848A-970A515EAF91}" hiddenColumns="1" topLeftCell="A10">
      <selection activeCell="G8" sqref="G8"/>
      <pageMargins left="0.7" right="0.7" top="0.75" bottom="0.75" header="0.3" footer="0.3"/>
      <pageSetup orientation="portrait" r:id="rId5"/>
    </customSheetView>
    <customSheetView guid="{E7B1C62B-1F1D-4A62-BD87-EE62D3A36B6C}" hiddenRows="1" hiddenColumns="1">
      <selection activeCell="A10" sqref="A10"/>
      <pageMargins left="0.7" right="0.7" top="0.75" bottom="0.75" header="0.3" footer="0.3"/>
      <pageSetup orientation="portrait" r:id="rId6"/>
    </customSheetView>
  </customSheetViews>
  <mergeCells count="16">
    <mergeCell ref="Q8:V8"/>
    <mergeCell ref="Q7:V7"/>
    <mergeCell ref="Q16:V16"/>
    <mergeCell ref="Q17:V17"/>
    <mergeCell ref="P79:U80"/>
    <mergeCell ref="E17:M18"/>
    <mergeCell ref="E15:O15"/>
    <mergeCell ref="Q18:V18"/>
    <mergeCell ref="Q19:V19"/>
    <mergeCell ref="Q20:V20"/>
    <mergeCell ref="E4:N4"/>
    <mergeCell ref="D7:K7"/>
    <mergeCell ref="M7:N7"/>
    <mergeCell ref="D5:O6"/>
    <mergeCell ref="E13:N13"/>
    <mergeCell ref="E11:O12"/>
  </mergeCells>
  <conditionalFormatting sqref="K68:L68 K70:L70">
    <cfRule type="iconSet" priority="2">
      <iconSet iconSet="3Arrows">
        <cfvo type="percent" val="0"/>
        <cfvo type="percent" val="33"/>
        <cfvo type="percent" val="67"/>
      </iconSet>
    </cfRule>
  </conditionalFormatting>
  <hyperlinks>
    <hyperlink ref="Q20" r:id="rId7" display="surenderkadaru@gmail.com" xr:uid="{00000000-0004-0000-0000-000000000000}"/>
  </hyperlinks>
  <pageMargins left="0.7" right="0.7" top="0.75" bottom="0.75" header="0.3" footer="0.3"/>
  <pageSetup orientation="portrait" r:id="rId8"/>
  <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AB1B1-E2A8-4CED-9C14-E6EDF8289913}">
  <sheetPr>
    <tabColor rgb="FFFF0000"/>
  </sheetPr>
  <dimension ref="A1:IV100"/>
  <sheetViews>
    <sheetView workbookViewId="0">
      <selection activeCell="A3" sqref="A3"/>
    </sheetView>
  </sheetViews>
  <sheetFormatPr defaultRowHeight="15"/>
  <cols>
    <col min="1" max="1" width="21.42578125" customWidth="1"/>
    <col min="2" max="2" width="82.42578125" customWidth="1"/>
    <col min="13" max="13" width="13.85546875" customWidth="1"/>
    <col min="15" max="15" width="16.28515625" customWidth="1"/>
    <col min="18" max="18" width="15.42578125" customWidth="1"/>
    <col min="19" max="19" width="20.5703125" customWidth="1"/>
    <col min="20" max="20" width="11.140625" customWidth="1"/>
    <col min="21" max="21" width="13.42578125" customWidth="1"/>
    <col min="22" max="22" width="16.7109375" customWidth="1"/>
    <col min="23" max="23" width="16" customWidth="1"/>
    <col min="24" max="24" width="10.7109375" customWidth="1"/>
    <col min="25" max="25" width="11.140625" customWidth="1"/>
    <col min="28" max="28" width="10.140625" customWidth="1"/>
    <col min="31" max="31" width="12" customWidth="1"/>
    <col min="32" max="32" width="21.85546875" customWidth="1"/>
  </cols>
  <sheetData>
    <row r="1" spans="1:256">
      <c r="A1" s="9" t="s">
        <v>33</v>
      </c>
      <c r="B1" s="9" t="s">
        <v>34</v>
      </c>
      <c r="Z1">
        <v>0</v>
      </c>
      <c r="AA1" s="15" t="s">
        <v>35</v>
      </c>
      <c r="AB1" s="15"/>
      <c r="BK1" t="s">
        <v>33</v>
      </c>
      <c r="BL1" t="s">
        <v>36</v>
      </c>
      <c r="BM1" t="s">
        <v>37</v>
      </c>
      <c r="BN1" t="s">
        <v>34</v>
      </c>
      <c r="CL1">
        <v>0</v>
      </c>
      <c r="CM1" t="s">
        <v>38</v>
      </c>
      <c r="CQ1" t="s">
        <v>33</v>
      </c>
      <c r="CR1" t="s">
        <v>36</v>
      </c>
      <c r="CS1" t="s">
        <v>37</v>
      </c>
      <c r="CT1" t="s">
        <v>34</v>
      </c>
      <c r="DR1">
        <v>0</v>
      </c>
      <c r="DS1" t="s">
        <v>38</v>
      </c>
      <c r="DW1" t="s">
        <v>33</v>
      </c>
      <c r="DX1" t="s">
        <v>36</v>
      </c>
      <c r="DY1" t="s">
        <v>37</v>
      </c>
      <c r="DZ1" t="s">
        <v>34</v>
      </c>
      <c r="EX1">
        <v>0</v>
      </c>
      <c r="EY1" t="s">
        <v>38</v>
      </c>
      <c r="FC1" t="s">
        <v>33</v>
      </c>
      <c r="FD1" t="s">
        <v>36</v>
      </c>
      <c r="FE1" t="s">
        <v>37</v>
      </c>
      <c r="FF1" t="s">
        <v>34</v>
      </c>
      <c r="GD1">
        <v>0</v>
      </c>
      <c r="GE1" t="s">
        <v>38</v>
      </c>
      <c r="GI1" t="s">
        <v>33</v>
      </c>
      <c r="GJ1" t="s">
        <v>36</v>
      </c>
      <c r="GK1" t="s">
        <v>37</v>
      </c>
      <c r="GL1" t="s">
        <v>34</v>
      </c>
      <c r="HJ1">
        <v>0</v>
      </c>
      <c r="HK1" t="s">
        <v>38</v>
      </c>
      <c r="HO1" t="s">
        <v>33</v>
      </c>
      <c r="HP1" t="s">
        <v>36</v>
      </c>
      <c r="HQ1" t="s">
        <v>37</v>
      </c>
      <c r="HR1" t="s">
        <v>34</v>
      </c>
      <c r="IP1">
        <v>0</v>
      </c>
      <c r="IQ1" t="s">
        <v>38</v>
      </c>
      <c r="IU1" t="s">
        <v>33</v>
      </c>
      <c r="IV1" t="s">
        <v>36</v>
      </c>
    </row>
    <row r="2" spans="1:256">
      <c r="A2" s="16">
        <f>'New Tax Regime'!M41</f>
        <v>142882</v>
      </c>
      <c r="B2" s="17" t="str">
        <f>CONCATENATE(P2," ",Q2," ",R2," ",S2," ",T2," ",U2," ",Y2," ",V2,"  ","Rupees"," Only")</f>
        <v>One Lakhs Forty Two Thousand Eight Hundred and Eighty Two  Rupees Only</v>
      </c>
      <c r="C2" s="18">
        <f t="shared" ref="C2:C12" si="0">A2/100000</f>
        <v>1.42882</v>
      </c>
      <c r="D2" s="18">
        <f t="shared" ref="D2:D12" si="1">INT(C2)</f>
        <v>1</v>
      </c>
      <c r="E2" s="18">
        <f t="shared" ref="E2:E12" si="2">A2/1000</f>
        <v>142.88200000000001</v>
      </c>
      <c r="F2" s="18">
        <f t="shared" ref="F2:F12" si="3">INT(E2)</f>
        <v>142</v>
      </c>
      <c r="G2" s="18">
        <f t="shared" ref="G2:G12" si="4">F2-D2*100</f>
        <v>42</v>
      </c>
      <c r="H2" s="18">
        <f t="shared" ref="H2:H12" si="5">A2/100</f>
        <v>1428.82</v>
      </c>
      <c r="I2" s="18">
        <f t="shared" ref="I2:I12" si="6">INT(H2)</f>
        <v>1428</v>
      </c>
      <c r="J2" s="18">
        <f t="shared" ref="J2:J12" si="7">I2-(D2*1000+G2*10)</f>
        <v>8</v>
      </c>
      <c r="K2" s="18">
        <f t="shared" ref="K2:K12" si="8">A2-(D2*100000+G2*1000+J2*100)</f>
        <v>82</v>
      </c>
      <c r="L2" t="str">
        <f t="shared" ref="L2:L12" si="9">LOOKUP(D2,Z:Z,AA:AA)</f>
        <v>One</v>
      </c>
      <c r="M2" t="str">
        <f t="shared" ref="M2:M12" si="10">LOOKUP(G2,Z:Z,AA:AA)</f>
        <v>Forty Two</v>
      </c>
      <c r="N2" t="str">
        <f t="shared" ref="N2:N12" si="11">LOOKUP(J2,Z:Z,AA:AA)</f>
        <v>Eight</v>
      </c>
      <c r="O2" t="str">
        <f t="shared" ref="O2:O12" si="12">LOOKUP(K2,Z:Z,AA:AA)</f>
        <v>Eighty Two</v>
      </c>
      <c r="P2" t="str">
        <f t="shared" ref="P2:P12" si="13">IF(D2&gt;0,L2," ")</f>
        <v>One</v>
      </c>
      <c r="Q2" t="str">
        <f>IF(D2&gt;0,"Lakhs"," ")</f>
        <v>Lakhs</v>
      </c>
      <c r="R2" t="str">
        <f t="shared" ref="R2:R12" si="14">IF(G2&gt;0,M2," ")</f>
        <v>Forty Two</v>
      </c>
      <c r="S2" t="str">
        <f>IF(G2&gt;0,"Thousand"," ")</f>
        <v>Thousand</v>
      </c>
      <c r="T2" s="18" t="str">
        <f t="shared" ref="T2:T12" si="15">IF(J2&gt;0,N2," ")</f>
        <v>Eight</v>
      </c>
      <c r="U2" s="18" t="str">
        <f>IF(J2&gt;0,"Hundred"," ")</f>
        <v>Hundred</v>
      </c>
      <c r="V2" s="18" t="str">
        <f t="shared" ref="V2:V12" si="16">IF(K2&gt;0,O2," ")</f>
        <v>Eighty Two</v>
      </c>
      <c r="W2" s="19" t="b">
        <f t="shared" ref="W2:W12" si="17">AND(D2=0,G2=0,J2=0)</f>
        <v>0</v>
      </c>
      <c r="X2" s="19" t="str">
        <f>IF(W2=FALSE,"and"," ")</f>
        <v>and</v>
      </c>
      <c r="Y2" s="18" t="str">
        <f t="shared" ref="Y2:Y12" si="18">IF(K2&gt;0,X2," ")</f>
        <v>and</v>
      </c>
      <c r="Z2">
        <v>1</v>
      </c>
      <c r="AA2" s="15" t="s">
        <v>39</v>
      </c>
      <c r="AB2" s="1184" t="s">
        <v>40</v>
      </c>
      <c r="BK2">
        <f>'[2]Form 16 page-2'!BX22</f>
        <v>0</v>
      </c>
      <c r="BL2" t="str">
        <f t="shared" ref="BL2:BL12" si="19">LOWER(BM2)</f>
        <v/>
      </c>
      <c r="BM2" t="str">
        <f t="shared" ref="BM2:BM12" si="20">TRIM(BN2)</f>
        <v/>
      </c>
      <c r="BN2" t="str">
        <f t="shared" ref="BN2:BN12" si="21">CONCATENATE(CB2," ",CC2," ",CD2," ",CE2," ",CF2," ",CG2," ",CK2," ",CH2)</f>
        <v xml:space="preserve">               </v>
      </c>
      <c r="BO2">
        <f t="shared" ref="BO2:BO12" si="22">BK2/100000</f>
        <v>0</v>
      </c>
      <c r="BP2">
        <f t="shared" ref="BP2:BP12" si="23">INT(BO2)</f>
        <v>0</v>
      </c>
      <c r="BQ2">
        <f t="shared" ref="BQ2:BQ12" si="24">BK2/1000</f>
        <v>0</v>
      </c>
      <c r="BR2">
        <f t="shared" ref="BR2:BR12" si="25">INT(BQ2)</f>
        <v>0</v>
      </c>
      <c r="BS2">
        <f t="shared" ref="BS2:BS12" si="26">BR2-BP2*100</f>
        <v>0</v>
      </c>
      <c r="BT2">
        <f t="shared" ref="BT2:BT12" si="27">BK2/100</f>
        <v>0</v>
      </c>
      <c r="BU2">
        <f t="shared" ref="BU2:BU12" si="28">INT(BT2)</f>
        <v>0</v>
      </c>
      <c r="BV2">
        <f t="shared" ref="BV2:BV12" si="29">BU2-(BP2*1000+BS2*10)</f>
        <v>0</v>
      </c>
      <c r="BW2">
        <f t="shared" ref="BW2:BW12" si="30">BK2-(BP2*100000+BS2*1000+BV2*100)</f>
        <v>0</v>
      </c>
      <c r="BX2" t="str">
        <f t="shared" ref="BX2:BX12" si="31">LOOKUP(BP2,CL:CL,CM:CM)</f>
        <v>ZERO</v>
      </c>
      <c r="BY2" t="str">
        <f t="shared" ref="BY2:BY12" si="32">LOOKUP(BS2,CL:CL,CM:CM)</f>
        <v>ZERO</v>
      </c>
      <c r="BZ2" t="str">
        <f t="shared" ref="BZ2:BZ12" si="33">LOOKUP(BV2,CL:CL,CM:CM)</f>
        <v>ZERO</v>
      </c>
      <c r="CA2" t="str">
        <f t="shared" ref="CA2:CA12" si="34">LOOKUP(BW2,CL:CL,CM:CM)</f>
        <v>ZERO</v>
      </c>
      <c r="CB2" t="str">
        <f t="shared" ref="CB2:CB12" si="35">IF(BP2&gt;0,BX2," ")</f>
        <v xml:space="preserve"> </v>
      </c>
      <c r="CC2" t="str">
        <f t="shared" ref="CC2:CC12" si="36">IF(BP2&gt;0,"LAKHS"," ")</f>
        <v xml:space="preserve"> </v>
      </c>
      <c r="CD2" t="str">
        <f t="shared" ref="CD2:CD12" si="37">IF(BS2&gt;0,BY2," ")</f>
        <v xml:space="preserve"> </v>
      </c>
      <c r="CE2" t="str">
        <f t="shared" ref="CE2:CE12" si="38">IF(BS2&gt;0,"THOUSAND"," ")</f>
        <v xml:space="preserve"> </v>
      </c>
      <c r="CF2" t="str">
        <f t="shared" ref="CF2:CF12" si="39">IF(BV2&gt;0,BZ2," ")</f>
        <v xml:space="preserve"> </v>
      </c>
      <c r="CG2" t="str">
        <f t="shared" ref="CG2:CG12" si="40">IF(BV2&gt;0,"HUNDRED"," ")</f>
        <v xml:space="preserve"> </v>
      </c>
      <c r="CH2" t="str">
        <f t="shared" ref="CH2:CH12" si="41">IF(BW2&gt;0,CA2," ")</f>
        <v xml:space="preserve"> </v>
      </c>
      <c r="CI2" t="b">
        <f t="shared" ref="CI2:CI12" si="42">AND(BP2=0,BS2=0,BV2=0)</f>
        <v>1</v>
      </c>
      <c r="CJ2" t="str">
        <f t="shared" ref="CJ2:CJ12" si="43">IF(CI2=FALSE,"AND"," ")</f>
        <v xml:space="preserve"> </v>
      </c>
      <c r="CK2" t="str">
        <f t="shared" ref="CK2:CK12" si="44">IF(BW2&gt;0,CJ2," ")</f>
        <v xml:space="preserve"> </v>
      </c>
      <c r="CL2">
        <v>1</v>
      </c>
      <c r="CM2" t="s">
        <v>39</v>
      </c>
      <c r="CN2" t="s">
        <v>41</v>
      </c>
      <c r="CQ2">
        <f>'[2]Form 16 page-2'!DD22</f>
        <v>0</v>
      </c>
      <c r="CR2" t="str">
        <f t="shared" ref="CR2:CR12" si="45">LOWER(CS2)</f>
        <v/>
      </c>
      <c r="CS2" t="str">
        <f t="shared" ref="CS2:CS12" si="46">TRIM(CT2)</f>
        <v/>
      </c>
      <c r="CT2" t="str">
        <f t="shared" ref="CT2:CT12" si="47">CONCATENATE(DH2," ",DI2," ",DJ2," ",DK2," ",DL2," ",DM2," ",DQ2," ",DN2)</f>
        <v xml:space="preserve">               </v>
      </c>
      <c r="CU2">
        <f t="shared" ref="CU2:CU12" si="48">CQ2/100000</f>
        <v>0</v>
      </c>
      <c r="CV2">
        <f t="shared" ref="CV2:CV12" si="49">INT(CU2)</f>
        <v>0</v>
      </c>
      <c r="CW2">
        <f t="shared" ref="CW2:CW12" si="50">CQ2/1000</f>
        <v>0</v>
      </c>
      <c r="CX2">
        <f t="shared" ref="CX2:CX12" si="51">INT(CW2)</f>
        <v>0</v>
      </c>
      <c r="CY2">
        <f t="shared" ref="CY2:CY12" si="52">CX2-CV2*100</f>
        <v>0</v>
      </c>
      <c r="CZ2">
        <f t="shared" ref="CZ2:CZ12" si="53">CQ2/100</f>
        <v>0</v>
      </c>
      <c r="DA2">
        <f t="shared" ref="DA2:DA12" si="54">INT(CZ2)</f>
        <v>0</v>
      </c>
      <c r="DB2">
        <f t="shared" ref="DB2:DB12" si="55">DA2-(CV2*1000+CY2*10)</f>
        <v>0</v>
      </c>
      <c r="DC2">
        <f t="shared" ref="DC2:DC12" si="56">CQ2-(CV2*100000+CY2*1000+DB2*100)</f>
        <v>0</v>
      </c>
      <c r="DD2" t="str">
        <f t="shared" ref="DD2:DD12" si="57">LOOKUP(CV2,DR:DR,DS:DS)</f>
        <v>ZERO</v>
      </c>
      <c r="DE2" t="str">
        <f t="shared" ref="DE2:DE12" si="58">LOOKUP(CY2,DR:DR,DS:DS)</f>
        <v>ZERO</v>
      </c>
      <c r="DF2" t="str">
        <f t="shared" ref="DF2:DF12" si="59">LOOKUP(DB2,DR:DR,DS:DS)</f>
        <v>ZERO</v>
      </c>
      <c r="DG2" t="str">
        <f t="shared" ref="DG2:DG12" si="60">LOOKUP(DC2,DR:DR,DS:DS)</f>
        <v>ZERO</v>
      </c>
      <c r="DH2" t="str">
        <f t="shared" ref="DH2:DH12" si="61">IF(CV2&gt;0,DD2," ")</f>
        <v xml:space="preserve"> </v>
      </c>
      <c r="DI2" t="str">
        <f t="shared" ref="DI2:DI12" si="62">IF(CV2&gt;0,"LAKHS"," ")</f>
        <v xml:space="preserve"> </v>
      </c>
      <c r="DJ2" t="str">
        <f t="shared" ref="DJ2:DJ12" si="63">IF(CY2&gt;0,DE2," ")</f>
        <v xml:space="preserve"> </v>
      </c>
      <c r="DK2" t="str">
        <f t="shared" ref="DK2:DK12" si="64">IF(CY2&gt;0,"THOUSAND"," ")</f>
        <v xml:space="preserve"> </v>
      </c>
      <c r="DL2" t="str">
        <f t="shared" ref="DL2:DL12" si="65">IF(DB2&gt;0,DF2," ")</f>
        <v xml:space="preserve"> </v>
      </c>
      <c r="DM2" t="str">
        <f t="shared" ref="DM2:DM12" si="66">IF(DB2&gt;0,"HUNDRED"," ")</f>
        <v xml:space="preserve"> </v>
      </c>
      <c r="DN2" t="str">
        <f t="shared" ref="DN2:DN12" si="67">IF(DC2&gt;0,DG2," ")</f>
        <v xml:space="preserve"> </v>
      </c>
      <c r="DO2" t="b">
        <f t="shared" ref="DO2:DO12" si="68">AND(CV2=0,CY2=0,DB2=0)</f>
        <v>1</v>
      </c>
      <c r="DP2" t="str">
        <f t="shared" ref="DP2:DP12" si="69">IF(DO2=FALSE,"AND"," ")</f>
        <v xml:space="preserve"> </v>
      </c>
      <c r="DQ2" t="str">
        <f t="shared" ref="DQ2:DQ12" si="70">IF(DC2&gt;0,DP2," ")</f>
        <v xml:space="preserve"> </v>
      </c>
      <c r="DR2">
        <v>1</v>
      </c>
      <c r="DS2" t="s">
        <v>39</v>
      </c>
      <c r="DT2" t="s">
        <v>41</v>
      </c>
      <c r="DW2">
        <f>'[2]Form 16 page-2'!EJ22</f>
        <v>0</v>
      </c>
      <c r="DX2" t="str">
        <f t="shared" ref="DX2:DX12" si="71">LOWER(DY2)</f>
        <v/>
      </c>
      <c r="DY2" t="str">
        <f t="shared" ref="DY2:DY12" si="72">TRIM(DZ2)</f>
        <v/>
      </c>
      <c r="DZ2" t="str">
        <f t="shared" ref="DZ2:DZ12" si="73">CONCATENATE(EN2," ",EO2," ",EP2," ",EQ2," ",ER2," ",ES2," ",EW2," ",ET2)</f>
        <v xml:space="preserve">               </v>
      </c>
      <c r="EA2">
        <f t="shared" ref="EA2:EA12" si="74">DW2/100000</f>
        <v>0</v>
      </c>
      <c r="EB2">
        <f t="shared" ref="EB2:EB12" si="75">INT(EA2)</f>
        <v>0</v>
      </c>
      <c r="EC2">
        <f t="shared" ref="EC2:EC12" si="76">DW2/1000</f>
        <v>0</v>
      </c>
      <c r="ED2">
        <f t="shared" ref="ED2:ED12" si="77">INT(EC2)</f>
        <v>0</v>
      </c>
      <c r="EE2">
        <f t="shared" ref="EE2:EE12" si="78">ED2-EB2*100</f>
        <v>0</v>
      </c>
      <c r="EF2">
        <f t="shared" ref="EF2:EF12" si="79">DW2/100</f>
        <v>0</v>
      </c>
      <c r="EG2">
        <f t="shared" ref="EG2:EG12" si="80">INT(EF2)</f>
        <v>0</v>
      </c>
      <c r="EH2">
        <f t="shared" ref="EH2:EH12" si="81">EG2-(EB2*1000+EE2*10)</f>
        <v>0</v>
      </c>
      <c r="EI2">
        <f t="shared" ref="EI2:EI12" si="82">DW2-(EB2*100000+EE2*1000+EH2*100)</f>
        <v>0</v>
      </c>
      <c r="EJ2" t="str">
        <f t="shared" ref="EJ2:EJ12" si="83">LOOKUP(EB2,EX:EX,EY:EY)</f>
        <v>ZERO</v>
      </c>
      <c r="EK2" t="str">
        <f t="shared" ref="EK2:EK12" si="84">LOOKUP(EE2,EX:EX,EY:EY)</f>
        <v>ZERO</v>
      </c>
      <c r="EL2" t="str">
        <f t="shared" ref="EL2:EL12" si="85">LOOKUP(EH2,EX:EX,EY:EY)</f>
        <v>ZERO</v>
      </c>
      <c r="EM2" t="str">
        <f t="shared" ref="EM2:EM12" si="86">LOOKUP(EI2,EX:EX,EY:EY)</f>
        <v>ZERO</v>
      </c>
      <c r="EN2" t="str">
        <f t="shared" ref="EN2:EN12" si="87">IF(EB2&gt;0,EJ2," ")</f>
        <v xml:space="preserve"> </v>
      </c>
      <c r="EO2" t="str">
        <f t="shared" ref="EO2:EO12" si="88">IF(EB2&gt;0,"LAKHS"," ")</f>
        <v xml:space="preserve"> </v>
      </c>
      <c r="EP2" t="str">
        <f t="shared" ref="EP2:EP12" si="89">IF(EE2&gt;0,EK2," ")</f>
        <v xml:space="preserve"> </v>
      </c>
      <c r="EQ2" t="str">
        <f t="shared" ref="EQ2:EQ12" si="90">IF(EE2&gt;0,"THOUSAND"," ")</f>
        <v xml:space="preserve"> </v>
      </c>
      <c r="ER2" t="str">
        <f t="shared" ref="ER2:ER12" si="91">IF(EH2&gt;0,EL2," ")</f>
        <v xml:space="preserve"> </v>
      </c>
      <c r="ES2" t="str">
        <f t="shared" ref="ES2:ES12" si="92">IF(EH2&gt;0,"HUNDRED"," ")</f>
        <v xml:space="preserve"> </v>
      </c>
      <c r="ET2" t="str">
        <f t="shared" ref="ET2:ET12" si="93">IF(EI2&gt;0,EM2," ")</f>
        <v xml:space="preserve"> </v>
      </c>
      <c r="EU2" t="b">
        <f t="shared" ref="EU2:EU12" si="94">AND(EB2=0,EE2=0,EH2=0)</f>
        <v>1</v>
      </c>
      <c r="EV2" t="str">
        <f t="shared" ref="EV2:EV12" si="95">IF(EU2=FALSE,"AND"," ")</f>
        <v xml:space="preserve"> </v>
      </c>
      <c r="EW2" t="str">
        <f t="shared" ref="EW2:EW12" si="96">IF(EI2&gt;0,EV2," ")</f>
        <v xml:space="preserve"> </v>
      </c>
      <c r="EX2">
        <v>1</v>
      </c>
      <c r="EY2" t="s">
        <v>39</v>
      </c>
      <c r="EZ2" t="s">
        <v>41</v>
      </c>
      <c r="FC2">
        <f>'[2]Form 16 page-2'!FP22</f>
        <v>0</v>
      </c>
      <c r="FD2" t="str">
        <f t="shared" ref="FD2:FD12" si="97">LOWER(FE2)</f>
        <v/>
      </c>
      <c r="FE2" t="str">
        <f t="shared" ref="FE2:FE12" si="98">TRIM(FF2)</f>
        <v/>
      </c>
      <c r="FF2" t="str">
        <f t="shared" ref="FF2:FF12" si="99">CONCATENATE(FT2," ",FU2," ",FV2," ",FW2," ",FX2," ",FY2," ",GC2," ",FZ2)</f>
        <v xml:space="preserve">               </v>
      </c>
      <c r="FG2">
        <f t="shared" ref="FG2:FG12" si="100">FC2/100000</f>
        <v>0</v>
      </c>
      <c r="FH2">
        <f t="shared" ref="FH2:FH12" si="101">INT(FG2)</f>
        <v>0</v>
      </c>
      <c r="FI2">
        <f t="shared" ref="FI2:FI12" si="102">FC2/1000</f>
        <v>0</v>
      </c>
      <c r="FJ2">
        <f t="shared" ref="FJ2:FJ12" si="103">INT(FI2)</f>
        <v>0</v>
      </c>
      <c r="FK2">
        <f t="shared" ref="FK2:FK12" si="104">FJ2-FH2*100</f>
        <v>0</v>
      </c>
      <c r="FL2">
        <f t="shared" ref="FL2:FL12" si="105">FC2/100</f>
        <v>0</v>
      </c>
      <c r="FM2">
        <f t="shared" ref="FM2:FM12" si="106">INT(FL2)</f>
        <v>0</v>
      </c>
      <c r="FN2">
        <f t="shared" ref="FN2:FN12" si="107">FM2-(FH2*1000+FK2*10)</f>
        <v>0</v>
      </c>
      <c r="FO2">
        <f t="shared" ref="FO2:FO12" si="108">FC2-(FH2*100000+FK2*1000+FN2*100)</f>
        <v>0</v>
      </c>
      <c r="FP2" t="str">
        <f t="shared" ref="FP2:FP12" si="109">LOOKUP(FH2,GD:GD,GE:GE)</f>
        <v>ZERO</v>
      </c>
      <c r="FQ2" t="str">
        <f t="shared" ref="FQ2:FQ12" si="110">LOOKUP(FK2,GD:GD,GE:GE)</f>
        <v>ZERO</v>
      </c>
      <c r="FR2" t="str">
        <f t="shared" ref="FR2:FR12" si="111">LOOKUP(FN2,GD:GD,GE:GE)</f>
        <v>ZERO</v>
      </c>
      <c r="FS2" t="str">
        <f t="shared" ref="FS2:FS12" si="112">LOOKUP(FO2,GD:GD,GE:GE)</f>
        <v>ZERO</v>
      </c>
      <c r="FT2" t="str">
        <f t="shared" ref="FT2:FT12" si="113">IF(FH2&gt;0,FP2," ")</f>
        <v xml:space="preserve"> </v>
      </c>
      <c r="FU2" t="str">
        <f t="shared" ref="FU2:FU12" si="114">IF(FH2&gt;0,"LAKHS"," ")</f>
        <v xml:space="preserve"> </v>
      </c>
      <c r="FV2" t="str">
        <f t="shared" ref="FV2:FV12" si="115">IF(FK2&gt;0,FQ2," ")</f>
        <v xml:space="preserve"> </v>
      </c>
      <c r="FW2" t="str">
        <f t="shared" ref="FW2:FW12" si="116">IF(FK2&gt;0,"THOUSAND"," ")</f>
        <v xml:space="preserve"> </v>
      </c>
      <c r="FX2" t="str">
        <f t="shared" ref="FX2:FX12" si="117">IF(FN2&gt;0,FR2," ")</f>
        <v xml:space="preserve"> </v>
      </c>
      <c r="FY2" t="str">
        <f t="shared" ref="FY2:FY12" si="118">IF(FN2&gt;0,"HUNDRED"," ")</f>
        <v xml:space="preserve"> </v>
      </c>
      <c r="FZ2" t="str">
        <f t="shared" ref="FZ2:FZ12" si="119">IF(FO2&gt;0,FS2," ")</f>
        <v xml:space="preserve"> </v>
      </c>
      <c r="GA2" t="b">
        <f t="shared" ref="GA2:GA12" si="120">AND(FH2=0,FK2=0,FN2=0)</f>
        <v>1</v>
      </c>
      <c r="GB2" t="str">
        <f t="shared" ref="GB2:GB12" si="121">IF(GA2=FALSE,"AND"," ")</f>
        <v xml:space="preserve"> </v>
      </c>
      <c r="GC2" t="str">
        <f t="shared" ref="GC2:GC12" si="122">IF(FO2&gt;0,GB2," ")</f>
        <v xml:space="preserve"> </v>
      </c>
      <c r="GD2">
        <v>1</v>
      </c>
      <c r="GE2" t="s">
        <v>39</v>
      </c>
      <c r="GF2" t="s">
        <v>41</v>
      </c>
      <c r="GI2">
        <f>'[2]Form 16 page-2'!GV22</f>
        <v>0</v>
      </c>
      <c r="GJ2" t="str">
        <f t="shared" ref="GJ2:GJ12" si="123">LOWER(GK2)</f>
        <v/>
      </c>
      <c r="GK2" t="str">
        <f t="shared" ref="GK2:GK12" si="124">TRIM(GL2)</f>
        <v/>
      </c>
      <c r="GL2" t="str">
        <f t="shared" ref="GL2:GL12" si="125">CONCATENATE(GZ2," ",HA2," ",HB2," ",HC2," ",HD2," ",HE2," ",HI2," ",HF2)</f>
        <v xml:space="preserve">               </v>
      </c>
      <c r="GM2">
        <f t="shared" ref="GM2:GM12" si="126">GI2/100000</f>
        <v>0</v>
      </c>
      <c r="GN2">
        <f t="shared" ref="GN2:GN12" si="127">INT(GM2)</f>
        <v>0</v>
      </c>
      <c r="GO2">
        <f t="shared" ref="GO2:GO12" si="128">GI2/1000</f>
        <v>0</v>
      </c>
      <c r="GP2">
        <f t="shared" ref="GP2:GP12" si="129">INT(GO2)</f>
        <v>0</v>
      </c>
      <c r="GQ2">
        <f t="shared" ref="GQ2:GQ12" si="130">GP2-GN2*100</f>
        <v>0</v>
      </c>
      <c r="GR2">
        <f t="shared" ref="GR2:GR12" si="131">GI2/100</f>
        <v>0</v>
      </c>
      <c r="GS2">
        <f t="shared" ref="GS2:GS12" si="132">INT(GR2)</f>
        <v>0</v>
      </c>
      <c r="GT2">
        <f t="shared" ref="GT2:GT12" si="133">GS2-(GN2*1000+GQ2*10)</f>
        <v>0</v>
      </c>
      <c r="GU2">
        <f t="shared" ref="GU2:GU12" si="134">GI2-(GN2*100000+GQ2*1000+GT2*100)</f>
        <v>0</v>
      </c>
      <c r="GV2" t="str">
        <f t="shared" ref="GV2:GV12" si="135">LOOKUP(GN2,HJ:HJ,HK:HK)</f>
        <v>ZERO</v>
      </c>
      <c r="GW2" t="str">
        <f t="shared" ref="GW2:GW12" si="136">LOOKUP(GQ2,HJ:HJ,HK:HK)</f>
        <v>ZERO</v>
      </c>
      <c r="GX2" t="str">
        <f t="shared" ref="GX2:GX12" si="137">LOOKUP(GT2,HJ:HJ,HK:HK)</f>
        <v>ZERO</v>
      </c>
      <c r="GY2" t="str">
        <f t="shared" ref="GY2:GY12" si="138">LOOKUP(GU2,HJ:HJ,HK:HK)</f>
        <v>ZERO</v>
      </c>
      <c r="GZ2" t="str">
        <f t="shared" ref="GZ2:GZ12" si="139">IF(GN2&gt;0,GV2," ")</f>
        <v xml:space="preserve"> </v>
      </c>
      <c r="HA2" t="str">
        <f t="shared" ref="HA2:HA12" si="140">IF(GN2&gt;0,"LAKHS"," ")</f>
        <v xml:space="preserve"> </v>
      </c>
      <c r="HB2" t="str">
        <f t="shared" ref="HB2:HB12" si="141">IF(GQ2&gt;0,GW2," ")</f>
        <v xml:space="preserve"> </v>
      </c>
      <c r="HC2" t="str">
        <f t="shared" ref="HC2:HC12" si="142">IF(GQ2&gt;0,"THOUSAND"," ")</f>
        <v xml:space="preserve"> </v>
      </c>
      <c r="HD2" t="str">
        <f t="shared" ref="HD2:HD12" si="143">IF(GT2&gt;0,GX2," ")</f>
        <v xml:space="preserve"> </v>
      </c>
      <c r="HE2" t="str">
        <f t="shared" ref="HE2:HE12" si="144">IF(GT2&gt;0,"HUNDRED"," ")</f>
        <v xml:space="preserve"> </v>
      </c>
      <c r="HF2" t="str">
        <f t="shared" ref="HF2:HF12" si="145">IF(GU2&gt;0,GY2," ")</f>
        <v xml:space="preserve"> </v>
      </c>
      <c r="HG2" t="b">
        <f t="shared" ref="HG2:HG12" si="146">AND(GN2=0,GQ2=0,GT2=0)</f>
        <v>1</v>
      </c>
      <c r="HH2" t="str">
        <f t="shared" ref="HH2:HH12" si="147">IF(HG2=FALSE,"AND"," ")</f>
        <v xml:space="preserve"> </v>
      </c>
      <c r="HI2" t="str">
        <f t="shared" ref="HI2:HI12" si="148">IF(GU2&gt;0,HH2," ")</f>
        <v xml:space="preserve"> </v>
      </c>
      <c r="HJ2">
        <v>1</v>
      </c>
      <c r="HK2" t="s">
        <v>39</v>
      </c>
      <c r="HL2" t="s">
        <v>41</v>
      </c>
      <c r="HO2">
        <f>'[2]Form 16 page-2'!IB22</f>
        <v>0</v>
      </c>
      <c r="HP2" t="str">
        <f t="shared" ref="HP2:HP12" si="149">LOWER(HQ2)</f>
        <v/>
      </c>
      <c r="HQ2" t="str">
        <f t="shared" ref="HQ2:HQ12" si="150">TRIM(HR2)</f>
        <v/>
      </c>
      <c r="HR2" t="str">
        <f t="shared" ref="HR2:HR12" si="151">CONCATENATE(IF2," ",IG2," ",IH2," ",II2," ",IJ2," ",IK2," ",IO2," ",IL2)</f>
        <v xml:space="preserve">               </v>
      </c>
      <c r="HS2">
        <f t="shared" ref="HS2:HS12" si="152">HO2/100000</f>
        <v>0</v>
      </c>
      <c r="HT2">
        <f t="shared" ref="HT2:HT12" si="153">INT(HS2)</f>
        <v>0</v>
      </c>
      <c r="HU2">
        <f t="shared" ref="HU2:HU12" si="154">HO2/1000</f>
        <v>0</v>
      </c>
      <c r="HV2">
        <f t="shared" ref="HV2:HV12" si="155">INT(HU2)</f>
        <v>0</v>
      </c>
      <c r="HW2">
        <f t="shared" ref="HW2:HW12" si="156">HV2-HT2*100</f>
        <v>0</v>
      </c>
      <c r="HX2">
        <f t="shared" ref="HX2:HX12" si="157">HO2/100</f>
        <v>0</v>
      </c>
      <c r="HY2">
        <f t="shared" ref="HY2:HY12" si="158">INT(HX2)</f>
        <v>0</v>
      </c>
      <c r="HZ2">
        <f t="shared" ref="HZ2:HZ12" si="159">HY2-(HT2*1000+HW2*10)</f>
        <v>0</v>
      </c>
      <c r="IA2">
        <f t="shared" ref="IA2:IA12" si="160">HO2-(HT2*100000+HW2*1000+HZ2*100)</f>
        <v>0</v>
      </c>
      <c r="IB2" t="str">
        <f t="shared" ref="IB2:IB12" si="161">LOOKUP(HT2,IP:IP,IQ:IQ)</f>
        <v>ZERO</v>
      </c>
      <c r="IC2" t="str">
        <f t="shared" ref="IC2:IC12" si="162">LOOKUP(HW2,IP:IP,IQ:IQ)</f>
        <v>ZERO</v>
      </c>
      <c r="ID2" t="str">
        <f t="shared" ref="ID2:ID12" si="163">LOOKUP(HZ2,IP:IP,IQ:IQ)</f>
        <v>ZERO</v>
      </c>
      <c r="IE2" t="str">
        <f t="shared" ref="IE2:IE12" si="164">LOOKUP(IA2,IP:IP,IQ:IQ)</f>
        <v>ZERO</v>
      </c>
      <c r="IF2" t="str">
        <f t="shared" ref="IF2:IF12" si="165">IF(HT2&gt;0,IB2," ")</f>
        <v xml:space="preserve"> </v>
      </c>
      <c r="IG2" t="str">
        <f t="shared" ref="IG2:IG12" si="166">IF(HT2&gt;0,"LAKHS"," ")</f>
        <v xml:space="preserve"> </v>
      </c>
      <c r="IH2" t="str">
        <f t="shared" ref="IH2:IH12" si="167">IF(HW2&gt;0,IC2," ")</f>
        <v xml:space="preserve"> </v>
      </c>
      <c r="II2" t="str">
        <f t="shared" ref="II2:II12" si="168">IF(HW2&gt;0,"THOUSAND"," ")</f>
        <v xml:space="preserve"> </v>
      </c>
      <c r="IJ2" t="str">
        <f t="shared" ref="IJ2:IJ12" si="169">IF(HZ2&gt;0,ID2," ")</f>
        <v xml:space="preserve"> </v>
      </c>
      <c r="IK2" t="str">
        <f t="shared" ref="IK2:IK12" si="170">IF(HZ2&gt;0,"HUNDRED"," ")</f>
        <v xml:space="preserve"> </v>
      </c>
      <c r="IL2" t="str">
        <f t="shared" ref="IL2:IL12" si="171">IF(IA2&gt;0,IE2," ")</f>
        <v xml:space="preserve"> </v>
      </c>
      <c r="IM2" t="b">
        <f t="shared" ref="IM2:IM12" si="172">AND(HT2=0,HW2=0,HZ2=0)</f>
        <v>1</v>
      </c>
      <c r="IN2" t="str">
        <f t="shared" ref="IN2:IN12" si="173">IF(IM2=FALSE,"AND"," ")</f>
        <v xml:space="preserve"> </v>
      </c>
      <c r="IO2" t="str">
        <f t="shared" ref="IO2:IO12" si="174">IF(IA2&gt;0,IN2," ")</f>
        <v xml:space="preserve"> </v>
      </c>
      <c r="IP2">
        <v>1</v>
      </c>
      <c r="IQ2" t="s">
        <v>39</v>
      </c>
      <c r="IR2" t="s">
        <v>41</v>
      </c>
      <c r="IU2" t="e">
        <f>'[2]Form 16 page-2'!#REF!</f>
        <v>#REF!</v>
      </c>
      <c r="IV2" t="e">
        <f>LOWER(#REF!)</f>
        <v>#REF!</v>
      </c>
    </row>
    <row r="3" spans="1:256" ht="18.75">
      <c r="A3" s="3804"/>
      <c r="B3" s="20" t="str">
        <f t="shared" ref="B3:B12" si="175">CONCATENATE(P3," ",Q3," ",R3," ",S3," ",T3," ",U3," ",Y3," ",V3)</f>
        <v xml:space="preserve">               </v>
      </c>
      <c r="C3" s="18">
        <f t="shared" si="0"/>
        <v>0</v>
      </c>
      <c r="D3" s="18">
        <f t="shared" si="1"/>
        <v>0</v>
      </c>
      <c r="E3" s="18">
        <f t="shared" si="2"/>
        <v>0</v>
      </c>
      <c r="F3" s="18">
        <f t="shared" si="3"/>
        <v>0</v>
      </c>
      <c r="G3" s="18">
        <f t="shared" si="4"/>
        <v>0</v>
      </c>
      <c r="H3" s="18">
        <f t="shared" si="5"/>
        <v>0</v>
      </c>
      <c r="I3" s="18">
        <f t="shared" si="6"/>
        <v>0</v>
      </c>
      <c r="J3" s="18">
        <f t="shared" si="7"/>
        <v>0</v>
      </c>
      <c r="K3" s="18">
        <f t="shared" si="8"/>
        <v>0</v>
      </c>
      <c r="L3" t="str">
        <f t="shared" si="9"/>
        <v>Zero</v>
      </c>
      <c r="M3" t="str">
        <f t="shared" si="10"/>
        <v>Zero</v>
      </c>
      <c r="N3" t="str">
        <f t="shared" si="11"/>
        <v>Zero</v>
      </c>
      <c r="O3" t="str">
        <f t="shared" si="12"/>
        <v>Zero</v>
      </c>
      <c r="P3" t="str">
        <f t="shared" si="13"/>
        <v xml:space="preserve"> </v>
      </c>
      <c r="Q3" t="str">
        <f>IF(D3&gt;0,"Lakhs"," ")</f>
        <v xml:space="preserve"> </v>
      </c>
      <c r="R3" t="str">
        <f t="shared" si="14"/>
        <v xml:space="preserve"> </v>
      </c>
      <c r="S3" t="str">
        <f>IF(G3&gt;0,"Thousand"," ")</f>
        <v xml:space="preserve"> </v>
      </c>
      <c r="T3" s="18" t="str">
        <f t="shared" si="15"/>
        <v xml:space="preserve"> </v>
      </c>
      <c r="U3" s="18" t="str">
        <f>IF(J3&gt;0,"Hundred"," ")</f>
        <v xml:space="preserve"> </v>
      </c>
      <c r="V3" s="18" t="str">
        <f t="shared" si="16"/>
        <v xml:space="preserve"> </v>
      </c>
      <c r="W3" s="19" t="b">
        <f t="shared" si="17"/>
        <v>1</v>
      </c>
      <c r="X3" s="19" t="str">
        <f>IF(W3=FALSE,"and"," ")</f>
        <v xml:space="preserve"> </v>
      </c>
      <c r="Y3" s="18" t="str">
        <f t="shared" si="18"/>
        <v xml:space="preserve"> </v>
      </c>
      <c r="Z3">
        <v>2</v>
      </c>
      <c r="AA3" s="15" t="s">
        <v>42</v>
      </c>
      <c r="AB3" s="15" t="s">
        <v>43</v>
      </c>
      <c r="BK3">
        <v>456</v>
      </c>
      <c r="BL3" t="str">
        <f t="shared" si="19"/>
        <v>four hundred and fifty six</v>
      </c>
      <c r="BM3" t="str">
        <f t="shared" si="20"/>
        <v>Four HUNDRED AND Fifty Six</v>
      </c>
      <c r="BN3" t="str">
        <f t="shared" si="21"/>
        <v xml:space="preserve">        Four HUNDRED AND Fifty Six</v>
      </c>
      <c r="BO3">
        <f t="shared" si="22"/>
        <v>4.5599999999999998E-3</v>
      </c>
      <c r="BP3">
        <f t="shared" si="23"/>
        <v>0</v>
      </c>
      <c r="BQ3">
        <f t="shared" si="24"/>
        <v>0.45600000000000002</v>
      </c>
      <c r="BR3">
        <f t="shared" si="25"/>
        <v>0</v>
      </c>
      <c r="BS3">
        <f t="shared" si="26"/>
        <v>0</v>
      </c>
      <c r="BT3">
        <f t="shared" si="27"/>
        <v>4.5599999999999996</v>
      </c>
      <c r="BU3">
        <f t="shared" si="28"/>
        <v>4</v>
      </c>
      <c r="BV3">
        <f t="shared" si="29"/>
        <v>4</v>
      </c>
      <c r="BW3">
        <f t="shared" si="30"/>
        <v>56</v>
      </c>
      <c r="BX3" t="str">
        <f t="shared" si="31"/>
        <v>ZERO</v>
      </c>
      <c r="BY3" t="str">
        <f t="shared" si="32"/>
        <v>ZERO</v>
      </c>
      <c r="BZ3" t="str">
        <f t="shared" si="33"/>
        <v>Four</v>
      </c>
      <c r="CA3" t="str">
        <f t="shared" si="34"/>
        <v>Fifty Six</v>
      </c>
      <c r="CB3" t="str">
        <f t="shared" si="35"/>
        <v xml:space="preserve"> </v>
      </c>
      <c r="CC3" t="str">
        <f t="shared" si="36"/>
        <v xml:space="preserve"> </v>
      </c>
      <c r="CD3" t="str">
        <f t="shared" si="37"/>
        <v xml:space="preserve"> </v>
      </c>
      <c r="CE3" t="str">
        <f t="shared" si="38"/>
        <v xml:space="preserve"> </v>
      </c>
      <c r="CF3" t="str">
        <f t="shared" si="39"/>
        <v>Four</v>
      </c>
      <c r="CG3" t="str">
        <f t="shared" si="40"/>
        <v>HUNDRED</v>
      </c>
      <c r="CH3" t="str">
        <f t="shared" si="41"/>
        <v>Fifty Six</v>
      </c>
      <c r="CI3" t="b">
        <f t="shared" si="42"/>
        <v>0</v>
      </c>
      <c r="CJ3" t="str">
        <f t="shared" si="43"/>
        <v>AND</v>
      </c>
      <c r="CK3" t="str">
        <f t="shared" si="44"/>
        <v>AND</v>
      </c>
      <c r="CL3">
        <v>2</v>
      </c>
      <c r="CM3" t="s">
        <v>42</v>
      </c>
      <c r="CN3" t="s">
        <v>44</v>
      </c>
      <c r="CQ3">
        <v>456</v>
      </c>
      <c r="CR3" t="str">
        <f t="shared" si="45"/>
        <v>four hundred and fifty six</v>
      </c>
      <c r="CS3" t="str">
        <f t="shared" si="46"/>
        <v>Four HUNDRED AND Fifty Six</v>
      </c>
      <c r="CT3" t="str">
        <f t="shared" si="47"/>
        <v xml:space="preserve">        Four HUNDRED AND Fifty Six</v>
      </c>
      <c r="CU3">
        <f t="shared" si="48"/>
        <v>4.5599999999999998E-3</v>
      </c>
      <c r="CV3">
        <f t="shared" si="49"/>
        <v>0</v>
      </c>
      <c r="CW3">
        <f t="shared" si="50"/>
        <v>0.45600000000000002</v>
      </c>
      <c r="CX3">
        <f t="shared" si="51"/>
        <v>0</v>
      </c>
      <c r="CY3">
        <f t="shared" si="52"/>
        <v>0</v>
      </c>
      <c r="CZ3">
        <f t="shared" si="53"/>
        <v>4.5599999999999996</v>
      </c>
      <c r="DA3">
        <f t="shared" si="54"/>
        <v>4</v>
      </c>
      <c r="DB3">
        <f t="shared" si="55"/>
        <v>4</v>
      </c>
      <c r="DC3">
        <f t="shared" si="56"/>
        <v>56</v>
      </c>
      <c r="DD3" t="str">
        <f t="shared" si="57"/>
        <v>ZERO</v>
      </c>
      <c r="DE3" t="str">
        <f t="shared" si="58"/>
        <v>ZERO</v>
      </c>
      <c r="DF3" t="str">
        <f t="shared" si="59"/>
        <v>Four</v>
      </c>
      <c r="DG3" t="str">
        <f t="shared" si="60"/>
        <v>Fifty Six</v>
      </c>
      <c r="DH3" t="str">
        <f t="shared" si="61"/>
        <v xml:space="preserve"> </v>
      </c>
      <c r="DI3" t="str">
        <f t="shared" si="62"/>
        <v xml:space="preserve"> </v>
      </c>
      <c r="DJ3" t="str">
        <f t="shared" si="63"/>
        <v xml:space="preserve"> </v>
      </c>
      <c r="DK3" t="str">
        <f t="shared" si="64"/>
        <v xml:space="preserve"> </v>
      </c>
      <c r="DL3" t="str">
        <f t="shared" si="65"/>
        <v>Four</v>
      </c>
      <c r="DM3" t="str">
        <f t="shared" si="66"/>
        <v>HUNDRED</v>
      </c>
      <c r="DN3" t="str">
        <f t="shared" si="67"/>
        <v>Fifty Six</v>
      </c>
      <c r="DO3" t="b">
        <f t="shared" si="68"/>
        <v>0</v>
      </c>
      <c r="DP3" t="str">
        <f t="shared" si="69"/>
        <v>AND</v>
      </c>
      <c r="DQ3" t="str">
        <f t="shared" si="70"/>
        <v>AND</v>
      </c>
      <c r="DR3">
        <v>2</v>
      </c>
      <c r="DS3" t="s">
        <v>42</v>
      </c>
      <c r="DT3" t="s">
        <v>44</v>
      </c>
      <c r="DW3">
        <v>456</v>
      </c>
      <c r="DX3" t="str">
        <f t="shared" si="71"/>
        <v>four hundred and fifty six</v>
      </c>
      <c r="DY3" t="str">
        <f t="shared" si="72"/>
        <v>Four HUNDRED AND Fifty Six</v>
      </c>
      <c r="DZ3" t="str">
        <f t="shared" si="73"/>
        <v xml:space="preserve">        Four HUNDRED AND Fifty Six</v>
      </c>
      <c r="EA3">
        <f t="shared" si="74"/>
        <v>4.5599999999999998E-3</v>
      </c>
      <c r="EB3">
        <f t="shared" si="75"/>
        <v>0</v>
      </c>
      <c r="EC3">
        <f t="shared" si="76"/>
        <v>0.45600000000000002</v>
      </c>
      <c r="ED3">
        <f t="shared" si="77"/>
        <v>0</v>
      </c>
      <c r="EE3">
        <f t="shared" si="78"/>
        <v>0</v>
      </c>
      <c r="EF3">
        <f t="shared" si="79"/>
        <v>4.5599999999999996</v>
      </c>
      <c r="EG3">
        <f t="shared" si="80"/>
        <v>4</v>
      </c>
      <c r="EH3">
        <f t="shared" si="81"/>
        <v>4</v>
      </c>
      <c r="EI3">
        <f t="shared" si="82"/>
        <v>56</v>
      </c>
      <c r="EJ3" t="str">
        <f t="shared" si="83"/>
        <v>ZERO</v>
      </c>
      <c r="EK3" t="str">
        <f t="shared" si="84"/>
        <v>ZERO</v>
      </c>
      <c r="EL3" t="str">
        <f t="shared" si="85"/>
        <v>Four</v>
      </c>
      <c r="EM3" t="str">
        <f t="shared" si="86"/>
        <v>Fifty Six</v>
      </c>
      <c r="EN3" t="str">
        <f t="shared" si="87"/>
        <v xml:space="preserve"> </v>
      </c>
      <c r="EO3" t="str">
        <f t="shared" si="88"/>
        <v xml:space="preserve"> </v>
      </c>
      <c r="EP3" t="str">
        <f t="shared" si="89"/>
        <v xml:space="preserve"> </v>
      </c>
      <c r="EQ3" t="str">
        <f t="shared" si="90"/>
        <v xml:space="preserve"> </v>
      </c>
      <c r="ER3" t="str">
        <f t="shared" si="91"/>
        <v>Four</v>
      </c>
      <c r="ES3" t="str">
        <f t="shared" si="92"/>
        <v>HUNDRED</v>
      </c>
      <c r="ET3" t="str">
        <f t="shared" si="93"/>
        <v>Fifty Six</v>
      </c>
      <c r="EU3" t="b">
        <f t="shared" si="94"/>
        <v>0</v>
      </c>
      <c r="EV3" t="str">
        <f t="shared" si="95"/>
        <v>AND</v>
      </c>
      <c r="EW3" t="str">
        <f t="shared" si="96"/>
        <v>AND</v>
      </c>
      <c r="EX3">
        <v>2</v>
      </c>
      <c r="EY3" t="s">
        <v>42</v>
      </c>
      <c r="EZ3" t="s">
        <v>44</v>
      </c>
      <c r="FC3">
        <v>456</v>
      </c>
      <c r="FD3" t="str">
        <f t="shared" si="97"/>
        <v>four hundred and fifty six</v>
      </c>
      <c r="FE3" t="str">
        <f t="shared" si="98"/>
        <v>Four HUNDRED AND Fifty Six</v>
      </c>
      <c r="FF3" t="str">
        <f t="shared" si="99"/>
        <v xml:space="preserve">        Four HUNDRED AND Fifty Six</v>
      </c>
      <c r="FG3">
        <f t="shared" si="100"/>
        <v>4.5599999999999998E-3</v>
      </c>
      <c r="FH3">
        <f t="shared" si="101"/>
        <v>0</v>
      </c>
      <c r="FI3">
        <f t="shared" si="102"/>
        <v>0.45600000000000002</v>
      </c>
      <c r="FJ3">
        <f t="shared" si="103"/>
        <v>0</v>
      </c>
      <c r="FK3">
        <f t="shared" si="104"/>
        <v>0</v>
      </c>
      <c r="FL3">
        <f t="shared" si="105"/>
        <v>4.5599999999999996</v>
      </c>
      <c r="FM3">
        <f t="shared" si="106"/>
        <v>4</v>
      </c>
      <c r="FN3">
        <f t="shared" si="107"/>
        <v>4</v>
      </c>
      <c r="FO3">
        <f t="shared" si="108"/>
        <v>56</v>
      </c>
      <c r="FP3" t="str">
        <f t="shared" si="109"/>
        <v>ZERO</v>
      </c>
      <c r="FQ3" t="str">
        <f t="shared" si="110"/>
        <v>ZERO</v>
      </c>
      <c r="FR3" t="str">
        <f t="shared" si="111"/>
        <v>Four</v>
      </c>
      <c r="FS3" t="str">
        <f t="shared" si="112"/>
        <v>Fifty Six</v>
      </c>
      <c r="FT3" t="str">
        <f t="shared" si="113"/>
        <v xml:space="preserve"> </v>
      </c>
      <c r="FU3" t="str">
        <f t="shared" si="114"/>
        <v xml:space="preserve"> </v>
      </c>
      <c r="FV3" t="str">
        <f t="shared" si="115"/>
        <v xml:space="preserve"> </v>
      </c>
      <c r="FW3" t="str">
        <f t="shared" si="116"/>
        <v xml:space="preserve"> </v>
      </c>
      <c r="FX3" t="str">
        <f t="shared" si="117"/>
        <v>Four</v>
      </c>
      <c r="FY3" t="str">
        <f t="shared" si="118"/>
        <v>HUNDRED</v>
      </c>
      <c r="FZ3" t="str">
        <f t="shared" si="119"/>
        <v>Fifty Six</v>
      </c>
      <c r="GA3" t="b">
        <f t="shared" si="120"/>
        <v>0</v>
      </c>
      <c r="GB3" t="str">
        <f t="shared" si="121"/>
        <v>AND</v>
      </c>
      <c r="GC3" t="str">
        <f t="shared" si="122"/>
        <v>AND</v>
      </c>
      <c r="GD3">
        <v>2</v>
      </c>
      <c r="GE3" t="s">
        <v>42</v>
      </c>
      <c r="GF3" t="s">
        <v>44</v>
      </c>
      <c r="GI3">
        <v>456</v>
      </c>
      <c r="GJ3" t="str">
        <f t="shared" si="123"/>
        <v>four hundred and fifty six</v>
      </c>
      <c r="GK3" t="str">
        <f t="shared" si="124"/>
        <v>Four HUNDRED AND Fifty Six</v>
      </c>
      <c r="GL3" t="str">
        <f t="shared" si="125"/>
        <v xml:space="preserve">        Four HUNDRED AND Fifty Six</v>
      </c>
      <c r="GM3">
        <f t="shared" si="126"/>
        <v>4.5599999999999998E-3</v>
      </c>
      <c r="GN3">
        <f t="shared" si="127"/>
        <v>0</v>
      </c>
      <c r="GO3">
        <f t="shared" si="128"/>
        <v>0.45600000000000002</v>
      </c>
      <c r="GP3">
        <f t="shared" si="129"/>
        <v>0</v>
      </c>
      <c r="GQ3">
        <f t="shared" si="130"/>
        <v>0</v>
      </c>
      <c r="GR3">
        <f t="shared" si="131"/>
        <v>4.5599999999999996</v>
      </c>
      <c r="GS3">
        <f t="shared" si="132"/>
        <v>4</v>
      </c>
      <c r="GT3">
        <f t="shared" si="133"/>
        <v>4</v>
      </c>
      <c r="GU3">
        <f t="shared" si="134"/>
        <v>56</v>
      </c>
      <c r="GV3" t="str">
        <f t="shared" si="135"/>
        <v>ZERO</v>
      </c>
      <c r="GW3" t="str">
        <f t="shared" si="136"/>
        <v>ZERO</v>
      </c>
      <c r="GX3" t="str">
        <f t="shared" si="137"/>
        <v>Four</v>
      </c>
      <c r="GY3" t="str">
        <f t="shared" si="138"/>
        <v>Fifty Six</v>
      </c>
      <c r="GZ3" t="str">
        <f t="shared" si="139"/>
        <v xml:space="preserve"> </v>
      </c>
      <c r="HA3" t="str">
        <f t="shared" si="140"/>
        <v xml:space="preserve"> </v>
      </c>
      <c r="HB3" t="str">
        <f t="shared" si="141"/>
        <v xml:space="preserve"> </v>
      </c>
      <c r="HC3" t="str">
        <f t="shared" si="142"/>
        <v xml:space="preserve"> </v>
      </c>
      <c r="HD3" t="str">
        <f t="shared" si="143"/>
        <v>Four</v>
      </c>
      <c r="HE3" t="str">
        <f t="shared" si="144"/>
        <v>HUNDRED</v>
      </c>
      <c r="HF3" t="str">
        <f t="shared" si="145"/>
        <v>Fifty Six</v>
      </c>
      <c r="HG3" t="b">
        <f t="shared" si="146"/>
        <v>0</v>
      </c>
      <c r="HH3" t="str">
        <f t="shared" si="147"/>
        <v>AND</v>
      </c>
      <c r="HI3" t="str">
        <f t="shared" si="148"/>
        <v>AND</v>
      </c>
      <c r="HJ3">
        <v>2</v>
      </c>
      <c r="HK3" t="s">
        <v>42</v>
      </c>
      <c r="HL3" t="s">
        <v>44</v>
      </c>
      <c r="HO3">
        <v>456</v>
      </c>
      <c r="HP3" t="str">
        <f t="shared" si="149"/>
        <v>four hundred and fifty six</v>
      </c>
      <c r="HQ3" t="str">
        <f t="shared" si="150"/>
        <v>Four HUNDRED AND Fifty Six</v>
      </c>
      <c r="HR3" t="str">
        <f t="shared" si="151"/>
        <v xml:space="preserve">        Four HUNDRED AND Fifty Six</v>
      </c>
      <c r="HS3">
        <f t="shared" si="152"/>
        <v>4.5599999999999998E-3</v>
      </c>
      <c r="HT3">
        <f t="shared" si="153"/>
        <v>0</v>
      </c>
      <c r="HU3">
        <f t="shared" si="154"/>
        <v>0.45600000000000002</v>
      </c>
      <c r="HV3">
        <f t="shared" si="155"/>
        <v>0</v>
      </c>
      <c r="HW3">
        <f t="shared" si="156"/>
        <v>0</v>
      </c>
      <c r="HX3">
        <f t="shared" si="157"/>
        <v>4.5599999999999996</v>
      </c>
      <c r="HY3">
        <f t="shared" si="158"/>
        <v>4</v>
      </c>
      <c r="HZ3">
        <f t="shared" si="159"/>
        <v>4</v>
      </c>
      <c r="IA3">
        <f t="shared" si="160"/>
        <v>56</v>
      </c>
      <c r="IB3" t="str">
        <f t="shared" si="161"/>
        <v>ZERO</v>
      </c>
      <c r="IC3" t="str">
        <f t="shared" si="162"/>
        <v>ZERO</v>
      </c>
      <c r="ID3" t="str">
        <f t="shared" si="163"/>
        <v>Four</v>
      </c>
      <c r="IE3" t="str">
        <f t="shared" si="164"/>
        <v>Fifty Six</v>
      </c>
      <c r="IF3" t="str">
        <f t="shared" si="165"/>
        <v xml:space="preserve"> </v>
      </c>
      <c r="IG3" t="str">
        <f t="shared" si="166"/>
        <v xml:space="preserve"> </v>
      </c>
      <c r="IH3" t="str">
        <f t="shared" si="167"/>
        <v xml:space="preserve"> </v>
      </c>
      <c r="II3" t="str">
        <f t="shared" si="168"/>
        <v xml:space="preserve"> </v>
      </c>
      <c r="IJ3" t="str">
        <f t="shared" si="169"/>
        <v>Four</v>
      </c>
      <c r="IK3" t="str">
        <f t="shared" si="170"/>
        <v>HUNDRED</v>
      </c>
      <c r="IL3" t="str">
        <f t="shared" si="171"/>
        <v>Fifty Six</v>
      </c>
      <c r="IM3" t="b">
        <f t="shared" si="172"/>
        <v>0</v>
      </c>
      <c r="IN3" t="str">
        <f t="shared" si="173"/>
        <v>AND</v>
      </c>
      <c r="IO3" t="str">
        <f t="shared" si="174"/>
        <v>AND</v>
      </c>
      <c r="IP3">
        <v>2</v>
      </c>
      <c r="IQ3" t="s">
        <v>42</v>
      </c>
      <c r="IR3" t="s">
        <v>44</v>
      </c>
      <c r="IU3">
        <v>456</v>
      </c>
      <c r="IV3" t="e">
        <f>LOWER(#REF!)</f>
        <v>#REF!</v>
      </c>
    </row>
    <row r="4" spans="1:256">
      <c r="A4" s="9"/>
      <c r="B4" s="18" t="str">
        <f t="shared" si="175"/>
        <v xml:space="preserve">               </v>
      </c>
      <c r="C4" s="18">
        <f t="shared" si="0"/>
        <v>0</v>
      </c>
      <c r="D4" s="18">
        <f t="shared" si="1"/>
        <v>0</v>
      </c>
      <c r="E4" s="18">
        <f t="shared" si="2"/>
        <v>0</v>
      </c>
      <c r="F4" s="18">
        <f t="shared" si="3"/>
        <v>0</v>
      </c>
      <c r="G4" s="18">
        <f t="shared" si="4"/>
        <v>0</v>
      </c>
      <c r="H4" s="18">
        <f t="shared" si="5"/>
        <v>0</v>
      </c>
      <c r="I4" s="18">
        <f t="shared" si="6"/>
        <v>0</v>
      </c>
      <c r="J4" s="18">
        <f t="shared" si="7"/>
        <v>0</v>
      </c>
      <c r="K4" s="18">
        <f t="shared" si="8"/>
        <v>0</v>
      </c>
      <c r="L4" t="str">
        <f t="shared" si="9"/>
        <v>Zero</v>
      </c>
      <c r="M4" t="str">
        <f t="shared" si="10"/>
        <v>Zero</v>
      </c>
      <c r="N4" t="str">
        <f t="shared" si="11"/>
        <v>Zero</v>
      </c>
      <c r="O4" t="str">
        <f t="shared" si="12"/>
        <v>Zero</v>
      </c>
      <c r="P4" t="str">
        <f t="shared" si="13"/>
        <v xml:space="preserve"> </v>
      </c>
      <c r="Q4" t="str">
        <f t="shared" ref="Q4:Q12" si="176">IF(D4&gt;0,"LAKHS"," ")</f>
        <v xml:space="preserve"> </v>
      </c>
      <c r="R4" t="str">
        <f t="shared" si="14"/>
        <v xml:space="preserve"> </v>
      </c>
      <c r="S4" t="str">
        <f t="shared" ref="S4:S12" si="177">IF(G4&gt;0,"THOUSAND"," ")</f>
        <v xml:space="preserve"> </v>
      </c>
      <c r="T4" s="18" t="str">
        <f t="shared" si="15"/>
        <v xml:space="preserve"> </v>
      </c>
      <c r="U4" s="18" t="str">
        <f t="shared" ref="U4:U12" si="178">IF(J4&gt;0,"HUNDRED"," ")</f>
        <v xml:space="preserve"> </v>
      </c>
      <c r="V4" s="18" t="str">
        <f t="shared" si="16"/>
        <v xml:space="preserve"> </v>
      </c>
      <c r="W4" s="19" t="b">
        <f t="shared" si="17"/>
        <v>1</v>
      </c>
      <c r="X4" s="19" t="str">
        <f t="shared" ref="X4:X12" si="179">IF(W4=FALSE,"AND"," ")</f>
        <v xml:space="preserve"> </v>
      </c>
      <c r="Y4" s="18" t="str">
        <f t="shared" si="18"/>
        <v xml:space="preserve"> </v>
      </c>
      <c r="Z4">
        <v>3</v>
      </c>
      <c r="AA4" s="15" t="s">
        <v>45</v>
      </c>
      <c r="AB4" s="15" t="s">
        <v>46</v>
      </c>
      <c r="BK4">
        <v>45687</v>
      </c>
      <c r="BL4" t="str">
        <f t="shared" si="19"/>
        <v>forty five thousand six hundred and eighty seven</v>
      </c>
      <c r="BM4" t="str">
        <f t="shared" si="20"/>
        <v>Forty Five THOUSAND Six HUNDRED AND Eighty Seven</v>
      </c>
      <c r="BN4" t="str">
        <f t="shared" si="21"/>
        <v xml:space="preserve">    Forty  Five  THOUSAND Six HUNDRED AND Eighty Seven</v>
      </c>
      <c r="BO4">
        <f t="shared" si="22"/>
        <v>0.45687</v>
      </c>
      <c r="BP4">
        <f t="shared" si="23"/>
        <v>0</v>
      </c>
      <c r="BQ4">
        <f t="shared" si="24"/>
        <v>45.686999999999998</v>
      </c>
      <c r="BR4">
        <f t="shared" si="25"/>
        <v>45</v>
      </c>
      <c r="BS4">
        <f t="shared" si="26"/>
        <v>45</v>
      </c>
      <c r="BT4">
        <f t="shared" si="27"/>
        <v>456.87</v>
      </c>
      <c r="BU4">
        <f t="shared" si="28"/>
        <v>456</v>
      </c>
      <c r="BV4">
        <f t="shared" si="29"/>
        <v>6</v>
      </c>
      <c r="BW4">
        <f t="shared" si="30"/>
        <v>87</v>
      </c>
      <c r="BX4" t="str">
        <f t="shared" si="31"/>
        <v>ZERO</v>
      </c>
      <c r="BY4" t="str">
        <f t="shared" si="32"/>
        <v xml:space="preserve">Forty  Five </v>
      </c>
      <c r="BZ4" t="str">
        <f t="shared" si="33"/>
        <v>Six</v>
      </c>
      <c r="CA4" t="str">
        <f t="shared" si="34"/>
        <v>Eighty Seven</v>
      </c>
      <c r="CB4" t="str">
        <f t="shared" si="35"/>
        <v xml:space="preserve"> </v>
      </c>
      <c r="CC4" t="str">
        <f t="shared" si="36"/>
        <v xml:space="preserve"> </v>
      </c>
      <c r="CD4" t="str">
        <f t="shared" si="37"/>
        <v xml:space="preserve">Forty  Five </v>
      </c>
      <c r="CE4" t="str">
        <f t="shared" si="38"/>
        <v>THOUSAND</v>
      </c>
      <c r="CF4" t="str">
        <f t="shared" si="39"/>
        <v>Six</v>
      </c>
      <c r="CG4" t="str">
        <f t="shared" si="40"/>
        <v>HUNDRED</v>
      </c>
      <c r="CH4" t="str">
        <f t="shared" si="41"/>
        <v>Eighty Seven</v>
      </c>
      <c r="CI4" t="b">
        <f t="shared" si="42"/>
        <v>0</v>
      </c>
      <c r="CJ4" t="str">
        <f t="shared" si="43"/>
        <v>AND</v>
      </c>
      <c r="CK4" t="str">
        <f t="shared" si="44"/>
        <v>AND</v>
      </c>
      <c r="CL4">
        <v>3</v>
      </c>
      <c r="CM4" t="s">
        <v>45</v>
      </c>
      <c r="CN4" t="s">
        <v>47</v>
      </c>
      <c r="CQ4">
        <v>45687</v>
      </c>
      <c r="CR4" t="str">
        <f t="shared" si="45"/>
        <v>forty five thousand six hundred and eighty seven</v>
      </c>
      <c r="CS4" t="str">
        <f t="shared" si="46"/>
        <v>Forty Five THOUSAND Six HUNDRED AND Eighty Seven</v>
      </c>
      <c r="CT4" t="str">
        <f t="shared" si="47"/>
        <v xml:space="preserve">    Forty  Five  THOUSAND Six HUNDRED AND Eighty Seven</v>
      </c>
      <c r="CU4">
        <f t="shared" si="48"/>
        <v>0.45687</v>
      </c>
      <c r="CV4">
        <f t="shared" si="49"/>
        <v>0</v>
      </c>
      <c r="CW4">
        <f t="shared" si="50"/>
        <v>45.686999999999998</v>
      </c>
      <c r="CX4">
        <f t="shared" si="51"/>
        <v>45</v>
      </c>
      <c r="CY4">
        <f t="shared" si="52"/>
        <v>45</v>
      </c>
      <c r="CZ4">
        <f t="shared" si="53"/>
        <v>456.87</v>
      </c>
      <c r="DA4">
        <f t="shared" si="54"/>
        <v>456</v>
      </c>
      <c r="DB4">
        <f t="shared" si="55"/>
        <v>6</v>
      </c>
      <c r="DC4">
        <f t="shared" si="56"/>
        <v>87</v>
      </c>
      <c r="DD4" t="str">
        <f t="shared" si="57"/>
        <v>ZERO</v>
      </c>
      <c r="DE4" t="str">
        <f t="shared" si="58"/>
        <v xml:space="preserve">Forty  Five </v>
      </c>
      <c r="DF4" t="str">
        <f t="shared" si="59"/>
        <v>Six</v>
      </c>
      <c r="DG4" t="str">
        <f t="shared" si="60"/>
        <v>Eighty Seven</v>
      </c>
      <c r="DH4" t="str">
        <f t="shared" si="61"/>
        <v xml:space="preserve"> </v>
      </c>
      <c r="DI4" t="str">
        <f t="shared" si="62"/>
        <v xml:space="preserve"> </v>
      </c>
      <c r="DJ4" t="str">
        <f t="shared" si="63"/>
        <v xml:space="preserve">Forty  Five </v>
      </c>
      <c r="DK4" t="str">
        <f t="shared" si="64"/>
        <v>THOUSAND</v>
      </c>
      <c r="DL4" t="str">
        <f t="shared" si="65"/>
        <v>Six</v>
      </c>
      <c r="DM4" t="str">
        <f t="shared" si="66"/>
        <v>HUNDRED</v>
      </c>
      <c r="DN4" t="str">
        <f t="shared" si="67"/>
        <v>Eighty Seven</v>
      </c>
      <c r="DO4" t="b">
        <f t="shared" si="68"/>
        <v>0</v>
      </c>
      <c r="DP4" t="str">
        <f t="shared" si="69"/>
        <v>AND</v>
      </c>
      <c r="DQ4" t="str">
        <f t="shared" si="70"/>
        <v>AND</v>
      </c>
      <c r="DR4">
        <v>3</v>
      </c>
      <c r="DS4" t="s">
        <v>45</v>
      </c>
      <c r="DT4" t="s">
        <v>47</v>
      </c>
      <c r="DW4">
        <v>45687</v>
      </c>
      <c r="DX4" t="str">
        <f t="shared" si="71"/>
        <v>forty five thousand six hundred and eighty seven</v>
      </c>
      <c r="DY4" t="str">
        <f t="shared" si="72"/>
        <v>Forty Five THOUSAND Six HUNDRED AND Eighty Seven</v>
      </c>
      <c r="DZ4" t="str">
        <f t="shared" si="73"/>
        <v xml:space="preserve">    Forty  Five  THOUSAND Six HUNDRED AND Eighty Seven</v>
      </c>
      <c r="EA4">
        <f t="shared" si="74"/>
        <v>0.45687</v>
      </c>
      <c r="EB4">
        <f t="shared" si="75"/>
        <v>0</v>
      </c>
      <c r="EC4">
        <f t="shared" si="76"/>
        <v>45.686999999999998</v>
      </c>
      <c r="ED4">
        <f t="shared" si="77"/>
        <v>45</v>
      </c>
      <c r="EE4">
        <f t="shared" si="78"/>
        <v>45</v>
      </c>
      <c r="EF4">
        <f t="shared" si="79"/>
        <v>456.87</v>
      </c>
      <c r="EG4">
        <f t="shared" si="80"/>
        <v>456</v>
      </c>
      <c r="EH4">
        <f t="shared" si="81"/>
        <v>6</v>
      </c>
      <c r="EI4">
        <f t="shared" si="82"/>
        <v>87</v>
      </c>
      <c r="EJ4" t="str">
        <f t="shared" si="83"/>
        <v>ZERO</v>
      </c>
      <c r="EK4" t="str">
        <f t="shared" si="84"/>
        <v xml:space="preserve">Forty  Five </v>
      </c>
      <c r="EL4" t="str">
        <f t="shared" si="85"/>
        <v>Six</v>
      </c>
      <c r="EM4" t="str">
        <f t="shared" si="86"/>
        <v>Eighty Seven</v>
      </c>
      <c r="EN4" t="str">
        <f t="shared" si="87"/>
        <v xml:space="preserve"> </v>
      </c>
      <c r="EO4" t="str">
        <f t="shared" si="88"/>
        <v xml:space="preserve"> </v>
      </c>
      <c r="EP4" t="str">
        <f t="shared" si="89"/>
        <v xml:space="preserve">Forty  Five </v>
      </c>
      <c r="EQ4" t="str">
        <f t="shared" si="90"/>
        <v>THOUSAND</v>
      </c>
      <c r="ER4" t="str">
        <f t="shared" si="91"/>
        <v>Six</v>
      </c>
      <c r="ES4" t="str">
        <f t="shared" si="92"/>
        <v>HUNDRED</v>
      </c>
      <c r="ET4" t="str">
        <f t="shared" si="93"/>
        <v>Eighty Seven</v>
      </c>
      <c r="EU4" t="b">
        <f t="shared" si="94"/>
        <v>0</v>
      </c>
      <c r="EV4" t="str">
        <f t="shared" si="95"/>
        <v>AND</v>
      </c>
      <c r="EW4" t="str">
        <f t="shared" si="96"/>
        <v>AND</v>
      </c>
      <c r="EX4">
        <v>3</v>
      </c>
      <c r="EY4" t="s">
        <v>45</v>
      </c>
      <c r="EZ4" t="s">
        <v>47</v>
      </c>
      <c r="FC4">
        <v>45687</v>
      </c>
      <c r="FD4" t="str">
        <f t="shared" si="97"/>
        <v>forty five thousand six hundred and eighty seven</v>
      </c>
      <c r="FE4" t="str">
        <f t="shared" si="98"/>
        <v>Forty Five THOUSAND Six HUNDRED AND Eighty Seven</v>
      </c>
      <c r="FF4" t="str">
        <f t="shared" si="99"/>
        <v xml:space="preserve">    Forty  Five  THOUSAND Six HUNDRED AND Eighty Seven</v>
      </c>
      <c r="FG4">
        <f t="shared" si="100"/>
        <v>0.45687</v>
      </c>
      <c r="FH4">
        <f t="shared" si="101"/>
        <v>0</v>
      </c>
      <c r="FI4">
        <f t="shared" si="102"/>
        <v>45.686999999999998</v>
      </c>
      <c r="FJ4">
        <f t="shared" si="103"/>
        <v>45</v>
      </c>
      <c r="FK4">
        <f t="shared" si="104"/>
        <v>45</v>
      </c>
      <c r="FL4">
        <f t="shared" si="105"/>
        <v>456.87</v>
      </c>
      <c r="FM4">
        <f t="shared" si="106"/>
        <v>456</v>
      </c>
      <c r="FN4">
        <f t="shared" si="107"/>
        <v>6</v>
      </c>
      <c r="FO4">
        <f t="shared" si="108"/>
        <v>87</v>
      </c>
      <c r="FP4" t="str">
        <f t="shared" si="109"/>
        <v>ZERO</v>
      </c>
      <c r="FQ4" t="str">
        <f t="shared" si="110"/>
        <v xml:space="preserve">Forty  Five </v>
      </c>
      <c r="FR4" t="str">
        <f t="shared" si="111"/>
        <v>Six</v>
      </c>
      <c r="FS4" t="str">
        <f t="shared" si="112"/>
        <v>Eighty Seven</v>
      </c>
      <c r="FT4" t="str">
        <f t="shared" si="113"/>
        <v xml:space="preserve"> </v>
      </c>
      <c r="FU4" t="str">
        <f t="shared" si="114"/>
        <v xml:space="preserve"> </v>
      </c>
      <c r="FV4" t="str">
        <f t="shared" si="115"/>
        <v xml:space="preserve">Forty  Five </v>
      </c>
      <c r="FW4" t="str">
        <f t="shared" si="116"/>
        <v>THOUSAND</v>
      </c>
      <c r="FX4" t="str">
        <f t="shared" si="117"/>
        <v>Six</v>
      </c>
      <c r="FY4" t="str">
        <f t="shared" si="118"/>
        <v>HUNDRED</v>
      </c>
      <c r="FZ4" t="str">
        <f t="shared" si="119"/>
        <v>Eighty Seven</v>
      </c>
      <c r="GA4" t="b">
        <f t="shared" si="120"/>
        <v>0</v>
      </c>
      <c r="GB4" t="str">
        <f t="shared" si="121"/>
        <v>AND</v>
      </c>
      <c r="GC4" t="str">
        <f t="shared" si="122"/>
        <v>AND</v>
      </c>
      <c r="GD4">
        <v>3</v>
      </c>
      <c r="GE4" t="s">
        <v>45</v>
      </c>
      <c r="GF4" t="s">
        <v>47</v>
      </c>
      <c r="GI4">
        <v>45687</v>
      </c>
      <c r="GJ4" t="str">
        <f t="shared" si="123"/>
        <v>forty five thousand six hundred and eighty seven</v>
      </c>
      <c r="GK4" t="str">
        <f t="shared" si="124"/>
        <v>Forty Five THOUSAND Six HUNDRED AND Eighty Seven</v>
      </c>
      <c r="GL4" t="str">
        <f t="shared" si="125"/>
        <v xml:space="preserve">    Forty  Five  THOUSAND Six HUNDRED AND Eighty Seven</v>
      </c>
      <c r="GM4">
        <f t="shared" si="126"/>
        <v>0.45687</v>
      </c>
      <c r="GN4">
        <f t="shared" si="127"/>
        <v>0</v>
      </c>
      <c r="GO4">
        <f t="shared" si="128"/>
        <v>45.686999999999998</v>
      </c>
      <c r="GP4">
        <f t="shared" si="129"/>
        <v>45</v>
      </c>
      <c r="GQ4">
        <f t="shared" si="130"/>
        <v>45</v>
      </c>
      <c r="GR4">
        <f t="shared" si="131"/>
        <v>456.87</v>
      </c>
      <c r="GS4">
        <f t="shared" si="132"/>
        <v>456</v>
      </c>
      <c r="GT4">
        <f t="shared" si="133"/>
        <v>6</v>
      </c>
      <c r="GU4">
        <f t="shared" si="134"/>
        <v>87</v>
      </c>
      <c r="GV4" t="str">
        <f t="shared" si="135"/>
        <v>ZERO</v>
      </c>
      <c r="GW4" t="str">
        <f t="shared" si="136"/>
        <v xml:space="preserve">Forty  Five </v>
      </c>
      <c r="GX4" t="str">
        <f t="shared" si="137"/>
        <v>Six</v>
      </c>
      <c r="GY4" t="str">
        <f t="shared" si="138"/>
        <v>Eighty Seven</v>
      </c>
      <c r="GZ4" t="str">
        <f t="shared" si="139"/>
        <v xml:space="preserve"> </v>
      </c>
      <c r="HA4" t="str">
        <f t="shared" si="140"/>
        <v xml:space="preserve"> </v>
      </c>
      <c r="HB4" t="str">
        <f t="shared" si="141"/>
        <v xml:space="preserve">Forty  Five </v>
      </c>
      <c r="HC4" t="str">
        <f t="shared" si="142"/>
        <v>THOUSAND</v>
      </c>
      <c r="HD4" t="str">
        <f t="shared" si="143"/>
        <v>Six</v>
      </c>
      <c r="HE4" t="str">
        <f t="shared" si="144"/>
        <v>HUNDRED</v>
      </c>
      <c r="HF4" t="str">
        <f t="shared" si="145"/>
        <v>Eighty Seven</v>
      </c>
      <c r="HG4" t="b">
        <f t="shared" si="146"/>
        <v>0</v>
      </c>
      <c r="HH4" t="str">
        <f t="shared" si="147"/>
        <v>AND</v>
      </c>
      <c r="HI4" t="str">
        <f t="shared" si="148"/>
        <v>AND</v>
      </c>
      <c r="HJ4">
        <v>3</v>
      </c>
      <c r="HK4" t="s">
        <v>45</v>
      </c>
      <c r="HL4" t="s">
        <v>47</v>
      </c>
      <c r="HO4">
        <v>45687</v>
      </c>
      <c r="HP4" t="str">
        <f t="shared" si="149"/>
        <v>forty five thousand six hundred and eighty seven</v>
      </c>
      <c r="HQ4" t="str">
        <f t="shared" si="150"/>
        <v>Forty Five THOUSAND Six HUNDRED AND Eighty Seven</v>
      </c>
      <c r="HR4" t="str">
        <f t="shared" si="151"/>
        <v xml:space="preserve">    Forty  Five  THOUSAND Six HUNDRED AND Eighty Seven</v>
      </c>
      <c r="HS4">
        <f t="shared" si="152"/>
        <v>0.45687</v>
      </c>
      <c r="HT4">
        <f t="shared" si="153"/>
        <v>0</v>
      </c>
      <c r="HU4">
        <f t="shared" si="154"/>
        <v>45.686999999999998</v>
      </c>
      <c r="HV4">
        <f t="shared" si="155"/>
        <v>45</v>
      </c>
      <c r="HW4">
        <f t="shared" si="156"/>
        <v>45</v>
      </c>
      <c r="HX4">
        <f t="shared" si="157"/>
        <v>456.87</v>
      </c>
      <c r="HY4">
        <f t="shared" si="158"/>
        <v>456</v>
      </c>
      <c r="HZ4">
        <f t="shared" si="159"/>
        <v>6</v>
      </c>
      <c r="IA4">
        <f t="shared" si="160"/>
        <v>87</v>
      </c>
      <c r="IB4" t="str">
        <f t="shared" si="161"/>
        <v>ZERO</v>
      </c>
      <c r="IC4" t="str">
        <f t="shared" si="162"/>
        <v xml:space="preserve">Forty  Five </v>
      </c>
      <c r="ID4" t="str">
        <f t="shared" si="163"/>
        <v>Six</v>
      </c>
      <c r="IE4" t="str">
        <f t="shared" si="164"/>
        <v>Eighty Seven</v>
      </c>
      <c r="IF4" t="str">
        <f t="shared" si="165"/>
        <v xml:space="preserve"> </v>
      </c>
      <c r="IG4" t="str">
        <f t="shared" si="166"/>
        <v xml:space="preserve"> </v>
      </c>
      <c r="IH4" t="str">
        <f t="shared" si="167"/>
        <v xml:space="preserve">Forty  Five </v>
      </c>
      <c r="II4" t="str">
        <f t="shared" si="168"/>
        <v>THOUSAND</v>
      </c>
      <c r="IJ4" t="str">
        <f t="shared" si="169"/>
        <v>Six</v>
      </c>
      <c r="IK4" t="str">
        <f t="shared" si="170"/>
        <v>HUNDRED</v>
      </c>
      <c r="IL4" t="str">
        <f t="shared" si="171"/>
        <v>Eighty Seven</v>
      </c>
      <c r="IM4" t="b">
        <f t="shared" si="172"/>
        <v>0</v>
      </c>
      <c r="IN4" t="str">
        <f t="shared" si="173"/>
        <v>AND</v>
      </c>
      <c r="IO4" t="str">
        <f t="shared" si="174"/>
        <v>AND</v>
      </c>
      <c r="IP4">
        <v>3</v>
      </c>
      <c r="IQ4" t="s">
        <v>45</v>
      </c>
      <c r="IR4" t="s">
        <v>47</v>
      </c>
      <c r="IU4">
        <v>45687</v>
      </c>
      <c r="IV4" t="e">
        <f>LOWER(#REF!)</f>
        <v>#REF!</v>
      </c>
    </row>
    <row r="5" spans="1:256">
      <c r="A5" s="9"/>
      <c r="B5" s="18" t="str">
        <f t="shared" si="175"/>
        <v xml:space="preserve">               </v>
      </c>
      <c r="C5" s="18">
        <f t="shared" si="0"/>
        <v>0</v>
      </c>
      <c r="D5" s="18">
        <f t="shared" si="1"/>
        <v>0</v>
      </c>
      <c r="E5" s="18">
        <f t="shared" si="2"/>
        <v>0</v>
      </c>
      <c r="F5" s="18">
        <f t="shared" si="3"/>
        <v>0</v>
      </c>
      <c r="G5" s="18">
        <f t="shared" si="4"/>
        <v>0</v>
      </c>
      <c r="H5" s="18">
        <f t="shared" si="5"/>
        <v>0</v>
      </c>
      <c r="I5" s="18">
        <f t="shared" si="6"/>
        <v>0</v>
      </c>
      <c r="J5" s="18">
        <f t="shared" si="7"/>
        <v>0</v>
      </c>
      <c r="K5" s="18">
        <f t="shared" si="8"/>
        <v>0</v>
      </c>
      <c r="L5" t="str">
        <f t="shared" si="9"/>
        <v>Zero</v>
      </c>
      <c r="M5" t="str">
        <f t="shared" si="10"/>
        <v>Zero</v>
      </c>
      <c r="N5" t="str">
        <f t="shared" si="11"/>
        <v>Zero</v>
      </c>
      <c r="O5" t="str">
        <f t="shared" si="12"/>
        <v>Zero</v>
      </c>
      <c r="P5" t="str">
        <f t="shared" si="13"/>
        <v xml:space="preserve"> </v>
      </c>
      <c r="Q5" t="str">
        <f t="shared" si="176"/>
        <v xml:space="preserve"> </v>
      </c>
      <c r="R5" t="str">
        <f t="shared" si="14"/>
        <v xml:space="preserve"> </v>
      </c>
      <c r="S5" t="str">
        <f t="shared" si="177"/>
        <v xml:space="preserve"> </v>
      </c>
      <c r="T5" s="18" t="str">
        <f t="shared" si="15"/>
        <v xml:space="preserve"> </v>
      </c>
      <c r="U5" s="18" t="str">
        <f t="shared" si="178"/>
        <v xml:space="preserve"> </v>
      </c>
      <c r="V5" s="18" t="str">
        <f t="shared" si="16"/>
        <v xml:space="preserve"> </v>
      </c>
      <c r="W5" s="19" t="b">
        <f t="shared" si="17"/>
        <v>1</v>
      </c>
      <c r="X5" s="19" t="str">
        <f t="shared" si="179"/>
        <v xml:space="preserve"> </v>
      </c>
      <c r="Y5" s="18" t="str">
        <f t="shared" si="18"/>
        <v xml:space="preserve"> </v>
      </c>
      <c r="Z5">
        <v>4</v>
      </c>
      <c r="AA5" s="15" t="s">
        <v>48</v>
      </c>
      <c r="AB5" s="15" t="s">
        <v>49</v>
      </c>
      <c r="BK5">
        <v>45688</v>
      </c>
      <c r="BL5" t="str">
        <f t="shared" si="19"/>
        <v>forty five thousand six hundred and eighty eight</v>
      </c>
      <c r="BM5" t="str">
        <f t="shared" si="20"/>
        <v>Forty Five THOUSAND Six HUNDRED AND Eighty Eight</v>
      </c>
      <c r="BN5" t="str">
        <f t="shared" si="21"/>
        <v xml:space="preserve">    Forty  Five  THOUSAND Six HUNDRED AND Eighty Eight</v>
      </c>
      <c r="BO5">
        <f t="shared" si="22"/>
        <v>0.45688000000000001</v>
      </c>
      <c r="BP5">
        <f t="shared" si="23"/>
        <v>0</v>
      </c>
      <c r="BQ5">
        <f t="shared" si="24"/>
        <v>45.688000000000002</v>
      </c>
      <c r="BR5">
        <f t="shared" si="25"/>
        <v>45</v>
      </c>
      <c r="BS5">
        <f t="shared" si="26"/>
        <v>45</v>
      </c>
      <c r="BT5">
        <f t="shared" si="27"/>
        <v>456.88</v>
      </c>
      <c r="BU5">
        <f t="shared" si="28"/>
        <v>456</v>
      </c>
      <c r="BV5">
        <f t="shared" si="29"/>
        <v>6</v>
      </c>
      <c r="BW5">
        <f t="shared" si="30"/>
        <v>88</v>
      </c>
      <c r="BX5" t="str">
        <f t="shared" si="31"/>
        <v>ZERO</v>
      </c>
      <c r="BY5" t="str">
        <f t="shared" si="32"/>
        <v xml:space="preserve">Forty  Five </v>
      </c>
      <c r="BZ5" t="str">
        <f t="shared" si="33"/>
        <v>Six</v>
      </c>
      <c r="CA5" t="str">
        <f t="shared" si="34"/>
        <v>Eighty Eight</v>
      </c>
      <c r="CB5" t="str">
        <f t="shared" si="35"/>
        <v xml:space="preserve"> </v>
      </c>
      <c r="CC5" t="str">
        <f t="shared" si="36"/>
        <v xml:space="preserve"> </v>
      </c>
      <c r="CD5" t="str">
        <f t="shared" si="37"/>
        <v xml:space="preserve">Forty  Five </v>
      </c>
      <c r="CE5" t="str">
        <f t="shared" si="38"/>
        <v>THOUSAND</v>
      </c>
      <c r="CF5" t="str">
        <f t="shared" si="39"/>
        <v>Six</v>
      </c>
      <c r="CG5" t="str">
        <f t="shared" si="40"/>
        <v>HUNDRED</v>
      </c>
      <c r="CH5" t="str">
        <f t="shared" si="41"/>
        <v>Eighty Eight</v>
      </c>
      <c r="CI5" t="b">
        <f t="shared" si="42"/>
        <v>0</v>
      </c>
      <c r="CJ5" t="str">
        <f t="shared" si="43"/>
        <v>AND</v>
      </c>
      <c r="CK5" t="str">
        <f t="shared" si="44"/>
        <v>AND</v>
      </c>
      <c r="CL5">
        <v>4</v>
      </c>
      <c r="CM5" t="s">
        <v>48</v>
      </c>
      <c r="CN5" t="s">
        <v>50</v>
      </c>
      <c r="CQ5">
        <v>45688</v>
      </c>
      <c r="CR5" t="str">
        <f t="shared" si="45"/>
        <v>forty five thousand six hundred and eighty eight</v>
      </c>
      <c r="CS5" t="str">
        <f t="shared" si="46"/>
        <v>Forty Five THOUSAND Six HUNDRED AND Eighty Eight</v>
      </c>
      <c r="CT5" t="str">
        <f t="shared" si="47"/>
        <v xml:space="preserve">    Forty  Five  THOUSAND Six HUNDRED AND Eighty Eight</v>
      </c>
      <c r="CU5">
        <f t="shared" si="48"/>
        <v>0.45688000000000001</v>
      </c>
      <c r="CV5">
        <f t="shared" si="49"/>
        <v>0</v>
      </c>
      <c r="CW5">
        <f t="shared" si="50"/>
        <v>45.688000000000002</v>
      </c>
      <c r="CX5">
        <f t="shared" si="51"/>
        <v>45</v>
      </c>
      <c r="CY5">
        <f t="shared" si="52"/>
        <v>45</v>
      </c>
      <c r="CZ5">
        <f t="shared" si="53"/>
        <v>456.88</v>
      </c>
      <c r="DA5">
        <f t="shared" si="54"/>
        <v>456</v>
      </c>
      <c r="DB5">
        <f t="shared" si="55"/>
        <v>6</v>
      </c>
      <c r="DC5">
        <f t="shared" si="56"/>
        <v>88</v>
      </c>
      <c r="DD5" t="str">
        <f t="shared" si="57"/>
        <v>ZERO</v>
      </c>
      <c r="DE5" t="str">
        <f t="shared" si="58"/>
        <v xml:space="preserve">Forty  Five </v>
      </c>
      <c r="DF5" t="str">
        <f t="shared" si="59"/>
        <v>Six</v>
      </c>
      <c r="DG5" t="str">
        <f t="shared" si="60"/>
        <v>Eighty Eight</v>
      </c>
      <c r="DH5" t="str">
        <f t="shared" si="61"/>
        <v xml:space="preserve"> </v>
      </c>
      <c r="DI5" t="str">
        <f t="shared" si="62"/>
        <v xml:space="preserve"> </v>
      </c>
      <c r="DJ5" t="str">
        <f t="shared" si="63"/>
        <v xml:space="preserve">Forty  Five </v>
      </c>
      <c r="DK5" t="str">
        <f t="shared" si="64"/>
        <v>THOUSAND</v>
      </c>
      <c r="DL5" t="str">
        <f t="shared" si="65"/>
        <v>Six</v>
      </c>
      <c r="DM5" t="str">
        <f t="shared" si="66"/>
        <v>HUNDRED</v>
      </c>
      <c r="DN5" t="str">
        <f t="shared" si="67"/>
        <v>Eighty Eight</v>
      </c>
      <c r="DO5" t="b">
        <f t="shared" si="68"/>
        <v>0</v>
      </c>
      <c r="DP5" t="str">
        <f t="shared" si="69"/>
        <v>AND</v>
      </c>
      <c r="DQ5" t="str">
        <f t="shared" si="70"/>
        <v>AND</v>
      </c>
      <c r="DR5">
        <v>4</v>
      </c>
      <c r="DS5" t="s">
        <v>48</v>
      </c>
      <c r="DT5" t="s">
        <v>50</v>
      </c>
      <c r="DW5">
        <v>45688</v>
      </c>
      <c r="DX5" t="str">
        <f t="shared" si="71"/>
        <v>forty five thousand six hundred and eighty eight</v>
      </c>
      <c r="DY5" t="str">
        <f t="shared" si="72"/>
        <v>Forty Five THOUSAND Six HUNDRED AND Eighty Eight</v>
      </c>
      <c r="DZ5" t="str">
        <f t="shared" si="73"/>
        <v xml:space="preserve">    Forty  Five  THOUSAND Six HUNDRED AND Eighty Eight</v>
      </c>
      <c r="EA5">
        <f t="shared" si="74"/>
        <v>0.45688000000000001</v>
      </c>
      <c r="EB5">
        <f t="shared" si="75"/>
        <v>0</v>
      </c>
      <c r="EC5">
        <f t="shared" si="76"/>
        <v>45.688000000000002</v>
      </c>
      <c r="ED5">
        <f t="shared" si="77"/>
        <v>45</v>
      </c>
      <c r="EE5">
        <f t="shared" si="78"/>
        <v>45</v>
      </c>
      <c r="EF5">
        <f t="shared" si="79"/>
        <v>456.88</v>
      </c>
      <c r="EG5">
        <f t="shared" si="80"/>
        <v>456</v>
      </c>
      <c r="EH5">
        <f t="shared" si="81"/>
        <v>6</v>
      </c>
      <c r="EI5">
        <f t="shared" si="82"/>
        <v>88</v>
      </c>
      <c r="EJ5" t="str">
        <f t="shared" si="83"/>
        <v>ZERO</v>
      </c>
      <c r="EK5" t="str">
        <f t="shared" si="84"/>
        <v xml:space="preserve">Forty  Five </v>
      </c>
      <c r="EL5" t="str">
        <f t="shared" si="85"/>
        <v>Six</v>
      </c>
      <c r="EM5" t="str">
        <f t="shared" si="86"/>
        <v>Eighty Eight</v>
      </c>
      <c r="EN5" t="str">
        <f t="shared" si="87"/>
        <v xml:space="preserve"> </v>
      </c>
      <c r="EO5" t="str">
        <f t="shared" si="88"/>
        <v xml:space="preserve"> </v>
      </c>
      <c r="EP5" t="str">
        <f t="shared" si="89"/>
        <v xml:space="preserve">Forty  Five </v>
      </c>
      <c r="EQ5" t="str">
        <f t="shared" si="90"/>
        <v>THOUSAND</v>
      </c>
      <c r="ER5" t="str">
        <f t="shared" si="91"/>
        <v>Six</v>
      </c>
      <c r="ES5" t="str">
        <f t="shared" si="92"/>
        <v>HUNDRED</v>
      </c>
      <c r="ET5" t="str">
        <f t="shared" si="93"/>
        <v>Eighty Eight</v>
      </c>
      <c r="EU5" t="b">
        <f t="shared" si="94"/>
        <v>0</v>
      </c>
      <c r="EV5" t="str">
        <f t="shared" si="95"/>
        <v>AND</v>
      </c>
      <c r="EW5" t="str">
        <f t="shared" si="96"/>
        <v>AND</v>
      </c>
      <c r="EX5">
        <v>4</v>
      </c>
      <c r="EY5" t="s">
        <v>48</v>
      </c>
      <c r="EZ5" t="s">
        <v>50</v>
      </c>
      <c r="FC5">
        <v>45688</v>
      </c>
      <c r="FD5" t="str">
        <f t="shared" si="97"/>
        <v>forty five thousand six hundred and eighty eight</v>
      </c>
      <c r="FE5" t="str">
        <f t="shared" si="98"/>
        <v>Forty Five THOUSAND Six HUNDRED AND Eighty Eight</v>
      </c>
      <c r="FF5" t="str">
        <f t="shared" si="99"/>
        <v xml:space="preserve">    Forty  Five  THOUSAND Six HUNDRED AND Eighty Eight</v>
      </c>
      <c r="FG5">
        <f t="shared" si="100"/>
        <v>0.45688000000000001</v>
      </c>
      <c r="FH5">
        <f t="shared" si="101"/>
        <v>0</v>
      </c>
      <c r="FI5">
        <f t="shared" si="102"/>
        <v>45.688000000000002</v>
      </c>
      <c r="FJ5">
        <f t="shared" si="103"/>
        <v>45</v>
      </c>
      <c r="FK5">
        <f t="shared" si="104"/>
        <v>45</v>
      </c>
      <c r="FL5">
        <f t="shared" si="105"/>
        <v>456.88</v>
      </c>
      <c r="FM5">
        <f t="shared" si="106"/>
        <v>456</v>
      </c>
      <c r="FN5">
        <f t="shared" si="107"/>
        <v>6</v>
      </c>
      <c r="FO5">
        <f t="shared" si="108"/>
        <v>88</v>
      </c>
      <c r="FP5" t="str">
        <f t="shared" si="109"/>
        <v>ZERO</v>
      </c>
      <c r="FQ5" t="str">
        <f t="shared" si="110"/>
        <v xml:space="preserve">Forty  Five </v>
      </c>
      <c r="FR5" t="str">
        <f t="shared" si="111"/>
        <v>Six</v>
      </c>
      <c r="FS5" t="str">
        <f t="shared" si="112"/>
        <v>Eighty Eight</v>
      </c>
      <c r="FT5" t="str">
        <f t="shared" si="113"/>
        <v xml:space="preserve"> </v>
      </c>
      <c r="FU5" t="str">
        <f t="shared" si="114"/>
        <v xml:space="preserve"> </v>
      </c>
      <c r="FV5" t="str">
        <f t="shared" si="115"/>
        <v xml:space="preserve">Forty  Five </v>
      </c>
      <c r="FW5" t="str">
        <f t="shared" si="116"/>
        <v>THOUSAND</v>
      </c>
      <c r="FX5" t="str">
        <f t="shared" si="117"/>
        <v>Six</v>
      </c>
      <c r="FY5" t="str">
        <f t="shared" si="118"/>
        <v>HUNDRED</v>
      </c>
      <c r="FZ5" t="str">
        <f t="shared" si="119"/>
        <v>Eighty Eight</v>
      </c>
      <c r="GA5" t="b">
        <f t="shared" si="120"/>
        <v>0</v>
      </c>
      <c r="GB5" t="str">
        <f t="shared" si="121"/>
        <v>AND</v>
      </c>
      <c r="GC5" t="str">
        <f t="shared" si="122"/>
        <v>AND</v>
      </c>
      <c r="GD5">
        <v>4</v>
      </c>
      <c r="GE5" t="s">
        <v>48</v>
      </c>
      <c r="GF5" t="s">
        <v>50</v>
      </c>
      <c r="GI5">
        <v>45688</v>
      </c>
      <c r="GJ5" t="str">
        <f t="shared" si="123"/>
        <v>forty five thousand six hundred and eighty eight</v>
      </c>
      <c r="GK5" t="str">
        <f t="shared" si="124"/>
        <v>Forty Five THOUSAND Six HUNDRED AND Eighty Eight</v>
      </c>
      <c r="GL5" t="str">
        <f t="shared" si="125"/>
        <v xml:space="preserve">    Forty  Five  THOUSAND Six HUNDRED AND Eighty Eight</v>
      </c>
      <c r="GM5">
        <f t="shared" si="126"/>
        <v>0.45688000000000001</v>
      </c>
      <c r="GN5">
        <f t="shared" si="127"/>
        <v>0</v>
      </c>
      <c r="GO5">
        <f t="shared" si="128"/>
        <v>45.688000000000002</v>
      </c>
      <c r="GP5">
        <f t="shared" si="129"/>
        <v>45</v>
      </c>
      <c r="GQ5">
        <f t="shared" si="130"/>
        <v>45</v>
      </c>
      <c r="GR5">
        <f t="shared" si="131"/>
        <v>456.88</v>
      </c>
      <c r="GS5">
        <f t="shared" si="132"/>
        <v>456</v>
      </c>
      <c r="GT5">
        <f t="shared" si="133"/>
        <v>6</v>
      </c>
      <c r="GU5">
        <f t="shared" si="134"/>
        <v>88</v>
      </c>
      <c r="GV5" t="str">
        <f t="shared" si="135"/>
        <v>ZERO</v>
      </c>
      <c r="GW5" t="str">
        <f t="shared" si="136"/>
        <v xml:space="preserve">Forty  Five </v>
      </c>
      <c r="GX5" t="str">
        <f t="shared" si="137"/>
        <v>Six</v>
      </c>
      <c r="GY5" t="str">
        <f t="shared" si="138"/>
        <v>Eighty Eight</v>
      </c>
      <c r="GZ5" t="str">
        <f t="shared" si="139"/>
        <v xml:space="preserve"> </v>
      </c>
      <c r="HA5" t="str">
        <f t="shared" si="140"/>
        <v xml:space="preserve"> </v>
      </c>
      <c r="HB5" t="str">
        <f t="shared" si="141"/>
        <v xml:space="preserve">Forty  Five </v>
      </c>
      <c r="HC5" t="str">
        <f t="shared" si="142"/>
        <v>THOUSAND</v>
      </c>
      <c r="HD5" t="str">
        <f t="shared" si="143"/>
        <v>Six</v>
      </c>
      <c r="HE5" t="str">
        <f t="shared" si="144"/>
        <v>HUNDRED</v>
      </c>
      <c r="HF5" t="str">
        <f t="shared" si="145"/>
        <v>Eighty Eight</v>
      </c>
      <c r="HG5" t="b">
        <f t="shared" si="146"/>
        <v>0</v>
      </c>
      <c r="HH5" t="str">
        <f t="shared" si="147"/>
        <v>AND</v>
      </c>
      <c r="HI5" t="str">
        <f t="shared" si="148"/>
        <v>AND</v>
      </c>
      <c r="HJ5">
        <v>4</v>
      </c>
      <c r="HK5" t="s">
        <v>48</v>
      </c>
      <c r="HL5" t="s">
        <v>50</v>
      </c>
      <c r="HO5">
        <v>45688</v>
      </c>
      <c r="HP5" t="str">
        <f t="shared" si="149"/>
        <v>forty five thousand six hundred and eighty eight</v>
      </c>
      <c r="HQ5" t="str">
        <f t="shared" si="150"/>
        <v>Forty Five THOUSAND Six HUNDRED AND Eighty Eight</v>
      </c>
      <c r="HR5" t="str">
        <f t="shared" si="151"/>
        <v xml:space="preserve">    Forty  Five  THOUSAND Six HUNDRED AND Eighty Eight</v>
      </c>
      <c r="HS5">
        <f t="shared" si="152"/>
        <v>0.45688000000000001</v>
      </c>
      <c r="HT5">
        <f t="shared" si="153"/>
        <v>0</v>
      </c>
      <c r="HU5">
        <f t="shared" si="154"/>
        <v>45.688000000000002</v>
      </c>
      <c r="HV5">
        <f t="shared" si="155"/>
        <v>45</v>
      </c>
      <c r="HW5">
        <f t="shared" si="156"/>
        <v>45</v>
      </c>
      <c r="HX5">
        <f t="shared" si="157"/>
        <v>456.88</v>
      </c>
      <c r="HY5">
        <f t="shared" si="158"/>
        <v>456</v>
      </c>
      <c r="HZ5">
        <f t="shared" si="159"/>
        <v>6</v>
      </c>
      <c r="IA5">
        <f t="shared" si="160"/>
        <v>88</v>
      </c>
      <c r="IB5" t="str">
        <f t="shared" si="161"/>
        <v>ZERO</v>
      </c>
      <c r="IC5" t="str">
        <f t="shared" si="162"/>
        <v xml:space="preserve">Forty  Five </v>
      </c>
      <c r="ID5" t="str">
        <f t="shared" si="163"/>
        <v>Six</v>
      </c>
      <c r="IE5" t="str">
        <f t="shared" si="164"/>
        <v>Eighty Eight</v>
      </c>
      <c r="IF5" t="str">
        <f t="shared" si="165"/>
        <v xml:space="preserve"> </v>
      </c>
      <c r="IG5" t="str">
        <f t="shared" si="166"/>
        <v xml:space="preserve"> </v>
      </c>
      <c r="IH5" t="str">
        <f t="shared" si="167"/>
        <v xml:space="preserve">Forty  Five </v>
      </c>
      <c r="II5" t="str">
        <f t="shared" si="168"/>
        <v>THOUSAND</v>
      </c>
      <c r="IJ5" t="str">
        <f t="shared" si="169"/>
        <v>Six</v>
      </c>
      <c r="IK5" t="str">
        <f t="shared" si="170"/>
        <v>HUNDRED</v>
      </c>
      <c r="IL5" t="str">
        <f t="shared" si="171"/>
        <v>Eighty Eight</v>
      </c>
      <c r="IM5" t="b">
        <f t="shared" si="172"/>
        <v>0</v>
      </c>
      <c r="IN5" t="str">
        <f t="shared" si="173"/>
        <v>AND</v>
      </c>
      <c r="IO5" t="str">
        <f t="shared" si="174"/>
        <v>AND</v>
      </c>
      <c r="IP5">
        <v>4</v>
      </c>
      <c r="IQ5" t="s">
        <v>48</v>
      </c>
      <c r="IR5" t="s">
        <v>50</v>
      </c>
      <c r="IU5">
        <v>45688</v>
      </c>
      <c r="IV5" t="e">
        <f>LOWER(#REF!)</f>
        <v>#REF!</v>
      </c>
    </row>
    <row r="6" spans="1:256">
      <c r="A6" s="9"/>
      <c r="B6" s="18" t="str">
        <f t="shared" si="175"/>
        <v xml:space="preserve">               </v>
      </c>
      <c r="C6" s="18">
        <f t="shared" si="0"/>
        <v>0</v>
      </c>
      <c r="D6" s="18">
        <f t="shared" si="1"/>
        <v>0</v>
      </c>
      <c r="E6" s="18">
        <f t="shared" si="2"/>
        <v>0</v>
      </c>
      <c r="F6" s="18">
        <f t="shared" si="3"/>
        <v>0</v>
      </c>
      <c r="G6" s="18">
        <f t="shared" si="4"/>
        <v>0</v>
      </c>
      <c r="H6" s="18">
        <f t="shared" si="5"/>
        <v>0</v>
      </c>
      <c r="I6" s="18">
        <f t="shared" si="6"/>
        <v>0</v>
      </c>
      <c r="J6" s="18">
        <f t="shared" si="7"/>
        <v>0</v>
      </c>
      <c r="K6" s="18">
        <f t="shared" si="8"/>
        <v>0</v>
      </c>
      <c r="L6" t="str">
        <f t="shared" si="9"/>
        <v>Zero</v>
      </c>
      <c r="M6" t="str">
        <f t="shared" si="10"/>
        <v>Zero</v>
      </c>
      <c r="N6" t="str">
        <f t="shared" si="11"/>
        <v>Zero</v>
      </c>
      <c r="O6" t="str">
        <f t="shared" si="12"/>
        <v>Zero</v>
      </c>
      <c r="P6" t="str">
        <f t="shared" si="13"/>
        <v xml:space="preserve"> </v>
      </c>
      <c r="Q6" t="str">
        <f t="shared" si="176"/>
        <v xml:space="preserve"> </v>
      </c>
      <c r="R6" t="str">
        <f t="shared" si="14"/>
        <v xml:space="preserve"> </v>
      </c>
      <c r="S6" t="str">
        <f t="shared" si="177"/>
        <v xml:space="preserve"> </v>
      </c>
      <c r="T6" s="18" t="str">
        <f t="shared" si="15"/>
        <v xml:space="preserve"> </v>
      </c>
      <c r="U6" s="18" t="str">
        <f t="shared" si="178"/>
        <v xml:space="preserve"> </v>
      </c>
      <c r="V6" s="18" t="str">
        <f t="shared" si="16"/>
        <v xml:space="preserve"> </v>
      </c>
      <c r="W6" s="19" t="b">
        <f t="shared" si="17"/>
        <v>1</v>
      </c>
      <c r="X6" s="19" t="str">
        <f t="shared" si="179"/>
        <v xml:space="preserve"> </v>
      </c>
      <c r="Y6" s="18" t="str">
        <f t="shared" si="18"/>
        <v xml:space="preserve"> </v>
      </c>
      <c r="Z6">
        <v>5</v>
      </c>
      <c r="AA6" s="15" t="s">
        <v>51</v>
      </c>
      <c r="AB6" s="15"/>
      <c r="BK6">
        <v>45689</v>
      </c>
      <c r="BL6" t="str">
        <f t="shared" si="19"/>
        <v>forty five thousand six hundred and eighty nine</v>
      </c>
      <c r="BM6" t="str">
        <f t="shared" si="20"/>
        <v>Forty Five THOUSAND Six HUNDRED AND Eighty Nine</v>
      </c>
      <c r="BN6" t="str">
        <f t="shared" si="21"/>
        <v xml:space="preserve">    Forty  Five  THOUSAND Six HUNDRED AND Eighty Nine</v>
      </c>
      <c r="BO6">
        <f t="shared" si="22"/>
        <v>0.45689000000000002</v>
      </c>
      <c r="BP6">
        <f t="shared" si="23"/>
        <v>0</v>
      </c>
      <c r="BQ6">
        <f t="shared" si="24"/>
        <v>45.689</v>
      </c>
      <c r="BR6">
        <f t="shared" si="25"/>
        <v>45</v>
      </c>
      <c r="BS6">
        <f t="shared" si="26"/>
        <v>45</v>
      </c>
      <c r="BT6">
        <f t="shared" si="27"/>
        <v>456.89</v>
      </c>
      <c r="BU6">
        <f t="shared" si="28"/>
        <v>456</v>
      </c>
      <c r="BV6">
        <f t="shared" si="29"/>
        <v>6</v>
      </c>
      <c r="BW6">
        <f t="shared" si="30"/>
        <v>89</v>
      </c>
      <c r="BX6" t="str">
        <f t="shared" si="31"/>
        <v>ZERO</v>
      </c>
      <c r="BY6" t="str">
        <f t="shared" si="32"/>
        <v xml:space="preserve">Forty  Five </v>
      </c>
      <c r="BZ6" t="str">
        <f t="shared" si="33"/>
        <v>Six</v>
      </c>
      <c r="CA6" t="str">
        <f t="shared" si="34"/>
        <v>Eighty Nine</v>
      </c>
      <c r="CB6" t="str">
        <f t="shared" si="35"/>
        <v xml:space="preserve"> </v>
      </c>
      <c r="CC6" t="str">
        <f t="shared" si="36"/>
        <v xml:space="preserve"> </v>
      </c>
      <c r="CD6" t="str">
        <f t="shared" si="37"/>
        <v xml:space="preserve">Forty  Five </v>
      </c>
      <c r="CE6" t="str">
        <f t="shared" si="38"/>
        <v>THOUSAND</v>
      </c>
      <c r="CF6" t="str">
        <f t="shared" si="39"/>
        <v>Six</v>
      </c>
      <c r="CG6" t="str">
        <f t="shared" si="40"/>
        <v>HUNDRED</v>
      </c>
      <c r="CH6" t="str">
        <f t="shared" si="41"/>
        <v>Eighty Nine</v>
      </c>
      <c r="CI6" t="b">
        <f t="shared" si="42"/>
        <v>0</v>
      </c>
      <c r="CJ6" t="str">
        <f t="shared" si="43"/>
        <v>AND</v>
      </c>
      <c r="CK6" t="str">
        <f t="shared" si="44"/>
        <v>AND</v>
      </c>
      <c r="CL6">
        <v>5</v>
      </c>
      <c r="CM6" t="s">
        <v>52</v>
      </c>
      <c r="CQ6">
        <v>45689</v>
      </c>
      <c r="CR6" t="str">
        <f t="shared" si="45"/>
        <v>forty five thousand six hundred and eighty nine</v>
      </c>
      <c r="CS6" t="str">
        <f t="shared" si="46"/>
        <v>Forty Five THOUSAND Six HUNDRED AND Eighty Nine</v>
      </c>
      <c r="CT6" t="str">
        <f t="shared" si="47"/>
        <v xml:space="preserve">    Forty  Five  THOUSAND Six HUNDRED AND Eighty Nine</v>
      </c>
      <c r="CU6">
        <f t="shared" si="48"/>
        <v>0.45689000000000002</v>
      </c>
      <c r="CV6">
        <f t="shared" si="49"/>
        <v>0</v>
      </c>
      <c r="CW6">
        <f t="shared" si="50"/>
        <v>45.689</v>
      </c>
      <c r="CX6">
        <f t="shared" si="51"/>
        <v>45</v>
      </c>
      <c r="CY6">
        <f t="shared" si="52"/>
        <v>45</v>
      </c>
      <c r="CZ6">
        <f t="shared" si="53"/>
        <v>456.89</v>
      </c>
      <c r="DA6">
        <f t="shared" si="54"/>
        <v>456</v>
      </c>
      <c r="DB6">
        <f t="shared" si="55"/>
        <v>6</v>
      </c>
      <c r="DC6">
        <f t="shared" si="56"/>
        <v>89</v>
      </c>
      <c r="DD6" t="str">
        <f t="shared" si="57"/>
        <v>ZERO</v>
      </c>
      <c r="DE6" t="str">
        <f t="shared" si="58"/>
        <v xml:space="preserve">Forty  Five </v>
      </c>
      <c r="DF6" t="str">
        <f t="shared" si="59"/>
        <v>Six</v>
      </c>
      <c r="DG6" t="str">
        <f t="shared" si="60"/>
        <v>Eighty Nine</v>
      </c>
      <c r="DH6" t="str">
        <f t="shared" si="61"/>
        <v xml:space="preserve"> </v>
      </c>
      <c r="DI6" t="str">
        <f t="shared" si="62"/>
        <v xml:space="preserve"> </v>
      </c>
      <c r="DJ6" t="str">
        <f t="shared" si="63"/>
        <v xml:space="preserve">Forty  Five </v>
      </c>
      <c r="DK6" t="str">
        <f t="shared" si="64"/>
        <v>THOUSAND</v>
      </c>
      <c r="DL6" t="str">
        <f t="shared" si="65"/>
        <v>Six</v>
      </c>
      <c r="DM6" t="str">
        <f t="shared" si="66"/>
        <v>HUNDRED</v>
      </c>
      <c r="DN6" t="str">
        <f t="shared" si="67"/>
        <v>Eighty Nine</v>
      </c>
      <c r="DO6" t="b">
        <f t="shared" si="68"/>
        <v>0</v>
      </c>
      <c r="DP6" t="str">
        <f t="shared" si="69"/>
        <v>AND</v>
      </c>
      <c r="DQ6" t="str">
        <f t="shared" si="70"/>
        <v>AND</v>
      </c>
      <c r="DR6">
        <v>5</v>
      </c>
      <c r="DS6" t="s">
        <v>52</v>
      </c>
      <c r="DW6">
        <v>45689</v>
      </c>
      <c r="DX6" t="str">
        <f t="shared" si="71"/>
        <v>forty five thousand six hundred and eighty nine</v>
      </c>
      <c r="DY6" t="str">
        <f t="shared" si="72"/>
        <v>Forty Five THOUSAND Six HUNDRED AND Eighty Nine</v>
      </c>
      <c r="DZ6" t="str">
        <f t="shared" si="73"/>
        <v xml:space="preserve">    Forty  Five  THOUSAND Six HUNDRED AND Eighty Nine</v>
      </c>
      <c r="EA6">
        <f t="shared" si="74"/>
        <v>0.45689000000000002</v>
      </c>
      <c r="EB6">
        <f t="shared" si="75"/>
        <v>0</v>
      </c>
      <c r="EC6">
        <f t="shared" si="76"/>
        <v>45.689</v>
      </c>
      <c r="ED6">
        <f t="shared" si="77"/>
        <v>45</v>
      </c>
      <c r="EE6">
        <f t="shared" si="78"/>
        <v>45</v>
      </c>
      <c r="EF6">
        <f t="shared" si="79"/>
        <v>456.89</v>
      </c>
      <c r="EG6">
        <f t="shared" si="80"/>
        <v>456</v>
      </c>
      <c r="EH6">
        <f t="shared" si="81"/>
        <v>6</v>
      </c>
      <c r="EI6">
        <f t="shared" si="82"/>
        <v>89</v>
      </c>
      <c r="EJ6" t="str">
        <f t="shared" si="83"/>
        <v>ZERO</v>
      </c>
      <c r="EK6" t="str">
        <f t="shared" si="84"/>
        <v xml:space="preserve">Forty  Five </v>
      </c>
      <c r="EL6" t="str">
        <f t="shared" si="85"/>
        <v>Six</v>
      </c>
      <c r="EM6" t="str">
        <f t="shared" si="86"/>
        <v>Eighty Nine</v>
      </c>
      <c r="EN6" t="str">
        <f t="shared" si="87"/>
        <v xml:space="preserve"> </v>
      </c>
      <c r="EO6" t="str">
        <f t="shared" si="88"/>
        <v xml:space="preserve"> </v>
      </c>
      <c r="EP6" t="str">
        <f t="shared" si="89"/>
        <v xml:space="preserve">Forty  Five </v>
      </c>
      <c r="EQ6" t="str">
        <f t="shared" si="90"/>
        <v>THOUSAND</v>
      </c>
      <c r="ER6" t="str">
        <f t="shared" si="91"/>
        <v>Six</v>
      </c>
      <c r="ES6" t="str">
        <f t="shared" si="92"/>
        <v>HUNDRED</v>
      </c>
      <c r="ET6" t="str">
        <f t="shared" si="93"/>
        <v>Eighty Nine</v>
      </c>
      <c r="EU6" t="b">
        <f t="shared" si="94"/>
        <v>0</v>
      </c>
      <c r="EV6" t="str">
        <f t="shared" si="95"/>
        <v>AND</v>
      </c>
      <c r="EW6" t="str">
        <f t="shared" si="96"/>
        <v>AND</v>
      </c>
      <c r="EX6">
        <v>5</v>
      </c>
      <c r="EY6" t="s">
        <v>52</v>
      </c>
      <c r="FC6">
        <v>45689</v>
      </c>
      <c r="FD6" t="str">
        <f t="shared" si="97"/>
        <v>forty five thousand six hundred and eighty nine</v>
      </c>
      <c r="FE6" t="str">
        <f t="shared" si="98"/>
        <v>Forty Five THOUSAND Six HUNDRED AND Eighty Nine</v>
      </c>
      <c r="FF6" t="str">
        <f t="shared" si="99"/>
        <v xml:space="preserve">    Forty  Five  THOUSAND Six HUNDRED AND Eighty Nine</v>
      </c>
      <c r="FG6">
        <f t="shared" si="100"/>
        <v>0.45689000000000002</v>
      </c>
      <c r="FH6">
        <f t="shared" si="101"/>
        <v>0</v>
      </c>
      <c r="FI6">
        <f t="shared" si="102"/>
        <v>45.689</v>
      </c>
      <c r="FJ6">
        <f t="shared" si="103"/>
        <v>45</v>
      </c>
      <c r="FK6">
        <f t="shared" si="104"/>
        <v>45</v>
      </c>
      <c r="FL6">
        <f t="shared" si="105"/>
        <v>456.89</v>
      </c>
      <c r="FM6">
        <f t="shared" si="106"/>
        <v>456</v>
      </c>
      <c r="FN6">
        <f t="shared" si="107"/>
        <v>6</v>
      </c>
      <c r="FO6">
        <f t="shared" si="108"/>
        <v>89</v>
      </c>
      <c r="FP6" t="str">
        <f t="shared" si="109"/>
        <v>ZERO</v>
      </c>
      <c r="FQ6" t="str">
        <f t="shared" si="110"/>
        <v xml:space="preserve">Forty  Five </v>
      </c>
      <c r="FR6" t="str">
        <f t="shared" si="111"/>
        <v>Six</v>
      </c>
      <c r="FS6" t="str">
        <f t="shared" si="112"/>
        <v>Eighty Nine</v>
      </c>
      <c r="FT6" t="str">
        <f t="shared" si="113"/>
        <v xml:space="preserve"> </v>
      </c>
      <c r="FU6" t="str">
        <f t="shared" si="114"/>
        <v xml:space="preserve"> </v>
      </c>
      <c r="FV6" t="str">
        <f t="shared" si="115"/>
        <v xml:space="preserve">Forty  Five </v>
      </c>
      <c r="FW6" t="str">
        <f t="shared" si="116"/>
        <v>THOUSAND</v>
      </c>
      <c r="FX6" t="str">
        <f t="shared" si="117"/>
        <v>Six</v>
      </c>
      <c r="FY6" t="str">
        <f t="shared" si="118"/>
        <v>HUNDRED</v>
      </c>
      <c r="FZ6" t="str">
        <f t="shared" si="119"/>
        <v>Eighty Nine</v>
      </c>
      <c r="GA6" t="b">
        <f t="shared" si="120"/>
        <v>0</v>
      </c>
      <c r="GB6" t="str">
        <f t="shared" si="121"/>
        <v>AND</v>
      </c>
      <c r="GC6" t="str">
        <f t="shared" si="122"/>
        <v>AND</v>
      </c>
      <c r="GD6">
        <v>5</v>
      </c>
      <c r="GE6" t="s">
        <v>52</v>
      </c>
      <c r="GI6">
        <v>45689</v>
      </c>
      <c r="GJ6" t="str">
        <f t="shared" si="123"/>
        <v>forty five thousand six hundred and eighty nine</v>
      </c>
      <c r="GK6" t="str">
        <f t="shared" si="124"/>
        <v>Forty Five THOUSAND Six HUNDRED AND Eighty Nine</v>
      </c>
      <c r="GL6" t="str">
        <f t="shared" si="125"/>
        <v xml:space="preserve">    Forty  Five  THOUSAND Six HUNDRED AND Eighty Nine</v>
      </c>
      <c r="GM6">
        <f t="shared" si="126"/>
        <v>0.45689000000000002</v>
      </c>
      <c r="GN6">
        <f t="shared" si="127"/>
        <v>0</v>
      </c>
      <c r="GO6">
        <f t="shared" si="128"/>
        <v>45.689</v>
      </c>
      <c r="GP6">
        <f t="shared" si="129"/>
        <v>45</v>
      </c>
      <c r="GQ6">
        <f t="shared" si="130"/>
        <v>45</v>
      </c>
      <c r="GR6">
        <f t="shared" si="131"/>
        <v>456.89</v>
      </c>
      <c r="GS6">
        <f t="shared" si="132"/>
        <v>456</v>
      </c>
      <c r="GT6">
        <f t="shared" si="133"/>
        <v>6</v>
      </c>
      <c r="GU6">
        <f t="shared" si="134"/>
        <v>89</v>
      </c>
      <c r="GV6" t="str">
        <f t="shared" si="135"/>
        <v>ZERO</v>
      </c>
      <c r="GW6" t="str">
        <f t="shared" si="136"/>
        <v xml:space="preserve">Forty  Five </v>
      </c>
      <c r="GX6" t="str">
        <f t="shared" si="137"/>
        <v>Six</v>
      </c>
      <c r="GY6" t="str">
        <f t="shared" si="138"/>
        <v>Eighty Nine</v>
      </c>
      <c r="GZ6" t="str">
        <f t="shared" si="139"/>
        <v xml:space="preserve"> </v>
      </c>
      <c r="HA6" t="str">
        <f t="shared" si="140"/>
        <v xml:space="preserve"> </v>
      </c>
      <c r="HB6" t="str">
        <f t="shared" si="141"/>
        <v xml:space="preserve">Forty  Five </v>
      </c>
      <c r="HC6" t="str">
        <f t="shared" si="142"/>
        <v>THOUSAND</v>
      </c>
      <c r="HD6" t="str">
        <f t="shared" si="143"/>
        <v>Six</v>
      </c>
      <c r="HE6" t="str">
        <f t="shared" si="144"/>
        <v>HUNDRED</v>
      </c>
      <c r="HF6" t="str">
        <f t="shared" si="145"/>
        <v>Eighty Nine</v>
      </c>
      <c r="HG6" t="b">
        <f t="shared" si="146"/>
        <v>0</v>
      </c>
      <c r="HH6" t="str">
        <f t="shared" si="147"/>
        <v>AND</v>
      </c>
      <c r="HI6" t="str">
        <f t="shared" si="148"/>
        <v>AND</v>
      </c>
      <c r="HJ6">
        <v>5</v>
      </c>
      <c r="HK6" t="s">
        <v>52</v>
      </c>
      <c r="HO6">
        <v>45689</v>
      </c>
      <c r="HP6" t="str">
        <f t="shared" si="149"/>
        <v>forty five thousand six hundred and eighty nine</v>
      </c>
      <c r="HQ6" t="str">
        <f t="shared" si="150"/>
        <v>Forty Five THOUSAND Six HUNDRED AND Eighty Nine</v>
      </c>
      <c r="HR6" t="str">
        <f t="shared" si="151"/>
        <v xml:space="preserve">    Forty  Five  THOUSAND Six HUNDRED AND Eighty Nine</v>
      </c>
      <c r="HS6">
        <f t="shared" si="152"/>
        <v>0.45689000000000002</v>
      </c>
      <c r="HT6">
        <f t="shared" si="153"/>
        <v>0</v>
      </c>
      <c r="HU6">
        <f t="shared" si="154"/>
        <v>45.689</v>
      </c>
      <c r="HV6">
        <f t="shared" si="155"/>
        <v>45</v>
      </c>
      <c r="HW6">
        <f t="shared" si="156"/>
        <v>45</v>
      </c>
      <c r="HX6">
        <f t="shared" si="157"/>
        <v>456.89</v>
      </c>
      <c r="HY6">
        <f t="shared" si="158"/>
        <v>456</v>
      </c>
      <c r="HZ6">
        <f t="shared" si="159"/>
        <v>6</v>
      </c>
      <c r="IA6">
        <f t="shared" si="160"/>
        <v>89</v>
      </c>
      <c r="IB6" t="str">
        <f t="shared" si="161"/>
        <v>ZERO</v>
      </c>
      <c r="IC6" t="str">
        <f t="shared" si="162"/>
        <v xml:space="preserve">Forty  Five </v>
      </c>
      <c r="ID6" t="str">
        <f t="shared" si="163"/>
        <v>Six</v>
      </c>
      <c r="IE6" t="str">
        <f t="shared" si="164"/>
        <v>Eighty Nine</v>
      </c>
      <c r="IF6" t="str">
        <f t="shared" si="165"/>
        <v xml:space="preserve"> </v>
      </c>
      <c r="IG6" t="str">
        <f t="shared" si="166"/>
        <v xml:space="preserve"> </v>
      </c>
      <c r="IH6" t="str">
        <f t="shared" si="167"/>
        <v xml:space="preserve">Forty  Five </v>
      </c>
      <c r="II6" t="str">
        <f t="shared" si="168"/>
        <v>THOUSAND</v>
      </c>
      <c r="IJ6" t="str">
        <f t="shared" si="169"/>
        <v>Six</v>
      </c>
      <c r="IK6" t="str">
        <f t="shared" si="170"/>
        <v>HUNDRED</v>
      </c>
      <c r="IL6" t="str">
        <f t="shared" si="171"/>
        <v>Eighty Nine</v>
      </c>
      <c r="IM6" t="b">
        <f t="shared" si="172"/>
        <v>0</v>
      </c>
      <c r="IN6" t="str">
        <f t="shared" si="173"/>
        <v>AND</v>
      </c>
      <c r="IO6" t="str">
        <f t="shared" si="174"/>
        <v>AND</v>
      </c>
      <c r="IP6">
        <v>5</v>
      </c>
      <c r="IQ6" t="s">
        <v>52</v>
      </c>
      <c r="IU6">
        <v>45689</v>
      </c>
      <c r="IV6" t="e">
        <f>LOWER(#REF!)</f>
        <v>#REF!</v>
      </c>
    </row>
    <row r="7" spans="1:256">
      <c r="A7" s="9"/>
      <c r="B7" s="18" t="str">
        <f t="shared" si="175"/>
        <v xml:space="preserve">               </v>
      </c>
      <c r="C7" s="18">
        <f t="shared" si="0"/>
        <v>0</v>
      </c>
      <c r="D7" s="18">
        <f t="shared" si="1"/>
        <v>0</v>
      </c>
      <c r="E7" s="18">
        <f t="shared" si="2"/>
        <v>0</v>
      </c>
      <c r="F7" s="18">
        <f t="shared" si="3"/>
        <v>0</v>
      </c>
      <c r="G7" s="18">
        <f t="shared" si="4"/>
        <v>0</v>
      </c>
      <c r="H7" s="18">
        <f t="shared" si="5"/>
        <v>0</v>
      </c>
      <c r="I7" s="18">
        <f t="shared" si="6"/>
        <v>0</v>
      </c>
      <c r="J7" s="18">
        <f t="shared" si="7"/>
        <v>0</v>
      </c>
      <c r="K7" s="18">
        <f t="shared" si="8"/>
        <v>0</v>
      </c>
      <c r="L7" t="str">
        <f t="shared" si="9"/>
        <v>Zero</v>
      </c>
      <c r="M7" t="str">
        <f t="shared" si="10"/>
        <v>Zero</v>
      </c>
      <c r="N7" t="str">
        <f t="shared" si="11"/>
        <v>Zero</v>
      </c>
      <c r="O7" t="str">
        <f t="shared" si="12"/>
        <v>Zero</v>
      </c>
      <c r="P7" t="str">
        <f t="shared" si="13"/>
        <v xml:space="preserve"> </v>
      </c>
      <c r="Q7" t="str">
        <f t="shared" si="176"/>
        <v xml:space="preserve"> </v>
      </c>
      <c r="R7" t="str">
        <f t="shared" si="14"/>
        <v xml:space="preserve"> </v>
      </c>
      <c r="S7" t="str">
        <f t="shared" si="177"/>
        <v xml:space="preserve"> </v>
      </c>
      <c r="T7" s="18" t="str">
        <f t="shared" si="15"/>
        <v xml:space="preserve"> </v>
      </c>
      <c r="U7" s="18" t="str">
        <f t="shared" si="178"/>
        <v xml:space="preserve"> </v>
      </c>
      <c r="V7" s="18" t="str">
        <f t="shared" si="16"/>
        <v xml:space="preserve"> </v>
      </c>
      <c r="W7" s="19" t="b">
        <f t="shared" si="17"/>
        <v>1</v>
      </c>
      <c r="X7" s="19" t="str">
        <f t="shared" si="179"/>
        <v xml:space="preserve"> </v>
      </c>
      <c r="Y7" s="18" t="str">
        <f t="shared" si="18"/>
        <v xml:space="preserve"> </v>
      </c>
      <c r="Z7">
        <v>6</v>
      </c>
      <c r="AA7" s="15" t="s">
        <v>53</v>
      </c>
      <c r="AB7" s="15"/>
      <c r="BK7">
        <v>45690</v>
      </c>
      <c r="BL7" t="str">
        <f t="shared" si="19"/>
        <v>forty five thousand six hundred and ninety</v>
      </c>
      <c r="BM7" t="str">
        <f t="shared" si="20"/>
        <v>Forty Five THOUSAND Six HUNDRED AND Ninety</v>
      </c>
      <c r="BN7" t="str">
        <f t="shared" si="21"/>
        <v xml:space="preserve">    Forty  Five  THOUSAND Six HUNDRED AND Ninety</v>
      </c>
      <c r="BO7">
        <f t="shared" si="22"/>
        <v>0.45689999999999997</v>
      </c>
      <c r="BP7">
        <f t="shared" si="23"/>
        <v>0</v>
      </c>
      <c r="BQ7">
        <f t="shared" si="24"/>
        <v>45.69</v>
      </c>
      <c r="BR7">
        <f t="shared" si="25"/>
        <v>45</v>
      </c>
      <c r="BS7">
        <f t="shared" si="26"/>
        <v>45</v>
      </c>
      <c r="BT7">
        <f t="shared" si="27"/>
        <v>456.9</v>
      </c>
      <c r="BU7">
        <f t="shared" si="28"/>
        <v>456</v>
      </c>
      <c r="BV7">
        <f t="shared" si="29"/>
        <v>6</v>
      </c>
      <c r="BW7">
        <f t="shared" si="30"/>
        <v>90</v>
      </c>
      <c r="BX7" t="str">
        <f t="shared" si="31"/>
        <v>ZERO</v>
      </c>
      <c r="BY7" t="str">
        <f t="shared" si="32"/>
        <v xml:space="preserve">Forty  Five </v>
      </c>
      <c r="BZ7" t="str">
        <f t="shared" si="33"/>
        <v>Six</v>
      </c>
      <c r="CA7" t="str">
        <f t="shared" si="34"/>
        <v>Ninety</v>
      </c>
      <c r="CB7" t="str">
        <f t="shared" si="35"/>
        <v xml:space="preserve"> </v>
      </c>
      <c r="CC7" t="str">
        <f t="shared" si="36"/>
        <v xml:space="preserve"> </v>
      </c>
      <c r="CD7" t="str">
        <f t="shared" si="37"/>
        <v xml:space="preserve">Forty  Five </v>
      </c>
      <c r="CE7" t="str">
        <f t="shared" si="38"/>
        <v>THOUSAND</v>
      </c>
      <c r="CF7" t="str">
        <f t="shared" si="39"/>
        <v>Six</v>
      </c>
      <c r="CG7" t="str">
        <f t="shared" si="40"/>
        <v>HUNDRED</v>
      </c>
      <c r="CH7" t="str">
        <f t="shared" si="41"/>
        <v>Ninety</v>
      </c>
      <c r="CI7" t="b">
        <f t="shared" si="42"/>
        <v>0</v>
      </c>
      <c r="CJ7" t="str">
        <f t="shared" si="43"/>
        <v>AND</v>
      </c>
      <c r="CK7" t="str">
        <f t="shared" si="44"/>
        <v>AND</v>
      </c>
      <c r="CL7">
        <v>6</v>
      </c>
      <c r="CM7" t="s">
        <v>53</v>
      </c>
      <c r="CQ7">
        <v>45690</v>
      </c>
      <c r="CR7" t="str">
        <f t="shared" si="45"/>
        <v>forty five thousand six hundred and ninety</v>
      </c>
      <c r="CS7" t="str">
        <f t="shared" si="46"/>
        <v>Forty Five THOUSAND Six HUNDRED AND Ninety</v>
      </c>
      <c r="CT7" t="str">
        <f t="shared" si="47"/>
        <v xml:space="preserve">    Forty  Five  THOUSAND Six HUNDRED AND Ninety</v>
      </c>
      <c r="CU7">
        <f t="shared" si="48"/>
        <v>0.45689999999999997</v>
      </c>
      <c r="CV7">
        <f t="shared" si="49"/>
        <v>0</v>
      </c>
      <c r="CW7">
        <f t="shared" si="50"/>
        <v>45.69</v>
      </c>
      <c r="CX7">
        <f t="shared" si="51"/>
        <v>45</v>
      </c>
      <c r="CY7">
        <f t="shared" si="52"/>
        <v>45</v>
      </c>
      <c r="CZ7">
        <f t="shared" si="53"/>
        <v>456.9</v>
      </c>
      <c r="DA7">
        <f t="shared" si="54"/>
        <v>456</v>
      </c>
      <c r="DB7">
        <f t="shared" si="55"/>
        <v>6</v>
      </c>
      <c r="DC7">
        <f t="shared" si="56"/>
        <v>90</v>
      </c>
      <c r="DD7" t="str">
        <f t="shared" si="57"/>
        <v>ZERO</v>
      </c>
      <c r="DE7" t="str">
        <f t="shared" si="58"/>
        <v xml:space="preserve">Forty  Five </v>
      </c>
      <c r="DF7" t="str">
        <f t="shared" si="59"/>
        <v>Six</v>
      </c>
      <c r="DG7" t="str">
        <f t="shared" si="60"/>
        <v>Ninety</v>
      </c>
      <c r="DH7" t="str">
        <f t="shared" si="61"/>
        <v xml:space="preserve"> </v>
      </c>
      <c r="DI7" t="str">
        <f t="shared" si="62"/>
        <v xml:space="preserve"> </v>
      </c>
      <c r="DJ7" t="str">
        <f t="shared" si="63"/>
        <v xml:space="preserve">Forty  Five </v>
      </c>
      <c r="DK7" t="str">
        <f t="shared" si="64"/>
        <v>THOUSAND</v>
      </c>
      <c r="DL7" t="str">
        <f t="shared" si="65"/>
        <v>Six</v>
      </c>
      <c r="DM7" t="str">
        <f t="shared" si="66"/>
        <v>HUNDRED</v>
      </c>
      <c r="DN7" t="str">
        <f t="shared" si="67"/>
        <v>Ninety</v>
      </c>
      <c r="DO7" t="b">
        <f t="shared" si="68"/>
        <v>0</v>
      </c>
      <c r="DP7" t="str">
        <f t="shared" si="69"/>
        <v>AND</v>
      </c>
      <c r="DQ7" t="str">
        <f t="shared" si="70"/>
        <v>AND</v>
      </c>
      <c r="DR7">
        <v>6</v>
      </c>
      <c r="DS7" t="s">
        <v>53</v>
      </c>
      <c r="DW7">
        <v>45690</v>
      </c>
      <c r="DX7" t="str">
        <f t="shared" si="71"/>
        <v>forty five thousand six hundred and ninety</v>
      </c>
      <c r="DY7" t="str">
        <f t="shared" si="72"/>
        <v>Forty Five THOUSAND Six HUNDRED AND Ninety</v>
      </c>
      <c r="DZ7" t="str">
        <f t="shared" si="73"/>
        <v xml:space="preserve">    Forty  Five  THOUSAND Six HUNDRED AND Ninety</v>
      </c>
      <c r="EA7">
        <f t="shared" si="74"/>
        <v>0.45689999999999997</v>
      </c>
      <c r="EB7">
        <f t="shared" si="75"/>
        <v>0</v>
      </c>
      <c r="EC7">
        <f t="shared" si="76"/>
        <v>45.69</v>
      </c>
      <c r="ED7">
        <f t="shared" si="77"/>
        <v>45</v>
      </c>
      <c r="EE7">
        <f t="shared" si="78"/>
        <v>45</v>
      </c>
      <c r="EF7">
        <f t="shared" si="79"/>
        <v>456.9</v>
      </c>
      <c r="EG7">
        <f t="shared" si="80"/>
        <v>456</v>
      </c>
      <c r="EH7">
        <f t="shared" si="81"/>
        <v>6</v>
      </c>
      <c r="EI7">
        <f t="shared" si="82"/>
        <v>90</v>
      </c>
      <c r="EJ7" t="str">
        <f t="shared" si="83"/>
        <v>ZERO</v>
      </c>
      <c r="EK7" t="str">
        <f t="shared" si="84"/>
        <v xml:space="preserve">Forty  Five </v>
      </c>
      <c r="EL7" t="str">
        <f t="shared" si="85"/>
        <v>Six</v>
      </c>
      <c r="EM7" t="str">
        <f t="shared" si="86"/>
        <v>Ninety</v>
      </c>
      <c r="EN7" t="str">
        <f t="shared" si="87"/>
        <v xml:space="preserve"> </v>
      </c>
      <c r="EO7" t="str">
        <f t="shared" si="88"/>
        <v xml:space="preserve"> </v>
      </c>
      <c r="EP7" t="str">
        <f t="shared" si="89"/>
        <v xml:space="preserve">Forty  Five </v>
      </c>
      <c r="EQ7" t="str">
        <f t="shared" si="90"/>
        <v>THOUSAND</v>
      </c>
      <c r="ER7" t="str">
        <f t="shared" si="91"/>
        <v>Six</v>
      </c>
      <c r="ES7" t="str">
        <f t="shared" si="92"/>
        <v>HUNDRED</v>
      </c>
      <c r="ET7" t="str">
        <f t="shared" si="93"/>
        <v>Ninety</v>
      </c>
      <c r="EU7" t="b">
        <f t="shared" si="94"/>
        <v>0</v>
      </c>
      <c r="EV7" t="str">
        <f t="shared" si="95"/>
        <v>AND</v>
      </c>
      <c r="EW7" t="str">
        <f t="shared" si="96"/>
        <v>AND</v>
      </c>
      <c r="EX7">
        <v>6</v>
      </c>
      <c r="EY7" t="s">
        <v>53</v>
      </c>
      <c r="FC7">
        <v>45690</v>
      </c>
      <c r="FD7" t="str">
        <f t="shared" si="97"/>
        <v>forty five thousand six hundred and ninety</v>
      </c>
      <c r="FE7" t="str">
        <f t="shared" si="98"/>
        <v>Forty Five THOUSAND Six HUNDRED AND Ninety</v>
      </c>
      <c r="FF7" t="str">
        <f t="shared" si="99"/>
        <v xml:space="preserve">    Forty  Five  THOUSAND Six HUNDRED AND Ninety</v>
      </c>
      <c r="FG7">
        <f t="shared" si="100"/>
        <v>0.45689999999999997</v>
      </c>
      <c r="FH7">
        <f t="shared" si="101"/>
        <v>0</v>
      </c>
      <c r="FI7">
        <f t="shared" si="102"/>
        <v>45.69</v>
      </c>
      <c r="FJ7">
        <f t="shared" si="103"/>
        <v>45</v>
      </c>
      <c r="FK7">
        <f t="shared" si="104"/>
        <v>45</v>
      </c>
      <c r="FL7">
        <f t="shared" si="105"/>
        <v>456.9</v>
      </c>
      <c r="FM7">
        <f t="shared" si="106"/>
        <v>456</v>
      </c>
      <c r="FN7">
        <f t="shared" si="107"/>
        <v>6</v>
      </c>
      <c r="FO7">
        <f t="shared" si="108"/>
        <v>90</v>
      </c>
      <c r="FP7" t="str">
        <f t="shared" si="109"/>
        <v>ZERO</v>
      </c>
      <c r="FQ7" t="str">
        <f t="shared" si="110"/>
        <v xml:space="preserve">Forty  Five </v>
      </c>
      <c r="FR7" t="str">
        <f t="shared" si="111"/>
        <v>Six</v>
      </c>
      <c r="FS7" t="str">
        <f t="shared" si="112"/>
        <v>Ninety</v>
      </c>
      <c r="FT7" t="str">
        <f t="shared" si="113"/>
        <v xml:space="preserve"> </v>
      </c>
      <c r="FU7" t="str">
        <f t="shared" si="114"/>
        <v xml:space="preserve"> </v>
      </c>
      <c r="FV7" t="str">
        <f t="shared" si="115"/>
        <v xml:space="preserve">Forty  Five </v>
      </c>
      <c r="FW7" t="str">
        <f t="shared" si="116"/>
        <v>THOUSAND</v>
      </c>
      <c r="FX7" t="str">
        <f t="shared" si="117"/>
        <v>Six</v>
      </c>
      <c r="FY7" t="str">
        <f t="shared" si="118"/>
        <v>HUNDRED</v>
      </c>
      <c r="FZ7" t="str">
        <f t="shared" si="119"/>
        <v>Ninety</v>
      </c>
      <c r="GA7" t="b">
        <f t="shared" si="120"/>
        <v>0</v>
      </c>
      <c r="GB7" t="str">
        <f t="shared" si="121"/>
        <v>AND</v>
      </c>
      <c r="GC7" t="str">
        <f t="shared" si="122"/>
        <v>AND</v>
      </c>
      <c r="GD7">
        <v>6</v>
      </c>
      <c r="GE7" t="s">
        <v>53</v>
      </c>
      <c r="GI7">
        <v>45690</v>
      </c>
      <c r="GJ7" t="str">
        <f t="shared" si="123"/>
        <v>forty five thousand six hundred and ninety</v>
      </c>
      <c r="GK7" t="str">
        <f t="shared" si="124"/>
        <v>Forty Five THOUSAND Six HUNDRED AND Ninety</v>
      </c>
      <c r="GL7" t="str">
        <f t="shared" si="125"/>
        <v xml:space="preserve">    Forty  Five  THOUSAND Six HUNDRED AND Ninety</v>
      </c>
      <c r="GM7">
        <f t="shared" si="126"/>
        <v>0.45689999999999997</v>
      </c>
      <c r="GN7">
        <f t="shared" si="127"/>
        <v>0</v>
      </c>
      <c r="GO7">
        <f t="shared" si="128"/>
        <v>45.69</v>
      </c>
      <c r="GP7">
        <f t="shared" si="129"/>
        <v>45</v>
      </c>
      <c r="GQ7">
        <f t="shared" si="130"/>
        <v>45</v>
      </c>
      <c r="GR7">
        <f t="shared" si="131"/>
        <v>456.9</v>
      </c>
      <c r="GS7">
        <f t="shared" si="132"/>
        <v>456</v>
      </c>
      <c r="GT7">
        <f t="shared" si="133"/>
        <v>6</v>
      </c>
      <c r="GU7">
        <f t="shared" si="134"/>
        <v>90</v>
      </c>
      <c r="GV7" t="str">
        <f t="shared" si="135"/>
        <v>ZERO</v>
      </c>
      <c r="GW7" t="str">
        <f t="shared" si="136"/>
        <v xml:space="preserve">Forty  Five </v>
      </c>
      <c r="GX7" t="str">
        <f t="shared" si="137"/>
        <v>Six</v>
      </c>
      <c r="GY7" t="str">
        <f t="shared" si="138"/>
        <v>Ninety</v>
      </c>
      <c r="GZ7" t="str">
        <f t="shared" si="139"/>
        <v xml:space="preserve"> </v>
      </c>
      <c r="HA7" t="str">
        <f t="shared" si="140"/>
        <v xml:space="preserve"> </v>
      </c>
      <c r="HB7" t="str">
        <f t="shared" si="141"/>
        <v xml:space="preserve">Forty  Five </v>
      </c>
      <c r="HC7" t="str">
        <f t="shared" si="142"/>
        <v>THOUSAND</v>
      </c>
      <c r="HD7" t="str">
        <f t="shared" si="143"/>
        <v>Six</v>
      </c>
      <c r="HE7" t="str">
        <f t="shared" si="144"/>
        <v>HUNDRED</v>
      </c>
      <c r="HF7" t="str">
        <f t="shared" si="145"/>
        <v>Ninety</v>
      </c>
      <c r="HG7" t="b">
        <f t="shared" si="146"/>
        <v>0</v>
      </c>
      <c r="HH7" t="str">
        <f t="shared" si="147"/>
        <v>AND</v>
      </c>
      <c r="HI7" t="str">
        <f t="shared" si="148"/>
        <v>AND</v>
      </c>
      <c r="HJ7">
        <v>6</v>
      </c>
      <c r="HK7" t="s">
        <v>53</v>
      </c>
      <c r="HO7">
        <v>45690</v>
      </c>
      <c r="HP7" t="str">
        <f t="shared" si="149"/>
        <v>forty five thousand six hundred and ninety</v>
      </c>
      <c r="HQ7" t="str">
        <f t="shared" si="150"/>
        <v>Forty Five THOUSAND Six HUNDRED AND Ninety</v>
      </c>
      <c r="HR7" t="str">
        <f t="shared" si="151"/>
        <v xml:space="preserve">    Forty  Five  THOUSAND Six HUNDRED AND Ninety</v>
      </c>
      <c r="HS7">
        <f t="shared" si="152"/>
        <v>0.45689999999999997</v>
      </c>
      <c r="HT7">
        <f t="shared" si="153"/>
        <v>0</v>
      </c>
      <c r="HU7">
        <f t="shared" si="154"/>
        <v>45.69</v>
      </c>
      <c r="HV7">
        <f t="shared" si="155"/>
        <v>45</v>
      </c>
      <c r="HW7">
        <f t="shared" si="156"/>
        <v>45</v>
      </c>
      <c r="HX7">
        <f t="shared" si="157"/>
        <v>456.9</v>
      </c>
      <c r="HY7">
        <f t="shared" si="158"/>
        <v>456</v>
      </c>
      <c r="HZ7">
        <f t="shared" si="159"/>
        <v>6</v>
      </c>
      <c r="IA7">
        <f t="shared" si="160"/>
        <v>90</v>
      </c>
      <c r="IB7" t="str">
        <f t="shared" si="161"/>
        <v>ZERO</v>
      </c>
      <c r="IC7" t="str">
        <f t="shared" si="162"/>
        <v xml:space="preserve">Forty  Five </v>
      </c>
      <c r="ID7" t="str">
        <f t="shared" si="163"/>
        <v>Six</v>
      </c>
      <c r="IE7" t="str">
        <f t="shared" si="164"/>
        <v>Ninety</v>
      </c>
      <c r="IF7" t="str">
        <f t="shared" si="165"/>
        <v xml:space="preserve"> </v>
      </c>
      <c r="IG7" t="str">
        <f t="shared" si="166"/>
        <v xml:space="preserve"> </v>
      </c>
      <c r="IH7" t="str">
        <f t="shared" si="167"/>
        <v xml:space="preserve">Forty  Five </v>
      </c>
      <c r="II7" t="str">
        <f t="shared" si="168"/>
        <v>THOUSAND</v>
      </c>
      <c r="IJ7" t="str">
        <f t="shared" si="169"/>
        <v>Six</v>
      </c>
      <c r="IK7" t="str">
        <f t="shared" si="170"/>
        <v>HUNDRED</v>
      </c>
      <c r="IL7" t="str">
        <f t="shared" si="171"/>
        <v>Ninety</v>
      </c>
      <c r="IM7" t="b">
        <f t="shared" si="172"/>
        <v>0</v>
      </c>
      <c r="IN7" t="str">
        <f t="shared" si="173"/>
        <v>AND</v>
      </c>
      <c r="IO7" t="str">
        <f t="shared" si="174"/>
        <v>AND</v>
      </c>
      <c r="IP7">
        <v>6</v>
      </c>
      <c r="IQ7" t="s">
        <v>53</v>
      </c>
      <c r="IU7">
        <v>45690</v>
      </c>
      <c r="IV7" t="e">
        <f>LOWER(#REF!)</f>
        <v>#REF!</v>
      </c>
    </row>
    <row r="8" spans="1:256">
      <c r="A8" s="9"/>
      <c r="B8" s="18" t="str">
        <f t="shared" si="175"/>
        <v xml:space="preserve">               </v>
      </c>
      <c r="C8" s="18">
        <f t="shared" si="0"/>
        <v>0</v>
      </c>
      <c r="D8" s="18">
        <f t="shared" si="1"/>
        <v>0</v>
      </c>
      <c r="E8" s="18">
        <f t="shared" si="2"/>
        <v>0</v>
      </c>
      <c r="F8" s="18">
        <f t="shared" si="3"/>
        <v>0</v>
      </c>
      <c r="G8" s="18">
        <f t="shared" si="4"/>
        <v>0</v>
      </c>
      <c r="H8" s="18">
        <f t="shared" si="5"/>
        <v>0</v>
      </c>
      <c r="I8" s="18">
        <f t="shared" si="6"/>
        <v>0</v>
      </c>
      <c r="J8" s="18">
        <f t="shared" si="7"/>
        <v>0</v>
      </c>
      <c r="K8" s="18">
        <f t="shared" si="8"/>
        <v>0</v>
      </c>
      <c r="L8" t="str">
        <f t="shared" si="9"/>
        <v>Zero</v>
      </c>
      <c r="M8" t="str">
        <f t="shared" si="10"/>
        <v>Zero</v>
      </c>
      <c r="N8" t="str">
        <f t="shared" si="11"/>
        <v>Zero</v>
      </c>
      <c r="O8" t="str">
        <f t="shared" si="12"/>
        <v>Zero</v>
      </c>
      <c r="P8" t="str">
        <f t="shared" si="13"/>
        <v xml:space="preserve"> </v>
      </c>
      <c r="Q8" t="str">
        <f t="shared" si="176"/>
        <v xml:space="preserve"> </v>
      </c>
      <c r="R8" t="str">
        <f t="shared" si="14"/>
        <v xml:space="preserve"> </v>
      </c>
      <c r="S8" t="str">
        <f t="shared" si="177"/>
        <v xml:space="preserve"> </v>
      </c>
      <c r="T8" s="18" t="str">
        <f t="shared" si="15"/>
        <v xml:space="preserve"> </v>
      </c>
      <c r="U8" s="18" t="str">
        <f t="shared" si="178"/>
        <v xml:space="preserve"> </v>
      </c>
      <c r="V8" s="18" t="str">
        <f t="shared" si="16"/>
        <v xml:space="preserve"> </v>
      </c>
      <c r="W8" s="19" t="b">
        <f t="shared" si="17"/>
        <v>1</v>
      </c>
      <c r="X8" s="19" t="str">
        <f t="shared" si="179"/>
        <v xml:space="preserve"> </v>
      </c>
      <c r="Y8" s="18" t="str">
        <f t="shared" si="18"/>
        <v xml:space="preserve"> </v>
      </c>
      <c r="Z8">
        <v>7</v>
      </c>
      <c r="AA8" s="15" t="s">
        <v>54</v>
      </c>
      <c r="AB8" s="15"/>
      <c r="BK8">
        <v>45691</v>
      </c>
      <c r="BL8" t="str">
        <f t="shared" si="19"/>
        <v>forty five thousand six hundred and ninety one</v>
      </c>
      <c r="BM8" t="str">
        <f t="shared" si="20"/>
        <v>Forty Five THOUSAND Six HUNDRED AND Ninety One</v>
      </c>
      <c r="BN8" t="str">
        <f t="shared" si="21"/>
        <v xml:space="preserve">    Forty  Five  THOUSAND Six HUNDRED AND Ninety One </v>
      </c>
      <c r="BO8">
        <f t="shared" si="22"/>
        <v>0.45690999999999998</v>
      </c>
      <c r="BP8">
        <f t="shared" si="23"/>
        <v>0</v>
      </c>
      <c r="BQ8">
        <f t="shared" si="24"/>
        <v>45.691000000000003</v>
      </c>
      <c r="BR8">
        <f t="shared" si="25"/>
        <v>45</v>
      </c>
      <c r="BS8">
        <f t="shared" si="26"/>
        <v>45</v>
      </c>
      <c r="BT8">
        <f t="shared" si="27"/>
        <v>456.91</v>
      </c>
      <c r="BU8">
        <f t="shared" si="28"/>
        <v>456</v>
      </c>
      <c r="BV8">
        <f t="shared" si="29"/>
        <v>6</v>
      </c>
      <c r="BW8">
        <f t="shared" si="30"/>
        <v>91</v>
      </c>
      <c r="BX8" t="str">
        <f t="shared" si="31"/>
        <v>ZERO</v>
      </c>
      <c r="BY8" t="str">
        <f t="shared" si="32"/>
        <v xml:space="preserve">Forty  Five </v>
      </c>
      <c r="BZ8" t="str">
        <f t="shared" si="33"/>
        <v>Six</v>
      </c>
      <c r="CA8" t="str">
        <f t="shared" si="34"/>
        <v xml:space="preserve">Ninety One </v>
      </c>
      <c r="CB8" t="str">
        <f t="shared" si="35"/>
        <v xml:space="preserve"> </v>
      </c>
      <c r="CC8" t="str">
        <f t="shared" si="36"/>
        <v xml:space="preserve"> </v>
      </c>
      <c r="CD8" t="str">
        <f t="shared" si="37"/>
        <v xml:space="preserve">Forty  Five </v>
      </c>
      <c r="CE8" t="str">
        <f t="shared" si="38"/>
        <v>THOUSAND</v>
      </c>
      <c r="CF8" t="str">
        <f t="shared" si="39"/>
        <v>Six</v>
      </c>
      <c r="CG8" t="str">
        <f t="shared" si="40"/>
        <v>HUNDRED</v>
      </c>
      <c r="CH8" t="str">
        <f t="shared" si="41"/>
        <v xml:space="preserve">Ninety One </v>
      </c>
      <c r="CI8" t="b">
        <f t="shared" si="42"/>
        <v>0</v>
      </c>
      <c r="CJ8" t="str">
        <f t="shared" si="43"/>
        <v>AND</v>
      </c>
      <c r="CK8" t="str">
        <f t="shared" si="44"/>
        <v>AND</v>
      </c>
      <c r="CL8">
        <v>7</v>
      </c>
      <c r="CM8" t="s">
        <v>54</v>
      </c>
      <c r="CQ8">
        <v>45691</v>
      </c>
      <c r="CR8" t="str">
        <f t="shared" si="45"/>
        <v>forty five thousand six hundred and ninety one</v>
      </c>
      <c r="CS8" t="str">
        <f t="shared" si="46"/>
        <v>Forty Five THOUSAND Six HUNDRED AND Ninety One</v>
      </c>
      <c r="CT8" t="str">
        <f t="shared" si="47"/>
        <v xml:space="preserve">    Forty  Five  THOUSAND Six HUNDRED AND Ninety One </v>
      </c>
      <c r="CU8">
        <f t="shared" si="48"/>
        <v>0.45690999999999998</v>
      </c>
      <c r="CV8">
        <f t="shared" si="49"/>
        <v>0</v>
      </c>
      <c r="CW8">
        <f t="shared" si="50"/>
        <v>45.691000000000003</v>
      </c>
      <c r="CX8">
        <f t="shared" si="51"/>
        <v>45</v>
      </c>
      <c r="CY8">
        <f t="shared" si="52"/>
        <v>45</v>
      </c>
      <c r="CZ8">
        <f t="shared" si="53"/>
        <v>456.91</v>
      </c>
      <c r="DA8">
        <f t="shared" si="54"/>
        <v>456</v>
      </c>
      <c r="DB8">
        <f t="shared" si="55"/>
        <v>6</v>
      </c>
      <c r="DC8">
        <f t="shared" si="56"/>
        <v>91</v>
      </c>
      <c r="DD8" t="str">
        <f t="shared" si="57"/>
        <v>ZERO</v>
      </c>
      <c r="DE8" t="str">
        <f t="shared" si="58"/>
        <v xml:space="preserve">Forty  Five </v>
      </c>
      <c r="DF8" t="str">
        <f t="shared" si="59"/>
        <v>Six</v>
      </c>
      <c r="DG8" t="str">
        <f t="shared" si="60"/>
        <v xml:space="preserve">Ninety One </v>
      </c>
      <c r="DH8" t="str">
        <f t="shared" si="61"/>
        <v xml:space="preserve"> </v>
      </c>
      <c r="DI8" t="str">
        <f t="shared" si="62"/>
        <v xml:space="preserve"> </v>
      </c>
      <c r="DJ8" t="str">
        <f t="shared" si="63"/>
        <v xml:space="preserve">Forty  Five </v>
      </c>
      <c r="DK8" t="str">
        <f t="shared" si="64"/>
        <v>THOUSAND</v>
      </c>
      <c r="DL8" t="str">
        <f t="shared" si="65"/>
        <v>Six</v>
      </c>
      <c r="DM8" t="str">
        <f t="shared" si="66"/>
        <v>HUNDRED</v>
      </c>
      <c r="DN8" t="str">
        <f t="shared" si="67"/>
        <v xml:space="preserve">Ninety One </v>
      </c>
      <c r="DO8" t="b">
        <f t="shared" si="68"/>
        <v>0</v>
      </c>
      <c r="DP8" t="str">
        <f t="shared" si="69"/>
        <v>AND</v>
      </c>
      <c r="DQ8" t="str">
        <f t="shared" si="70"/>
        <v>AND</v>
      </c>
      <c r="DR8">
        <v>7</v>
      </c>
      <c r="DS8" t="s">
        <v>54</v>
      </c>
      <c r="DW8">
        <v>45691</v>
      </c>
      <c r="DX8" t="str">
        <f t="shared" si="71"/>
        <v>forty five thousand six hundred and ninety one</v>
      </c>
      <c r="DY8" t="str">
        <f t="shared" si="72"/>
        <v>Forty Five THOUSAND Six HUNDRED AND Ninety One</v>
      </c>
      <c r="DZ8" t="str">
        <f t="shared" si="73"/>
        <v xml:space="preserve">    Forty  Five  THOUSAND Six HUNDRED AND Ninety One </v>
      </c>
      <c r="EA8">
        <f t="shared" si="74"/>
        <v>0.45690999999999998</v>
      </c>
      <c r="EB8">
        <f t="shared" si="75"/>
        <v>0</v>
      </c>
      <c r="EC8">
        <f t="shared" si="76"/>
        <v>45.691000000000003</v>
      </c>
      <c r="ED8">
        <f t="shared" si="77"/>
        <v>45</v>
      </c>
      <c r="EE8">
        <f t="shared" si="78"/>
        <v>45</v>
      </c>
      <c r="EF8">
        <f t="shared" si="79"/>
        <v>456.91</v>
      </c>
      <c r="EG8">
        <f t="shared" si="80"/>
        <v>456</v>
      </c>
      <c r="EH8">
        <f t="shared" si="81"/>
        <v>6</v>
      </c>
      <c r="EI8">
        <f t="shared" si="82"/>
        <v>91</v>
      </c>
      <c r="EJ8" t="str">
        <f t="shared" si="83"/>
        <v>ZERO</v>
      </c>
      <c r="EK8" t="str">
        <f t="shared" si="84"/>
        <v xml:space="preserve">Forty  Five </v>
      </c>
      <c r="EL8" t="str">
        <f t="shared" si="85"/>
        <v>Six</v>
      </c>
      <c r="EM8" t="str">
        <f t="shared" si="86"/>
        <v xml:space="preserve">Ninety One </v>
      </c>
      <c r="EN8" t="str">
        <f t="shared" si="87"/>
        <v xml:space="preserve"> </v>
      </c>
      <c r="EO8" t="str">
        <f t="shared" si="88"/>
        <v xml:space="preserve"> </v>
      </c>
      <c r="EP8" t="str">
        <f t="shared" si="89"/>
        <v xml:space="preserve">Forty  Five </v>
      </c>
      <c r="EQ8" t="str">
        <f t="shared" si="90"/>
        <v>THOUSAND</v>
      </c>
      <c r="ER8" t="str">
        <f t="shared" si="91"/>
        <v>Six</v>
      </c>
      <c r="ES8" t="str">
        <f t="shared" si="92"/>
        <v>HUNDRED</v>
      </c>
      <c r="ET8" t="str">
        <f t="shared" si="93"/>
        <v xml:space="preserve">Ninety One </v>
      </c>
      <c r="EU8" t="b">
        <f t="shared" si="94"/>
        <v>0</v>
      </c>
      <c r="EV8" t="str">
        <f t="shared" si="95"/>
        <v>AND</v>
      </c>
      <c r="EW8" t="str">
        <f t="shared" si="96"/>
        <v>AND</v>
      </c>
      <c r="EX8">
        <v>7</v>
      </c>
      <c r="EY8" t="s">
        <v>54</v>
      </c>
      <c r="FC8">
        <v>45691</v>
      </c>
      <c r="FD8" t="str">
        <f t="shared" si="97"/>
        <v>forty five thousand six hundred and ninety one</v>
      </c>
      <c r="FE8" t="str">
        <f t="shared" si="98"/>
        <v>Forty Five THOUSAND Six HUNDRED AND Ninety One</v>
      </c>
      <c r="FF8" t="str">
        <f t="shared" si="99"/>
        <v xml:space="preserve">    Forty  Five  THOUSAND Six HUNDRED AND Ninety One </v>
      </c>
      <c r="FG8">
        <f t="shared" si="100"/>
        <v>0.45690999999999998</v>
      </c>
      <c r="FH8">
        <f t="shared" si="101"/>
        <v>0</v>
      </c>
      <c r="FI8">
        <f t="shared" si="102"/>
        <v>45.691000000000003</v>
      </c>
      <c r="FJ8">
        <f t="shared" si="103"/>
        <v>45</v>
      </c>
      <c r="FK8">
        <f t="shared" si="104"/>
        <v>45</v>
      </c>
      <c r="FL8">
        <f t="shared" si="105"/>
        <v>456.91</v>
      </c>
      <c r="FM8">
        <f t="shared" si="106"/>
        <v>456</v>
      </c>
      <c r="FN8">
        <f t="shared" si="107"/>
        <v>6</v>
      </c>
      <c r="FO8">
        <f t="shared" si="108"/>
        <v>91</v>
      </c>
      <c r="FP8" t="str">
        <f t="shared" si="109"/>
        <v>ZERO</v>
      </c>
      <c r="FQ8" t="str">
        <f t="shared" si="110"/>
        <v xml:space="preserve">Forty  Five </v>
      </c>
      <c r="FR8" t="str">
        <f t="shared" si="111"/>
        <v>Six</v>
      </c>
      <c r="FS8" t="str">
        <f t="shared" si="112"/>
        <v xml:space="preserve">Ninety One </v>
      </c>
      <c r="FT8" t="str">
        <f t="shared" si="113"/>
        <v xml:space="preserve"> </v>
      </c>
      <c r="FU8" t="str">
        <f t="shared" si="114"/>
        <v xml:space="preserve"> </v>
      </c>
      <c r="FV8" t="str">
        <f t="shared" si="115"/>
        <v xml:space="preserve">Forty  Five </v>
      </c>
      <c r="FW8" t="str">
        <f t="shared" si="116"/>
        <v>THOUSAND</v>
      </c>
      <c r="FX8" t="str">
        <f t="shared" si="117"/>
        <v>Six</v>
      </c>
      <c r="FY8" t="str">
        <f t="shared" si="118"/>
        <v>HUNDRED</v>
      </c>
      <c r="FZ8" t="str">
        <f t="shared" si="119"/>
        <v xml:space="preserve">Ninety One </v>
      </c>
      <c r="GA8" t="b">
        <f t="shared" si="120"/>
        <v>0</v>
      </c>
      <c r="GB8" t="str">
        <f t="shared" si="121"/>
        <v>AND</v>
      </c>
      <c r="GC8" t="str">
        <f t="shared" si="122"/>
        <v>AND</v>
      </c>
      <c r="GD8">
        <v>7</v>
      </c>
      <c r="GE8" t="s">
        <v>54</v>
      </c>
      <c r="GI8">
        <v>45691</v>
      </c>
      <c r="GJ8" t="str">
        <f t="shared" si="123"/>
        <v>forty five thousand six hundred and ninety one</v>
      </c>
      <c r="GK8" t="str">
        <f t="shared" si="124"/>
        <v>Forty Five THOUSAND Six HUNDRED AND Ninety One</v>
      </c>
      <c r="GL8" t="str">
        <f t="shared" si="125"/>
        <v xml:space="preserve">    Forty  Five  THOUSAND Six HUNDRED AND Ninety One </v>
      </c>
      <c r="GM8">
        <f t="shared" si="126"/>
        <v>0.45690999999999998</v>
      </c>
      <c r="GN8">
        <f t="shared" si="127"/>
        <v>0</v>
      </c>
      <c r="GO8">
        <f t="shared" si="128"/>
        <v>45.691000000000003</v>
      </c>
      <c r="GP8">
        <f t="shared" si="129"/>
        <v>45</v>
      </c>
      <c r="GQ8">
        <f t="shared" si="130"/>
        <v>45</v>
      </c>
      <c r="GR8">
        <f t="shared" si="131"/>
        <v>456.91</v>
      </c>
      <c r="GS8">
        <f t="shared" si="132"/>
        <v>456</v>
      </c>
      <c r="GT8">
        <f t="shared" si="133"/>
        <v>6</v>
      </c>
      <c r="GU8">
        <f t="shared" si="134"/>
        <v>91</v>
      </c>
      <c r="GV8" t="str">
        <f t="shared" si="135"/>
        <v>ZERO</v>
      </c>
      <c r="GW8" t="str">
        <f t="shared" si="136"/>
        <v xml:space="preserve">Forty  Five </v>
      </c>
      <c r="GX8" t="str">
        <f t="shared" si="137"/>
        <v>Six</v>
      </c>
      <c r="GY8" t="str">
        <f t="shared" si="138"/>
        <v xml:space="preserve">Ninety One </v>
      </c>
      <c r="GZ8" t="str">
        <f t="shared" si="139"/>
        <v xml:space="preserve"> </v>
      </c>
      <c r="HA8" t="str">
        <f t="shared" si="140"/>
        <v xml:space="preserve"> </v>
      </c>
      <c r="HB8" t="str">
        <f t="shared" si="141"/>
        <v xml:space="preserve">Forty  Five </v>
      </c>
      <c r="HC8" t="str">
        <f t="shared" si="142"/>
        <v>THOUSAND</v>
      </c>
      <c r="HD8" t="str">
        <f t="shared" si="143"/>
        <v>Six</v>
      </c>
      <c r="HE8" t="str">
        <f t="shared" si="144"/>
        <v>HUNDRED</v>
      </c>
      <c r="HF8" t="str">
        <f t="shared" si="145"/>
        <v xml:space="preserve">Ninety One </v>
      </c>
      <c r="HG8" t="b">
        <f t="shared" si="146"/>
        <v>0</v>
      </c>
      <c r="HH8" t="str">
        <f t="shared" si="147"/>
        <v>AND</v>
      </c>
      <c r="HI8" t="str">
        <f t="shared" si="148"/>
        <v>AND</v>
      </c>
      <c r="HJ8">
        <v>7</v>
      </c>
      <c r="HK8" t="s">
        <v>54</v>
      </c>
      <c r="HO8">
        <v>45691</v>
      </c>
      <c r="HP8" t="str">
        <f t="shared" si="149"/>
        <v>forty five thousand six hundred and ninety one</v>
      </c>
      <c r="HQ8" t="str">
        <f t="shared" si="150"/>
        <v>Forty Five THOUSAND Six HUNDRED AND Ninety One</v>
      </c>
      <c r="HR8" t="str">
        <f t="shared" si="151"/>
        <v xml:space="preserve">    Forty  Five  THOUSAND Six HUNDRED AND Ninety One </v>
      </c>
      <c r="HS8">
        <f t="shared" si="152"/>
        <v>0.45690999999999998</v>
      </c>
      <c r="HT8">
        <f t="shared" si="153"/>
        <v>0</v>
      </c>
      <c r="HU8">
        <f t="shared" si="154"/>
        <v>45.691000000000003</v>
      </c>
      <c r="HV8">
        <f t="shared" si="155"/>
        <v>45</v>
      </c>
      <c r="HW8">
        <f t="shared" si="156"/>
        <v>45</v>
      </c>
      <c r="HX8">
        <f t="shared" si="157"/>
        <v>456.91</v>
      </c>
      <c r="HY8">
        <f t="shared" si="158"/>
        <v>456</v>
      </c>
      <c r="HZ8">
        <f t="shared" si="159"/>
        <v>6</v>
      </c>
      <c r="IA8">
        <f t="shared" si="160"/>
        <v>91</v>
      </c>
      <c r="IB8" t="str">
        <f t="shared" si="161"/>
        <v>ZERO</v>
      </c>
      <c r="IC8" t="str">
        <f t="shared" si="162"/>
        <v xml:space="preserve">Forty  Five </v>
      </c>
      <c r="ID8" t="str">
        <f t="shared" si="163"/>
        <v>Six</v>
      </c>
      <c r="IE8" t="str">
        <f t="shared" si="164"/>
        <v xml:space="preserve">Ninety One </v>
      </c>
      <c r="IF8" t="str">
        <f t="shared" si="165"/>
        <v xml:space="preserve"> </v>
      </c>
      <c r="IG8" t="str">
        <f t="shared" si="166"/>
        <v xml:space="preserve"> </v>
      </c>
      <c r="IH8" t="str">
        <f t="shared" si="167"/>
        <v xml:space="preserve">Forty  Five </v>
      </c>
      <c r="II8" t="str">
        <f t="shared" si="168"/>
        <v>THOUSAND</v>
      </c>
      <c r="IJ8" t="str">
        <f t="shared" si="169"/>
        <v>Six</v>
      </c>
      <c r="IK8" t="str">
        <f t="shared" si="170"/>
        <v>HUNDRED</v>
      </c>
      <c r="IL8" t="str">
        <f t="shared" si="171"/>
        <v xml:space="preserve">Ninety One </v>
      </c>
      <c r="IM8" t="b">
        <f t="shared" si="172"/>
        <v>0</v>
      </c>
      <c r="IN8" t="str">
        <f t="shared" si="173"/>
        <v>AND</v>
      </c>
      <c r="IO8" t="str">
        <f t="shared" si="174"/>
        <v>AND</v>
      </c>
      <c r="IP8">
        <v>7</v>
      </c>
      <c r="IQ8" t="s">
        <v>54</v>
      </c>
      <c r="IU8">
        <v>45691</v>
      </c>
      <c r="IV8" t="e">
        <f>LOWER(#REF!)</f>
        <v>#REF!</v>
      </c>
    </row>
    <row r="9" spans="1:256">
      <c r="A9" s="9"/>
      <c r="B9" s="18" t="str">
        <f t="shared" si="175"/>
        <v xml:space="preserve">               </v>
      </c>
      <c r="C9" s="18">
        <f t="shared" si="0"/>
        <v>0</v>
      </c>
      <c r="D9" s="18">
        <f t="shared" si="1"/>
        <v>0</v>
      </c>
      <c r="E9" s="18">
        <f t="shared" si="2"/>
        <v>0</v>
      </c>
      <c r="F9" s="18">
        <f t="shared" si="3"/>
        <v>0</v>
      </c>
      <c r="G9" s="18">
        <f t="shared" si="4"/>
        <v>0</v>
      </c>
      <c r="H9" s="18">
        <f t="shared" si="5"/>
        <v>0</v>
      </c>
      <c r="I9" s="18">
        <f t="shared" si="6"/>
        <v>0</v>
      </c>
      <c r="J9" s="18">
        <f t="shared" si="7"/>
        <v>0</v>
      </c>
      <c r="K9" s="18">
        <f t="shared" si="8"/>
        <v>0</v>
      </c>
      <c r="L9" t="str">
        <f t="shared" si="9"/>
        <v>Zero</v>
      </c>
      <c r="M9" t="str">
        <f t="shared" si="10"/>
        <v>Zero</v>
      </c>
      <c r="N9" t="str">
        <f t="shared" si="11"/>
        <v>Zero</v>
      </c>
      <c r="O9" t="str">
        <f t="shared" si="12"/>
        <v>Zero</v>
      </c>
      <c r="P9" t="str">
        <f t="shared" si="13"/>
        <v xml:space="preserve"> </v>
      </c>
      <c r="Q9" t="str">
        <f t="shared" si="176"/>
        <v xml:space="preserve"> </v>
      </c>
      <c r="R9" t="str">
        <f t="shared" si="14"/>
        <v xml:space="preserve"> </v>
      </c>
      <c r="S9" t="str">
        <f t="shared" si="177"/>
        <v xml:space="preserve"> </v>
      </c>
      <c r="T9" s="18" t="str">
        <f t="shared" si="15"/>
        <v xml:space="preserve"> </v>
      </c>
      <c r="U9" s="18" t="str">
        <f t="shared" si="178"/>
        <v xml:space="preserve"> </v>
      </c>
      <c r="V9" s="18" t="str">
        <f t="shared" si="16"/>
        <v xml:space="preserve"> </v>
      </c>
      <c r="W9" s="19" t="b">
        <f t="shared" si="17"/>
        <v>1</v>
      </c>
      <c r="X9" s="19" t="str">
        <f t="shared" si="179"/>
        <v xml:space="preserve"> </v>
      </c>
      <c r="Y9" s="18" t="str">
        <f t="shared" si="18"/>
        <v xml:space="preserve"> </v>
      </c>
      <c r="Z9">
        <v>8</v>
      </c>
      <c r="AA9" s="15" t="s">
        <v>55</v>
      </c>
      <c r="AB9" s="15"/>
      <c r="BK9">
        <v>45692</v>
      </c>
      <c r="BL9" t="str">
        <f t="shared" si="19"/>
        <v>forty five thousand six hundred and ninety two</v>
      </c>
      <c r="BM9" t="str">
        <f t="shared" si="20"/>
        <v>Forty Five THOUSAND Six HUNDRED AND Ninety Two</v>
      </c>
      <c r="BN9" t="str">
        <f t="shared" si="21"/>
        <v xml:space="preserve">    Forty  Five  THOUSAND Six HUNDRED AND Ninety Two</v>
      </c>
      <c r="BO9">
        <f t="shared" si="22"/>
        <v>0.45691999999999999</v>
      </c>
      <c r="BP9">
        <f t="shared" si="23"/>
        <v>0</v>
      </c>
      <c r="BQ9">
        <f t="shared" si="24"/>
        <v>45.692</v>
      </c>
      <c r="BR9">
        <f t="shared" si="25"/>
        <v>45</v>
      </c>
      <c r="BS9">
        <f t="shared" si="26"/>
        <v>45</v>
      </c>
      <c r="BT9">
        <f t="shared" si="27"/>
        <v>456.92</v>
      </c>
      <c r="BU9">
        <f t="shared" si="28"/>
        <v>456</v>
      </c>
      <c r="BV9">
        <f t="shared" si="29"/>
        <v>6</v>
      </c>
      <c r="BW9">
        <f t="shared" si="30"/>
        <v>92</v>
      </c>
      <c r="BX9" t="str">
        <f t="shared" si="31"/>
        <v>ZERO</v>
      </c>
      <c r="BY9" t="str">
        <f t="shared" si="32"/>
        <v xml:space="preserve">Forty  Five </v>
      </c>
      <c r="BZ9" t="str">
        <f t="shared" si="33"/>
        <v>Six</v>
      </c>
      <c r="CA9" t="str">
        <f t="shared" si="34"/>
        <v>Ninety Two</v>
      </c>
      <c r="CB9" t="str">
        <f t="shared" si="35"/>
        <v xml:space="preserve"> </v>
      </c>
      <c r="CC9" t="str">
        <f t="shared" si="36"/>
        <v xml:space="preserve"> </v>
      </c>
      <c r="CD9" t="str">
        <f t="shared" si="37"/>
        <v xml:space="preserve">Forty  Five </v>
      </c>
      <c r="CE9" t="str">
        <f t="shared" si="38"/>
        <v>THOUSAND</v>
      </c>
      <c r="CF9" t="str">
        <f t="shared" si="39"/>
        <v>Six</v>
      </c>
      <c r="CG9" t="str">
        <f t="shared" si="40"/>
        <v>HUNDRED</v>
      </c>
      <c r="CH9" t="str">
        <f t="shared" si="41"/>
        <v>Ninety Two</v>
      </c>
      <c r="CI9" t="b">
        <f t="shared" si="42"/>
        <v>0</v>
      </c>
      <c r="CJ9" t="str">
        <f t="shared" si="43"/>
        <v>AND</v>
      </c>
      <c r="CK9" t="str">
        <f t="shared" si="44"/>
        <v>AND</v>
      </c>
      <c r="CL9">
        <v>8</v>
      </c>
      <c r="CM9" t="s">
        <v>55</v>
      </c>
      <c r="CQ9">
        <v>45692</v>
      </c>
      <c r="CR9" t="str">
        <f t="shared" si="45"/>
        <v>forty five thousand six hundred and ninety two</v>
      </c>
      <c r="CS9" t="str">
        <f t="shared" si="46"/>
        <v>Forty Five THOUSAND Six HUNDRED AND Ninety Two</v>
      </c>
      <c r="CT9" t="str">
        <f t="shared" si="47"/>
        <v xml:space="preserve">    Forty  Five  THOUSAND Six HUNDRED AND Ninety Two</v>
      </c>
      <c r="CU9">
        <f t="shared" si="48"/>
        <v>0.45691999999999999</v>
      </c>
      <c r="CV9">
        <f t="shared" si="49"/>
        <v>0</v>
      </c>
      <c r="CW9">
        <f t="shared" si="50"/>
        <v>45.692</v>
      </c>
      <c r="CX9">
        <f t="shared" si="51"/>
        <v>45</v>
      </c>
      <c r="CY9">
        <f t="shared" si="52"/>
        <v>45</v>
      </c>
      <c r="CZ9">
        <f t="shared" si="53"/>
        <v>456.92</v>
      </c>
      <c r="DA9">
        <f t="shared" si="54"/>
        <v>456</v>
      </c>
      <c r="DB9">
        <f t="shared" si="55"/>
        <v>6</v>
      </c>
      <c r="DC9">
        <f t="shared" si="56"/>
        <v>92</v>
      </c>
      <c r="DD9" t="str">
        <f t="shared" si="57"/>
        <v>ZERO</v>
      </c>
      <c r="DE9" t="str">
        <f t="shared" si="58"/>
        <v xml:space="preserve">Forty  Five </v>
      </c>
      <c r="DF9" t="str">
        <f t="shared" si="59"/>
        <v>Six</v>
      </c>
      <c r="DG9" t="str">
        <f t="shared" si="60"/>
        <v>Ninety Two</v>
      </c>
      <c r="DH9" t="str">
        <f t="shared" si="61"/>
        <v xml:space="preserve"> </v>
      </c>
      <c r="DI9" t="str">
        <f t="shared" si="62"/>
        <v xml:space="preserve"> </v>
      </c>
      <c r="DJ9" t="str">
        <f t="shared" si="63"/>
        <v xml:space="preserve">Forty  Five </v>
      </c>
      <c r="DK9" t="str">
        <f t="shared" si="64"/>
        <v>THOUSAND</v>
      </c>
      <c r="DL9" t="str">
        <f t="shared" si="65"/>
        <v>Six</v>
      </c>
      <c r="DM9" t="str">
        <f t="shared" si="66"/>
        <v>HUNDRED</v>
      </c>
      <c r="DN9" t="str">
        <f t="shared" si="67"/>
        <v>Ninety Two</v>
      </c>
      <c r="DO9" t="b">
        <f t="shared" si="68"/>
        <v>0</v>
      </c>
      <c r="DP9" t="str">
        <f t="shared" si="69"/>
        <v>AND</v>
      </c>
      <c r="DQ9" t="str">
        <f t="shared" si="70"/>
        <v>AND</v>
      </c>
      <c r="DR9">
        <v>8</v>
      </c>
      <c r="DS9" t="s">
        <v>55</v>
      </c>
      <c r="DW9">
        <v>45692</v>
      </c>
      <c r="DX9" t="str">
        <f t="shared" si="71"/>
        <v>forty five thousand six hundred and ninety two</v>
      </c>
      <c r="DY9" t="str">
        <f t="shared" si="72"/>
        <v>Forty Five THOUSAND Six HUNDRED AND Ninety Two</v>
      </c>
      <c r="DZ9" t="str">
        <f t="shared" si="73"/>
        <v xml:space="preserve">    Forty  Five  THOUSAND Six HUNDRED AND Ninety Two</v>
      </c>
      <c r="EA9">
        <f t="shared" si="74"/>
        <v>0.45691999999999999</v>
      </c>
      <c r="EB9">
        <f t="shared" si="75"/>
        <v>0</v>
      </c>
      <c r="EC9">
        <f t="shared" si="76"/>
        <v>45.692</v>
      </c>
      <c r="ED9">
        <f t="shared" si="77"/>
        <v>45</v>
      </c>
      <c r="EE9">
        <f t="shared" si="78"/>
        <v>45</v>
      </c>
      <c r="EF9">
        <f t="shared" si="79"/>
        <v>456.92</v>
      </c>
      <c r="EG9">
        <f t="shared" si="80"/>
        <v>456</v>
      </c>
      <c r="EH9">
        <f t="shared" si="81"/>
        <v>6</v>
      </c>
      <c r="EI9">
        <f t="shared" si="82"/>
        <v>92</v>
      </c>
      <c r="EJ9" t="str">
        <f t="shared" si="83"/>
        <v>ZERO</v>
      </c>
      <c r="EK9" t="str">
        <f t="shared" si="84"/>
        <v xml:space="preserve">Forty  Five </v>
      </c>
      <c r="EL9" t="str">
        <f t="shared" si="85"/>
        <v>Six</v>
      </c>
      <c r="EM9" t="str">
        <f t="shared" si="86"/>
        <v>Ninety Two</v>
      </c>
      <c r="EN9" t="str">
        <f t="shared" si="87"/>
        <v xml:space="preserve"> </v>
      </c>
      <c r="EO9" t="str">
        <f t="shared" si="88"/>
        <v xml:space="preserve"> </v>
      </c>
      <c r="EP9" t="str">
        <f t="shared" si="89"/>
        <v xml:space="preserve">Forty  Five </v>
      </c>
      <c r="EQ9" t="str">
        <f t="shared" si="90"/>
        <v>THOUSAND</v>
      </c>
      <c r="ER9" t="str">
        <f t="shared" si="91"/>
        <v>Six</v>
      </c>
      <c r="ES9" t="str">
        <f t="shared" si="92"/>
        <v>HUNDRED</v>
      </c>
      <c r="ET9" t="str">
        <f t="shared" si="93"/>
        <v>Ninety Two</v>
      </c>
      <c r="EU9" t="b">
        <f t="shared" si="94"/>
        <v>0</v>
      </c>
      <c r="EV9" t="str">
        <f t="shared" si="95"/>
        <v>AND</v>
      </c>
      <c r="EW9" t="str">
        <f t="shared" si="96"/>
        <v>AND</v>
      </c>
      <c r="EX9">
        <v>8</v>
      </c>
      <c r="EY9" t="s">
        <v>55</v>
      </c>
      <c r="FC9">
        <v>45692</v>
      </c>
      <c r="FD9" t="str">
        <f t="shared" si="97"/>
        <v>forty five thousand six hundred and ninety two</v>
      </c>
      <c r="FE9" t="str">
        <f t="shared" si="98"/>
        <v>Forty Five THOUSAND Six HUNDRED AND Ninety Two</v>
      </c>
      <c r="FF9" t="str">
        <f t="shared" si="99"/>
        <v xml:space="preserve">    Forty  Five  THOUSAND Six HUNDRED AND Ninety Two</v>
      </c>
      <c r="FG9">
        <f t="shared" si="100"/>
        <v>0.45691999999999999</v>
      </c>
      <c r="FH9">
        <f t="shared" si="101"/>
        <v>0</v>
      </c>
      <c r="FI9">
        <f t="shared" si="102"/>
        <v>45.692</v>
      </c>
      <c r="FJ9">
        <f t="shared" si="103"/>
        <v>45</v>
      </c>
      <c r="FK9">
        <f t="shared" si="104"/>
        <v>45</v>
      </c>
      <c r="FL9">
        <f t="shared" si="105"/>
        <v>456.92</v>
      </c>
      <c r="FM9">
        <f t="shared" si="106"/>
        <v>456</v>
      </c>
      <c r="FN9">
        <f t="shared" si="107"/>
        <v>6</v>
      </c>
      <c r="FO9">
        <f t="shared" si="108"/>
        <v>92</v>
      </c>
      <c r="FP9" t="str">
        <f t="shared" si="109"/>
        <v>ZERO</v>
      </c>
      <c r="FQ9" t="str">
        <f t="shared" si="110"/>
        <v xml:space="preserve">Forty  Five </v>
      </c>
      <c r="FR9" t="str">
        <f t="shared" si="111"/>
        <v>Six</v>
      </c>
      <c r="FS9" t="str">
        <f t="shared" si="112"/>
        <v>Ninety Two</v>
      </c>
      <c r="FT9" t="str">
        <f t="shared" si="113"/>
        <v xml:space="preserve"> </v>
      </c>
      <c r="FU9" t="str">
        <f t="shared" si="114"/>
        <v xml:space="preserve"> </v>
      </c>
      <c r="FV9" t="str">
        <f t="shared" si="115"/>
        <v xml:space="preserve">Forty  Five </v>
      </c>
      <c r="FW9" t="str">
        <f t="shared" si="116"/>
        <v>THOUSAND</v>
      </c>
      <c r="FX9" t="str">
        <f t="shared" si="117"/>
        <v>Six</v>
      </c>
      <c r="FY9" t="str">
        <f t="shared" si="118"/>
        <v>HUNDRED</v>
      </c>
      <c r="FZ9" t="str">
        <f t="shared" si="119"/>
        <v>Ninety Two</v>
      </c>
      <c r="GA9" t="b">
        <f t="shared" si="120"/>
        <v>0</v>
      </c>
      <c r="GB9" t="str">
        <f t="shared" si="121"/>
        <v>AND</v>
      </c>
      <c r="GC9" t="str">
        <f t="shared" si="122"/>
        <v>AND</v>
      </c>
      <c r="GD9">
        <v>8</v>
      </c>
      <c r="GE9" t="s">
        <v>55</v>
      </c>
      <c r="GI9">
        <v>45692</v>
      </c>
      <c r="GJ9" t="str">
        <f t="shared" si="123"/>
        <v>forty five thousand six hundred and ninety two</v>
      </c>
      <c r="GK9" t="str">
        <f t="shared" si="124"/>
        <v>Forty Five THOUSAND Six HUNDRED AND Ninety Two</v>
      </c>
      <c r="GL9" t="str">
        <f t="shared" si="125"/>
        <v xml:space="preserve">    Forty  Five  THOUSAND Six HUNDRED AND Ninety Two</v>
      </c>
      <c r="GM9">
        <f t="shared" si="126"/>
        <v>0.45691999999999999</v>
      </c>
      <c r="GN9">
        <f t="shared" si="127"/>
        <v>0</v>
      </c>
      <c r="GO9">
        <f t="shared" si="128"/>
        <v>45.692</v>
      </c>
      <c r="GP9">
        <f t="shared" si="129"/>
        <v>45</v>
      </c>
      <c r="GQ9">
        <f t="shared" si="130"/>
        <v>45</v>
      </c>
      <c r="GR9">
        <f t="shared" si="131"/>
        <v>456.92</v>
      </c>
      <c r="GS9">
        <f t="shared" si="132"/>
        <v>456</v>
      </c>
      <c r="GT9">
        <f t="shared" si="133"/>
        <v>6</v>
      </c>
      <c r="GU9">
        <f t="shared" si="134"/>
        <v>92</v>
      </c>
      <c r="GV9" t="str">
        <f t="shared" si="135"/>
        <v>ZERO</v>
      </c>
      <c r="GW9" t="str">
        <f t="shared" si="136"/>
        <v xml:space="preserve">Forty  Five </v>
      </c>
      <c r="GX9" t="str">
        <f t="shared" si="137"/>
        <v>Six</v>
      </c>
      <c r="GY9" t="str">
        <f t="shared" si="138"/>
        <v>Ninety Two</v>
      </c>
      <c r="GZ9" t="str">
        <f t="shared" si="139"/>
        <v xml:space="preserve"> </v>
      </c>
      <c r="HA9" t="str">
        <f t="shared" si="140"/>
        <v xml:space="preserve"> </v>
      </c>
      <c r="HB9" t="str">
        <f t="shared" si="141"/>
        <v xml:space="preserve">Forty  Five </v>
      </c>
      <c r="HC9" t="str">
        <f t="shared" si="142"/>
        <v>THOUSAND</v>
      </c>
      <c r="HD9" t="str">
        <f t="shared" si="143"/>
        <v>Six</v>
      </c>
      <c r="HE9" t="str">
        <f t="shared" si="144"/>
        <v>HUNDRED</v>
      </c>
      <c r="HF9" t="str">
        <f t="shared" si="145"/>
        <v>Ninety Two</v>
      </c>
      <c r="HG9" t="b">
        <f t="shared" si="146"/>
        <v>0</v>
      </c>
      <c r="HH9" t="str">
        <f t="shared" si="147"/>
        <v>AND</v>
      </c>
      <c r="HI9" t="str">
        <f t="shared" si="148"/>
        <v>AND</v>
      </c>
      <c r="HJ9">
        <v>8</v>
      </c>
      <c r="HK9" t="s">
        <v>55</v>
      </c>
      <c r="HO9">
        <v>45692</v>
      </c>
      <c r="HP9" t="str">
        <f t="shared" si="149"/>
        <v>forty five thousand six hundred and ninety two</v>
      </c>
      <c r="HQ9" t="str">
        <f t="shared" si="150"/>
        <v>Forty Five THOUSAND Six HUNDRED AND Ninety Two</v>
      </c>
      <c r="HR9" t="str">
        <f t="shared" si="151"/>
        <v xml:space="preserve">    Forty  Five  THOUSAND Six HUNDRED AND Ninety Two</v>
      </c>
      <c r="HS9">
        <f t="shared" si="152"/>
        <v>0.45691999999999999</v>
      </c>
      <c r="HT9">
        <f t="shared" si="153"/>
        <v>0</v>
      </c>
      <c r="HU9">
        <f t="shared" si="154"/>
        <v>45.692</v>
      </c>
      <c r="HV9">
        <f t="shared" si="155"/>
        <v>45</v>
      </c>
      <c r="HW9">
        <f t="shared" si="156"/>
        <v>45</v>
      </c>
      <c r="HX9">
        <f t="shared" si="157"/>
        <v>456.92</v>
      </c>
      <c r="HY9">
        <f t="shared" si="158"/>
        <v>456</v>
      </c>
      <c r="HZ9">
        <f t="shared" si="159"/>
        <v>6</v>
      </c>
      <c r="IA9">
        <f t="shared" si="160"/>
        <v>92</v>
      </c>
      <c r="IB9" t="str">
        <f t="shared" si="161"/>
        <v>ZERO</v>
      </c>
      <c r="IC9" t="str">
        <f t="shared" si="162"/>
        <v xml:space="preserve">Forty  Five </v>
      </c>
      <c r="ID9" t="str">
        <f t="shared" si="163"/>
        <v>Six</v>
      </c>
      <c r="IE9" t="str">
        <f t="shared" si="164"/>
        <v>Ninety Two</v>
      </c>
      <c r="IF9" t="str">
        <f t="shared" si="165"/>
        <v xml:space="preserve"> </v>
      </c>
      <c r="IG9" t="str">
        <f t="shared" si="166"/>
        <v xml:space="preserve"> </v>
      </c>
      <c r="IH9" t="str">
        <f t="shared" si="167"/>
        <v xml:space="preserve">Forty  Five </v>
      </c>
      <c r="II9" t="str">
        <f t="shared" si="168"/>
        <v>THOUSAND</v>
      </c>
      <c r="IJ9" t="str">
        <f t="shared" si="169"/>
        <v>Six</v>
      </c>
      <c r="IK9" t="str">
        <f t="shared" si="170"/>
        <v>HUNDRED</v>
      </c>
      <c r="IL9" t="str">
        <f t="shared" si="171"/>
        <v>Ninety Two</v>
      </c>
      <c r="IM9" t="b">
        <f t="shared" si="172"/>
        <v>0</v>
      </c>
      <c r="IN9" t="str">
        <f t="shared" si="173"/>
        <v>AND</v>
      </c>
      <c r="IO9" t="str">
        <f t="shared" si="174"/>
        <v>AND</v>
      </c>
      <c r="IP9">
        <v>8</v>
      </c>
      <c r="IQ9" t="s">
        <v>55</v>
      </c>
      <c r="IU9">
        <v>45692</v>
      </c>
      <c r="IV9" t="e">
        <f>LOWER(#REF!)</f>
        <v>#REF!</v>
      </c>
    </row>
    <row r="10" spans="1:256">
      <c r="A10" s="9"/>
      <c r="B10" s="18" t="str">
        <f t="shared" si="175"/>
        <v xml:space="preserve">               </v>
      </c>
      <c r="C10" s="18">
        <f t="shared" si="0"/>
        <v>0</v>
      </c>
      <c r="D10" s="18">
        <f t="shared" si="1"/>
        <v>0</v>
      </c>
      <c r="E10" s="18">
        <f t="shared" si="2"/>
        <v>0</v>
      </c>
      <c r="F10" s="18">
        <f t="shared" si="3"/>
        <v>0</v>
      </c>
      <c r="G10" s="18">
        <f t="shared" si="4"/>
        <v>0</v>
      </c>
      <c r="H10" s="18">
        <f t="shared" si="5"/>
        <v>0</v>
      </c>
      <c r="I10" s="18">
        <f t="shared" si="6"/>
        <v>0</v>
      </c>
      <c r="J10" s="18">
        <f t="shared" si="7"/>
        <v>0</v>
      </c>
      <c r="K10" s="18">
        <f t="shared" si="8"/>
        <v>0</v>
      </c>
      <c r="L10" t="str">
        <f t="shared" si="9"/>
        <v>Zero</v>
      </c>
      <c r="M10" t="str">
        <f t="shared" si="10"/>
        <v>Zero</v>
      </c>
      <c r="N10" t="str">
        <f t="shared" si="11"/>
        <v>Zero</v>
      </c>
      <c r="O10" t="str">
        <f t="shared" si="12"/>
        <v>Zero</v>
      </c>
      <c r="P10" t="str">
        <f t="shared" si="13"/>
        <v xml:space="preserve"> </v>
      </c>
      <c r="Q10" t="str">
        <f t="shared" si="176"/>
        <v xml:space="preserve"> </v>
      </c>
      <c r="R10" t="str">
        <f t="shared" si="14"/>
        <v xml:space="preserve"> </v>
      </c>
      <c r="S10" t="str">
        <f t="shared" si="177"/>
        <v xml:space="preserve"> </v>
      </c>
      <c r="T10" s="18" t="str">
        <f t="shared" si="15"/>
        <v xml:space="preserve"> </v>
      </c>
      <c r="U10" s="18" t="str">
        <f t="shared" si="178"/>
        <v xml:space="preserve"> </v>
      </c>
      <c r="V10" s="18" t="str">
        <f t="shared" si="16"/>
        <v xml:space="preserve"> </v>
      </c>
      <c r="W10" s="19" t="b">
        <f t="shared" si="17"/>
        <v>1</v>
      </c>
      <c r="X10" s="19" t="str">
        <f t="shared" si="179"/>
        <v xml:space="preserve"> </v>
      </c>
      <c r="Y10" s="18" t="str">
        <f t="shared" si="18"/>
        <v xml:space="preserve"> </v>
      </c>
      <c r="Z10">
        <v>9</v>
      </c>
      <c r="AA10" s="15" t="s">
        <v>56</v>
      </c>
      <c r="AB10" s="15"/>
      <c r="BK10">
        <v>45693</v>
      </c>
      <c r="BL10" t="str">
        <f t="shared" si="19"/>
        <v>forty five thousand six hundred and ninety three</v>
      </c>
      <c r="BM10" t="str">
        <f t="shared" si="20"/>
        <v>Forty Five THOUSAND Six HUNDRED AND Ninety Three</v>
      </c>
      <c r="BN10" t="str">
        <f t="shared" si="21"/>
        <v xml:space="preserve">    Forty  Five  THOUSAND Six HUNDRED AND Ninety Three</v>
      </c>
      <c r="BO10">
        <f t="shared" si="22"/>
        <v>0.45693</v>
      </c>
      <c r="BP10">
        <f t="shared" si="23"/>
        <v>0</v>
      </c>
      <c r="BQ10">
        <f t="shared" si="24"/>
        <v>45.692999999999998</v>
      </c>
      <c r="BR10">
        <f t="shared" si="25"/>
        <v>45</v>
      </c>
      <c r="BS10">
        <f t="shared" si="26"/>
        <v>45</v>
      </c>
      <c r="BT10">
        <f t="shared" si="27"/>
        <v>456.93</v>
      </c>
      <c r="BU10">
        <f t="shared" si="28"/>
        <v>456</v>
      </c>
      <c r="BV10">
        <f t="shared" si="29"/>
        <v>6</v>
      </c>
      <c r="BW10">
        <f t="shared" si="30"/>
        <v>93</v>
      </c>
      <c r="BX10" t="str">
        <f t="shared" si="31"/>
        <v>ZERO</v>
      </c>
      <c r="BY10" t="str">
        <f t="shared" si="32"/>
        <v xml:space="preserve">Forty  Five </v>
      </c>
      <c r="BZ10" t="str">
        <f t="shared" si="33"/>
        <v>Six</v>
      </c>
      <c r="CA10" t="str">
        <f t="shared" si="34"/>
        <v>Ninety Three</v>
      </c>
      <c r="CB10" t="str">
        <f t="shared" si="35"/>
        <v xml:space="preserve"> </v>
      </c>
      <c r="CC10" t="str">
        <f t="shared" si="36"/>
        <v xml:space="preserve"> </v>
      </c>
      <c r="CD10" t="str">
        <f t="shared" si="37"/>
        <v xml:space="preserve">Forty  Five </v>
      </c>
      <c r="CE10" t="str">
        <f t="shared" si="38"/>
        <v>THOUSAND</v>
      </c>
      <c r="CF10" t="str">
        <f t="shared" si="39"/>
        <v>Six</v>
      </c>
      <c r="CG10" t="str">
        <f t="shared" si="40"/>
        <v>HUNDRED</v>
      </c>
      <c r="CH10" t="str">
        <f t="shared" si="41"/>
        <v>Ninety Three</v>
      </c>
      <c r="CI10" t="b">
        <f t="shared" si="42"/>
        <v>0</v>
      </c>
      <c r="CJ10" t="str">
        <f t="shared" si="43"/>
        <v>AND</v>
      </c>
      <c r="CK10" t="str">
        <f t="shared" si="44"/>
        <v>AND</v>
      </c>
      <c r="CL10">
        <v>9</v>
      </c>
      <c r="CM10" t="s">
        <v>56</v>
      </c>
      <c r="CQ10">
        <v>45693</v>
      </c>
      <c r="CR10" t="str">
        <f t="shared" si="45"/>
        <v>forty five thousand six hundred and ninety three</v>
      </c>
      <c r="CS10" t="str">
        <f t="shared" si="46"/>
        <v>Forty Five THOUSAND Six HUNDRED AND Ninety Three</v>
      </c>
      <c r="CT10" t="str">
        <f t="shared" si="47"/>
        <v xml:space="preserve">    Forty  Five  THOUSAND Six HUNDRED AND Ninety Three</v>
      </c>
      <c r="CU10">
        <f t="shared" si="48"/>
        <v>0.45693</v>
      </c>
      <c r="CV10">
        <f t="shared" si="49"/>
        <v>0</v>
      </c>
      <c r="CW10">
        <f t="shared" si="50"/>
        <v>45.692999999999998</v>
      </c>
      <c r="CX10">
        <f t="shared" si="51"/>
        <v>45</v>
      </c>
      <c r="CY10">
        <f t="shared" si="52"/>
        <v>45</v>
      </c>
      <c r="CZ10">
        <f t="shared" si="53"/>
        <v>456.93</v>
      </c>
      <c r="DA10">
        <f t="shared" si="54"/>
        <v>456</v>
      </c>
      <c r="DB10">
        <f t="shared" si="55"/>
        <v>6</v>
      </c>
      <c r="DC10">
        <f t="shared" si="56"/>
        <v>93</v>
      </c>
      <c r="DD10" t="str">
        <f t="shared" si="57"/>
        <v>ZERO</v>
      </c>
      <c r="DE10" t="str">
        <f t="shared" si="58"/>
        <v xml:space="preserve">Forty  Five </v>
      </c>
      <c r="DF10" t="str">
        <f t="shared" si="59"/>
        <v>Six</v>
      </c>
      <c r="DG10" t="str">
        <f t="shared" si="60"/>
        <v>Ninety Three</v>
      </c>
      <c r="DH10" t="str">
        <f t="shared" si="61"/>
        <v xml:space="preserve"> </v>
      </c>
      <c r="DI10" t="str">
        <f t="shared" si="62"/>
        <v xml:space="preserve"> </v>
      </c>
      <c r="DJ10" t="str">
        <f t="shared" si="63"/>
        <v xml:space="preserve">Forty  Five </v>
      </c>
      <c r="DK10" t="str">
        <f t="shared" si="64"/>
        <v>THOUSAND</v>
      </c>
      <c r="DL10" t="str">
        <f t="shared" si="65"/>
        <v>Six</v>
      </c>
      <c r="DM10" t="str">
        <f t="shared" si="66"/>
        <v>HUNDRED</v>
      </c>
      <c r="DN10" t="str">
        <f t="shared" si="67"/>
        <v>Ninety Three</v>
      </c>
      <c r="DO10" t="b">
        <f t="shared" si="68"/>
        <v>0</v>
      </c>
      <c r="DP10" t="str">
        <f t="shared" si="69"/>
        <v>AND</v>
      </c>
      <c r="DQ10" t="str">
        <f t="shared" si="70"/>
        <v>AND</v>
      </c>
      <c r="DR10">
        <v>9</v>
      </c>
      <c r="DS10" t="s">
        <v>56</v>
      </c>
      <c r="DW10">
        <v>45693</v>
      </c>
      <c r="DX10" t="str">
        <f t="shared" si="71"/>
        <v>forty five thousand six hundred and ninety three</v>
      </c>
      <c r="DY10" t="str">
        <f t="shared" si="72"/>
        <v>Forty Five THOUSAND Six HUNDRED AND Ninety Three</v>
      </c>
      <c r="DZ10" t="str">
        <f t="shared" si="73"/>
        <v xml:space="preserve">    Forty  Five  THOUSAND Six HUNDRED AND Ninety Three</v>
      </c>
      <c r="EA10">
        <f t="shared" si="74"/>
        <v>0.45693</v>
      </c>
      <c r="EB10">
        <f t="shared" si="75"/>
        <v>0</v>
      </c>
      <c r="EC10">
        <f t="shared" si="76"/>
        <v>45.692999999999998</v>
      </c>
      <c r="ED10">
        <f t="shared" si="77"/>
        <v>45</v>
      </c>
      <c r="EE10">
        <f t="shared" si="78"/>
        <v>45</v>
      </c>
      <c r="EF10">
        <f t="shared" si="79"/>
        <v>456.93</v>
      </c>
      <c r="EG10">
        <f t="shared" si="80"/>
        <v>456</v>
      </c>
      <c r="EH10">
        <f t="shared" si="81"/>
        <v>6</v>
      </c>
      <c r="EI10">
        <f t="shared" si="82"/>
        <v>93</v>
      </c>
      <c r="EJ10" t="str">
        <f t="shared" si="83"/>
        <v>ZERO</v>
      </c>
      <c r="EK10" t="str">
        <f t="shared" si="84"/>
        <v xml:space="preserve">Forty  Five </v>
      </c>
      <c r="EL10" t="str">
        <f t="shared" si="85"/>
        <v>Six</v>
      </c>
      <c r="EM10" t="str">
        <f t="shared" si="86"/>
        <v>Ninety Three</v>
      </c>
      <c r="EN10" t="str">
        <f t="shared" si="87"/>
        <v xml:space="preserve"> </v>
      </c>
      <c r="EO10" t="str">
        <f t="shared" si="88"/>
        <v xml:space="preserve"> </v>
      </c>
      <c r="EP10" t="str">
        <f t="shared" si="89"/>
        <v xml:space="preserve">Forty  Five </v>
      </c>
      <c r="EQ10" t="str">
        <f t="shared" si="90"/>
        <v>THOUSAND</v>
      </c>
      <c r="ER10" t="str">
        <f t="shared" si="91"/>
        <v>Six</v>
      </c>
      <c r="ES10" t="str">
        <f t="shared" si="92"/>
        <v>HUNDRED</v>
      </c>
      <c r="ET10" t="str">
        <f t="shared" si="93"/>
        <v>Ninety Three</v>
      </c>
      <c r="EU10" t="b">
        <f t="shared" si="94"/>
        <v>0</v>
      </c>
      <c r="EV10" t="str">
        <f t="shared" si="95"/>
        <v>AND</v>
      </c>
      <c r="EW10" t="str">
        <f t="shared" si="96"/>
        <v>AND</v>
      </c>
      <c r="EX10">
        <v>9</v>
      </c>
      <c r="EY10" t="s">
        <v>56</v>
      </c>
      <c r="FC10">
        <v>45693</v>
      </c>
      <c r="FD10" t="str">
        <f t="shared" si="97"/>
        <v>forty five thousand six hundred and ninety three</v>
      </c>
      <c r="FE10" t="str">
        <f t="shared" si="98"/>
        <v>Forty Five THOUSAND Six HUNDRED AND Ninety Three</v>
      </c>
      <c r="FF10" t="str">
        <f t="shared" si="99"/>
        <v xml:space="preserve">    Forty  Five  THOUSAND Six HUNDRED AND Ninety Three</v>
      </c>
      <c r="FG10">
        <f t="shared" si="100"/>
        <v>0.45693</v>
      </c>
      <c r="FH10">
        <f t="shared" si="101"/>
        <v>0</v>
      </c>
      <c r="FI10">
        <f t="shared" si="102"/>
        <v>45.692999999999998</v>
      </c>
      <c r="FJ10">
        <f t="shared" si="103"/>
        <v>45</v>
      </c>
      <c r="FK10">
        <f t="shared" si="104"/>
        <v>45</v>
      </c>
      <c r="FL10">
        <f t="shared" si="105"/>
        <v>456.93</v>
      </c>
      <c r="FM10">
        <f t="shared" si="106"/>
        <v>456</v>
      </c>
      <c r="FN10">
        <f t="shared" si="107"/>
        <v>6</v>
      </c>
      <c r="FO10">
        <f t="shared" si="108"/>
        <v>93</v>
      </c>
      <c r="FP10" t="str">
        <f t="shared" si="109"/>
        <v>ZERO</v>
      </c>
      <c r="FQ10" t="str">
        <f t="shared" si="110"/>
        <v xml:space="preserve">Forty  Five </v>
      </c>
      <c r="FR10" t="str">
        <f t="shared" si="111"/>
        <v>Six</v>
      </c>
      <c r="FS10" t="str">
        <f t="shared" si="112"/>
        <v>Ninety Three</v>
      </c>
      <c r="FT10" t="str">
        <f t="shared" si="113"/>
        <v xml:space="preserve"> </v>
      </c>
      <c r="FU10" t="str">
        <f t="shared" si="114"/>
        <v xml:space="preserve"> </v>
      </c>
      <c r="FV10" t="str">
        <f t="shared" si="115"/>
        <v xml:space="preserve">Forty  Five </v>
      </c>
      <c r="FW10" t="str">
        <f t="shared" si="116"/>
        <v>THOUSAND</v>
      </c>
      <c r="FX10" t="str">
        <f t="shared" si="117"/>
        <v>Six</v>
      </c>
      <c r="FY10" t="str">
        <f t="shared" si="118"/>
        <v>HUNDRED</v>
      </c>
      <c r="FZ10" t="str">
        <f t="shared" si="119"/>
        <v>Ninety Three</v>
      </c>
      <c r="GA10" t="b">
        <f t="shared" si="120"/>
        <v>0</v>
      </c>
      <c r="GB10" t="str">
        <f t="shared" si="121"/>
        <v>AND</v>
      </c>
      <c r="GC10" t="str">
        <f t="shared" si="122"/>
        <v>AND</v>
      </c>
      <c r="GD10">
        <v>9</v>
      </c>
      <c r="GE10" t="s">
        <v>56</v>
      </c>
      <c r="GI10">
        <v>45693</v>
      </c>
      <c r="GJ10" t="str">
        <f t="shared" si="123"/>
        <v>forty five thousand six hundred and ninety three</v>
      </c>
      <c r="GK10" t="str">
        <f t="shared" si="124"/>
        <v>Forty Five THOUSAND Six HUNDRED AND Ninety Three</v>
      </c>
      <c r="GL10" t="str">
        <f t="shared" si="125"/>
        <v xml:space="preserve">    Forty  Five  THOUSAND Six HUNDRED AND Ninety Three</v>
      </c>
      <c r="GM10">
        <f t="shared" si="126"/>
        <v>0.45693</v>
      </c>
      <c r="GN10">
        <f t="shared" si="127"/>
        <v>0</v>
      </c>
      <c r="GO10">
        <f t="shared" si="128"/>
        <v>45.692999999999998</v>
      </c>
      <c r="GP10">
        <f t="shared" si="129"/>
        <v>45</v>
      </c>
      <c r="GQ10">
        <f t="shared" si="130"/>
        <v>45</v>
      </c>
      <c r="GR10">
        <f t="shared" si="131"/>
        <v>456.93</v>
      </c>
      <c r="GS10">
        <f t="shared" si="132"/>
        <v>456</v>
      </c>
      <c r="GT10">
        <f t="shared" si="133"/>
        <v>6</v>
      </c>
      <c r="GU10">
        <f t="shared" si="134"/>
        <v>93</v>
      </c>
      <c r="GV10" t="str">
        <f t="shared" si="135"/>
        <v>ZERO</v>
      </c>
      <c r="GW10" t="str">
        <f t="shared" si="136"/>
        <v xml:space="preserve">Forty  Five </v>
      </c>
      <c r="GX10" t="str">
        <f t="shared" si="137"/>
        <v>Six</v>
      </c>
      <c r="GY10" t="str">
        <f t="shared" si="138"/>
        <v>Ninety Three</v>
      </c>
      <c r="GZ10" t="str">
        <f t="shared" si="139"/>
        <v xml:space="preserve"> </v>
      </c>
      <c r="HA10" t="str">
        <f t="shared" si="140"/>
        <v xml:space="preserve"> </v>
      </c>
      <c r="HB10" t="str">
        <f t="shared" si="141"/>
        <v xml:space="preserve">Forty  Five </v>
      </c>
      <c r="HC10" t="str">
        <f t="shared" si="142"/>
        <v>THOUSAND</v>
      </c>
      <c r="HD10" t="str">
        <f t="shared" si="143"/>
        <v>Six</v>
      </c>
      <c r="HE10" t="str">
        <f t="shared" si="144"/>
        <v>HUNDRED</v>
      </c>
      <c r="HF10" t="str">
        <f t="shared" si="145"/>
        <v>Ninety Three</v>
      </c>
      <c r="HG10" t="b">
        <f t="shared" si="146"/>
        <v>0</v>
      </c>
      <c r="HH10" t="str">
        <f t="shared" si="147"/>
        <v>AND</v>
      </c>
      <c r="HI10" t="str">
        <f t="shared" si="148"/>
        <v>AND</v>
      </c>
      <c r="HJ10">
        <v>9</v>
      </c>
      <c r="HK10" t="s">
        <v>56</v>
      </c>
      <c r="HO10">
        <v>45693</v>
      </c>
      <c r="HP10" t="str">
        <f t="shared" si="149"/>
        <v>forty five thousand six hundred and ninety three</v>
      </c>
      <c r="HQ10" t="str">
        <f t="shared" si="150"/>
        <v>Forty Five THOUSAND Six HUNDRED AND Ninety Three</v>
      </c>
      <c r="HR10" t="str">
        <f t="shared" si="151"/>
        <v xml:space="preserve">    Forty  Five  THOUSAND Six HUNDRED AND Ninety Three</v>
      </c>
      <c r="HS10">
        <f t="shared" si="152"/>
        <v>0.45693</v>
      </c>
      <c r="HT10">
        <f t="shared" si="153"/>
        <v>0</v>
      </c>
      <c r="HU10">
        <f t="shared" si="154"/>
        <v>45.692999999999998</v>
      </c>
      <c r="HV10">
        <f t="shared" si="155"/>
        <v>45</v>
      </c>
      <c r="HW10">
        <f t="shared" si="156"/>
        <v>45</v>
      </c>
      <c r="HX10">
        <f t="shared" si="157"/>
        <v>456.93</v>
      </c>
      <c r="HY10">
        <f t="shared" si="158"/>
        <v>456</v>
      </c>
      <c r="HZ10">
        <f t="shared" si="159"/>
        <v>6</v>
      </c>
      <c r="IA10">
        <f t="shared" si="160"/>
        <v>93</v>
      </c>
      <c r="IB10" t="str">
        <f t="shared" si="161"/>
        <v>ZERO</v>
      </c>
      <c r="IC10" t="str">
        <f t="shared" si="162"/>
        <v xml:space="preserve">Forty  Five </v>
      </c>
      <c r="ID10" t="str">
        <f t="shared" si="163"/>
        <v>Six</v>
      </c>
      <c r="IE10" t="str">
        <f t="shared" si="164"/>
        <v>Ninety Three</v>
      </c>
      <c r="IF10" t="str">
        <f t="shared" si="165"/>
        <v xml:space="preserve"> </v>
      </c>
      <c r="IG10" t="str">
        <f t="shared" si="166"/>
        <v xml:space="preserve"> </v>
      </c>
      <c r="IH10" t="str">
        <f t="shared" si="167"/>
        <v xml:space="preserve">Forty  Five </v>
      </c>
      <c r="II10" t="str">
        <f t="shared" si="168"/>
        <v>THOUSAND</v>
      </c>
      <c r="IJ10" t="str">
        <f t="shared" si="169"/>
        <v>Six</v>
      </c>
      <c r="IK10" t="str">
        <f t="shared" si="170"/>
        <v>HUNDRED</v>
      </c>
      <c r="IL10" t="str">
        <f t="shared" si="171"/>
        <v>Ninety Three</v>
      </c>
      <c r="IM10" t="b">
        <f t="shared" si="172"/>
        <v>0</v>
      </c>
      <c r="IN10" t="str">
        <f t="shared" si="173"/>
        <v>AND</v>
      </c>
      <c r="IO10" t="str">
        <f t="shared" si="174"/>
        <v>AND</v>
      </c>
      <c r="IP10">
        <v>9</v>
      </c>
      <c r="IQ10" t="s">
        <v>56</v>
      </c>
      <c r="IU10">
        <v>45693</v>
      </c>
      <c r="IV10" t="e">
        <f>LOWER(#REF!)</f>
        <v>#REF!</v>
      </c>
    </row>
    <row r="11" spans="1:256">
      <c r="A11" s="9"/>
      <c r="B11" s="18" t="str">
        <f t="shared" si="175"/>
        <v xml:space="preserve">               </v>
      </c>
      <c r="C11" s="18">
        <f t="shared" si="0"/>
        <v>0</v>
      </c>
      <c r="D11" s="18">
        <f t="shared" si="1"/>
        <v>0</v>
      </c>
      <c r="E11" s="18">
        <f t="shared" si="2"/>
        <v>0</v>
      </c>
      <c r="F11" s="18">
        <f t="shared" si="3"/>
        <v>0</v>
      </c>
      <c r="G11" s="18">
        <f t="shared" si="4"/>
        <v>0</v>
      </c>
      <c r="H11" s="18">
        <f t="shared" si="5"/>
        <v>0</v>
      </c>
      <c r="I11" s="18">
        <f t="shared" si="6"/>
        <v>0</v>
      </c>
      <c r="J11" s="18">
        <f t="shared" si="7"/>
        <v>0</v>
      </c>
      <c r="K11" s="18">
        <f t="shared" si="8"/>
        <v>0</v>
      </c>
      <c r="L11" t="str">
        <f t="shared" si="9"/>
        <v>Zero</v>
      </c>
      <c r="M11" t="str">
        <f t="shared" si="10"/>
        <v>Zero</v>
      </c>
      <c r="N11" t="str">
        <f t="shared" si="11"/>
        <v>Zero</v>
      </c>
      <c r="O11" t="str">
        <f t="shared" si="12"/>
        <v>Zero</v>
      </c>
      <c r="P11" t="str">
        <f t="shared" si="13"/>
        <v xml:space="preserve"> </v>
      </c>
      <c r="Q11" t="str">
        <f t="shared" si="176"/>
        <v xml:space="preserve"> </v>
      </c>
      <c r="R11" t="str">
        <f t="shared" si="14"/>
        <v xml:space="preserve"> </v>
      </c>
      <c r="S11" t="str">
        <f t="shared" si="177"/>
        <v xml:space="preserve"> </v>
      </c>
      <c r="T11" s="18" t="str">
        <f t="shared" si="15"/>
        <v xml:space="preserve"> </v>
      </c>
      <c r="U11" s="18" t="str">
        <f t="shared" si="178"/>
        <v xml:space="preserve"> </v>
      </c>
      <c r="V11" s="18" t="str">
        <f t="shared" si="16"/>
        <v xml:space="preserve"> </v>
      </c>
      <c r="W11" s="19" t="b">
        <f t="shared" si="17"/>
        <v>1</v>
      </c>
      <c r="X11" s="19" t="str">
        <f t="shared" si="179"/>
        <v xml:space="preserve"> </v>
      </c>
      <c r="Y11" s="18" t="str">
        <f t="shared" si="18"/>
        <v xml:space="preserve"> </v>
      </c>
      <c r="Z11">
        <v>10</v>
      </c>
      <c r="AA11" s="15" t="s">
        <v>57</v>
      </c>
      <c r="AB11" s="15"/>
      <c r="BK11">
        <v>45694</v>
      </c>
      <c r="BL11" t="str">
        <f t="shared" si="19"/>
        <v>forty five thousand six hundred and ninety four</v>
      </c>
      <c r="BM11" t="str">
        <f t="shared" si="20"/>
        <v>Forty Five THOUSAND Six HUNDRED AND Ninety Four</v>
      </c>
      <c r="BN11" t="str">
        <f t="shared" si="21"/>
        <v xml:space="preserve">    Forty  Five  THOUSAND Six HUNDRED AND Ninety  Four</v>
      </c>
      <c r="BO11">
        <f t="shared" si="22"/>
        <v>0.45694000000000001</v>
      </c>
      <c r="BP11">
        <f t="shared" si="23"/>
        <v>0</v>
      </c>
      <c r="BQ11">
        <f t="shared" si="24"/>
        <v>45.694000000000003</v>
      </c>
      <c r="BR11">
        <f t="shared" si="25"/>
        <v>45</v>
      </c>
      <c r="BS11">
        <f t="shared" si="26"/>
        <v>45</v>
      </c>
      <c r="BT11">
        <f t="shared" si="27"/>
        <v>456.94</v>
      </c>
      <c r="BU11">
        <f t="shared" si="28"/>
        <v>456</v>
      </c>
      <c r="BV11">
        <f t="shared" si="29"/>
        <v>6</v>
      </c>
      <c r="BW11">
        <f t="shared" si="30"/>
        <v>94</v>
      </c>
      <c r="BX11" t="str">
        <f t="shared" si="31"/>
        <v>ZERO</v>
      </c>
      <c r="BY11" t="str">
        <f t="shared" si="32"/>
        <v xml:space="preserve">Forty  Five </v>
      </c>
      <c r="BZ11" t="str">
        <f t="shared" si="33"/>
        <v>Six</v>
      </c>
      <c r="CA11" t="str">
        <f t="shared" si="34"/>
        <v>Ninety  Four</v>
      </c>
      <c r="CB11" t="str">
        <f t="shared" si="35"/>
        <v xml:space="preserve"> </v>
      </c>
      <c r="CC11" t="str">
        <f t="shared" si="36"/>
        <v xml:space="preserve"> </v>
      </c>
      <c r="CD11" t="str">
        <f t="shared" si="37"/>
        <v xml:space="preserve">Forty  Five </v>
      </c>
      <c r="CE11" t="str">
        <f t="shared" si="38"/>
        <v>THOUSAND</v>
      </c>
      <c r="CF11" t="str">
        <f t="shared" si="39"/>
        <v>Six</v>
      </c>
      <c r="CG11" t="str">
        <f t="shared" si="40"/>
        <v>HUNDRED</v>
      </c>
      <c r="CH11" t="str">
        <f t="shared" si="41"/>
        <v>Ninety  Four</v>
      </c>
      <c r="CI11" t="b">
        <f t="shared" si="42"/>
        <v>0</v>
      </c>
      <c r="CJ11" t="str">
        <f t="shared" si="43"/>
        <v>AND</v>
      </c>
      <c r="CK11" t="str">
        <f t="shared" si="44"/>
        <v>AND</v>
      </c>
      <c r="CL11">
        <v>10</v>
      </c>
      <c r="CM11" t="s">
        <v>58</v>
      </c>
      <c r="CQ11">
        <v>45694</v>
      </c>
      <c r="CR11" t="str">
        <f t="shared" si="45"/>
        <v>forty five thousand six hundred and ninety four</v>
      </c>
      <c r="CS11" t="str">
        <f t="shared" si="46"/>
        <v>Forty Five THOUSAND Six HUNDRED AND Ninety Four</v>
      </c>
      <c r="CT11" t="str">
        <f t="shared" si="47"/>
        <v xml:space="preserve">    Forty  Five  THOUSAND Six HUNDRED AND Ninety  Four</v>
      </c>
      <c r="CU11">
        <f t="shared" si="48"/>
        <v>0.45694000000000001</v>
      </c>
      <c r="CV11">
        <f t="shared" si="49"/>
        <v>0</v>
      </c>
      <c r="CW11">
        <f t="shared" si="50"/>
        <v>45.694000000000003</v>
      </c>
      <c r="CX11">
        <f t="shared" si="51"/>
        <v>45</v>
      </c>
      <c r="CY11">
        <f t="shared" si="52"/>
        <v>45</v>
      </c>
      <c r="CZ11">
        <f t="shared" si="53"/>
        <v>456.94</v>
      </c>
      <c r="DA11">
        <f t="shared" si="54"/>
        <v>456</v>
      </c>
      <c r="DB11">
        <f t="shared" si="55"/>
        <v>6</v>
      </c>
      <c r="DC11">
        <f t="shared" si="56"/>
        <v>94</v>
      </c>
      <c r="DD11" t="str">
        <f t="shared" si="57"/>
        <v>ZERO</v>
      </c>
      <c r="DE11" t="str">
        <f t="shared" si="58"/>
        <v xml:space="preserve">Forty  Five </v>
      </c>
      <c r="DF11" t="str">
        <f t="shared" si="59"/>
        <v>Six</v>
      </c>
      <c r="DG11" t="str">
        <f t="shared" si="60"/>
        <v>Ninety  Four</v>
      </c>
      <c r="DH11" t="str">
        <f t="shared" si="61"/>
        <v xml:space="preserve"> </v>
      </c>
      <c r="DI11" t="str">
        <f t="shared" si="62"/>
        <v xml:space="preserve"> </v>
      </c>
      <c r="DJ11" t="str">
        <f t="shared" si="63"/>
        <v xml:space="preserve">Forty  Five </v>
      </c>
      <c r="DK11" t="str">
        <f t="shared" si="64"/>
        <v>THOUSAND</v>
      </c>
      <c r="DL11" t="str">
        <f t="shared" si="65"/>
        <v>Six</v>
      </c>
      <c r="DM11" t="str">
        <f t="shared" si="66"/>
        <v>HUNDRED</v>
      </c>
      <c r="DN11" t="str">
        <f t="shared" si="67"/>
        <v>Ninety  Four</v>
      </c>
      <c r="DO11" t="b">
        <f t="shared" si="68"/>
        <v>0</v>
      </c>
      <c r="DP11" t="str">
        <f t="shared" si="69"/>
        <v>AND</v>
      </c>
      <c r="DQ11" t="str">
        <f t="shared" si="70"/>
        <v>AND</v>
      </c>
      <c r="DR11">
        <v>10</v>
      </c>
      <c r="DS11" t="s">
        <v>58</v>
      </c>
      <c r="DW11">
        <v>45694</v>
      </c>
      <c r="DX11" t="str">
        <f t="shared" si="71"/>
        <v>forty five thousand six hundred and ninety four</v>
      </c>
      <c r="DY11" t="str">
        <f t="shared" si="72"/>
        <v>Forty Five THOUSAND Six HUNDRED AND Ninety Four</v>
      </c>
      <c r="DZ11" t="str">
        <f t="shared" si="73"/>
        <v xml:space="preserve">    Forty  Five  THOUSAND Six HUNDRED AND Ninety  Four</v>
      </c>
      <c r="EA11">
        <f t="shared" si="74"/>
        <v>0.45694000000000001</v>
      </c>
      <c r="EB11">
        <f t="shared" si="75"/>
        <v>0</v>
      </c>
      <c r="EC11">
        <f t="shared" si="76"/>
        <v>45.694000000000003</v>
      </c>
      <c r="ED11">
        <f t="shared" si="77"/>
        <v>45</v>
      </c>
      <c r="EE11">
        <f t="shared" si="78"/>
        <v>45</v>
      </c>
      <c r="EF11">
        <f t="shared" si="79"/>
        <v>456.94</v>
      </c>
      <c r="EG11">
        <f t="shared" si="80"/>
        <v>456</v>
      </c>
      <c r="EH11">
        <f t="shared" si="81"/>
        <v>6</v>
      </c>
      <c r="EI11">
        <f t="shared" si="82"/>
        <v>94</v>
      </c>
      <c r="EJ11" t="str">
        <f t="shared" si="83"/>
        <v>ZERO</v>
      </c>
      <c r="EK11" t="str">
        <f t="shared" si="84"/>
        <v xml:space="preserve">Forty  Five </v>
      </c>
      <c r="EL11" t="str">
        <f t="shared" si="85"/>
        <v>Six</v>
      </c>
      <c r="EM11" t="str">
        <f t="shared" si="86"/>
        <v>Ninety  Four</v>
      </c>
      <c r="EN11" t="str">
        <f t="shared" si="87"/>
        <v xml:space="preserve"> </v>
      </c>
      <c r="EO11" t="str">
        <f t="shared" si="88"/>
        <v xml:space="preserve"> </v>
      </c>
      <c r="EP11" t="str">
        <f t="shared" si="89"/>
        <v xml:space="preserve">Forty  Five </v>
      </c>
      <c r="EQ11" t="str">
        <f t="shared" si="90"/>
        <v>THOUSAND</v>
      </c>
      <c r="ER11" t="str">
        <f t="shared" si="91"/>
        <v>Six</v>
      </c>
      <c r="ES11" t="str">
        <f t="shared" si="92"/>
        <v>HUNDRED</v>
      </c>
      <c r="ET11" t="str">
        <f t="shared" si="93"/>
        <v>Ninety  Four</v>
      </c>
      <c r="EU11" t="b">
        <f t="shared" si="94"/>
        <v>0</v>
      </c>
      <c r="EV11" t="str">
        <f t="shared" si="95"/>
        <v>AND</v>
      </c>
      <c r="EW11" t="str">
        <f t="shared" si="96"/>
        <v>AND</v>
      </c>
      <c r="EX11">
        <v>10</v>
      </c>
      <c r="EY11" t="s">
        <v>58</v>
      </c>
      <c r="FC11">
        <v>45694</v>
      </c>
      <c r="FD11" t="str">
        <f t="shared" si="97"/>
        <v>forty five thousand six hundred and ninety four</v>
      </c>
      <c r="FE11" t="str">
        <f t="shared" si="98"/>
        <v>Forty Five THOUSAND Six HUNDRED AND Ninety Four</v>
      </c>
      <c r="FF11" t="str">
        <f t="shared" si="99"/>
        <v xml:space="preserve">    Forty  Five  THOUSAND Six HUNDRED AND Ninety  Four</v>
      </c>
      <c r="FG11">
        <f t="shared" si="100"/>
        <v>0.45694000000000001</v>
      </c>
      <c r="FH11">
        <f t="shared" si="101"/>
        <v>0</v>
      </c>
      <c r="FI11">
        <f t="shared" si="102"/>
        <v>45.694000000000003</v>
      </c>
      <c r="FJ11">
        <f t="shared" si="103"/>
        <v>45</v>
      </c>
      <c r="FK11">
        <f t="shared" si="104"/>
        <v>45</v>
      </c>
      <c r="FL11">
        <f t="shared" si="105"/>
        <v>456.94</v>
      </c>
      <c r="FM11">
        <f t="shared" si="106"/>
        <v>456</v>
      </c>
      <c r="FN11">
        <f t="shared" si="107"/>
        <v>6</v>
      </c>
      <c r="FO11">
        <f t="shared" si="108"/>
        <v>94</v>
      </c>
      <c r="FP11" t="str">
        <f t="shared" si="109"/>
        <v>ZERO</v>
      </c>
      <c r="FQ11" t="str">
        <f t="shared" si="110"/>
        <v xml:space="preserve">Forty  Five </v>
      </c>
      <c r="FR11" t="str">
        <f t="shared" si="111"/>
        <v>Six</v>
      </c>
      <c r="FS11" t="str">
        <f t="shared" si="112"/>
        <v>Ninety  Four</v>
      </c>
      <c r="FT11" t="str">
        <f t="shared" si="113"/>
        <v xml:space="preserve"> </v>
      </c>
      <c r="FU11" t="str">
        <f t="shared" si="114"/>
        <v xml:space="preserve"> </v>
      </c>
      <c r="FV11" t="str">
        <f t="shared" si="115"/>
        <v xml:space="preserve">Forty  Five </v>
      </c>
      <c r="FW11" t="str">
        <f t="shared" si="116"/>
        <v>THOUSAND</v>
      </c>
      <c r="FX11" t="str">
        <f t="shared" si="117"/>
        <v>Six</v>
      </c>
      <c r="FY11" t="str">
        <f t="shared" si="118"/>
        <v>HUNDRED</v>
      </c>
      <c r="FZ11" t="str">
        <f t="shared" si="119"/>
        <v>Ninety  Four</v>
      </c>
      <c r="GA11" t="b">
        <f t="shared" si="120"/>
        <v>0</v>
      </c>
      <c r="GB11" t="str">
        <f t="shared" si="121"/>
        <v>AND</v>
      </c>
      <c r="GC11" t="str">
        <f t="shared" si="122"/>
        <v>AND</v>
      </c>
      <c r="GD11">
        <v>10</v>
      </c>
      <c r="GE11" t="s">
        <v>58</v>
      </c>
      <c r="GI11">
        <v>45694</v>
      </c>
      <c r="GJ11" t="str">
        <f t="shared" si="123"/>
        <v>forty five thousand six hundred and ninety four</v>
      </c>
      <c r="GK11" t="str">
        <f t="shared" si="124"/>
        <v>Forty Five THOUSAND Six HUNDRED AND Ninety Four</v>
      </c>
      <c r="GL11" t="str">
        <f t="shared" si="125"/>
        <v xml:space="preserve">    Forty  Five  THOUSAND Six HUNDRED AND Ninety  Four</v>
      </c>
      <c r="GM11">
        <f t="shared" si="126"/>
        <v>0.45694000000000001</v>
      </c>
      <c r="GN11">
        <f t="shared" si="127"/>
        <v>0</v>
      </c>
      <c r="GO11">
        <f t="shared" si="128"/>
        <v>45.694000000000003</v>
      </c>
      <c r="GP11">
        <f t="shared" si="129"/>
        <v>45</v>
      </c>
      <c r="GQ11">
        <f t="shared" si="130"/>
        <v>45</v>
      </c>
      <c r="GR11">
        <f t="shared" si="131"/>
        <v>456.94</v>
      </c>
      <c r="GS11">
        <f t="shared" si="132"/>
        <v>456</v>
      </c>
      <c r="GT11">
        <f t="shared" si="133"/>
        <v>6</v>
      </c>
      <c r="GU11">
        <f t="shared" si="134"/>
        <v>94</v>
      </c>
      <c r="GV11" t="str">
        <f t="shared" si="135"/>
        <v>ZERO</v>
      </c>
      <c r="GW11" t="str">
        <f t="shared" si="136"/>
        <v xml:space="preserve">Forty  Five </v>
      </c>
      <c r="GX11" t="str">
        <f t="shared" si="137"/>
        <v>Six</v>
      </c>
      <c r="GY11" t="str">
        <f t="shared" si="138"/>
        <v>Ninety  Four</v>
      </c>
      <c r="GZ11" t="str">
        <f t="shared" si="139"/>
        <v xml:space="preserve"> </v>
      </c>
      <c r="HA11" t="str">
        <f t="shared" si="140"/>
        <v xml:space="preserve"> </v>
      </c>
      <c r="HB11" t="str">
        <f t="shared" si="141"/>
        <v xml:space="preserve">Forty  Five </v>
      </c>
      <c r="HC11" t="str">
        <f t="shared" si="142"/>
        <v>THOUSAND</v>
      </c>
      <c r="HD11" t="str">
        <f t="shared" si="143"/>
        <v>Six</v>
      </c>
      <c r="HE11" t="str">
        <f t="shared" si="144"/>
        <v>HUNDRED</v>
      </c>
      <c r="HF11" t="str">
        <f t="shared" si="145"/>
        <v>Ninety  Four</v>
      </c>
      <c r="HG11" t="b">
        <f t="shared" si="146"/>
        <v>0</v>
      </c>
      <c r="HH11" t="str">
        <f t="shared" si="147"/>
        <v>AND</v>
      </c>
      <c r="HI11" t="str">
        <f t="shared" si="148"/>
        <v>AND</v>
      </c>
      <c r="HJ11">
        <v>10</v>
      </c>
      <c r="HK11" t="s">
        <v>58</v>
      </c>
      <c r="HO11">
        <v>45694</v>
      </c>
      <c r="HP11" t="str">
        <f t="shared" si="149"/>
        <v>forty five thousand six hundred and ninety four</v>
      </c>
      <c r="HQ11" t="str">
        <f t="shared" si="150"/>
        <v>Forty Five THOUSAND Six HUNDRED AND Ninety Four</v>
      </c>
      <c r="HR11" t="str">
        <f t="shared" si="151"/>
        <v xml:space="preserve">    Forty  Five  THOUSAND Six HUNDRED AND Ninety  Four</v>
      </c>
      <c r="HS11">
        <f t="shared" si="152"/>
        <v>0.45694000000000001</v>
      </c>
      <c r="HT11">
        <f t="shared" si="153"/>
        <v>0</v>
      </c>
      <c r="HU11">
        <f t="shared" si="154"/>
        <v>45.694000000000003</v>
      </c>
      <c r="HV11">
        <f t="shared" si="155"/>
        <v>45</v>
      </c>
      <c r="HW11">
        <f t="shared" si="156"/>
        <v>45</v>
      </c>
      <c r="HX11">
        <f t="shared" si="157"/>
        <v>456.94</v>
      </c>
      <c r="HY11">
        <f t="shared" si="158"/>
        <v>456</v>
      </c>
      <c r="HZ11">
        <f t="shared" si="159"/>
        <v>6</v>
      </c>
      <c r="IA11">
        <f t="shared" si="160"/>
        <v>94</v>
      </c>
      <c r="IB11" t="str">
        <f t="shared" si="161"/>
        <v>ZERO</v>
      </c>
      <c r="IC11" t="str">
        <f t="shared" si="162"/>
        <v xml:space="preserve">Forty  Five </v>
      </c>
      <c r="ID11" t="str">
        <f t="shared" si="163"/>
        <v>Six</v>
      </c>
      <c r="IE11" t="str">
        <f t="shared" si="164"/>
        <v>Ninety  Four</v>
      </c>
      <c r="IF11" t="str">
        <f t="shared" si="165"/>
        <v xml:space="preserve"> </v>
      </c>
      <c r="IG11" t="str">
        <f t="shared" si="166"/>
        <v xml:space="preserve"> </v>
      </c>
      <c r="IH11" t="str">
        <f t="shared" si="167"/>
        <v xml:space="preserve">Forty  Five </v>
      </c>
      <c r="II11" t="str">
        <f t="shared" si="168"/>
        <v>THOUSAND</v>
      </c>
      <c r="IJ11" t="str">
        <f t="shared" si="169"/>
        <v>Six</v>
      </c>
      <c r="IK11" t="str">
        <f t="shared" si="170"/>
        <v>HUNDRED</v>
      </c>
      <c r="IL11" t="str">
        <f t="shared" si="171"/>
        <v>Ninety  Four</v>
      </c>
      <c r="IM11" t="b">
        <f t="shared" si="172"/>
        <v>0</v>
      </c>
      <c r="IN11" t="str">
        <f t="shared" si="173"/>
        <v>AND</v>
      </c>
      <c r="IO11" t="str">
        <f t="shared" si="174"/>
        <v>AND</v>
      </c>
      <c r="IP11">
        <v>10</v>
      </c>
      <c r="IQ11" t="s">
        <v>58</v>
      </c>
      <c r="IU11">
        <v>45694</v>
      </c>
      <c r="IV11" t="e">
        <f>LOWER(#REF!)</f>
        <v>#REF!</v>
      </c>
    </row>
    <row r="12" spans="1:256">
      <c r="A12" s="9"/>
      <c r="B12" s="18" t="str">
        <f t="shared" si="175"/>
        <v xml:space="preserve">               </v>
      </c>
      <c r="C12" s="18">
        <f t="shared" si="0"/>
        <v>0</v>
      </c>
      <c r="D12" s="18">
        <f t="shared" si="1"/>
        <v>0</v>
      </c>
      <c r="E12" s="18">
        <f t="shared" si="2"/>
        <v>0</v>
      </c>
      <c r="F12" s="18">
        <f t="shared" si="3"/>
        <v>0</v>
      </c>
      <c r="G12" s="18">
        <f t="shared" si="4"/>
        <v>0</v>
      </c>
      <c r="H12" s="18">
        <f t="shared" si="5"/>
        <v>0</v>
      </c>
      <c r="I12" s="18">
        <f t="shared" si="6"/>
        <v>0</v>
      </c>
      <c r="J12" s="18">
        <f t="shared" si="7"/>
        <v>0</v>
      </c>
      <c r="K12" s="18">
        <f t="shared" si="8"/>
        <v>0</v>
      </c>
      <c r="L12" t="str">
        <f t="shared" si="9"/>
        <v>Zero</v>
      </c>
      <c r="M12" t="str">
        <f t="shared" si="10"/>
        <v>Zero</v>
      </c>
      <c r="N12" t="str">
        <f t="shared" si="11"/>
        <v>Zero</v>
      </c>
      <c r="O12" t="str">
        <f t="shared" si="12"/>
        <v>Zero</v>
      </c>
      <c r="P12" t="str">
        <f t="shared" si="13"/>
        <v xml:space="preserve"> </v>
      </c>
      <c r="Q12" t="str">
        <f t="shared" si="176"/>
        <v xml:space="preserve"> </v>
      </c>
      <c r="R12" t="str">
        <f t="shared" si="14"/>
        <v xml:space="preserve"> </v>
      </c>
      <c r="S12" t="str">
        <f t="shared" si="177"/>
        <v xml:space="preserve"> </v>
      </c>
      <c r="T12" s="18" t="str">
        <f t="shared" si="15"/>
        <v xml:space="preserve"> </v>
      </c>
      <c r="U12" s="18" t="str">
        <f t="shared" si="178"/>
        <v xml:space="preserve"> </v>
      </c>
      <c r="V12" s="18" t="str">
        <f t="shared" si="16"/>
        <v xml:space="preserve"> </v>
      </c>
      <c r="W12" s="19" t="b">
        <f t="shared" si="17"/>
        <v>1</v>
      </c>
      <c r="X12" s="19" t="str">
        <f t="shared" si="179"/>
        <v xml:space="preserve"> </v>
      </c>
      <c r="Y12" s="18" t="str">
        <f t="shared" si="18"/>
        <v xml:space="preserve"> </v>
      </c>
      <c r="Z12">
        <v>11</v>
      </c>
      <c r="AA12" s="15" t="s">
        <v>59</v>
      </c>
      <c r="AB12" s="15"/>
      <c r="BK12">
        <v>45695</v>
      </c>
      <c r="BL12" t="str">
        <f t="shared" si="19"/>
        <v>forty five thousand six hundred and ninety five</v>
      </c>
      <c r="BM12" t="str">
        <f t="shared" si="20"/>
        <v>Forty Five THOUSAND Six HUNDRED AND Ninety Five</v>
      </c>
      <c r="BN12" t="str">
        <f t="shared" si="21"/>
        <v xml:space="preserve">    Forty  Five  THOUSAND Six HUNDRED AND Ninety  Five </v>
      </c>
      <c r="BO12">
        <f t="shared" si="22"/>
        <v>0.45695000000000002</v>
      </c>
      <c r="BP12">
        <f t="shared" si="23"/>
        <v>0</v>
      </c>
      <c r="BQ12">
        <f t="shared" si="24"/>
        <v>45.695</v>
      </c>
      <c r="BR12">
        <f t="shared" si="25"/>
        <v>45</v>
      </c>
      <c r="BS12">
        <f t="shared" si="26"/>
        <v>45</v>
      </c>
      <c r="BT12">
        <f t="shared" si="27"/>
        <v>456.95</v>
      </c>
      <c r="BU12">
        <f t="shared" si="28"/>
        <v>456</v>
      </c>
      <c r="BV12">
        <f t="shared" si="29"/>
        <v>6</v>
      </c>
      <c r="BW12">
        <f t="shared" si="30"/>
        <v>95</v>
      </c>
      <c r="BX12" t="str">
        <f t="shared" si="31"/>
        <v>ZERO</v>
      </c>
      <c r="BY12" t="str">
        <f t="shared" si="32"/>
        <v xml:space="preserve">Forty  Five </v>
      </c>
      <c r="BZ12" t="str">
        <f t="shared" si="33"/>
        <v>Six</v>
      </c>
      <c r="CA12" t="str">
        <f t="shared" si="34"/>
        <v xml:space="preserve">Ninety  Five </v>
      </c>
      <c r="CB12" t="str">
        <f t="shared" si="35"/>
        <v xml:space="preserve"> </v>
      </c>
      <c r="CC12" t="str">
        <f t="shared" si="36"/>
        <v xml:space="preserve"> </v>
      </c>
      <c r="CD12" t="str">
        <f t="shared" si="37"/>
        <v xml:space="preserve">Forty  Five </v>
      </c>
      <c r="CE12" t="str">
        <f t="shared" si="38"/>
        <v>THOUSAND</v>
      </c>
      <c r="CF12" t="str">
        <f t="shared" si="39"/>
        <v>Six</v>
      </c>
      <c r="CG12" t="str">
        <f t="shared" si="40"/>
        <v>HUNDRED</v>
      </c>
      <c r="CH12" t="str">
        <f t="shared" si="41"/>
        <v xml:space="preserve">Ninety  Five </v>
      </c>
      <c r="CI12" t="b">
        <f t="shared" si="42"/>
        <v>0</v>
      </c>
      <c r="CJ12" t="str">
        <f t="shared" si="43"/>
        <v>AND</v>
      </c>
      <c r="CK12" t="str">
        <f t="shared" si="44"/>
        <v>AND</v>
      </c>
      <c r="CL12">
        <v>11</v>
      </c>
      <c r="CM12" t="s">
        <v>60</v>
      </c>
      <c r="CQ12">
        <v>45695</v>
      </c>
      <c r="CR12" t="str">
        <f t="shared" si="45"/>
        <v>forty five thousand six hundred and ninety five</v>
      </c>
      <c r="CS12" t="str">
        <f t="shared" si="46"/>
        <v>Forty Five THOUSAND Six HUNDRED AND Ninety Five</v>
      </c>
      <c r="CT12" t="str">
        <f t="shared" si="47"/>
        <v xml:space="preserve">    Forty  Five  THOUSAND Six HUNDRED AND Ninety  Five </v>
      </c>
      <c r="CU12">
        <f t="shared" si="48"/>
        <v>0.45695000000000002</v>
      </c>
      <c r="CV12">
        <f t="shared" si="49"/>
        <v>0</v>
      </c>
      <c r="CW12">
        <f t="shared" si="50"/>
        <v>45.695</v>
      </c>
      <c r="CX12">
        <f t="shared" si="51"/>
        <v>45</v>
      </c>
      <c r="CY12">
        <f t="shared" si="52"/>
        <v>45</v>
      </c>
      <c r="CZ12">
        <f t="shared" si="53"/>
        <v>456.95</v>
      </c>
      <c r="DA12">
        <f t="shared" si="54"/>
        <v>456</v>
      </c>
      <c r="DB12">
        <f t="shared" si="55"/>
        <v>6</v>
      </c>
      <c r="DC12">
        <f t="shared" si="56"/>
        <v>95</v>
      </c>
      <c r="DD12" t="str">
        <f t="shared" si="57"/>
        <v>ZERO</v>
      </c>
      <c r="DE12" t="str">
        <f t="shared" si="58"/>
        <v xml:space="preserve">Forty  Five </v>
      </c>
      <c r="DF12" t="str">
        <f t="shared" si="59"/>
        <v>Six</v>
      </c>
      <c r="DG12" t="str">
        <f t="shared" si="60"/>
        <v xml:space="preserve">Ninety  Five </v>
      </c>
      <c r="DH12" t="str">
        <f t="shared" si="61"/>
        <v xml:space="preserve"> </v>
      </c>
      <c r="DI12" t="str">
        <f t="shared" si="62"/>
        <v xml:space="preserve"> </v>
      </c>
      <c r="DJ12" t="str">
        <f t="shared" si="63"/>
        <v xml:space="preserve">Forty  Five </v>
      </c>
      <c r="DK12" t="str">
        <f t="shared" si="64"/>
        <v>THOUSAND</v>
      </c>
      <c r="DL12" t="str">
        <f t="shared" si="65"/>
        <v>Six</v>
      </c>
      <c r="DM12" t="str">
        <f t="shared" si="66"/>
        <v>HUNDRED</v>
      </c>
      <c r="DN12" t="str">
        <f t="shared" si="67"/>
        <v xml:space="preserve">Ninety  Five </v>
      </c>
      <c r="DO12" t="b">
        <f t="shared" si="68"/>
        <v>0</v>
      </c>
      <c r="DP12" t="str">
        <f t="shared" si="69"/>
        <v>AND</v>
      </c>
      <c r="DQ12" t="str">
        <f t="shared" si="70"/>
        <v>AND</v>
      </c>
      <c r="DR12">
        <v>11</v>
      </c>
      <c r="DS12" t="s">
        <v>60</v>
      </c>
      <c r="DW12">
        <v>45695</v>
      </c>
      <c r="DX12" t="str">
        <f t="shared" si="71"/>
        <v>forty five thousand six hundred and ninety five</v>
      </c>
      <c r="DY12" t="str">
        <f t="shared" si="72"/>
        <v>Forty Five THOUSAND Six HUNDRED AND Ninety Five</v>
      </c>
      <c r="DZ12" t="str">
        <f t="shared" si="73"/>
        <v xml:space="preserve">    Forty  Five  THOUSAND Six HUNDRED AND Ninety  Five </v>
      </c>
      <c r="EA12">
        <f t="shared" si="74"/>
        <v>0.45695000000000002</v>
      </c>
      <c r="EB12">
        <f t="shared" si="75"/>
        <v>0</v>
      </c>
      <c r="EC12">
        <f t="shared" si="76"/>
        <v>45.695</v>
      </c>
      <c r="ED12">
        <f t="shared" si="77"/>
        <v>45</v>
      </c>
      <c r="EE12">
        <f t="shared" si="78"/>
        <v>45</v>
      </c>
      <c r="EF12">
        <f t="shared" si="79"/>
        <v>456.95</v>
      </c>
      <c r="EG12">
        <f t="shared" si="80"/>
        <v>456</v>
      </c>
      <c r="EH12">
        <f t="shared" si="81"/>
        <v>6</v>
      </c>
      <c r="EI12">
        <f t="shared" si="82"/>
        <v>95</v>
      </c>
      <c r="EJ12" t="str">
        <f t="shared" si="83"/>
        <v>ZERO</v>
      </c>
      <c r="EK12" t="str">
        <f t="shared" si="84"/>
        <v xml:space="preserve">Forty  Five </v>
      </c>
      <c r="EL12" t="str">
        <f t="shared" si="85"/>
        <v>Six</v>
      </c>
      <c r="EM12" t="str">
        <f t="shared" si="86"/>
        <v xml:space="preserve">Ninety  Five </v>
      </c>
      <c r="EN12" t="str">
        <f t="shared" si="87"/>
        <v xml:space="preserve"> </v>
      </c>
      <c r="EO12" t="str">
        <f t="shared" si="88"/>
        <v xml:space="preserve"> </v>
      </c>
      <c r="EP12" t="str">
        <f t="shared" si="89"/>
        <v xml:space="preserve">Forty  Five </v>
      </c>
      <c r="EQ12" t="str">
        <f t="shared" si="90"/>
        <v>THOUSAND</v>
      </c>
      <c r="ER12" t="str">
        <f t="shared" si="91"/>
        <v>Six</v>
      </c>
      <c r="ES12" t="str">
        <f t="shared" si="92"/>
        <v>HUNDRED</v>
      </c>
      <c r="ET12" t="str">
        <f t="shared" si="93"/>
        <v xml:space="preserve">Ninety  Five </v>
      </c>
      <c r="EU12" t="b">
        <f t="shared" si="94"/>
        <v>0</v>
      </c>
      <c r="EV12" t="str">
        <f t="shared" si="95"/>
        <v>AND</v>
      </c>
      <c r="EW12" t="str">
        <f t="shared" si="96"/>
        <v>AND</v>
      </c>
      <c r="EX12">
        <v>11</v>
      </c>
      <c r="EY12" t="s">
        <v>60</v>
      </c>
      <c r="FC12">
        <v>45695</v>
      </c>
      <c r="FD12" t="str">
        <f t="shared" si="97"/>
        <v>forty five thousand six hundred and ninety five</v>
      </c>
      <c r="FE12" t="str">
        <f t="shared" si="98"/>
        <v>Forty Five THOUSAND Six HUNDRED AND Ninety Five</v>
      </c>
      <c r="FF12" t="str">
        <f t="shared" si="99"/>
        <v xml:space="preserve">    Forty  Five  THOUSAND Six HUNDRED AND Ninety  Five </v>
      </c>
      <c r="FG12">
        <f t="shared" si="100"/>
        <v>0.45695000000000002</v>
      </c>
      <c r="FH12">
        <f t="shared" si="101"/>
        <v>0</v>
      </c>
      <c r="FI12">
        <f t="shared" si="102"/>
        <v>45.695</v>
      </c>
      <c r="FJ12">
        <f t="shared" si="103"/>
        <v>45</v>
      </c>
      <c r="FK12">
        <f t="shared" si="104"/>
        <v>45</v>
      </c>
      <c r="FL12">
        <f t="shared" si="105"/>
        <v>456.95</v>
      </c>
      <c r="FM12">
        <f t="shared" si="106"/>
        <v>456</v>
      </c>
      <c r="FN12">
        <f t="shared" si="107"/>
        <v>6</v>
      </c>
      <c r="FO12">
        <f t="shared" si="108"/>
        <v>95</v>
      </c>
      <c r="FP12" t="str">
        <f t="shared" si="109"/>
        <v>ZERO</v>
      </c>
      <c r="FQ12" t="str">
        <f t="shared" si="110"/>
        <v xml:space="preserve">Forty  Five </v>
      </c>
      <c r="FR12" t="str">
        <f t="shared" si="111"/>
        <v>Six</v>
      </c>
      <c r="FS12" t="str">
        <f t="shared" si="112"/>
        <v xml:space="preserve">Ninety  Five </v>
      </c>
      <c r="FT12" t="str">
        <f t="shared" si="113"/>
        <v xml:space="preserve"> </v>
      </c>
      <c r="FU12" t="str">
        <f t="shared" si="114"/>
        <v xml:space="preserve"> </v>
      </c>
      <c r="FV12" t="str">
        <f t="shared" si="115"/>
        <v xml:space="preserve">Forty  Five </v>
      </c>
      <c r="FW12" t="str">
        <f t="shared" si="116"/>
        <v>THOUSAND</v>
      </c>
      <c r="FX12" t="str">
        <f t="shared" si="117"/>
        <v>Six</v>
      </c>
      <c r="FY12" t="str">
        <f t="shared" si="118"/>
        <v>HUNDRED</v>
      </c>
      <c r="FZ12" t="str">
        <f t="shared" si="119"/>
        <v xml:space="preserve">Ninety  Five </v>
      </c>
      <c r="GA12" t="b">
        <f t="shared" si="120"/>
        <v>0</v>
      </c>
      <c r="GB12" t="str">
        <f t="shared" si="121"/>
        <v>AND</v>
      </c>
      <c r="GC12" t="str">
        <f t="shared" si="122"/>
        <v>AND</v>
      </c>
      <c r="GD12">
        <v>11</v>
      </c>
      <c r="GE12" t="s">
        <v>60</v>
      </c>
      <c r="GI12">
        <v>45695</v>
      </c>
      <c r="GJ12" t="str">
        <f t="shared" si="123"/>
        <v>forty five thousand six hundred and ninety five</v>
      </c>
      <c r="GK12" t="str">
        <f t="shared" si="124"/>
        <v>Forty Five THOUSAND Six HUNDRED AND Ninety Five</v>
      </c>
      <c r="GL12" t="str">
        <f t="shared" si="125"/>
        <v xml:space="preserve">    Forty  Five  THOUSAND Six HUNDRED AND Ninety  Five </v>
      </c>
      <c r="GM12">
        <f t="shared" si="126"/>
        <v>0.45695000000000002</v>
      </c>
      <c r="GN12">
        <f t="shared" si="127"/>
        <v>0</v>
      </c>
      <c r="GO12">
        <f t="shared" si="128"/>
        <v>45.695</v>
      </c>
      <c r="GP12">
        <f t="shared" si="129"/>
        <v>45</v>
      </c>
      <c r="GQ12">
        <f t="shared" si="130"/>
        <v>45</v>
      </c>
      <c r="GR12">
        <f t="shared" si="131"/>
        <v>456.95</v>
      </c>
      <c r="GS12">
        <f t="shared" si="132"/>
        <v>456</v>
      </c>
      <c r="GT12">
        <f t="shared" si="133"/>
        <v>6</v>
      </c>
      <c r="GU12">
        <f t="shared" si="134"/>
        <v>95</v>
      </c>
      <c r="GV12" t="str">
        <f t="shared" si="135"/>
        <v>ZERO</v>
      </c>
      <c r="GW12" t="str">
        <f t="shared" si="136"/>
        <v xml:space="preserve">Forty  Five </v>
      </c>
      <c r="GX12" t="str">
        <f t="shared" si="137"/>
        <v>Six</v>
      </c>
      <c r="GY12" t="str">
        <f t="shared" si="138"/>
        <v xml:space="preserve">Ninety  Five </v>
      </c>
      <c r="GZ12" t="str">
        <f t="shared" si="139"/>
        <v xml:space="preserve"> </v>
      </c>
      <c r="HA12" t="str">
        <f t="shared" si="140"/>
        <v xml:space="preserve"> </v>
      </c>
      <c r="HB12" t="str">
        <f t="shared" si="141"/>
        <v xml:space="preserve">Forty  Five </v>
      </c>
      <c r="HC12" t="str">
        <f t="shared" si="142"/>
        <v>THOUSAND</v>
      </c>
      <c r="HD12" t="str">
        <f t="shared" si="143"/>
        <v>Six</v>
      </c>
      <c r="HE12" t="str">
        <f t="shared" si="144"/>
        <v>HUNDRED</v>
      </c>
      <c r="HF12" t="str">
        <f t="shared" si="145"/>
        <v xml:space="preserve">Ninety  Five </v>
      </c>
      <c r="HG12" t="b">
        <f t="shared" si="146"/>
        <v>0</v>
      </c>
      <c r="HH12" t="str">
        <f t="shared" si="147"/>
        <v>AND</v>
      </c>
      <c r="HI12" t="str">
        <f t="shared" si="148"/>
        <v>AND</v>
      </c>
      <c r="HJ12">
        <v>11</v>
      </c>
      <c r="HK12" t="s">
        <v>60</v>
      </c>
      <c r="HO12">
        <v>45695</v>
      </c>
      <c r="HP12" t="str">
        <f t="shared" si="149"/>
        <v>forty five thousand six hundred and ninety five</v>
      </c>
      <c r="HQ12" t="str">
        <f t="shared" si="150"/>
        <v>Forty Five THOUSAND Six HUNDRED AND Ninety Five</v>
      </c>
      <c r="HR12" t="str">
        <f t="shared" si="151"/>
        <v xml:space="preserve">    Forty  Five  THOUSAND Six HUNDRED AND Ninety  Five </v>
      </c>
      <c r="HS12">
        <f t="shared" si="152"/>
        <v>0.45695000000000002</v>
      </c>
      <c r="HT12">
        <f t="shared" si="153"/>
        <v>0</v>
      </c>
      <c r="HU12">
        <f t="shared" si="154"/>
        <v>45.695</v>
      </c>
      <c r="HV12">
        <f t="shared" si="155"/>
        <v>45</v>
      </c>
      <c r="HW12">
        <f t="shared" si="156"/>
        <v>45</v>
      </c>
      <c r="HX12">
        <f t="shared" si="157"/>
        <v>456.95</v>
      </c>
      <c r="HY12">
        <f t="shared" si="158"/>
        <v>456</v>
      </c>
      <c r="HZ12">
        <f t="shared" si="159"/>
        <v>6</v>
      </c>
      <c r="IA12">
        <f t="shared" si="160"/>
        <v>95</v>
      </c>
      <c r="IB12" t="str">
        <f t="shared" si="161"/>
        <v>ZERO</v>
      </c>
      <c r="IC12" t="str">
        <f t="shared" si="162"/>
        <v xml:space="preserve">Forty  Five </v>
      </c>
      <c r="ID12" t="str">
        <f t="shared" si="163"/>
        <v>Six</v>
      </c>
      <c r="IE12" t="str">
        <f t="shared" si="164"/>
        <v xml:space="preserve">Ninety  Five </v>
      </c>
      <c r="IF12" t="str">
        <f t="shared" si="165"/>
        <v xml:space="preserve"> </v>
      </c>
      <c r="IG12" t="str">
        <f t="shared" si="166"/>
        <v xml:space="preserve"> </v>
      </c>
      <c r="IH12" t="str">
        <f t="shared" si="167"/>
        <v xml:space="preserve">Forty  Five </v>
      </c>
      <c r="II12" t="str">
        <f t="shared" si="168"/>
        <v>THOUSAND</v>
      </c>
      <c r="IJ12" t="str">
        <f t="shared" si="169"/>
        <v>Six</v>
      </c>
      <c r="IK12" t="str">
        <f t="shared" si="170"/>
        <v>HUNDRED</v>
      </c>
      <c r="IL12" t="str">
        <f t="shared" si="171"/>
        <v xml:space="preserve">Ninety  Five </v>
      </c>
      <c r="IM12" t="b">
        <f t="shared" si="172"/>
        <v>0</v>
      </c>
      <c r="IN12" t="str">
        <f t="shared" si="173"/>
        <v>AND</v>
      </c>
      <c r="IO12" t="str">
        <f t="shared" si="174"/>
        <v>AND</v>
      </c>
      <c r="IP12">
        <v>11</v>
      </c>
      <c r="IQ12" t="s">
        <v>60</v>
      </c>
      <c r="IU12">
        <v>45695</v>
      </c>
      <c r="IV12" t="e">
        <f>LOWER(#REF!)</f>
        <v>#REF!</v>
      </c>
    </row>
    <row r="13" spans="1:256">
      <c r="Z13">
        <v>12</v>
      </c>
      <c r="AA13" s="15" t="s">
        <v>61</v>
      </c>
      <c r="AB13" s="15"/>
      <c r="BL13" t="s">
        <v>62</v>
      </c>
      <c r="CL13">
        <v>12</v>
      </c>
      <c r="CM13" t="s">
        <v>63</v>
      </c>
      <c r="CR13" t="s">
        <v>62</v>
      </c>
      <c r="DR13">
        <v>12</v>
      </c>
      <c r="DS13" t="s">
        <v>63</v>
      </c>
      <c r="DX13" t="s">
        <v>62</v>
      </c>
      <c r="EX13">
        <v>12</v>
      </c>
      <c r="EY13" t="s">
        <v>63</v>
      </c>
      <c r="FD13" t="s">
        <v>62</v>
      </c>
      <c r="GD13">
        <v>12</v>
      </c>
      <c r="GE13" t="s">
        <v>63</v>
      </c>
      <c r="GJ13" t="s">
        <v>62</v>
      </c>
      <c r="HJ13">
        <v>12</v>
      </c>
      <c r="HK13" t="s">
        <v>63</v>
      </c>
      <c r="HP13" t="s">
        <v>62</v>
      </c>
      <c r="IP13">
        <v>12</v>
      </c>
      <c r="IQ13" t="s">
        <v>63</v>
      </c>
      <c r="IV13" t="s">
        <v>62</v>
      </c>
    </row>
    <row r="14" spans="1:256">
      <c r="Z14">
        <v>13</v>
      </c>
      <c r="AA14" s="15" t="s">
        <v>64</v>
      </c>
      <c r="AB14" s="15"/>
      <c r="BL14" t="s">
        <v>65</v>
      </c>
      <c r="CL14">
        <v>13</v>
      </c>
      <c r="CM14" t="s">
        <v>66</v>
      </c>
      <c r="CR14" t="s">
        <v>65</v>
      </c>
      <c r="DR14">
        <v>13</v>
      </c>
      <c r="DS14" t="s">
        <v>66</v>
      </c>
      <c r="DX14" t="s">
        <v>65</v>
      </c>
      <c r="EX14">
        <v>13</v>
      </c>
      <c r="EY14" t="s">
        <v>66</v>
      </c>
      <c r="FD14" t="s">
        <v>65</v>
      </c>
      <c r="GD14">
        <v>13</v>
      </c>
      <c r="GE14" t="s">
        <v>66</v>
      </c>
      <c r="GJ14" t="s">
        <v>65</v>
      </c>
      <c r="HJ14">
        <v>13</v>
      </c>
      <c r="HK14" t="s">
        <v>66</v>
      </c>
      <c r="HP14" t="s">
        <v>65</v>
      </c>
      <c r="IP14">
        <v>13</v>
      </c>
      <c r="IQ14" t="s">
        <v>66</v>
      </c>
      <c r="IV14" t="s">
        <v>65</v>
      </c>
    </row>
    <row r="15" spans="1:256">
      <c r="Z15">
        <v>14</v>
      </c>
      <c r="AA15" s="15" t="s">
        <v>67</v>
      </c>
      <c r="AB15" s="15"/>
      <c r="BL15">
        <v>9393632288</v>
      </c>
      <c r="CL15">
        <v>14</v>
      </c>
      <c r="CM15" t="s">
        <v>68</v>
      </c>
      <c r="CR15">
        <v>9393632288</v>
      </c>
      <c r="DR15">
        <v>14</v>
      </c>
      <c r="DS15" t="s">
        <v>68</v>
      </c>
      <c r="DX15">
        <v>9393632288</v>
      </c>
      <c r="EX15">
        <v>14</v>
      </c>
      <c r="EY15" t="s">
        <v>68</v>
      </c>
      <c r="FD15">
        <v>9393632288</v>
      </c>
      <c r="GD15">
        <v>14</v>
      </c>
      <c r="GE15" t="s">
        <v>68</v>
      </c>
      <c r="GJ15">
        <v>9393632288</v>
      </c>
      <c r="HJ15">
        <v>14</v>
      </c>
      <c r="HK15" t="s">
        <v>68</v>
      </c>
      <c r="HP15">
        <v>9393632288</v>
      </c>
      <c r="IP15">
        <v>14</v>
      </c>
      <c r="IQ15" t="s">
        <v>68</v>
      </c>
      <c r="IV15">
        <v>9393632288</v>
      </c>
    </row>
    <row r="16" spans="1:256">
      <c r="Z16">
        <v>15</v>
      </c>
      <c r="AA16" s="15" t="s">
        <v>69</v>
      </c>
      <c r="AB16" s="15"/>
      <c r="BL16" t="s">
        <v>70</v>
      </c>
      <c r="CL16">
        <v>15</v>
      </c>
      <c r="CM16" t="s">
        <v>71</v>
      </c>
      <c r="CR16" t="s">
        <v>70</v>
      </c>
      <c r="DR16">
        <v>15</v>
      </c>
      <c r="DS16" t="s">
        <v>71</v>
      </c>
      <c r="DX16" t="s">
        <v>70</v>
      </c>
      <c r="EX16">
        <v>15</v>
      </c>
      <c r="EY16" t="s">
        <v>71</v>
      </c>
      <c r="FD16" t="s">
        <v>70</v>
      </c>
      <c r="GD16">
        <v>15</v>
      </c>
      <c r="GE16" t="s">
        <v>71</v>
      </c>
      <c r="GJ16" t="s">
        <v>70</v>
      </c>
      <c r="HJ16">
        <v>15</v>
      </c>
      <c r="HK16" t="s">
        <v>71</v>
      </c>
      <c r="HP16" t="s">
        <v>70</v>
      </c>
      <c r="IP16">
        <v>15</v>
      </c>
      <c r="IQ16" t="s">
        <v>71</v>
      </c>
      <c r="IV16" t="s">
        <v>70</v>
      </c>
    </row>
    <row r="17" spans="26:251">
      <c r="Z17">
        <v>16</v>
      </c>
      <c r="AA17" s="15" t="s">
        <v>72</v>
      </c>
      <c r="AB17" s="15"/>
      <c r="CL17">
        <v>16</v>
      </c>
      <c r="CM17" t="s">
        <v>73</v>
      </c>
      <c r="DR17">
        <v>16</v>
      </c>
      <c r="DS17" t="s">
        <v>73</v>
      </c>
      <c r="EX17">
        <v>16</v>
      </c>
      <c r="EY17" t="s">
        <v>73</v>
      </c>
      <c r="GD17">
        <v>16</v>
      </c>
      <c r="GE17" t="s">
        <v>73</v>
      </c>
      <c r="HJ17">
        <v>16</v>
      </c>
      <c r="HK17" t="s">
        <v>73</v>
      </c>
      <c r="IP17">
        <v>16</v>
      </c>
      <c r="IQ17" t="s">
        <v>73</v>
      </c>
    </row>
    <row r="18" spans="26:251">
      <c r="Z18">
        <v>17</v>
      </c>
      <c r="AA18" s="15" t="s">
        <v>74</v>
      </c>
      <c r="AB18" s="15"/>
      <c r="CL18">
        <v>17</v>
      </c>
      <c r="CM18" t="s">
        <v>75</v>
      </c>
      <c r="DR18">
        <v>17</v>
      </c>
      <c r="DS18" t="s">
        <v>75</v>
      </c>
      <c r="EX18">
        <v>17</v>
      </c>
      <c r="EY18" t="s">
        <v>75</v>
      </c>
      <c r="GD18">
        <v>17</v>
      </c>
      <c r="GE18" t="s">
        <v>75</v>
      </c>
      <c r="HJ18">
        <v>17</v>
      </c>
      <c r="HK18" t="s">
        <v>75</v>
      </c>
      <c r="IP18">
        <v>17</v>
      </c>
      <c r="IQ18" t="s">
        <v>75</v>
      </c>
    </row>
    <row r="19" spans="26:251">
      <c r="Z19">
        <v>18</v>
      </c>
      <c r="AA19" s="15" t="s">
        <v>76</v>
      </c>
      <c r="AB19" s="15"/>
      <c r="CL19">
        <v>18</v>
      </c>
      <c r="CM19" t="s">
        <v>77</v>
      </c>
      <c r="DR19">
        <v>18</v>
      </c>
      <c r="DS19" t="s">
        <v>77</v>
      </c>
      <c r="EX19">
        <v>18</v>
      </c>
      <c r="EY19" t="s">
        <v>77</v>
      </c>
      <c r="GD19">
        <v>18</v>
      </c>
      <c r="GE19" t="s">
        <v>77</v>
      </c>
      <c r="HJ19">
        <v>18</v>
      </c>
      <c r="HK19" t="s">
        <v>77</v>
      </c>
      <c r="IP19">
        <v>18</v>
      </c>
      <c r="IQ19" t="s">
        <v>77</v>
      </c>
    </row>
    <row r="20" spans="26:251">
      <c r="Z20">
        <v>19</v>
      </c>
      <c r="AA20" s="15" t="s">
        <v>78</v>
      </c>
      <c r="AB20" s="15"/>
      <c r="CL20">
        <v>19</v>
      </c>
      <c r="CM20" t="s">
        <v>79</v>
      </c>
      <c r="DR20">
        <v>19</v>
      </c>
      <c r="DS20" t="s">
        <v>79</v>
      </c>
      <c r="EX20">
        <v>19</v>
      </c>
      <c r="EY20" t="s">
        <v>79</v>
      </c>
      <c r="GD20">
        <v>19</v>
      </c>
      <c r="GE20" t="s">
        <v>79</v>
      </c>
      <c r="HJ20">
        <v>19</v>
      </c>
      <c r="HK20" t="s">
        <v>79</v>
      </c>
      <c r="IP20">
        <v>19</v>
      </c>
      <c r="IQ20" t="s">
        <v>79</v>
      </c>
    </row>
    <row r="21" spans="26:251">
      <c r="Z21">
        <v>20</v>
      </c>
      <c r="AA21" s="15" t="s">
        <v>80</v>
      </c>
      <c r="AB21" s="15"/>
      <c r="CL21">
        <v>20</v>
      </c>
      <c r="CM21" t="s">
        <v>81</v>
      </c>
      <c r="DR21">
        <v>20</v>
      </c>
      <c r="DS21" t="s">
        <v>81</v>
      </c>
      <c r="EX21">
        <v>20</v>
      </c>
      <c r="EY21" t="s">
        <v>81</v>
      </c>
      <c r="GD21">
        <v>20</v>
      </c>
      <c r="GE21" t="s">
        <v>81</v>
      </c>
      <c r="HJ21">
        <v>20</v>
      </c>
      <c r="HK21" t="s">
        <v>81</v>
      </c>
      <c r="IP21">
        <v>20</v>
      </c>
      <c r="IQ21" t="s">
        <v>81</v>
      </c>
    </row>
    <row r="22" spans="26:251">
      <c r="Z22">
        <v>21</v>
      </c>
      <c r="AA22" s="15" t="s">
        <v>82</v>
      </c>
      <c r="AB22" s="15"/>
      <c r="CL22">
        <v>21</v>
      </c>
      <c r="CM22" t="s">
        <v>83</v>
      </c>
      <c r="DR22">
        <v>21</v>
      </c>
      <c r="DS22" t="s">
        <v>83</v>
      </c>
      <c r="EX22">
        <v>21</v>
      </c>
      <c r="EY22" t="s">
        <v>83</v>
      </c>
      <c r="GD22">
        <v>21</v>
      </c>
      <c r="GE22" t="s">
        <v>83</v>
      </c>
      <c r="HJ22">
        <v>21</v>
      </c>
      <c r="HK22" t="s">
        <v>83</v>
      </c>
      <c r="IP22">
        <v>21</v>
      </c>
      <c r="IQ22" t="s">
        <v>83</v>
      </c>
    </row>
    <row r="23" spans="26:251">
      <c r="Z23">
        <v>22</v>
      </c>
      <c r="AA23" s="15" t="s">
        <v>84</v>
      </c>
      <c r="AB23" s="15"/>
      <c r="CL23">
        <v>22</v>
      </c>
      <c r="CM23" t="s">
        <v>85</v>
      </c>
      <c r="DR23">
        <v>22</v>
      </c>
      <c r="DS23" t="s">
        <v>85</v>
      </c>
      <c r="EX23">
        <v>22</v>
      </c>
      <c r="EY23" t="s">
        <v>85</v>
      </c>
      <c r="GD23">
        <v>22</v>
      </c>
      <c r="GE23" t="s">
        <v>85</v>
      </c>
      <c r="HJ23">
        <v>22</v>
      </c>
      <c r="HK23" t="s">
        <v>85</v>
      </c>
      <c r="IP23">
        <v>22</v>
      </c>
      <c r="IQ23" t="s">
        <v>85</v>
      </c>
    </row>
    <row r="24" spans="26:251">
      <c r="Z24">
        <v>23</v>
      </c>
      <c r="AA24" s="15" t="s">
        <v>86</v>
      </c>
      <c r="AB24" s="15"/>
      <c r="CL24">
        <v>23</v>
      </c>
      <c r="CM24" t="s">
        <v>87</v>
      </c>
      <c r="DR24">
        <v>23</v>
      </c>
      <c r="DS24" t="s">
        <v>87</v>
      </c>
      <c r="EX24">
        <v>23</v>
      </c>
      <c r="EY24" t="s">
        <v>87</v>
      </c>
      <c r="GD24">
        <v>23</v>
      </c>
      <c r="GE24" t="s">
        <v>87</v>
      </c>
      <c r="HJ24">
        <v>23</v>
      </c>
      <c r="HK24" t="s">
        <v>87</v>
      </c>
      <c r="IP24">
        <v>23</v>
      </c>
      <c r="IQ24" t="s">
        <v>87</v>
      </c>
    </row>
    <row r="25" spans="26:251">
      <c r="Z25">
        <v>24</v>
      </c>
      <c r="AA25" s="15" t="s">
        <v>88</v>
      </c>
      <c r="AB25" s="15"/>
      <c r="CL25">
        <v>24</v>
      </c>
      <c r="CM25" t="s">
        <v>89</v>
      </c>
      <c r="DR25">
        <v>24</v>
      </c>
      <c r="DS25" t="s">
        <v>89</v>
      </c>
      <c r="EX25">
        <v>24</v>
      </c>
      <c r="EY25" t="s">
        <v>89</v>
      </c>
      <c r="GD25">
        <v>24</v>
      </c>
      <c r="GE25" t="s">
        <v>89</v>
      </c>
      <c r="HJ25">
        <v>24</v>
      </c>
      <c r="HK25" t="s">
        <v>89</v>
      </c>
      <c r="IP25">
        <v>24</v>
      </c>
      <c r="IQ25" t="s">
        <v>89</v>
      </c>
    </row>
    <row r="26" spans="26:251">
      <c r="Z26">
        <v>25</v>
      </c>
      <c r="AA26" s="15" t="s">
        <v>90</v>
      </c>
      <c r="AB26" s="15"/>
      <c r="CL26">
        <v>25</v>
      </c>
      <c r="CM26" t="s">
        <v>91</v>
      </c>
      <c r="DR26">
        <v>25</v>
      </c>
      <c r="DS26" t="s">
        <v>91</v>
      </c>
      <c r="EX26">
        <v>25</v>
      </c>
      <c r="EY26" t="s">
        <v>91</v>
      </c>
      <c r="GD26">
        <v>25</v>
      </c>
      <c r="GE26" t="s">
        <v>91</v>
      </c>
      <c r="HJ26">
        <v>25</v>
      </c>
      <c r="HK26" t="s">
        <v>91</v>
      </c>
      <c r="IP26">
        <v>25</v>
      </c>
      <c r="IQ26" t="s">
        <v>91</v>
      </c>
    </row>
    <row r="27" spans="26:251">
      <c r="Z27">
        <v>26</v>
      </c>
      <c r="AA27" s="15" t="s">
        <v>92</v>
      </c>
      <c r="AB27" s="15"/>
      <c r="CL27">
        <v>26</v>
      </c>
      <c r="CM27" t="s">
        <v>93</v>
      </c>
      <c r="DR27">
        <v>26</v>
      </c>
      <c r="DS27" t="s">
        <v>93</v>
      </c>
      <c r="EX27">
        <v>26</v>
      </c>
      <c r="EY27" t="s">
        <v>93</v>
      </c>
      <c r="GD27">
        <v>26</v>
      </c>
      <c r="GE27" t="s">
        <v>93</v>
      </c>
      <c r="HJ27">
        <v>26</v>
      </c>
      <c r="HK27" t="s">
        <v>93</v>
      </c>
      <c r="IP27">
        <v>26</v>
      </c>
      <c r="IQ27" t="s">
        <v>93</v>
      </c>
    </row>
    <row r="28" spans="26:251">
      <c r="Z28">
        <v>27</v>
      </c>
      <c r="AA28" s="15" t="s">
        <v>94</v>
      </c>
      <c r="AB28" s="15"/>
      <c r="CL28">
        <v>27</v>
      </c>
      <c r="CM28" t="s">
        <v>95</v>
      </c>
      <c r="DR28">
        <v>27</v>
      </c>
      <c r="DS28" t="s">
        <v>95</v>
      </c>
      <c r="EX28">
        <v>27</v>
      </c>
      <c r="EY28" t="s">
        <v>95</v>
      </c>
      <c r="GD28">
        <v>27</v>
      </c>
      <c r="GE28" t="s">
        <v>95</v>
      </c>
      <c r="HJ28">
        <v>27</v>
      </c>
      <c r="HK28" t="s">
        <v>95</v>
      </c>
      <c r="IP28">
        <v>27</v>
      </c>
      <c r="IQ28" t="s">
        <v>95</v>
      </c>
    </row>
    <row r="29" spans="26:251">
      <c r="Z29">
        <v>28</v>
      </c>
      <c r="AA29" s="15" t="s">
        <v>96</v>
      </c>
      <c r="AB29" s="15"/>
      <c r="CL29">
        <v>28</v>
      </c>
      <c r="CM29" t="s">
        <v>97</v>
      </c>
      <c r="DR29">
        <v>28</v>
      </c>
      <c r="DS29" t="s">
        <v>97</v>
      </c>
      <c r="EX29">
        <v>28</v>
      </c>
      <c r="EY29" t="s">
        <v>97</v>
      </c>
      <c r="GD29">
        <v>28</v>
      </c>
      <c r="GE29" t="s">
        <v>97</v>
      </c>
      <c r="HJ29">
        <v>28</v>
      </c>
      <c r="HK29" t="s">
        <v>97</v>
      </c>
      <c r="IP29">
        <v>28</v>
      </c>
      <c r="IQ29" t="s">
        <v>97</v>
      </c>
    </row>
    <row r="30" spans="26:251">
      <c r="Z30">
        <v>29</v>
      </c>
      <c r="AA30" s="15" t="s">
        <v>98</v>
      </c>
      <c r="AB30" s="15"/>
      <c r="CL30">
        <v>29</v>
      </c>
      <c r="CM30" t="s">
        <v>99</v>
      </c>
      <c r="DR30">
        <v>29</v>
      </c>
      <c r="DS30" t="s">
        <v>99</v>
      </c>
      <c r="EX30">
        <v>29</v>
      </c>
      <c r="EY30" t="s">
        <v>99</v>
      </c>
      <c r="GD30">
        <v>29</v>
      </c>
      <c r="GE30" t="s">
        <v>99</v>
      </c>
      <c r="HJ30">
        <v>29</v>
      </c>
      <c r="HK30" t="s">
        <v>99</v>
      </c>
      <c r="IP30">
        <v>29</v>
      </c>
      <c r="IQ30" t="s">
        <v>99</v>
      </c>
    </row>
    <row r="31" spans="26:251">
      <c r="Z31">
        <v>30</v>
      </c>
      <c r="AA31" s="15" t="s">
        <v>100</v>
      </c>
      <c r="AB31" s="15"/>
      <c r="CL31">
        <v>30</v>
      </c>
      <c r="CM31" t="s">
        <v>100</v>
      </c>
      <c r="DR31">
        <v>30</v>
      </c>
      <c r="DS31" t="s">
        <v>100</v>
      </c>
      <c r="EX31">
        <v>30</v>
      </c>
      <c r="EY31" t="s">
        <v>100</v>
      </c>
      <c r="GD31">
        <v>30</v>
      </c>
      <c r="GE31" t="s">
        <v>100</v>
      </c>
      <c r="HJ31">
        <v>30</v>
      </c>
      <c r="HK31" t="s">
        <v>100</v>
      </c>
      <c r="IP31">
        <v>30</v>
      </c>
      <c r="IQ31" t="s">
        <v>100</v>
      </c>
    </row>
    <row r="32" spans="26:251">
      <c r="Z32">
        <v>31</v>
      </c>
      <c r="AA32" s="15" t="s">
        <v>101</v>
      </c>
      <c r="AB32" s="15"/>
      <c r="CL32">
        <v>31</v>
      </c>
      <c r="CM32" t="s">
        <v>102</v>
      </c>
      <c r="DR32">
        <v>31</v>
      </c>
      <c r="DS32" t="s">
        <v>102</v>
      </c>
      <c r="EX32">
        <v>31</v>
      </c>
      <c r="EY32" t="s">
        <v>102</v>
      </c>
      <c r="GD32">
        <v>31</v>
      </c>
      <c r="GE32" t="s">
        <v>102</v>
      </c>
      <c r="HJ32">
        <v>31</v>
      </c>
      <c r="HK32" t="s">
        <v>102</v>
      </c>
      <c r="IP32">
        <v>31</v>
      </c>
      <c r="IQ32" t="s">
        <v>102</v>
      </c>
    </row>
    <row r="33" spans="26:251">
      <c r="Z33">
        <v>32</v>
      </c>
      <c r="AA33" s="15" t="s">
        <v>103</v>
      </c>
      <c r="AB33" s="15"/>
      <c r="CL33">
        <v>32</v>
      </c>
      <c r="CM33" t="s">
        <v>103</v>
      </c>
      <c r="DR33">
        <v>32</v>
      </c>
      <c r="DS33" t="s">
        <v>103</v>
      </c>
      <c r="EX33">
        <v>32</v>
      </c>
      <c r="EY33" t="s">
        <v>103</v>
      </c>
      <c r="GD33">
        <v>32</v>
      </c>
      <c r="GE33" t="s">
        <v>103</v>
      </c>
      <c r="HJ33">
        <v>32</v>
      </c>
      <c r="HK33" t="s">
        <v>103</v>
      </c>
      <c r="IP33">
        <v>32</v>
      </c>
      <c r="IQ33" t="s">
        <v>103</v>
      </c>
    </row>
    <row r="34" spans="26:251">
      <c r="Z34">
        <v>33</v>
      </c>
      <c r="AA34" s="15" t="s">
        <v>104</v>
      </c>
      <c r="AB34" s="15"/>
      <c r="CL34">
        <v>33</v>
      </c>
      <c r="CM34" t="s">
        <v>104</v>
      </c>
      <c r="DR34">
        <v>33</v>
      </c>
      <c r="DS34" t="s">
        <v>104</v>
      </c>
      <c r="EX34">
        <v>33</v>
      </c>
      <c r="EY34" t="s">
        <v>104</v>
      </c>
      <c r="GD34">
        <v>33</v>
      </c>
      <c r="GE34" t="s">
        <v>104</v>
      </c>
      <c r="HJ34">
        <v>33</v>
      </c>
      <c r="HK34" t="s">
        <v>104</v>
      </c>
      <c r="IP34">
        <v>33</v>
      </c>
      <c r="IQ34" t="s">
        <v>104</v>
      </c>
    </row>
    <row r="35" spans="26:251">
      <c r="Z35">
        <v>34</v>
      </c>
      <c r="AA35" s="15" t="s">
        <v>105</v>
      </c>
      <c r="AB35" s="15"/>
      <c r="CL35">
        <v>34</v>
      </c>
      <c r="CM35" t="s">
        <v>105</v>
      </c>
      <c r="DR35">
        <v>34</v>
      </c>
      <c r="DS35" t="s">
        <v>105</v>
      </c>
      <c r="EX35">
        <v>34</v>
      </c>
      <c r="EY35" t="s">
        <v>105</v>
      </c>
      <c r="GD35">
        <v>34</v>
      </c>
      <c r="GE35" t="s">
        <v>105</v>
      </c>
      <c r="HJ35">
        <v>34</v>
      </c>
      <c r="HK35" t="s">
        <v>105</v>
      </c>
      <c r="IP35">
        <v>34</v>
      </c>
      <c r="IQ35" t="s">
        <v>105</v>
      </c>
    </row>
    <row r="36" spans="26:251">
      <c r="Z36">
        <v>35</v>
      </c>
      <c r="AA36" s="15" t="s">
        <v>106</v>
      </c>
      <c r="AB36" s="15"/>
      <c r="CL36">
        <v>35</v>
      </c>
      <c r="CM36" t="s">
        <v>106</v>
      </c>
      <c r="DR36">
        <v>35</v>
      </c>
      <c r="DS36" t="s">
        <v>106</v>
      </c>
      <c r="EX36">
        <v>35</v>
      </c>
      <c r="EY36" t="s">
        <v>106</v>
      </c>
      <c r="GD36">
        <v>35</v>
      </c>
      <c r="GE36" t="s">
        <v>106</v>
      </c>
      <c r="HJ36">
        <v>35</v>
      </c>
      <c r="HK36" t="s">
        <v>106</v>
      </c>
      <c r="IP36">
        <v>35</v>
      </c>
      <c r="IQ36" t="s">
        <v>106</v>
      </c>
    </row>
    <row r="37" spans="26:251">
      <c r="Z37">
        <v>36</v>
      </c>
      <c r="AA37" s="15" t="s">
        <v>107</v>
      </c>
      <c r="AB37" s="15"/>
      <c r="CL37">
        <v>36</v>
      </c>
      <c r="CM37" t="s">
        <v>107</v>
      </c>
      <c r="DR37">
        <v>36</v>
      </c>
      <c r="DS37" t="s">
        <v>107</v>
      </c>
      <c r="EX37">
        <v>36</v>
      </c>
      <c r="EY37" t="s">
        <v>107</v>
      </c>
      <c r="GD37">
        <v>36</v>
      </c>
      <c r="GE37" t="s">
        <v>107</v>
      </c>
      <c r="HJ37">
        <v>36</v>
      </c>
      <c r="HK37" t="s">
        <v>107</v>
      </c>
      <c r="IP37">
        <v>36</v>
      </c>
      <c r="IQ37" t="s">
        <v>107</v>
      </c>
    </row>
    <row r="38" spans="26:251">
      <c r="Z38">
        <v>37</v>
      </c>
      <c r="AA38" s="15" t="s">
        <v>108</v>
      </c>
      <c r="AB38" s="15"/>
      <c r="CL38">
        <v>37</v>
      </c>
      <c r="CM38" t="s">
        <v>108</v>
      </c>
      <c r="DR38">
        <v>37</v>
      </c>
      <c r="DS38" t="s">
        <v>108</v>
      </c>
      <c r="EX38">
        <v>37</v>
      </c>
      <c r="EY38" t="s">
        <v>108</v>
      </c>
      <c r="GD38">
        <v>37</v>
      </c>
      <c r="GE38" t="s">
        <v>108</v>
      </c>
      <c r="HJ38">
        <v>37</v>
      </c>
      <c r="HK38" t="s">
        <v>108</v>
      </c>
      <c r="IP38">
        <v>37</v>
      </c>
      <c r="IQ38" t="s">
        <v>108</v>
      </c>
    </row>
    <row r="39" spans="26:251">
      <c r="Z39">
        <v>38</v>
      </c>
      <c r="AA39" s="15" t="s">
        <v>109</v>
      </c>
      <c r="AB39" s="15"/>
      <c r="CL39">
        <v>38</v>
      </c>
      <c r="CM39" t="s">
        <v>109</v>
      </c>
      <c r="DR39">
        <v>38</v>
      </c>
      <c r="DS39" t="s">
        <v>109</v>
      </c>
      <c r="EX39">
        <v>38</v>
      </c>
      <c r="EY39" t="s">
        <v>109</v>
      </c>
      <c r="GD39">
        <v>38</v>
      </c>
      <c r="GE39" t="s">
        <v>109</v>
      </c>
      <c r="HJ39">
        <v>38</v>
      </c>
      <c r="HK39" t="s">
        <v>109</v>
      </c>
      <c r="IP39">
        <v>38</v>
      </c>
      <c r="IQ39" t="s">
        <v>109</v>
      </c>
    </row>
    <row r="40" spans="26:251">
      <c r="Z40">
        <v>39</v>
      </c>
      <c r="AA40" s="15" t="s">
        <v>110</v>
      </c>
      <c r="AB40" s="15"/>
      <c r="CL40">
        <v>39</v>
      </c>
      <c r="CM40" t="s">
        <v>110</v>
      </c>
      <c r="DR40">
        <v>39</v>
      </c>
      <c r="DS40" t="s">
        <v>110</v>
      </c>
      <c r="EX40">
        <v>39</v>
      </c>
      <c r="EY40" t="s">
        <v>110</v>
      </c>
      <c r="GD40">
        <v>39</v>
      </c>
      <c r="GE40" t="s">
        <v>110</v>
      </c>
      <c r="HJ40">
        <v>39</v>
      </c>
      <c r="HK40" t="s">
        <v>110</v>
      </c>
      <c r="IP40">
        <v>39</v>
      </c>
      <c r="IQ40" t="s">
        <v>110</v>
      </c>
    </row>
    <row r="41" spans="26:251">
      <c r="Z41">
        <v>40</v>
      </c>
      <c r="AA41" s="15" t="s">
        <v>111</v>
      </c>
      <c r="AB41" s="15"/>
      <c r="CL41">
        <v>40</v>
      </c>
      <c r="CM41" t="s">
        <v>111</v>
      </c>
      <c r="DR41">
        <v>40</v>
      </c>
      <c r="DS41" t="s">
        <v>111</v>
      </c>
      <c r="EX41">
        <v>40</v>
      </c>
      <c r="EY41" t="s">
        <v>111</v>
      </c>
      <c r="GD41">
        <v>40</v>
      </c>
      <c r="GE41" t="s">
        <v>111</v>
      </c>
      <c r="HJ41">
        <v>40</v>
      </c>
      <c r="HK41" t="s">
        <v>111</v>
      </c>
      <c r="IP41">
        <v>40</v>
      </c>
      <c r="IQ41" t="s">
        <v>111</v>
      </c>
    </row>
    <row r="42" spans="26:251">
      <c r="Z42">
        <v>41</v>
      </c>
      <c r="AA42" s="15" t="s">
        <v>112</v>
      </c>
      <c r="AB42" s="15"/>
      <c r="CL42">
        <v>41</v>
      </c>
      <c r="CM42" t="s">
        <v>112</v>
      </c>
      <c r="DR42">
        <v>41</v>
      </c>
      <c r="DS42" t="s">
        <v>112</v>
      </c>
      <c r="EX42">
        <v>41</v>
      </c>
      <c r="EY42" t="s">
        <v>112</v>
      </c>
      <c r="GD42">
        <v>41</v>
      </c>
      <c r="GE42" t="s">
        <v>112</v>
      </c>
      <c r="HJ42">
        <v>41</v>
      </c>
      <c r="HK42" t="s">
        <v>112</v>
      </c>
      <c r="IP42">
        <v>41</v>
      </c>
      <c r="IQ42" t="s">
        <v>112</v>
      </c>
    </row>
    <row r="43" spans="26:251">
      <c r="Z43">
        <v>42</v>
      </c>
      <c r="AA43" s="15" t="s">
        <v>113</v>
      </c>
      <c r="AB43" s="15"/>
      <c r="CL43">
        <v>42</v>
      </c>
      <c r="CM43" t="s">
        <v>113</v>
      </c>
      <c r="DR43">
        <v>42</v>
      </c>
      <c r="DS43" t="s">
        <v>113</v>
      </c>
      <c r="EX43">
        <v>42</v>
      </c>
      <c r="EY43" t="s">
        <v>113</v>
      </c>
      <c r="GD43">
        <v>42</v>
      </c>
      <c r="GE43" t="s">
        <v>113</v>
      </c>
      <c r="HJ43">
        <v>42</v>
      </c>
      <c r="HK43" t="s">
        <v>113</v>
      </c>
      <c r="IP43">
        <v>42</v>
      </c>
      <c r="IQ43" t="s">
        <v>113</v>
      </c>
    </row>
    <row r="44" spans="26:251">
      <c r="Z44">
        <v>43</v>
      </c>
      <c r="AA44" s="15" t="s">
        <v>114</v>
      </c>
      <c r="AB44" s="15"/>
      <c r="CL44">
        <v>43</v>
      </c>
      <c r="CM44" t="s">
        <v>114</v>
      </c>
      <c r="DR44">
        <v>43</v>
      </c>
      <c r="DS44" t="s">
        <v>114</v>
      </c>
      <c r="EX44">
        <v>43</v>
      </c>
      <c r="EY44" t="s">
        <v>114</v>
      </c>
      <c r="GD44">
        <v>43</v>
      </c>
      <c r="GE44" t="s">
        <v>114</v>
      </c>
      <c r="HJ44">
        <v>43</v>
      </c>
      <c r="HK44" t="s">
        <v>114</v>
      </c>
      <c r="IP44">
        <v>43</v>
      </c>
      <c r="IQ44" t="s">
        <v>114</v>
      </c>
    </row>
    <row r="45" spans="26:251">
      <c r="Z45">
        <v>44</v>
      </c>
      <c r="AA45" s="15" t="s">
        <v>115</v>
      </c>
      <c r="AB45" s="15"/>
      <c r="CL45">
        <v>44</v>
      </c>
      <c r="CM45" t="s">
        <v>115</v>
      </c>
      <c r="DR45">
        <v>44</v>
      </c>
      <c r="DS45" t="s">
        <v>115</v>
      </c>
      <c r="EX45">
        <v>44</v>
      </c>
      <c r="EY45" t="s">
        <v>115</v>
      </c>
      <c r="GD45">
        <v>44</v>
      </c>
      <c r="GE45" t="s">
        <v>115</v>
      </c>
      <c r="HJ45">
        <v>44</v>
      </c>
      <c r="HK45" t="s">
        <v>115</v>
      </c>
      <c r="IP45">
        <v>44</v>
      </c>
      <c r="IQ45" t="s">
        <v>115</v>
      </c>
    </row>
    <row r="46" spans="26:251">
      <c r="Z46">
        <v>45</v>
      </c>
      <c r="AA46" s="15" t="s">
        <v>116</v>
      </c>
      <c r="AB46" s="15"/>
      <c r="CL46">
        <v>45</v>
      </c>
      <c r="CM46" t="s">
        <v>116</v>
      </c>
      <c r="DR46">
        <v>45</v>
      </c>
      <c r="DS46" t="s">
        <v>116</v>
      </c>
      <c r="EX46">
        <v>45</v>
      </c>
      <c r="EY46" t="s">
        <v>116</v>
      </c>
      <c r="GD46">
        <v>45</v>
      </c>
      <c r="GE46" t="s">
        <v>116</v>
      </c>
      <c r="HJ46">
        <v>45</v>
      </c>
      <c r="HK46" t="s">
        <v>116</v>
      </c>
      <c r="IP46">
        <v>45</v>
      </c>
      <c r="IQ46" t="s">
        <v>116</v>
      </c>
    </row>
    <row r="47" spans="26:251">
      <c r="Z47">
        <v>46</v>
      </c>
      <c r="AA47" s="15" t="s">
        <v>117</v>
      </c>
      <c r="AB47" s="15"/>
      <c r="CL47">
        <v>46</v>
      </c>
      <c r="CM47" t="s">
        <v>117</v>
      </c>
      <c r="DR47">
        <v>46</v>
      </c>
      <c r="DS47" t="s">
        <v>117</v>
      </c>
      <c r="EX47">
        <v>46</v>
      </c>
      <c r="EY47" t="s">
        <v>117</v>
      </c>
      <c r="GD47">
        <v>46</v>
      </c>
      <c r="GE47" t="s">
        <v>117</v>
      </c>
      <c r="HJ47">
        <v>46</v>
      </c>
      <c r="HK47" t="s">
        <v>117</v>
      </c>
      <c r="IP47">
        <v>46</v>
      </c>
      <c r="IQ47" t="s">
        <v>117</v>
      </c>
    </row>
    <row r="48" spans="26:251">
      <c r="Z48">
        <v>47</v>
      </c>
      <c r="AA48" s="15" t="s">
        <v>118</v>
      </c>
      <c r="AB48" s="15"/>
      <c r="CL48">
        <v>47</v>
      </c>
      <c r="CM48" t="s">
        <v>118</v>
      </c>
      <c r="DR48">
        <v>47</v>
      </c>
      <c r="DS48" t="s">
        <v>118</v>
      </c>
      <c r="EX48">
        <v>47</v>
      </c>
      <c r="EY48" t="s">
        <v>118</v>
      </c>
      <c r="GD48">
        <v>47</v>
      </c>
      <c r="GE48" t="s">
        <v>118</v>
      </c>
      <c r="HJ48">
        <v>47</v>
      </c>
      <c r="HK48" t="s">
        <v>118</v>
      </c>
      <c r="IP48">
        <v>47</v>
      </c>
      <c r="IQ48" t="s">
        <v>118</v>
      </c>
    </row>
    <row r="49" spans="26:251">
      <c r="Z49">
        <v>48</v>
      </c>
      <c r="AA49" s="15" t="s">
        <v>119</v>
      </c>
      <c r="AB49" s="15"/>
      <c r="CL49">
        <v>48</v>
      </c>
      <c r="CM49" t="s">
        <v>119</v>
      </c>
      <c r="DR49">
        <v>48</v>
      </c>
      <c r="DS49" t="s">
        <v>119</v>
      </c>
      <c r="EX49">
        <v>48</v>
      </c>
      <c r="EY49" t="s">
        <v>119</v>
      </c>
      <c r="GD49">
        <v>48</v>
      </c>
      <c r="GE49" t="s">
        <v>119</v>
      </c>
      <c r="HJ49">
        <v>48</v>
      </c>
      <c r="HK49" t="s">
        <v>119</v>
      </c>
      <c r="IP49">
        <v>48</v>
      </c>
      <c r="IQ49" t="s">
        <v>119</v>
      </c>
    </row>
    <row r="50" spans="26:251">
      <c r="Z50">
        <v>49</v>
      </c>
      <c r="AA50" s="15" t="s">
        <v>120</v>
      </c>
      <c r="AB50" s="15"/>
      <c r="CL50">
        <v>49</v>
      </c>
      <c r="CM50" t="s">
        <v>120</v>
      </c>
      <c r="DR50">
        <v>49</v>
      </c>
      <c r="DS50" t="s">
        <v>120</v>
      </c>
      <c r="EX50">
        <v>49</v>
      </c>
      <c r="EY50" t="s">
        <v>120</v>
      </c>
      <c r="GD50">
        <v>49</v>
      </c>
      <c r="GE50" t="s">
        <v>120</v>
      </c>
      <c r="HJ50">
        <v>49</v>
      </c>
      <c r="HK50" t="s">
        <v>120</v>
      </c>
      <c r="IP50">
        <v>49</v>
      </c>
      <c r="IQ50" t="s">
        <v>120</v>
      </c>
    </row>
    <row r="51" spans="26:251">
      <c r="Z51">
        <v>50</v>
      </c>
      <c r="AA51" s="15" t="s">
        <v>121</v>
      </c>
      <c r="AB51" s="15"/>
      <c r="CL51">
        <v>50</v>
      </c>
      <c r="CM51" t="s">
        <v>121</v>
      </c>
      <c r="DR51">
        <v>50</v>
      </c>
      <c r="DS51" t="s">
        <v>121</v>
      </c>
      <c r="EX51">
        <v>50</v>
      </c>
      <c r="EY51" t="s">
        <v>121</v>
      </c>
      <c r="GD51">
        <v>50</v>
      </c>
      <c r="GE51" t="s">
        <v>121</v>
      </c>
      <c r="HJ51">
        <v>50</v>
      </c>
      <c r="HK51" t="s">
        <v>121</v>
      </c>
      <c r="IP51">
        <v>50</v>
      </c>
      <c r="IQ51" t="s">
        <v>121</v>
      </c>
    </row>
    <row r="52" spans="26:251">
      <c r="Z52">
        <v>51</v>
      </c>
      <c r="AA52" s="15" t="s">
        <v>122</v>
      </c>
      <c r="AB52" s="15"/>
      <c r="CL52">
        <v>51</v>
      </c>
      <c r="CM52" t="s">
        <v>122</v>
      </c>
      <c r="DR52">
        <v>51</v>
      </c>
      <c r="DS52" t="s">
        <v>122</v>
      </c>
      <c r="EX52">
        <v>51</v>
      </c>
      <c r="EY52" t="s">
        <v>122</v>
      </c>
      <c r="GD52">
        <v>51</v>
      </c>
      <c r="GE52" t="s">
        <v>122</v>
      </c>
      <c r="HJ52">
        <v>51</v>
      </c>
      <c r="HK52" t="s">
        <v>122</v>
      </c>
      <c r="IP52">
        <v>51</v>
      </c>
      <c r="IQ52" t="s">
        <v>122</v>
      </c>
    </row>
    <row r="53" spans="26:251">
      <c r="Z53">
        <v>52</v>
      </c>
      <c r="AA53" s="15" t="s">
        <v>123</v>
      </c>
      <c r="AB53" s="15"/>
      <c r="CL53">
        <v>52</v>
      </c>
      <c r="CM53" t="s">
        <v>123</v>
      </c>
      <c r="DR53">
        <v>52</v>
      </c>
      <c r="DS53" t="s">
        <v>123</v>
      </c>
      <c r="EX53">
        <v>52</v>
      </c>
      <c r="EY53" t="s">
        <v>123</v>
      </c>
      <c r="GD53">
        <v>52</v>
      </c>
      <c r="GE53" t="s">
        <v>123</v>
      </c>
      <c r="HJ53">
        <v>52</v>
      </c>
      <c r="HK53" t="s">
        <v>123</v>
      </c>
      <c r="IP53">
        <v>52</v>
      </c>
      <c r="IQ53" t="s">
        <v>123</v>
      </c>
    </row>
    <row r="54" spans="26:251">
      <c r="Z54">
        <v>53</v>
      </c>
      <c r="AA54" s="15" t="s">
        <v>124</v>
      </c>
      <c r="AB54" s="15"/>
      <c r="CL54">
        <v>53</v>
      </c>
      <c r="CM54" t="s">
        <v>124</v>
      </c>
      <c r="DR54">
        <v>53</v>
      </c>
      <c r="DS54" t="s">
        <v>124</v>
      </c>
      <c r="EX54">
        <v>53</v>
      </c>
      <c r="EY54" t="s">
        <v>124</v>
      </c>
      <c r="GD54">
        <v>53</v>
      </c>
      <c r="GE54" t="s">
        <v>124</v>
      </c>
      <c r="HJ54">
        <v>53</v>
      </c>
      <c r="HK54" t="s">
        <v>124</v>
      </c>
      <c r="IP54">
        <v>53</v>
      </c>
      <c r="IQ54" t="s">
        <v>124</v>
      </c>
    </row>
    <row r="55" spans="26:251">
      <c r="Z55">
        <v>54</v>
      </c>
      <c r="AA55" s="15" t="s">
        <v>125</v>
      </c>
      <c r="AB55" s="15"/>
      <c r="CL55">
        <v>54</v>
      </c>
      <c r="CM55" t="s">
        <v>125</v>
      </c>
      <c r="DR55">
        <v>54</v>
      </c>
      <c r="DS55" t="s">
        <v>125</v>
      </c>
      <c r="EX55">
        <v>54</v>
      </c>
      <c r="EY55" t="s">
        <v>125</v>
      </c>
      <c r="GD55">
        <v>54</v>
      </c>
      <c r="GE55" t="s">
        <v>125</v>
      </c>
      <c r="HJ55">
        <v>54</v>
      </c>
      <c r="HK55" t="s">
        <v>125</v>
      </c>
      <c r="IP55">
        <v>54</v>
      </c>
      <c r="IQ55" t="s">
        <v>125</v>
      </c>
    </row>
    <row r="56" spans="26:251">
      <c r="Z56">
        <v>55</v>
      </c>
      <c r="AA56" s="15" t="s">
        <v>126</v>
      </c>
      <c r="AB56" s="15"/>
      <c r="CL56">
        <v>55</v>
      </c>
      <c r="CM56" t="s">
        <v>126</v>
      </c>
      <c r="DR56">
        <v>55</v>
      </c>
      <c r="DS56" t="s">
        <v>126</v>
      </c>
      <c r="EX56">
        <v>55</v>
      </c>
      <c r="EY56" t="s">
        <v>126</v>
      </c>
      <c r="GD56">
        <v>55</v>
      </c>
      <c r="GE56" t="s">
        <v>126</v>
      </c>
      <c r="HJ56">
        <v>55</v>
      </c>
      <c r="HK56" t="s">
        <v>126</v>
      </c>
      <c r="IP56">
        <v>55</v>
      </c>
      <c r="IQ56" t="s">
        <v>126</v>
      </c>
    </row>
    <row r="57" spans="26:251">
      <c r="Z57">
        <v>56</v>
      </c>
      <c r="AA57" s="15" t="s">
        <v>127</v>
      </c>
      <c r="AB57" s="15"/>
      <c r="CL57">
        <v>56</v>
      </c>
      <c r="CM57" t="s">
        <v>127</v>
      </c>
      <c r="DR57">
        <v>56</v>
      </c>
      <c r="DS57" t="s">
        <v>127</v>
      </c>
      <c r="EX57">
        <v>56</v>
      </c>
      <c r="EY57" t="s">
        <v>127</v>
      </c>
      <c r="GD57">
        <v>56</v>
      </c>
      <c r="GE57" t="s">
        <v>127</v>
      </c>
      <c r="HJ57">
        <v>56</v>
      </c>
      <c r="HK57" t="s">
        <v>127</v>
      </c>
      <c r="IP57">
        <v>56</v>
      </c>
      <c r="IQ57" t="s">
        <v>127</v>
      </c>
    </row>
    <row r="58" spans="26:251">
      <c r="Z58">
        <v>57</v>
      </c>
      <c r="AA58" s="15" t="s">
        <v>128</v>
      </c>
      <c r="AB58" s="15"/>
      <c r="CL58">
        <v>57</v>
      </c>
      <c r="CM58" t="s">
        <v>128</v>
      </c>
      <c r="DR58">
        <v>57</v>
      </c>
      <c r="DS58" t="s">
        <v>128</v>
      </c>
      <c r="EX58">
        <v>57</v>
      </c>
      <c r="EY58" t="s">
        <v>128</v>
      </c>
      <c r="GD58">
        <v>57</v>
      </c>
      <c r="GE58" t="s">
        <v>128</v>
      </c>
      <c r="HJ58">
        <v>57</v>
      </c>
      <c r="HK58" t="s">
        <v>128</v>
      </c>
      <c r="IP58">
        <v>57</v>
      </c>
      <c r="IQ58" t="s">
        <v>128</v>
      </c>
    </row>
    <row r="59" spans="26:251">
      <c r="Z59">
        <v>58</v>
      </c>
      <c r="AA59" s="15" t="s">
        <v>129</v>
      </c>
      <c r="AB59" s="15"/>
      <c r="CL59">
        <v>58</v>
      </c>
      <c r="CM59" t="s">
        <v>129</v>
      </c>
      <c r="DR59">
        <v>58</v>
      </c>
      <c r="DS59" t="s">
        <v>129</v>
      </c>
      <c r="EX59">
        <v>58</v>
      </c>
      <c r="EY59" t="s">
        <v>129</v>
      </c>
      <c r="GD59">
        <v>58</v>
      </c>
      <c r="GE59" t="s">
        <v>129</v>
      </c>
      <c r="HJ59">
        <v>58</v>
      </c>
      <c r="HK59" t="s">
        <v>129</v>
      </c>
      <c r="IP59">
        <v>58</v>
      </c>
      <c r="IQ59" t="s">
        <v>129</v>
      </c>
    </row>
    <row r="60" spans="26:251">
      <c r="Z60">
        <v>59</v>
      </c>
      <c r="AA60" s="15" t="s">
        <v>130</v>
      </c>
      <c r="AB60" s="15"/>
      <c r="CL60">
        <v>59</v>
      </c>
      <c r="CM60" t="s">
        <v>130</v>
      </c>
      <c r="DR60">
        <v>59</v>
      </c>
      <c r="DS60" t="s">
        <v>130</v>
      </c>
      <c r="EX60">
        <v>59</v>
      </c>
      <c r="EY60" t="s">
        <v>130</v>
      </c>
      <c r="GD60">
        <v>59</v>
      </c>
      <c r="GE60" t="s">
        <v>130</v>
      </c>
      <c r="HJ60">
        <v>59</v>
      </c>
      <c r="HK60" t="s">
        <v>130</v>
      </c>
      <c r="IP60">
        <v>59</v>
      </c>
      <c r="IQ60" t="s">
        <v>130</v>
      </c>
    </row>
    <row r="61" spans="26:251">
      <c r="Z61">
        <v>60</v>
      </c>
      <c r="AA61" s="15" t="s">
        <v>131</v>
      </c>
      <c r="AB61" s="15"/>
      <c r="CL61">
        <v>60</v>
      </c>
      <c r="CM61" t="s">
        <v>131</v>
      </c>
      <c r="DR61">
        <v>60</v>
      </c>
      <c r="DS61" t="s">
        <v>131</v>
      </c>
      <c r="EX61">
        <v>60</v>
      </c>
      <c r="EY61" t="s">
        <v>131</v>
      </c>
      <c r="GD61">
        <v>60</v>
      </c>
      <c r="GE61" t="s">
        <v>131</v>
      </c>
      <c r="HJ61">
        <v>60</v>
      </c>
      <c r="HK61" t="s">
        <v>131</v>
      </c>
      <c r="IP61">
        <v>60</v>
      </c>
      <c r="IQ61" t="s">
        <v>131</v>
      </c>
    </row>
    <row r="62" spans="26:251">
      <c r="Z62">
        <v>61</v>
      </c>
      <c r="AA62" s="15" t="s">
        <v>132</v>
      </c>
      <c r="AB62" s="15"/>
      <c r="CL62">
        <v>61</v>
      </c>
      <c r="CM62" t="s">
        <v>132</v>
      </c>
      <c r="DR62">
        <v>61</v>
      </c>
      <c r="DS62" t="s">
        <v>132</v>
      </c>
      <c r="EX62">
        <v>61</v>
      </c>
      <c r="EY62" t="s">
        <v>132</v>
      </c>
      <c r="GD62">
        <v>61</v>
      </c>
      <c r="GE62" t="s">
        <v>132</v>
      </c>
      <c r="HJ62">
        <v>61</v>
      </c>
      <c r="HK62" t="s">
        <v>132</v>
      </c>
      <c r="IP62">
        <v>61</v>
      </c>
      <c r="IQ62" t="s">
        <v>132</v>
      </c>
    </row>
    <row r="63" spans="26:251">
      <c r="Z63">
        <v>62</v>
      </c>
      <c r="AA63" s="15" t="s">
        <v>133</v>
      </c>
      <c r="AB63" s="15"/>
      <c r="CL63">
        <v>62</v>
      </c>
      <c r="CM63" t="s">
        <v>133</v>
      </c>
      <c r="DR63">
        <v>62</v>
      </c>
      <c r="DS63" t="s">
        <v>133</v>
      </c>
      <c r="EX63">
        <v>62</v>
      </c>
      <c r="EY63" t="s">
        <v>133</v>
      </c>
      <c r="GD63">
        <v>62</v>
      </c>
      <c r="GE63" t="s">
        <v>133</v>
      </c>
      <c r="HJ63">
        <v>62</v>
      </c>
      <c r="HK63" t="s">
        <v>133</v>
      </c>
      <c r="IP63">
        <v>62</v>
      </c>
      <c r="IQ63" t="s">
        <v>133</v>
      </c>
    </row>
    <row r="64" spans="26:251">
      <c r="Z64">
        <v>63</v>
      </c>
      <c r="AA64" s="15" t="s">
        <v>134</v>
      </c>
      <c r="AB64" s="15"/>
      <c r="CL64">
        <v>63</v>
      </c>
      <c r="CM64" t="s">
        <v>134</v>
      </c>
      <c r="DR64">
        <v>63</v>
      </c>
      <c r="DS64" t="s">
        <v>134</v>
      </c>
      <c r="EX64">
        <v>63</v>
      </c>
      <c r="EY64" t="s">
        <v>134</v>
      </c>
      <c r="GD64">
        <v>63</v>
      </c>
      <c r="GE64" t="s">
        <v>134</v>
      </c>
      <c r="HJ64">
        <v>63</v>
      </c>
      <c r="HK64" t="s">
        <v>134</v>
      </c>
      <c r="IP64">
        <v>63</v>
      </c>
      <c r="IQ64" t="s">
        <v>134</v>
      </c>
    </row>
    <row r="65" spans="26:251">
      <c r="Z65">
        <v>64</v>
      </c>
      <c r="AA65" s="15" t="s">
        <v>135</v>
      </c>
      <c r="AB65" s="15"/>
      <c r="CL65">
        <v>64</v>
      </c>
      <c r="CM65" t="s">
        <v>135</v>
      </c>
      <c r="DR65">
        <v>64</v>
      </c>
      <c r="DS65" t="s">
        <v>135</v>
      </c>
      <c r="EX65">
        <v>64</v>
      </c>
      <c r="EY65" t="s">
        <v>135</v>
      </c>
      <c r="GD65">
        <v>64</v>
      </c>
      <c r="GE65" t="s">
        <v>135</v>
      </c>
      <c r="HJ65">
        <v>64</v>
      </c>
      <c r="HK65" t="s">
        <v>135</v>
      </c>
      <c r="IP65">
        <v>64</v>
      </c>
      <c r="IQ65" t="s">
        <v>135</v>
      </c>
    </row>
    <row r="66" spans="26:251">
      <c r="Z66">
        <v>65</v>
      </c>
      <c r="AA66" s="15" t="s">
        <v>136</v>
      </c>
      <c r="AB66" s="15"/>
      <c r="CL66">
        <v>65</v>
      </c>
      <c r="CM66" t="s">
        <v>136</v>
      </c>
      <c r="DR66">
        <v>65</v>
      </c>
      <c r="DS66" t="s">
        <v>136</v>
      </c>
      <c r="EX66">
        <v>65</v>
      </c>
      <c r="EY66" t="s">
        <v>136</v>
      </c>
      <c r="GD66">
        <v>65</v>
      </c>
      <c r="GE66" t="s">
        <v>136</v>
      </c>
      <c r="HJ66">
        <v>65</v>
      </c>
      <c r="HK66" t="s">
        <v>136</v>
      </c>
      <c r="IP66">
        <v>65</v>
      </c>
      <c r="IQ66" t="s">
        <v>136</v>
      </c>
    </row>
    <row r="67" spans="26:251">
      <c r="Z67">
        <v>66</v>
      </c>
      <c r="AA67" s="15" t="s">
        <v>137</v>
      </c>
      <c r="AB67" s="15"/>
      <c r="CL67">
        <v>66</v>
      </c>
      <c r="CM67" t="s">
        <v>137</v>
      </c>
      <c r="DR67">
        <v>66</v>
      </c>
      <c r="DS67" t="s">
        <v>137</v>
      </c>
      <c r="EX67">
        <v>66</v>
      </c>
      <c r="EY67" t="s">
        <v>137</v>
      </c>
      <c r="GD67">
        <v>66</v>
      </c>
      <c r="GE67" t="s">
        <v>137</v>
      </c>
      <c r="HJ67">
        <v>66</v>
      </c>
      <c r="HK67" t="s">
        <v>137</v>
      </c>
      <c r="IP67">
        <v>66</v>
      </c>
      <c r="IQ67" t="s">
        <v>137</v>
      </c>
    </row>
    <row r="68" spans="26:251">
      <c r="Z68">
        <v>67</v>
      </c>
      <c r="AA68" s="15" t="s">
        <v>138</v>
      </c>
      <c r="AB68" s="15"/>
      <c r="CL68">
        <v>67</v>
      </c>
      <c r="CM68" t="s">
        <v>138</v>
      </c>
      <c r="DR68">
        <v>67</v>
      </c>
      <c r="DS68" t="s">
        <v>138</v>
      </c>
      <c r="EX68">
        <v>67</v>
      </c>
      <c r="EY68" t="s">
        <v>138</v>
      </c>
      <c r="GD68">
        <v>67</v>
      </c>
      <c r="GE68" t="s">
        <v>138</v>
      </c>
      <c r="HJ68">
        <v>67</v>
      </c>
      <c r="HK68" t="s">
        <v>138</v>
      </c>
      <c r="IP68">
        <v>67</v>
      </c>
      <c r="IQ68" t="s">
        <v>138</v>
      </c>
    </row>
    <row r="69" spans="26:251">
      <c r="Z69">
        <v>68</v>
      </c>
      <c r="AA69" s="15" t="s">
        <v>139</v>
      </c>
      <c r="AB69" s="15"/>
      <c r="CL69">
        <v>68</v>
      </c>
      <c r="CM69" t="s">
        <v>139</v>
      </c>
      <c r="DR69">
        <v>68</v>
      </c>
      <c r="DS69" t="s">
        <v>139</v>
      </c>
      <c r="EX69">
        <v>68</v>
      </c>
      <c r="EY69" t="s">
        <v>139</v>
      </c>
      <c r="GD69">
        <v>68</v>
      </c>
      <c r="GE69" t="s">
        <v>139</v>
      </c>
      <c r="HJ69">
        <v>68</v>
      </c>
      <c r="HK69" t="s">
        <v>139</v>
      </c>
      <c r="IP69">
        <v>68</v>
      </c>
      <c r="IQ69" t="s">
        <v>139</v>
      </c>
    </row>
    <row r="70" spans="26:251">
      <c r="Z70">
        <v>69</v>
      </c>
      <c r="AA70" s="15" t="s">
        <v>140</v>
      </c>
      <c r="AB70" s="15"/>
      <c r="CL70">
        <v>69</v>
      </c>
      <c r="CM70" t="s">
        <v>140</v>
      </c>
      <c r="DR70">
        <v>69</v>
      </c>
      <c r="DS70" t="s">
        <v>140</v>
      </c>
      <c r="EX70">
        <v>69</v>
      </c>
      <c r="EY70" t="s">
        <v>140</v>
      </c>
      <c r="GD70">
        <v>69</v>
      </c>
      <c r="GE70" t="s">
        <v>140</v>
      </c>
      <c r="HJ70">
        <v>69</v>
      </c>
      <c r="HK70" t="s">
        <v>140</v>
      </c>
      <c r="IP70">
        <v>69</v>
      </c>
      <c r="IQ70" t="s">
        <v>140</v>
      </c>
    </row>
    <row r="71" spans="26:251">
      <c r="Z71">
        <v>70</v>
      </c>
      <c r="AA71" s="15" t="s">
        <v>141</v>
      </c>
      <c r="AB71" s="15"/>
      <c r="CL71">
        <v>70</v>
      </c>
      <c r="CM71" t="s">
        <v>141</v>
      </c>
      <c r="DR71">
        <v>70</v>
      </c>
      <c r="DS71" t="s">
        <v>141</v>
      </c>
      <c r="EX71">
        <v>70</v>
      </c>
      <c r="EY71" t="s">
        <v>141</v>
      </c>
      <c r="GD71">
        <v>70</v>
      </c>
      <c r="GE71" t="s">
        <v>141</v>
      </c>
      <c r="HJ71">
        <v>70</v>
      </c>
      <c r="HK71" t="s">
        <v>141</v>
      </c>
      <c r="IP71">
        <v>70</v>
      </c>
      <c r="IQ71" t="s">
        <v>141</v>
      </c>
    </row>
    <row r="72" spans="26:251">
      <c r="Z72">
        <v>71</v>
      </c>
      <c r="AA72" s="15" t="s">
        <v>142</v>
      </c>
      <c r="AB72" s="15"/>
      <c r="CL72">
        <v>71</v>
      </c>
      <c r="CM72" t="s">
        <v>142</v>
      </c>
      <c r="DR72">
        <v>71</v>
      </c>
      <c r="DS72" t="s">
        <v>142</v>
      </c>
      <c r="EX72">
        <v>71</v>
      </c>
      <c r="EY72" t="s">
        <v>142</v>
      </c>
      <c r="GD72">
        <v>71</v>
      </c>
      <c r="GE72" t="s">
        <v>142</v>
      </c>
      <c r="HJ72">
        <v>71</v>
      </c>
      <c r="HK72" t="s">
        <v>142</v>
      </c>
      <c r="IP72">
        <v>71</v>
      </c>
      <c r="IQ72" t="s">
        <v>142</v>
      </c>
    </row>
    <row r="73" spans="26:251">
      <c r="Z73">
        <v>72</v>
      </c>
      <c r="AA73" s="15" t="s">
        <v>143</v>
      </c>
      <c r="AB73" s="15"/>
      <c r="CL73">
        <v>72</v>
      </c>
      <c r="CM73" t="s">
        <v>143</v>
      </c>
      <c r="DR73">
        <v>72</v>
      </c>
      <c r="DS73" t="s">
        <v>143</v>
      </c>
      <c r="EX73">
        <v>72</v>
      </c>
      <c r="EY73" t="s">
        <v>143</v>
      </c>
      <c r="GD73">
        <v>72</v>
      </c>
      <c r="GE73" t="s">
        <v>143</v>
      </c>
      <c r="HJ73">
        <v>72</v>
      </c>
      <c r="HK73" t="s">
        <v>143</v>
      </c>
      <c r="IP73">
        <v>72</v>
      </c>
      <c r="IQ73" t="s">
        <v>143</v>
      </c>
    </row>
    <row r="74" spans="26:251">
      <c r="Z74">
        <v>73</v>
      </c>
      <c r="AA74" s="15" t="s">
        <v>144</v>
      </c>
      <c r="AB74" s="15"/>
      <c r="CL74">
        <v>73</v>
      </c>
      <c r="CM74" t="s">
        <v>144</v>
      </c>
      <c r="DR74">
        <v>73</v>
      </c>
      <c r="DS74" t="s">
        <v>144</v>
      </c>
      <c r="EX74">
        <v>73</v>
      </c>
      <c r="EY74" t="s">
        <v>144</v>
      </c>
      <c r="GD74">
        <v>73</v>
      </c>
      <c r="GE74" t="s">
        <v>144</v>
      </c>
      <c r="HJ74">
        <v>73</v>
      </c>
      <c r="HK74" t="s">
        <v>144</v>
      </c>
      <c r="IP74">
        <v>73</v>
      </c>
      <c r="IQ74" t="s">
        <v>144</v>
      </c>
    </row>
    <row r="75" spans="26:251">
      <c r="Z75">
        <v>74</v>
      </c>
      <c r="AA75" s="15" t="s">
        <v>145</v>
      </c>
      <c r="AB75" s="15"/>
      <c r="CL75">
        <v>74</v>
      </c>
      <c r="CM75" t="s">
        <v>145</v>
      </c>
      <c r="DR75">
        <v>74</v>
      </c>
      <c r="DS75" t="s">
        <v>145</v>
      </c>
      <c r="EX75">
        <v>74</v>
      </c>
      <c r="EY75" t="s">
        <v>145</v>
      </c>
      <c r="GD75">
        <v>74</v>
      </c>
      <c r="GE75" t="s">
        <v>145</v>
      </c>
      <c r="HJ75">
        <v>74</v>
      </c>
      <c r="HK75" t="s">
        <v>145</v>
      </c>
      <c r="IP75">
        <v>74</v>
      </c>
      <c r="IQ75" t="s">
        <v>145</v>
      </c>
    </row>
    <row r="76" spans="26:251">
      <c r="Z76">
        <v>75</v>
      </c>
      <c r="AA76" s="15" t="s">
        <v>146</v>
      </c>
      <c r="AB76" s="15"/>
      <c r="CL76">
        <v>75</v>
      </c>
      <c r="CM76" t="s">
        <v>146</v>
      </c>
      <c r="DR76">
        <v>75</v>
      </c>
      <c r="DS76" t="s">
        <v>146</v>
      </c>
      <c r="EX76">
        <v>75</v>
      </c>
      <c r="EY76" t="s">
        <v>146</v>
      </c>
      <c r="GD76">
        <v>75</v>
      </c>
      <c r="GE76" t="s">
        <v>146</v>
      </c>
      <c r="HJ76">
        <v>75</v>
      </c>
      <c r="HK76" t="s">
        <v>146</v>
      </c>
      <c r="IP76">
        <v>75</v>
      </c>
      <c r="IQ76" t="s">
        <v>146</v>
      </c>
    </row>
    <row r="77" spans="26:251">
      <c r="Z77">
        <v>76</v>
      </c>
      <c r="AA77" s="15" t="s">
        <v>147</v>
      </c>
      <c r="AB77" s="15"/>
      <c r="CL77">
        <v>76</v>
      </c>
      <c r="CM77" t="s">
        <v>147</v>
      </c>
      <c r="DR77">
        <v>76</v>
      </c>
      <c r="DS77" t="s">
        <v>147</v>
      </c>
      <c r="EX77">
        <v>76</v>
      </c>
      <c r="EY77" t="s">
        <v>147</v>
      </c>
      <c r="GD77">
        <v>76</v>
      </c>
      <c r="GE77" t="s">
        <v>147</v>
      </c>
      <c r="HJ77">
        <v>76</v>
      </c>
      <c r="HK77" t="s">
        <v>147</v>
      </c>
      <c r="IP77">
        <v>76</v>
      </c>
      <c r="IQ77" t="s">
        <v>147</v>
      </c>
    </row>
    <row r="78" spans="26:251">
      <c r="Z78">
        <v>77</v>
      </c>
      <c r="AA78" s="15" t="s">
        <v>148</v>
      </c>
      <c r="AB78" s="15"/>
      <c r="CL78">
        <v>77</v>
      </c>
      <c r="CM78" t="s">
        <v>148</v>
      </c>
      <c r="DR78">
        <v>77</v>
      </c>
      <c r="DS78" t="s">
        <v>148</v>
      </c>
      <c r="EX78">
        <v>77</v>
      </c>
      <c r="EY78" t="s">
        <v>148</v>
      </c>
      <c r="GD78">
        <v>77</v>
      </c>
      <c r="GE78" t="s">
        <v>148</v>
      </c>
      <c r="HJ78">
        <v>77</v>
      </c>
      <c r="HK78" t="s">
        <v>148</v>
      </c>
      <c r="IP78">
        <v>77</v>
      </c>
      <c r="IQ78" t="s">
        <v>148</v>
      </c>
    </row>
    <row r="79" spans="26:251">
      <c r="Z79">
        <v>78</v>
      </c>
      <c r="AA79" s="15" t="s">
        <v>149</v>
      </c>
      <c r="AB79" s="15"/>
      <c r="CL79">
        <v>78</v>
      </c>
      <c r="CM79" t="s">
        <v>149</v>
      </c>
      <c r="DR79">
        <v>78</v>
      </c>
      <c r="DS79" t="s">
        <v>149</v>
      </c>
      <c r="EX79">
        <v>78</v>
      </c>
      <c r="EY79" t="s">
        <v>149</v>
      </c>
      <c r="GD79">
        <v>78</v>
      </c>
      <c r="GE79" t="s">
        <v>149</v>
      </c>
      <c r="HJ79">
        <v>78</v>
      </c>
      <c r="HK79" t="s">
        <v>149</v>
      </c>
      <c r="IP79">
        <v>78</v>
      </c>
      <c r="IQ79" t="s">
        <v>149</v>
      </c>
    </row>
    <row r="80" spans="26:251">
      <c r="Z80">
        <v>79</v>
      </c>
      <c r="AA80" s="15" t="s">
        <v>150</v>
      </c>
      <c r="AB80" s="15"/>
      <c r="CL80">
        <v>79</v>
      </c>
      <c r="CM80" t="s">
        <v>150</v>
      </c>
      <c r="DR80">
        <v>79</v>
      </c>
      <c r="DS80" t="s">
        <v>150</v>
      </c>
      <c r="EX80">
        <v>79</v>
      </c>
      <c r="EY80" t="s">
        <v>150</v>
      </c>
      <c r="GD80">
        <v>79</v>
      </c>
      <c r="GE80" t="s">
        <v>150</v>
      </c>
      <c r="HJ80">
        <v>79</v>
      </c>
      <c r="HK80" t="s">
        <v>150</v>
      </c>
      <c r="IP80">
        <v>79</v>
      </c>
      <c r="IQ80" t="s">
        <v>150</v>
      </c>
    </row>
    <row r="81" spans="26:251">
      <c r="Z81">
        <v>80</v>
      </c>
      <c r="AA81" s="15" t="s">
        <v>151</v>
      </c>
      <c r="AB81" s="15"/>
      <c r="CL81">
        <v>80</v>
      </c>
      <c r="CM81" t="s">
        <v>151</v>
      </c>
      <c r="DR81">
        <v>80</v>
      </c>
      <c r="DS81" t="s">
        <v>151</v>
      </c>
      <c r="EX81">
        <v>80</v>
      </c>
      <c r="EY81" t="s">
        <v>151</v>
      </c>
      <c r="GD81">
        <v>80</v>
      </c>
      <c r="GE81" t="s">
        <v>151</v>
      </c>
      <c r="HJ81">
        <v>80</v>
      </c>
      <c r="HK81" t="s">
        <v>151</v>
      </c>
      <c r="IP81">
        <v>80</v>
      </c>
      <c r="IQ81" t="s">
        <v>151</v>
      </c>
    </row>
    <row r="82" spans="26:251">
      <c r="Z82">
        <v>81</v>
      </c>
      <c r="AA82" s="15" t="s">
        <v>152</v>
      </c>
      <c r="AB82" s="15"/>
      <c r="CL82">
        <v>81</v>
      </c>
      <c r="CM82" t="s">
        <v>152</v>
      </c>
      <c r="DR82">
        <v>81</v>
      </c>
      <c r="DS82" t="s">
        <v>152</v>
      </c>
      <c r="EX82">
        <v>81</v>
      </c>
      <c r="EY82" t="s">
        <v>152</v>
      </c>
      <c r="GD82">
        <v>81</v>
      </c>
      <c r="GE82" t="s">
        <v>152</v>
      </c>
      <c r="HJ82">
        <v>81</v>
      </c>
      <c r="HK82" t="s">
        <v>152</v>
      </c>
      <c r="IP82">
        <v>81</v>
      </c>
      <c r="IQ82" t="s">
        <v>152</v>
      </c>
    </row>
    <row r="83" spans="26:251">
      <c r="Z83">
        <v>82</v>
      </c>
      <c r="AA83" s="15" t="s">
        <v>153</v>
      </c>
      <c r="AB83" s="15"/>
      <c r="CL83">
        <v>82</v>
      </c>
      <c r="CM83" t="s">
        <v>153</v>
      </c>
      <c r="DR83">
        <v>82</v>
      </c>
      <c r="DS83" t="s">
        <v>153</v>
      </c>
      <c r="EX83">
        <v>82</v>
      </c>
      <c r="EY83" t="s">
        <v>153</v>
      </c>
      <c r="GD83">
        <v>82</v>
      </c>
      <c r="GE83" t="s">
        <v>153</v>
      </c>
      <c r="HJ83">
        <v>82</v>
      </c>
      <c r="HK83" t="s">
        <v>153</v>
      </c>
      <c r="IP83">
        <v>82</v>
      </c>
      <c r="IQ83" t="s">
        <v>153</v>
      </c>
    </row>
    <row r="84" spans="26:251">
      <c r="Z84">
        <v>83</v>
      </c>
      <c r="AA84" s="15" t="s">
        <v>154</v>
      </c>
      <c r="AB84" s="15"/>
      <c r="CL84">
        <v>83</v>
      </c>
      <c r="CM84" t="s">
        <v>154</v>
      </c>
      <c r="DR84">
        <v>83</v>
      </c>
      <c r="DS84" t="s">
        <v>154</v>
      </c>
      <c r="EX84">
        <v>83</v>
      </c>
      <c r="EY84" t="s">
        <v>154</v>
      </c>
      <c r="GD84">
        <v>83</v>
      </c>
      <c r="GE84" t="s">
        <v>154</v>
      </c>
      <c r="HJ84">
        <v>83</v>
      </c>
      <c r="HK84" t="s">
        <v>154</v>
      </c>
      <c r="IP84">
        <v>83</v>
      </c>
      <c r="IQ84" t="s">
        <v>154</v>
      </c>
    </row>
    <row r="85" spans="26:251">
      <c r="Z85">
        <v>84</v>
      </c>
      <c r="AA85" s="15" t="s">
        <v>155</v>
      </c>
      <c r="AB85" s="15"/>
      <c r="CL85">
        <v>84</v>
      </c>
      <c r="CM85" t="s">
        <v>155</v>
      </c>
      <c r="DR85">
        <v>84</v>
      </c>
      <c r="DS85" t="s">
        <v>155</v>
      </c>
      <c r="EX85">
        <v>84</v>
      </c>
      <c r="EY85" t="s">
        <v>155</v>
      </c>
      <c r="GD85">
        <v>84</v>
      </c>
      <c r="GE85" t="s">
        <v>155</v>
      </c>
      <c r="HJ85">
        <v>84</v>
      </c>
      <c r="HK85" t="s">
        <v>155</v>
      </c>
      <c r="IP85">
        <v>84</v>
      </c>
      <c r="IQ85" t="s">
        <v>155</v>
      </c>
    </row>
    <row r="86" spans="26:251">
      <c r="Z86">
        <v>85</v>
      </c>
      <c r="AA86" s="15" t="s">
        <v>156</v>
      </c>
      <c r="AB86" s="15"/>
      <c r="CL86">
        <v>85</v>
      </c>
      <c r="CM86" t="s">
        <v>156</v>
      </c>
      <c r="DR86">
        <v>85</v>
      </c>
      <c r="DS86" t="s">
        <v>156</v>
      </c>
      <c r="EX86">
        <v>85</v>
      </c>
      <c r="EY86" t="s">
        <v>156</v>
      </c>
      <c r="GD86">
        <v>85</v>
      </c>
      <c r="GE86" t="s">
        <v>156</v>
      </c>
      <c r="HJ86">
        <v>85</v>
      </c>
      <c r="HK86" t="s">
        <v>156</v>
      </c>
      <c r="IP86">
        <v>85</v>
      </c>
      <c r="IQ86" t="s">
        <v>156</v>
      </c>
    </row>
    <row r="87" spans="26:251">
      <c r="Z87">
        <v>86</v>
      </c>
      <c r="AA87" s="15" t="s">
        <v>157</v>
      </c>
      <c r="AB87" s="15"/>
      <c r="CL87">
        <v>86</v>
      </c>
      <c r="CM87" t="s">
        <v>157</v>
      </c>
      <c r="DR87">
        <v>86</v>
      </c>
      <c r="DS87" t="s">
        <v>157</v>
      </c>
      <c r="EX87">
        <v>86</v>
      </c>
      <c r="EY87" t="s">
        <v>157</v>
      </c>
      <c r="GD87">
        <v>86</v>
      </c>
      <c r="GE87" t="s">
        <v>157</v>
      </c>
      <c r="HJ87">
        <v>86</v>
      </c>
      <c r="HK87" t="s">
        <v>157</v>
      </c>
      <c r="IP87">
        <v>86</v>
      </c>
      <c r="IQ87" t="s">
        <v>157</v>
      </c>
    </row>
    <row r="88" spans="26:251">
      <c r="Z88">
        <v>87</v>
      </c>
      <c r="AA88" s="15" t="s">
        <v>158</v>
      </c>
      <c r="AB88" s="15"/>
      <c r="CL88">
        <v>87</v>
      </c>
      <c r="CM88" t="s">
        <v>158</v>
      </c>
      <c r="DR88">
        <v>87</v>
      </c>
      <c r="DS88" t="s">
        <v>158</v>
      </c>
      <c r="EX88">
        <v>87</v>
      </c>
      <c r="EY88" t="s">
        <v>158</v>
      </c>
      <c r="GD88">
        <v>87</v>
      </c>
      <c r="GE88" t="s">
        <v>158</v>
      </c>
      <c r="HJ88">
        <v>87</v>
      </c>
      <c r="HK88" t="s">
        <v>158</v>
      </c>
      <c r="IP88">
        <v>87</v>
      </c>
      <c r="IQ88" t="s">
        <v>158</v>
      </c>
    </row>
    <row r="89" spans="26:251">
      <c r="Z89">
        <v>88</v>
      </c>
      <c r="AA89" s="15" t="s">
        <v>159</v>
      </c>
      <c r="AB89" s="15"/>
      <c r="CL89">
        <v>88</v>
      </c>
      <c r="CM89" t="s">
        <v>159</v>
      </c>
      <c r="DR89">
        <v>88</v>
      </c>
      <c r="DS89" t="s">
        <v>159</v>
      </c>
      <c r="EX89">
        <v>88</v>
      </c>
      <c r="EY89" t="s">
        <v>159</v>
      </c>
      <c r="GD89">
        <v>88</v>
      </c>
      <c r="GE89" t="s">
        <v>159</v>
      </c>
      <c r="HJ89">
        <v>88</v>
      </c>
      <c r="HK89" t="s">
        <v>159</v>
      </c>
      <c r="IP89">
        <v>88</v>
      </c>
      <c r="IQ89" t="s">
        <v>159</v>
      </c>
    </row>
    <row r="90" spans="26:251">
      <c r="Z90">
        <v>89</v>
      </c>
      <c r="AA90" s="15" t="s">
        <v>160</v>
      </c>
      <c r="AB90" s="15"/>
      <c r="CL90">
        <v>89</v>
      </c>
      <c r="CM90" t="s">
        <v>160</v>
      </c>
      <c r="DR90">
        <v>89</v>
      </c>
      <c r="DS90" t="s">
        <v>160</v>
      </c>
      <c r="EX90">
        <v>89</v>
      </c>
      <c r="EY90" t="s">
        <v>160</v>
      </c>
      <c r="GD90">
        <v>89</v>
      </c>
      <c r="GE90" t="s">
        <v>160</v>
      </c>
      <c r="HJ90">
        <v>89</v>
      </c>
      <c r="HK90" t="s">
        <v>160</v>
      </c>
      <c r="IP90">
        <v>89</v>
      </c>
      <c r="IQ90" t="s">
        <v>160</v>
      </c>
    </row>
    <row r="91" spans="26:251">
      <c r="Z91">
        <v>90</v>
      </c>
      <c r="AA91" s="15" t="s">
        <v>161</v>
      </c>
      <c r="AB91" s="15"/>
      <c r="CL91">
        <v>90</v>
      </c>
      <c r="CM91" t="s">
        <v>161</v>
      </c>
      <c r="DR91">
        <v>90</v>
      </c>
      <c r="DS91" t="s">
        <v>161</v>
      </c>
      <c r="EX91">
        <v>90</v>
      </c>
      <c r="EY91" t="s">
        <v>161</v>
      </c>
      <c r="GD91">
        <v>90</v>
      </c>
      <c r="GE91" t="s">
        <v>161</v>
      </c>
      <c r="HJ91">
        <v>90</v>
      </c>
      <c r="HK91" t="s">
        <v>161</v>
      </c>
      <c r="IP91">
        <v>90</v>
      </c>
      <c r="IQ91" t="s">
        <v>161</v>
      </c>
    </row>
    <row r="92" spans="26:251">
      <c r="Z92">
        <v>91</v>
      </c>
      <c r="AA92" s="15" t="s">
        <v>162</v>
      </c>
      <c r="AB92" s="15"/>
      <c r="CL92">
        <v>91</v>
      </c>
      <c r="CM92" t="s">
        <v>162</v>
      </c>
      <c r="DR92">
        <v>91</v>
      </c>
      <c r="DS92" t="s">
        <v>162</v>
      </c>
      <c r="EX92">
        <v>91</v>
      </c>
      <c r="EY92" t="s">
        <v>162</v>
      </c>
      <c r="GD92">
        <v>91</v>
      </c>
      <c r="GE92" t="s">
        <v>162</v>
      </c>
      <c r="HJ92">
        <v>91</v>
      </c>
      <c r="HK92" t="s">
        <v>162</v>
      </c>
      <c r="IP92">
        <v>91</v>
      </c>
      <c r="IQ92" t="s">
        <v>162</v>
      </c>
    </row>
    <row r="93" spans="26:251">
      <c r="Z93">
        <v>92</v>
      </c>
      <c r="AA93" s="15" t="s">
        <v>163</v>
      </c>
      <c r="AB93" s="15"/>
      <c r="CL93">
        <v>92</v>
      </c>
      <c r="CM93" t="s">
        <v>163</v>
      </c>
      <c r="DR93">
        <v>92</v>
      </c>
      <c r="DS93" t="s">
        <v>163</v>
      </c>
      <c r="EX93">
        <v>92</v>
      </c>
      <c r="EY93" t="s">
        <v>163</v>
      </c>
      <c r="GD93">
        <v>92</v>
      </c>
      <c r="GE93" t="s">
        <v>163</v>
      </c>
      <c r="HJ93">
        <v>92</v>
      </c>
      <c r="HK93" t="s">
        <v>163</v>
      </c>
      <c r="IP93">
        <v>92</v>
      </c>
      <c r="IQ93" t="s">
        <v>163</v>
      </c>
    </row>
    <row r="94" spans="26:251">
      <c r="Z94">
        <v>93</v>
      </c>
      <c r="AA94" s="15" t="s">
        <v>164</v>
      </c>
      <c r="AB94" s="15"/>
      <c r="CL94">
        <v>93</v>
      </c>
      <c r="CM94" t="s">
        <v>164</v>
      </c>
      <c r="DR94">
        <v>93</v>
      </c>
      <c r="DS94" t="s">
        <v>164</v>
      </c>
      <c r="EX94">
        <v>93</v>
      </c>
      <c r="EY94" t="s">
        <v>164</v>
      </c>
      <c r="GD94">
        <v>93</v>
      </c>
      <c r="GE94" t="s">
        <v>164</v>
      </c>
      <c r="HJ94">
        <v>93</v>
      </c>
      <c r="HK94" t="s">
        <v>164</v>
      </c>
      <c r="IP94">
        <v>93</v>
      </c>
      <c r="IQ94" t="s">
        <v>164</v>
      </c>
    </row>
    <row r="95" spans="26:251">
      <c r="Z95">
        <v>94</v>
      </c>
      <c r="AA95" s="15" t="s">
        <v>165</v>
      </c>
      <c r="AB95" s="15"/>
      <c r="CL95">
        <v>94</v>
      </c>
      <c r="CM95" t="s">
        <v>165</v>
      </c>
      <c r="DR95">
        <v>94</v>
      </c>
      <c r="DS95" t="s">
        <v>165</v>
      </c>
      <c r="EX95">
        <v>94</v>
      </c>
      <c r="EY95" t="s">
        <v>165</v>
      </c>
      <c r="GD95">
        <v>94</v>
      </c>
      <c r="GE95" t="s">
        <v>165</v>
      </c>
      <c r="HJ95">
        <v>94</v>
      </c>
      <c r="HK95" t="s">
        <v>165</v>
      </c>
      <c r="IP95">
        <v>94</v>
      </c>
      <c r="IQ95" t="s">
        <v>165</v>
      </c>
    </row>
    <row r="96" spans="26:251">
      <c r="Z96">
        <v>95</v>
      </c>
      <c r="AA96" s="15" t="s">
        <v>166</v>
      </c>
      <c r="AB96" s="15"/>
      <c r="CL96">
        <v>95</v>
      </c>
      <c r="CM96" t="s">
        <v>166</v>
      </c>
      <c r="DR96">
        <v>95</v>
      </c>
      <c r="DS96" t="s">
        <v>166</v>
      </c>
      <c r="EX96">
        <v>95</v>
      </c>
      <c r="EY96" t="s">
        <v>166</v>
      </c>
      <c r="GD96">
        <v>95</v>
      </c>
      <c r="GE96" t="s">
        <v>166</v>
      </c>
      <c r="HJ96">
        <v>95</v>
      </c>
      <c r="HK96" t="s">
        <v>166</v>
      </c>
      <c r="IP96">
        <v>95</v>
      </c>
      <c r="IQ96" t="s">
        <v>166</v>
      </c>
    </row>
    <row r="97" spans="26:251">
      <c r="Z97">
        <v>96</v>
      </c>
      <c r="AA97" s="15" t="s">
        <v>167</v>
      </c>
      <c r="AB97" s="15"/>
      <c r="CL97">
        <v>96</v>
      </c>
      <c r="CM97" t="s">
        <v>167</v>
      </c>
      <c r="DR97">
        <v>96</v>
      </c>
      <c r="DS97" t="s">
        <v>167</v>
      </c>
      <c r="EX97">
        <v>96</v>
      </c>
      <c r="EY97" t="s">
        <v>167</v>
      </c>
      <c r="GD97">
        <v>96</v>
      </c>
      <c r="GE97" t="s">
        <v>167</v>
      </c>
      <c r="HJ97">
        <v>96</v>
      </c>
      <c r="HK97" t="s">
        <v>167</v>
      </c>
      <c r="IP97">
        <v>96</v>
      </c>
      <c r="IQ97" t="s">
        <v>167</v>
      </c>
    </row>
    <row r="98" spans="26:251">
      <c r="Z98">
        <v>97</v>
      </c>
      <c r="AA98" s="15" t="s">
        <v>168</v>
      </c>
      <c r="AB98" s="15"/>
      <c r="CL98">
        <v>97</v>
      </c>
      <c r="CM98" t="s">
        <v>168</v>
      </c>
      <c r="DR98">
        <v>97</v>
      </c>
      <c r="DS98" t="s">
        <v>168</v>
      </c>
      <c r="EX98">
        <v>97</v>
      </c>
      <c r="EY98" t="s">
        <v>168</v>
      </c>
      <c r="GD98">
        <v>97</v>
      </c>
      <c r="GE98" t="s">
        <v>168</v>
      </c>
      <c r="HJ98">
        <v>97</v>
      </c>
      <c r="HK98" t="s">
        <v>168</v>
      </c>
      <c r="IP98">
        <v>97</v>
      </c>
      <c r="IQ98" t="s">
        <v>168</v>
      </c>
    </row>
    <row r="99" spans="26:251">
      <c r="Z99">
        <v>98</v>
      </c>
      <c r="AA99" s="15" t="s">
        <v>169</v>
      </c>
      <c r="AB99" s="15"/>
      <c r="CL99">
        <v>98</v>
      </c>
      <c r="CM99" t="s">
        <v>169</v>
      </c>
      <c r="DR99">
        <v>98</v>
      </c>
      <c r="DS99" t="s">
        <v>169</v>
      </c>
      <c r="EX99">
        <v>98</v>
      </c>
      <c r="EY99" t="s">
        <v>169</v>
      </c>
      <c r="GD99">
        <v>98</v>
      </c>
      <c r="GE99" t="s">
        <v>169</v>
      </c>
      <c r="HJ99">
        <v>98</v>
      </c>
      <c r="HK99" t="s">
        <v>169</v>
      </c>
      <c r="IP99">
        <v>98</v>
      </c>
      <c r="IQ99" t="s">
        <v>169</v>
      </c>
    </row>
    <row r="100" spans="26:251">
      <c r="Z100">
        <v>99</v>
      </c>
      <c r="AA100" s="15" t="s">
        <v>170</v>
      </c>
      <c r="AB100" s="15"/>
      <c r="CL100">
        <v>99</v>
      </c>
      <c r="CM100" t="s">
        <v>170</v>
      </c>
      <c r="DR100">
        <v>99</v>
      </c>
      <c r="DS100" t="s">
        <v>170</v>
      </c>
      <c r="EX100">
        <v>99</v>
      </c>
      <c r="EY100" t="s">
        <v>170</v>
      </c>
      <c r="GD100">
        <v>99</v>
      </c>
      <c r="GE100" t="s">
        <v>170</v>
      </c>
      <c r="HJ100">
        <v>99</v>
      </c>
      <c r="HK100" t="s">
        <v>170</v>
      </c>
      <c r="IP100">
        <v>99</v>
      </c>
      <c r="IQ100" t="s">
        <v>170</v>
      </c>
    </row>
  </sheetData>
  <pageMargins left="0.7" right="0.7" top="0.75" bottom="0.75" header="0.3" footer="0.3"/>
  <ignoredErrors>
    <ignoredError sqref="E2:E12"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IV100"/>
  <sheetViews>
    <sheetView workbookViewId="0">
      <selection activeCell="A3" sqref="A3"/>
    </sheetView>
  </sheetViews>
  <sheetFormatPr defaultRowHeight="15"/>
  <cols>
    <col min="1" max="1" width="21.42578125" customWidth="1"/>
    <col min="2" max="2" width="82.42578125" customWidth="1"/>
    <col min="13" max="13" width="13.85546875" customWidth="1"/>
    <col min="15" max="15" width="16.28515625" customWidth="1"/>
    <col min="18" max="18" width="15.42578125" customWidth="1"/>
    <col min="19" max="19" width="20.5703125" customWidth="1"/>
    <col min="20" max="20" width="11.140625" customWidth="1"/>
    <col min="21" max="21" width="13.42578125" customWidth="1"/>
    <col min="22" max="22" width="16.7109375" customWidth="1"/>
    <col min="23" max="23" width="16" customWidth="1"/>
    <col min="24" max="24" width="10.7109375" customWidth="1"/>
    <col min="25" max="25" width="11.140625" customWidth="1"/>
    <col min="28" max="28" width="10.140625" customWidth="1"/>
    <col min="31" max="31" width="12" customWidth="1"/>
    <col min="32" max="32" width="21.85546875" customWidth="1"/>
  </cols>
  <sheetData>
    <row r="1" spans="1:256">
      <c r="A1" s="9" t="s">
        <v>33</v>
      </c>
      <c r="B1" s="9" t="s">
        <v>34</v>
      </c>
      <c r="Z1">
        <v>0</v>
      </c>
      <c r="AA1" s="15" t="s">
        <v>35</v>
      </c>
      <c r="AB1" s="15"/>
      <c r="BK1" t="s">
        <v>33</v>
      </c>
      <c r="BL1" t="s">
        <v>36</v>
      </c>
      <c r="BM1" t="s">
        <v>37</v>
      </c>
      <c r="BN1" t="s">
        <v>34</v>
      </c>
      <c r="CL1">
        <v>0</v>
      </c>
      <c r="CM1" t="s">
        <v>38</v>
      </c>
      <c r="CQ1" t="s">
        <v>33</v>
      </c>
      <c r="CR1" t="s">
        <v>36</v>
      </c>
      <c r="CS1" t="s">
        <v>37</v>
      </c>
      <c r="CT1" t="s">
        <v>34</v>
      </c>
      <c r="DR1">
        <v>0</v>
      </c>
      <c r="DS1" t="s">
        <v>38</v>
      </c>
      <c r="DW1" t="s">
        <v>33</v>
      </c>
      <c r="DX1" t="s">
        <v>36</v>
      </c>
      <c r="DY1" t="s">
        <v>37</v>
      </c>
      <c r="DZ1" t="s">
        <v>34</v>
      </c>
      <c r="EX1">
        <v>0</v>
      </c>
      <c r="EY1" t="s">
        <v>38</v>
      </c>
      <c r="FC1" t="s">
        <v>33</v>
      </c>
      <c r="FD1" t="s">
        <v>36</v>
      </c>
      <c r="FE1" t="s">
        <v>37</v>
      </c>
      <c r="FF1" t="s">
        <v>34</v>
      </c>
      <c r="GD1">
        <v>0</v>
      </c>
      <c r="GE1" t="s">
        <v>38</v>
      </c>
      <c r="GI1" t="s">
        <v>33</v>
      </c>
      <c r="GJ1" t="s">
        <v>36</v>
      </c>
      <c r="GK1" t="s">
        <v>37</v>
      </c>
      <c r="GL1" t="s">
        <v>34</v>
      </c>
      <c r="HJ1">
        <v>0</v>
      </c>
      <c r="HK1" t="s">
        <v>38</v>
      </c>
      <c r="HO1" t="s">
        <v>33</v>
      </c>
      <c r="HP1" t="s">
        <v>36</v>
      </c>
      <c r="HQ1" t="s">
        <v>37</v>
      </c>
      <c r="HR1" t="s">
        <v>34</v>
      </c>
      <c r="IP1">
        <v>0</v>
      </c>
      <c r="IQ1" t="s">
        <v>38</v>
      </c>
      <c r="IU1" t="s">
        <v>33</v>
      </c>
      <c r="IV1" t="s">
        <v>36</v>
      </c>
    </row>
    <row r="2" spans="1:256">
      <c r="A2" s="16">
        <f>'Rent Reciept'!S7</f>
        <v>230400</v>
      </c>
      <c r="B2" s="17" t="str">
        <f>CONCATENATE(P2," ",Q2," ",R2," ",S2," ",T2," ",U2," ",Y2," ",V2,"","Rupees"," Only")</f>
        <v>Two Lakhs Thirty Thousand Four Hundred    Rupees Only</v>
      </c>
      <c r="C2" s="18">
        <f t="shared" ref="C2:C12" si="0">A2/100000</f>
        <v>2.3039999999999998</v>
      </c>
      <c r="D2" s="18">
        <f t="shared" ref="D2:D12" si="1">INT(C2)</f>
        <v>2</v>
      </c>
      <c r="E2" s="18">
        <f t="shared" ref="E2:E12" si="2">A2/1000</f>
        <v>230.4</v>
      </c>
      <c r="F2" s="18">
        <f t="shared" ref="F2:F12" si="3">INT(E2)</f>
        <v>230</v>
      </c>
      <c r="G2" s="18">
        <f t="shared" ref="G2:G12" si="4">F2-D2*100</f>
        <v>30</v>
      </c>
      <c r="H2" s="18">
        <f t="shared" ref="H2:H12" si="5">A2/100</f>
        <v>2304</v>
      </c>
      <c r="I2" s="18">
        <f t="shared" ref="I2:I12" si="6">INT(H2)</f>
        <v>2304</v>
      </c>
      <c r="J2" s="18">
        <f t="shared" ref="J2:J12" si="7">I2-(D2*1000+G2*10)</f>
        <v>4</v>
      </c>
      <c r="K2" s="18">
        <f t="shared" ref="K2:K12" si="8">A2-(D2*100000+G2*1000+J2*100)</f>
        <v>0</v>
      </c>
      <c r="L2" t="str">
        <f t="shared" ref="L2:L12" si="9">LOOKUP(D2,Z:Z,AA:AA)</f>
        <v>Two</v>
      </c>
      <c r="M2" t="str">
        <f t="shared" ref="M2:M12" si="10">LOOKUP(G2,Z:Z,AA:AA)</f>
        <v>Thirty</v>
      </c>
      <c r="N2" t="str">
        <f t="shared" ref="N2:N12" si="11">LOOKUP(J2,Z:Z,AA:AA)</f>
        <v>Four</v>
      </c>
      <c r="O2" t="str">
        <f t="shared" ref="O2:O12" si="12">LOOKUP(K2,Z:Z,AA:AA)</f>
        <v>Zero</v>
      </c>
      <c r="P2" t="str">
        <f t="shared" ref="P2:P12" si="13">IF(D2&gt;0,L2," ")</f>
        <v>Two</v>
      </c>
      <c r="Q2" t="str">
        <f>IF(D2&gt;0,"Lakhs"," ")</f>
        <v>Lakhs</v>
      </c>
      <c r="R2" t="str">
        <f t="shared" ref="R2:R12" si="14">IF(G2&gt;0,M2," ")</f>
        <v>Thirty</v>
      </c>
      <c r="S2" t="str">
        <f>IF(G2&gt;0,"Thousand"," ")</f>
        <v>Thousand</v>
      </c>
      <c r="T2" s="18" t="str">
        <f t="shared" ref="T2:T12" si="15">IF(J2&gt;0,N2," ")</f>
        <v>Four</v>
      </c>
      <c r="U2" s="18" t="str">
        <f>IF(J2&gt;0,"Hundred"," ")</f>
        <v>Hundred</v>
      </c>
      <c r="V2" s="18" t="str">
        <f t="shared" ref="V2:V12" si="16">IF(K2&gt;0,O2," ")</f>
        <v xml:space="preserve"> </v>
      </c>
      <c r="W2" s="19" t="b">
        <f t="shared" ref="W2:W12" si="17">AND(D2=0,G2=0,J2=0)</f>
        <v>0</v>
      </c>
      <c r="X2" s="19" t="str">
        <f>IF(W2=FALSE,"and"," ")</f>
        <v>and</v>
      </c>
      <c r="Y2" s="18" t="str">
        <f t="shared" ref="Y2:Y12" si="18">IF(K2&gt;0,X2," ")</f>
        <v xml:space="preserve"> </v>
      </c>
      <c r="Z2">
        <v>1</v>
      </c>
      <c r="AA2" s="15" t="s">
        <v>39</v>
      </c>
      <c r="AB2" s="1184" t="s">
        <v>40</v>
      </c>
      <c r="BK2">
        <f>'[2]Form 16 page-2'!BX22</f>
        <v>0</v>
      </c>
      <c r="BL2" t="str">
        <f t="shared" ref="BL2:BL12" si="19">LOWER(BM2)</f>
        <v/>
      </c>
      <c r="BM2" t="str">
        <f t="shared" ref="BM2:BM12" si="20">TRIM(BN2)</f>
        <v/>
      </c>
      <c r="BN2" t="str">
        <f t="shared" ref="BN2:BN12" si="21">CONCATENATE(CB2," ",CC2," ",CD2," ",CE2," ",CF2," ",CG2," ",CK2," ",CH2)</f>
        <v xml:space="preserve">               </v>
      </c>
      <c r="BO2">
        <f t="shared" ref="BO2:BO12" si="22">BK2/100000</f>
        <v>0</v>
      </c>
      <c r="BP2">
        <f t="shared" ref="BP2:BP12" si="23">INT(BO2)</f>
        <v>0</v>
      </c>
      <c r="BQ2">
        <f t="shared" ref="BQ2:BQ12" si="24">BK2/1000</f>
        <v>0</v>
      </c>
      <c r="BR2">
        <f t="shared" ref="BR2:BR12" si="25">INT(BQ2)</f>
        <v>0</v>
      </c>
      <c r="BS2">
        <f t="shared" ref="BS2:BS12" si="26">BR2-BP2*100</f>
        <v>0</v>
      </c>
      <c r="BT2">
        <f t="shared" ref="BT2:BT12" si="27">BK2/100</f>
        <v>0</v>
      </c>
      <c r="BU2">
        <f t="shared" ref="BU2:BU12" si="28">INT(BT2)</f>
        <v>0</v>
      </c>
      <c r="BV2">
        <f t="shared" ref="BV2:BV12" si="29">BU2-(BP2*1000+BS2*10)</f>
        <v>0</v>
      </c>
      <c r="BW2">
        <f t="shared" ref="BW2:BW12" si="30">BK2-(BP2*100000+BS2*1000+BV2*100)</f>
        <v>0</v>
      </c>
      <c r="BX2" t="str">
        <f t="shared" ref="BX2:BX12" si="31">LOOKUP(BP2,CL:CL,CM:CM)</f>
        <v>ZERO</v>
      </c>
      <c r="BY2" t="str">
        <f t="shared" ref="BY2:BY12" si="32">LOOKUP(BS2,CL:CL,CM:CM)</f>
        <v>ZERO</v>
      </c>
      <c r="BZ2" t="str">
        <f t="shared" ref="BZ2:BZ12" si="33">LOOKUP(BV2,CL:CL,CM:CM)</f>
        <v>ZERO</v>
      </c>
      <c r="CA2" t="str">
        <f t="shared" ref="CA2:CA12" si="34">LOOKUP(BW2,CL:CL,CM:CM)</f>
        <v>ZERO</v>
      </c>
      <c r="CB2" t="str">
        <f t="shared" ref="CB2:CB12" si="35">IF(BP2&gt;0,BX2," ")</f>
        <v xml:space="preserve"> </v>
      </c>
      <c r="CC2" t="str">
        <f t="shared" ref="CC2:CC12" si="36">IF(BP2&gt;0,"LAKHS"," ")</f>
        <v xml:space="preserve"> </v>
      </c>
      <c r="CD2" t="str">
        <f t="shared" ref="CD2:CD12" si="37">IF(BS2&gt;0,BY2," ")</f>
        <v xml:space="preserve"> </v>
      </c>
      <c r="CE2" t="str">
        <f t="shared" ref="CE2:CE12" si="38">IF(BS2&gt;0,"THOUSAND"," ")</f>
        <v xml:space="preserve"> </v>
      </c>
      <c r="CF2" t="str">
        <f t="shared" ref="CF2:CF12" si="39">IF(BV2&gt;0,BZ2," ")</f>
        <v xml:space="preserve"> </v>
      </c>
      <c r="CG2" t="str">
        <f t="shared" ref="CG2:CG12" si="40">IF(BV2&gt;0,"HUNDRED"," ")</f>
        <v xml:space="preserve"> </v>
      </c>
      <c r="CH2" t="str">
        <f t="shared" ref="CH2:CH12" si="41">IF(BW2&gt;0,CA2," ")</f>
        <v xml:space="preserve"> </v>
      </c>
      <c r="CI2" t="b">
        <f t="shared" ref="CI2:CI12" si="42">AND(BP2=0,BS2=0,BV2=0)</f>
        <v>1</v>
      </c>
      <c r="CJ2" t="str">
        <f t="shared" ref="CJ2:CJ12" si="43">IF(CI2=FALSE,"AND"," ")</f>
        <v xml:space="preserve"> </v>
      </c>
      <c r="CK2" t="str">
        <f t="shared" ref="CK2:CK12" si="44">IF(BW2&gt;0,CJ2," ")</f>
        <v xml:space="preserve"> </v>
      </c>
      <c r="CL2">
        <v>1</v>
      </c>
      <c r="CM2" t="s">
        <v>39</v>
      </c>
      <c r="CN2" t="s">
        <v>41</v>
      </c>
      <c r="CQ2">
        <f>'[2]Form 16 page-2'!DD22</f>
        <v>0</v>
      </c>
      <c r="CR2" t="str">
        <f t="shared" ref="CR2:CR12" si="45">LOWER(CS2)</f>
        <v/>
      </c>
      <c r="CS2" t="str">
        <f t="shared" ref="CS2:CS12" si="46">TRIM(CT2)</f>
        <v/>
      </c>
      <c r="CT2" t="str">
        <f t="shared" ref="CT2:CT12" si="47">CONCATENATE(DH2," ",DI2," ",DJ2," ",DK2," ",DL2," ",DM2," ",DQ2," ",DN2)</f>
        <v xml:space="preserve">               </v>
      </c>
      <c r="CU2">
        <f t="shared" ref="CU2:CU12" si="48">CQ2/100000</f>
        <v>0</v>
      </c>
      <c r="CV2">
        <f t="shared" ref="CV2:CV12" si="49">INT(CU2)</f>
        <v>0</v>
      </c>
      <c r="CW2">
        <f t="shared" ref="CW2:CW12" si="50">CQ2/1000</f>
        <v>0</v>
      </c>
      <c r="CX2">
        <f t="shared" ref="CX2:CX12" si="51">INT(CW2)</f>
        <v>0</v>
      </c>
      <c r="CY2">
        <f t="shared" ref="CY2:CY12" si="52">CX2-CV2*100</f>
        <v>0</v>
      </c>
      <c r="CZ2">
        <f t="shared" ref="CZ2:CZ12" si="53">CQ2/100</f>
        <v>0</v>
      </c>
      <c r="DA2">
        <f t="shared" ref="DA2:DA12" si="54">INT(CZ2)</f>
        <v>0</v>
      </c>
      <c r="DB2">
        <f t="shared" ref="DB2:DB12" si="55">DA2-(CV2*1000+CY2*10)</f>
        <v>0</v>
      </c>
      <c r="DC2">
        <f t="shared" ref="DC2:DC12" si="56">CQ2-(CV2*100000+CY2*1000+DB2*100)</f>
        <v>0</v>
      </c>
      <c r="DD2" t="str">
        <f t="shared" ref="DD2:DD12" si="57">LOOKUP(CV2,DR:DR,DS:DS)</f>
        <v>ZERO</v>
      </c>
      <c r="DE2" t="str">
        <f t="shared" ref="DE2:DE12" si="58">LOOKUP(CY2,DR:DR,DS:DS)</f>
        <v>ZERO</v>
      </c>
      <c r="DF2" t="str">
        <f t="shared" ref="DF2:DF12" si="59">LOOKUP(DB2,DR:DR,DS:DS)</f>
        <v>ZERO</v>
      </c>
      <c r="DG2" t="str">
        <f t="shared" ref="DG2:DG12" si="60">LOOKUP(DC2,DR:DR,DS:DS)</f>
        <v>ZERO</v>
      </c>
      <c r="DH2" t="str">
        <f t="shared" ref="DH2:DH12" si="61">IF(CV2&gt;0,DD2," ")</f>
        <v xml:space="preserve"> </v>
      </c>
      <c r="DI2" t="str">
        <f t="shared" ref="DI2:DI12" si="62">IF(CV2&gt;0,"LAKHS"," ")</f>
        <v xml:space="preserve"> </v>
      </c>
      <c r="DJ2" t="str">
        <f t="shared" ref="DJ2:DJ12" si="63">IF(CY2&gt;0,DE2," ")</f>
        <v xml:space="preserve"> </v>
      </c>
      <c r="DK2" t="str">
        <f t="shared" ref="DK2:DK12" si="64">IF(CY2&gt;0,"THOUSAND"," ")</f>
        <v xml:space="preserve"> </v>
      </c>
      <c r="DL2" t="str">
        <f t="shared" ref="DL2:DL12" si="65">IF(DB2&gt;0,DF2," ")</f>
        <v xml:space="preserve"> </v>
      </c>
      <c r="DM2" t="str">
        <f t="shared" ref="DM2:DM12" si="66">IF(DB2&gt;0,"HUNDRED"," ")</f>
        <v xml:space="preserve"> </v>
      </c>
      <c r="DN2" t="str">
        <f t="shared" ref="DN2:DN12" si="67">IF(DC2&gt;0,DG2," ")</f>
        <v xml:space="preserve"> </v>
      </c>
      <c r="DO2" t="b">
        <f t="shared" ref="DO2:DO12" si="68">AND(CV2=0,CY2=0,DB2=0)</f>
        <v>1</v>
      </c>
      <c r="DP2" t="str">
        <f t="shared" ref="DP2:DP12" si="69">IF(DO2=FALSE,"AND"," ")</f>
        <v xml:space="preserve"> </v>
      </c>
      <c r="DQ2" t="str">
        <f t="shared" ref="DQ2:DQ12" si="70">IF(DC2&gt;0,DP2," ")</f>
        <v xml:space="preserve"> </v>
      </c>
      <c r="DR2">
        <v>1</v>
      </c>
      <c r="DS2" t="s">
        <v>39</v>
      </c>
      <c r="DT2" t="s">
        <v>41</v>
      </c>
      <c r="DW2">
        <f>'[2]Form 16 page-2'!EJ22</f>
        <v>0</v>
      </c>
      <c r="DX2" t="str">
        <f t="shared" ref="DX2:DX12" si="71">LOWER(DY2)</f>
        <v/>
      </c>
      <c r="DY2" t="str">
        <f t="shared" ref="DY2:DY12" si="72">TRIM(DZ2)</f>
        <v/>
      </c>
      <c r="DZ2" t="str">
        <f t="shared" ref="DZ2:DZ12" si="73">CONCATENATE(EN2," ",EO2," ",EP2," ",EQ2," ",ER2," ",ES2," ",EW2," ",ET2)</f>
        <v xml:space="preserve">               </v>
      </c>
      <c r="EA2">
        <f t="shared" ref="EA2:EA12" si="74">DW2/100000</f>
        <v>0</v>
      </c>
      <c r="EB2">
        <f t="shared" ref="EB2:EB12" si="75">INT(EA2)</f>
        <v>0</v>
      </c>
      <c r="EC2">
        <f t="shared" ref="EC2:EC12" si="76">DW2/1000</f>
        <v>0</v>
      </c>
      <c r="ED2">
        <f t="shared" ref="ED2:ED12" si="77">INT(EC2)</f>
        <v>0</v>
      </c>
      <c r="EE2">
        <f t="shared" ref="EE2:EE12" si="78">ED2-EB2*100</f>
        <v>0</v>
      </c>
      <c r="EF2">
        <f t="shared" ref="EF2:EF12" si="79">DW2/100</f>
        <v>0</v>
      </c>
      <c r="EG2">
        <f t="shared" ref="EG2:EG12" si="80">INT(EF2)</f>
        <v>0</v>
      </c>
      <c r="EH2">
        <f t="shared" ref="EH2:EH12" si="81">EG2-(EB2*1000+EE2*10)</f>
        <v>0</v>
      </c>
      <c r="EI2">
        <f t="shared" ref="EI2:EI12" si="82">DW2-(EB2*100000+EE2*1000+EH2*100)</f>
        <v>0</v>
      </c>
      <c r="EJ2" t="str">
        <f t="shared" ref="EJ2:EJ12" si="83">LOOKUP(EB2,EX:EX,EY:EY)</f>
        <v>ZERO</v>
      </c>
      <c r="EK2" t="str">
        <f t="shared" ref="EK2:EK12" si="84">LOOKUP(EE2,EX:EX,EY:EY)</f>
        <v>ZERO</v>
      </c>
      <c r="EL2" t="str">
        <f t="shared" ref="EL2:EL12" si="85">LOOKUP(EH2,EX:EX,EY:EY)</f>
        <v>ZERO</v>
      </c>
      <c r="EM2" t="str">
        <f t="shared" ref="EM2:EM12" si="86">LOOKUP(EI2,EX:EX,EY:EY)</f>
        <v>ZERO</v>
      </c>
      <c r="EN2" t="str">
        <f t="shared" ref="EN2:EN12" si="87">IF(EB2&gt;0,EJ2," ")</f>
        <v xml:space="preserve"> </v>
      </c>
      <c r="EO2" t="str">
        <f t="shared" ref="EO2:EO12" si="88">IF(EB2&gt;0,"LAKHS"," ")</f>
        <v xml:space="preserve"> </v>
      </c>
      <c r="EP2" t="str">
        <f t="shared" ref="EP2:EP12" si="89">IF(EE2&gt;0,EK2," ")</f>
        <v xml:space="preserve"> </v>
      </c>
      <c r="EQ2" t="str">
        <f t="shared" ref="EQ2:EQ12" si="90">IF(EE2&gt;0,"THOUSAND"," ")</f>
        <v xml:space="preserve"> </v>
      </c>
      <c r="ER2" t="str">
        <f t="shared" ref="ER2:ER12" si="91">IF(EH2&gt;0,EL2," ")</f>
        <v xml:space="preserve"> </v>
      </c>
      <c r="ES2" t="str">
        <f t="shared" ref="ES2:ES12" si="92">IF(EH2&gt;0,"HUNDRED"," ")</f>
        <v xml:space="preserve"> </v>
      </c>
      <c r="ET2" t="str">
        <f t="shared" ref="ET2:ET12" si="93">IF(EI2&gt;0,EM2," ")</f>
        <v xml:space="preserve"> </v>
      </c>
      <c r="EU2" t="b">
        <f t="shared" ref="EU2:EU12" si="94">AND(EB2=0,EE2=0,EH2=0)</f>
        <v>1</v>
      </c>
      <c r="EV2" t="str">
        <f t="shared" ref="EV2:EV12" si="95">IF(EU2=FALSE,"AND"," ")</f>
        <v xml:space="preserve"> </v>
      </c>
      <c r="EW2" t="str">
        <f t="shared" ref="EW2:EW12" si="96">IF(EI2&gt;0,EV2," ")</f>
        <v xml:space="preserve"> </v>
      </c>
      <c r="EX2">
        <v>1</v>
      </c>
      <c r="EY2" t="s">
        <v>39</v>
      </c>
      <c r="EZ2" t="s">
        <v>41</v>
      </c>
      <c r="FC2">
        <f>'[2]Form 16 page-2'!FP22</f>
        <v>0</v>
      </c>
      <c r="FD2" t="str">
        <f t="shared" ref="FD2:FD12" si="97">LOWER(FE2)</f>
        <v/>
      </c>
      <c r="FE2" t="str">
        <f t="shared" ref="FE2:FE12" si="98">TRIM(FF2)</f>
        <v/>
      </c>
      <c r="FF2" t="str">
        <f t="shared" ref="FF2:FF12" si="99">CONCATENATE(FT2," ",FU2," ",FV2," ",FW2," ",FX2," ",FY2," ",GC2," ",FZ2)</f>
        <v xml:space="preserve">               </v>
      </c>
      <c r="FG2">
        <f t="shared" ref="FG2:FG12" si="100">FC2/100000</f>
        <v>0</v>
      </c>
      <c r="FH2">
        <f t="shared" ref="FH2:FH12" si="101">INT(FG2)</f>
        <v>0</v>
      </c>
      <c r="FI2">
        <f t="shared" ref="FI2:FI12" si="102">FC2/1000</f>
        <v>0</v>
      </c>
      <c r="FJ2">
        <f t="shared" ref="FJ2:FJ12" si="103">INT(FI2)</f>
        <v>0</v>
      </c>
      <c r="FK2">
        <f t="shared" ref="FK2:FK12" si="104">FJ2-FH2*100</f>
        <v>0</v>
      </c>
      <c r="FL2">
        <f t="shared" ref="FL2:FL12" si="105">FC2/100</f>
        <v>0</v>
      </c>
      <c r="FM2">
        <f t="shared" ref="FM2:FM12" si="106">INT(FL2)</f>
        <v>0</v>
      </c>
      <c r="FN2">
        <f t="shared" ref="FN2:FN12" si="107">FM2-(FH2*1000+FK2*10)</f>
        <v>0</v>
      </c>
      <c r="FO2">
        <f t="shared" ref="FO2:FO12" si="108">FC2-(FH2*100000+FK2*1000+FN2*100)</f>
        <v>0</v>
      </c>
      <c r="FP2" t="str">
        <f t="shared" ref="FP2:FP12" si="109">LOOKUP(FH2,GD:GD,GE:GE)</f>
        <v>ZERO</v>
      </c>
      <c r="FQ2" t="str">
        <f t="shared" ref="FQ2:FQ12" si="110">LOOKUP(FK2,GD:GD,GE:GE)</f>
        <v>ZERO</v>
      </c>
      <c r="FR2" t="str">
        <f t="shared" ref="FR2:FR12" si="111">LOOKUP(FN2,GD:GD,GE:GE)</f>
        <v>ZERO</v>
      </c>
      <c r="FS2" t="str">
        <f t="shared" ref="FS2:FS12" si="112">LOOKUP(FO2,GD:GD,GE:GE)</f>
        <v>ZERO</v>
      </c>
      <c r="FT2" t="str">
        <f t="shared" ref="FT2:FT12" si="113">IF(FH2&gt;0,FP2," ")</f>
        <v xml:space="preserve"> </v>
      </c>
      <c r="FU2" t="str">
        <f t="shared" ref="FU2:FU12" si="114">IF(FH2&gt;0,"LAKHS"," ")</f>
        <v xml:space="preserve"> </v>
      </c>
      <c r="FV2" t="str">
        <f t="shared" ref="FV2:FV12" si="115">IF(FK2&gt;0,FQ2," ")</f>
        <v xml:space="preserve"> </v>
      </c>
      <c r="FW2" t="str">
        <f t="shared" ref="FW2:FW12" si="116">IF(FK2&gt;0,"THOUSAND"," ")</f>
        <v xml:space="preserve"> </v>
      </c>
      <c r="FX2" t="str">
        <f t="shared" ref="FX2:FX12" si="117">IF(FN2&gt;0,FR2," ")</f>
        <v xml:space="preserve"> </v>
      </c>
      <c r="FY2" t="str">
        <f t="shared" ref="FY2:FY12" si="118">IF(FN2&gt;0,"HUNDRED"," ")</f>
        <v xml:space="preserve"> </v>
      </c>
      <c r="FZ2" t="str">
        <f t="shared" ref="FZ2:FZ12" si="119">IF(FO2&gt;0,FS2," ")</f>
        <v xml:space="preserve"> </v>
      </c>
      <c r="GA2" t="b">
        <f t="shared" ref="GA2:GA12" si="120">AND(FH2=0,FK2=0,FN2=0)</f>
        <v>1</v>
      </c>
      <c r="GB2" t="str">
        <f t="shared" ref="GB2:GB12" si="121">IF(GA2=FALSE,"AND"," ")</f>
        <v xml:space="preserve"> </v>
      </c>
      <c r="GC2" t="str">
        <f t="shared" ref="GC2:GC12" si="122">IF(FO2&gt;0,GB2," ")</f>
        <v xml:space="preserve"> </v>
      </c>
      <c r="GD2">
        <v>1</v>
      </c>
      <c r="GE2" t="s">
        <v>39</v>
      </c>
      <c r="GF2" t="s">
        <v>41</v>
      </c>
      <c r="GI2">
        <f>'[2]Form 16 page-2'!GV22</f>
        <v>0</v>
      </c>
      <c r="GJ2" t="str">
        <f t="shared" ref="GJ2:GJ12" si="123">LOWER(GK2)</f>
        <v/>
      </c>
      <c r="GK2" t="str">
        <f t="shared" ref="GK2:GK12" si="124">TRIM(GL2)</f>
        <v/>
      </c>
      <c r="GL2" t="str">
        <f t="shared" ref="GL2:GL12" si="125">CONCATENATE(GZ2," ",HA2," ",HB2," ",HC2," ",HD2," ",HE2," ",HI2," ",HF2)</f>
        <v xml:space="preserve">               </v>
      </c>
      <c r="GM2">
        <f t="shared" ref="GM2:GM12" si="126">GI2/100000</f>
        <v>0</v>
      </c>
      <c r="GN2">
        <f t="shared" ref="GN2:GN12" si="127">INT(GM2)</f>
        <v>0</v>
      </c>
      <c r="GO2">
        <f t="shared" ref="GO2:GO12" si="128">GI2/1000</f>
        <v>0</v>
      </c>
      <c r="GP2">
        <f t="shared" ref="GP2:GP12" si="129">INT(GO2)</f>
        <v>0</v>
      </c>
      <c r="GQ2">
        <f t="shared" ref="GQ2:GQ12" si="130">GP2-GN2*100</f>
        <v>0</v>
      </c>
      <c r="GR2">
        <f t="shared" ref="GR2:GR12" si="131">GI2/100</f>
        <v>0</v>
      </c>
      <c r="GS2">
        <f t="shared" ref="GS2:GS12" si="132">INT(GR2)</f>
        <v>0</v>
      </c>
      <c r="GT2">
        <f t="shared" ref="GT2:GT12" si="133">GS2-(GN2*1000+GQ2*10)</f>
        <v>0</v>
      </c>
      <c r="GU2">
        <f t="shared" ref="GU2:GU12" si="134">GI2-(GN2*100000+GQ2*1000+GT2*100)</f>
        <v>0</v>
      </c>
      <c r="GV2" t="str">
        <f t="shared" ref="GV2:GV12" si="135">LOOKUP(GN2,HJ:HJ,HK:HK)</f>
        <v>ZERO</v>
      </c>
      <c r="GW2" t="str">
        <f t="shared" ref="GW2:GW12" si="136">LOOKUP(GQ2,HJ:HJ,HK:HK)</f>
        <v>ZERO</v>
      </c>
      <c r="GX2" t="str">
        <f t="shared" ref="GX2:GX12" si="137">LOOKUP(GT2,HJ:HJ,HK:HK)</f>
        <v>ZERO</v>
      </c>
      <c r="GY2" t="str">
        <f t="shared" ref="GY2:GY12" si="138">LOOKUP(GU2,HJ:HJ,HK:HK)</f>
        <v>ZERO</v>
      </c>
      <c r="GZ2" t="str">
        <f t="shared" ref="GZ2:GZ12" si="139">IF(GN2&gt;0,GV2," ")</f>
        <v xml:space="preserve"> </v>
      </c>
      <c r="HA2" t="str">
        <f t="shared" ref="HA2:HA12" si="140">IF(GN2&gt;0,"LAKHS"," ")</f>
        <v xml:space="preserve"> </v>
      </c>
      <c r="HB2" t="str">
        <f t="shared" ref="HB2:HB12" si="141">IF(GQ2&gt;0,GW2," ")</f>
        <v xml:space="preserve"> </v>
      </c>
      <c r="HC2" t="str">
        <f t="shared" ref="HC2:HC12" si="142">IF(GQ2&gt;0,"THOUSAND"," ")</f>
        <v xml:space="preserve"> </v>
      </c>
      <c r="HD2" t="str">
        <f t="shared" ref="HD2:HD12" si="143">IF(GT2&gt;0,GX2," ")</f>
        <v xml:space="preserve"> </v>
      </c>
      <c r="HE2" t="str">
        <f t="shared" ref="HE2:HE12" si="144">IF(GT2&gt;0,"HUNDRED"," ")</f>
        <v xml:space="preserve"> </v>
      </c>
      <c r="HF2" t="str">
        <f t="shared" ref="HF2:HF12" si="145">IF(GU2&gt;0,GY2," ")</f>
        <v xml:space="preserve"> </v>
      </c>
      <c r="HG2" t="b">
        <f t="shared" ref="HG2:HG12" si="146">AND(GN2=0,GQ2=0,GT2=0)</f>
        <v>1</v>
      </c>
      <c r="HH2" t="str">
        <f t="shared" ref="HH2:HH12" si="147">IF(HG2=FALSE,"AND"," ")</f>
        <v xml:space="preserve"> </v>
      </c>
      <c r="HI2" t="str">
        <f t="shared" ref="HI2:HI12" si="148">IF(GU2&gt;0,HH2," ")</f>
        <v xml:space="preserve"> </v>
      </c>
      <c r="HJ2">
        <v>1</v>
      </c>
      <c r="HK2" t="s">
        <v>39</v>
      </c>
      <c r="HL2" t="s">
        <v>41</v>
      </c>
      <c r="HO2">
        <f>'[2]Form 16 page-2'!IB22</f>
        <v>0</v>
      </c>
      <c r="HP2" t="str">
        <f t="shared" ref="HP2:HP12" si="149">LOWER(HQ2)</f>
        <v/>
      </c>
      <c r="HQ2" t="str">
        <f t="shared" ref="HQ2:HQ12" si="150">TRIM(HR2)</f>
        <v/>
      </c>
      <c r="HR2" t="str">
        <f t="shared" ref="HR2:HR12" si="151">CONCATENATE(IF2," ",IG2," ",IH2," ",II2," ",IJ2," ",IK2," ",IO2," ",IL2)</f>
        <v xml:space="preserve">               </v>
      </c>
      <c r="HS2">
        <f t="shared" ref="HS2:HS12" si="152">HO2/100000</f>
        <v>0</v>
      </c>
      <c r="HT2">
        <f t="shared" ref="HT2:HT12" si="153">INT(HS2)</f>
        <v>0</v>
      </c>
      <c r="HU2">
        <f t="shared" ref="HU2:HU12" si="154">HO2/1000</f>
        <v>0</v>
      </c>
      <c r="HV2">
        <f t="shared" ref="HV2:HV12" si="155">INT(HU2)</f>
        <v>0</v>
      </c>
      <c r="HW2">
        <f t="shared" ref="HW2:HW12" si="156">HV2-HT2*100</f>
        <v>0</v>
      </c>
      <c r="HX2">
        <f t="shared" ref="HX2:HX12" si="157">HO2/100</f>
        <v>0</v>
      </c>
      <c r="HY2">
        <f t="shared" ref="HY2:HY12" si="158">INT(HX2)</f>
        <v>0</v>
      </c>
      <c r="HZ2">
        <f t="shared" ref="HZ2:HZ12" si="159">HY2-(HT2*1000+HW2*10)</f>
        <v>0</v>
      </c>
      <c r="IA2">
        <f t="shared" ref="IA2:IA12" si="160">HO2-(HT2*100000+HW2*1000+HZ2*100)</f>
        <v>0</v>
      </c>
      <c r="IB2" t="str">
        <f t="shared" ref="IB2:IB12" si="161">LOOKUP(HT2,IP:IP,IQ:IQ)</f>
        <v>ZERO</v>
      </c>
      <c r="IC2" t="str">
        <f t="shared" ref="IC2:IC12" si="162">LOOKUP(HW2,IP:IP,IQ:IQ)</f>
        <v>ZERO</v>
      </c>
      <c r="ID2" t="str">
        <f t="shared" ref="ID2:ID12" si="163">LOOKUP(HZ2,IP:IP,IQ:IQ)</f>
        <v>ZERO</v>
      </c>
      <c r="IE2" t="str">
        <f t="shared" ref="IE2:IE12" si="164">LOOKUP(IA2,IP:IP,IQ:IQ)</f>
        <v>ZERO</v>
      </c>
      <c r="IF2" t="str">
        <f t="shared" ref="IF2:IF12" si="165">IF(HT2&gt;0,IB2," ")</f>
        <v xml:space="preserve"> </v>
      </c>
      <c r="IG2" t="str">
        <f t="shared" ref="IG2:IG12" si="166">IF(HT2&gt;0,"LAKHS"," ")</f>
        <v xml:space="preserve"> </v>
      </c>
      <c r="IH2" t="str">
        <f t="shared" ref="IH2:IH12" si="167">IF(HW2&gt;0,IC2," ")</f>
        <v xml:space="preserve"> </v>
      </c>
      <c r="II2" t="str">
        <f t="shared" ref="II2:II12" si="168">IF(HW2&gt;0,"THOUSAND"," ")</f>
        <v xml:space="preserve"> </v>
      </c>
      <c r="IJ2" t="str">
        <f t="shared" ref="IJ2:IJ12" si="169">IF(HZ2&gt;0,ID2," ")</f>
        <v xml:space="preserve"> </v>
      </c>
      <c r="IK2" t="str">
        <f t="shared" ref="IK2:IK12" si="170">IF(HZ2&gt;0,"HUNDRED"," ")</f>
        <v xml:space="preserve"> </v>
      </c>
      <c r="IL2" t="str">
        <f t="shared" ref="IL2:IL12" si="171">IF(IA2&gt;0,IE2," ")</f>
        <v xml:space="preserve"> </v>
      </c>
      <c r="IM2" t="b">
        <f t="shared" ref="IM2:IM12" si="172">AND(HT2=0,HW2=0,HZ2=0)</f>
        <v>1</v>
      </c>
      <c r="IN2" t="str">
        <f t="shared" ref="IN2:IN12" si="173">IF(IM2=FALSE,"AND"," ")</f>
        <v xml:space="preserve"> </v>
      </c>
      <c r="IO2" t="str">
        <f t="shared" ref="IO2:IO12" si="174">IF(IA2&gt;0,IN2," ")</f>
        <v xml:space="preserve"> </v>
      </c>
      <c r="IP2">
        <v>1</v>
      </c>
      <c r="IQ2" t="s">
        <v>39</v>
      </c>
      <c r="IR2" t="s">
        <v>41</v>
      </c>
      <c r="IU2" t="e">
        <f>'[2]Form 16 page-2'!#REF!</f>
        <v>#REF!</v>
      </c>
      <c r="IV2" t="e">
        <f>LOWER(#REF!)</f>
        <v>#REF!</v>
      </c>
    </row>
    <row r="3" spans="1:256" ht="18.75">
      <c r="A3" s="3804">
        <f>'Old Tax Regime'!U71</f>
        <v>268698</v>
      </c>
      <c r="B3" s="20" t="str">
        <f t="shared" ref="B3:B12" si="175">CONCATENATE(P3," ",Q3," ",R3," ",S3," ",T3," ",U3," ",Y3," ",V3)</f>
        <v>Two Lakhs Sixty Eight Thousand Six Hundred and Ninety Eight</v>
      </c>
      <c r="C3" s="18">
        <f t="shared" si="0"/>
        <v>2.6869800000000001</v>
      </c>
      <c r="D3" s="18">
        <f t="shared" si="1"/>
        <v>2</v>
      </c>
      <c r="E3" s="18">
        <f t="shared" si="2"/>
        <v>268.69799999999998</v>
      </c>
      <c r="F3" s="18">
        <f t="shared" si="3"/>
        <v>268</v>
      </c>
      <c r="G3" s="18">
        <f t="shared" si="4"/>
        <v>68</v>
      </c>
      <c r="H3" s="18">
        <f t="shared" si="5"/>
        <v>2686.98</v>
      </c>
      <c r="I3" s="18">
        <f t="shared" si="6"/>
        <v>2686</v>
      </c>
      <c r="J3" s="18">
        <f t="shared" si="7"/>
        <v>6</v>
      </c>
      <c r="K3" s="18">
        <f t="shared" si="8"/>
        <v>98</v>
      </c>
      <c r="L3" t="str">
        <f t="shared" si="9"/>
        <v>Two</v>
      </c>
      <c r="M3" t="str">
        <f t="shared" si="10"/>
        <v>Sixty Eight</v>
      </c>
      <c r="N3" t="str">
        <f t="shared" si="11"/>
        <v>Six</v>
      </c>
      <c r="O3" t="str">
        <f t="shared" si="12"/>
        <v>Ninety Eight</v>
      </c>
      <c r="P3" t="str">
        <f t="shared" si="13"/>
        <v>Two</v>
      </c>
      <c r="Q3" t="str">
        <f>IF(D3&gt;0,"Lakhs"," ")</f>
        <v>Lakhs</v>
      </c>
      <c r="R3" t="str">
        <f t="shared" si="14"/>
        <v>Sixty Eight</v>
      </c>
      <c r="S3" t="str">
        <f>IF(G3&gt;0,"Thousand"," ")</f>
        <v>Thousand</v>
      </c>
      <c r="T3" s="18" t="str">
        <f t="shared" si="15"/>
        <v>Six</v>
      </c>
      <c r="U3" s="18" t="str">
        <f>IF(J3&gt;0,"Hundred"," ")</f>
        <v>Hundred</v>
      </c>
      <c r="V3" s="18" t="str">
        <f t="shared" si="16"/>
        <v>Ninety Eight</v>
      </c>
      <c r="W3" s="19" t="b">
        <f t="shared" si="17"/>
        <v>0</v>
      </c>
      <c r="X3" s="19" t="str">
        <f>IF(W3=FALSE,"and"," ")</f>
        <v>and</v>
      </c>
      <c r="Y3" s="18" t="str">
        <f t="shared" si="18"/>
        <v>and</v>
      </c>
      <c r="Z3">
        <v>2</v>
      </c>
      <c r="AA3" s="15" t="s">
        <v>42</v>
      </c>
      <c r="AB3" s="15" t="s">
        <v>43</v>
      </c>
      <c r="BK3">
        <v>456</v>
      </c>
      <c r="BL3" t="str">
        <f t="shared" si="19"/>
        <v>four hundred and fifty six</v>
      </c>
      <c r="BM3" t="str">
        <f t="shared" si="20"/>
        <v>Four HUNDRED AND Fifty Six</v>
      </c>
      <c r="BN3" t="str">
        <f t="shared" si="21"/>
        <v xml:space="preserve">        Four HUNDRED AND Fifty Six</v>
      </c>
      <c r="BO3">
        <f t="shared" si="22"/>
        <v>4.5599999999999998E-3</v>
      </c>
      <c r="BP3">
        <f t="shared" si="23"/>
        <v>0</v>
      </c>
      <c r="BQ3">
        <f t="shared" si="24"/>
        <v>0.45600000000000002</v>
      </c>
      <c r="BR3">
        <f t="shared" si="25"/>
        <v>0</v>
      </c>
      <c r="BS3">
        <f t="shared" si="26"/>
        <v>0</v>
      </c>
      <c r="BT3">
        <f t="shared" si="27"/>
        <v>4.5599999999999996</v>
      </c>
      <c r="BU3">
        <f t="shared" si="28"/>
        <v>4</v>
      </c>
      <c r="BV3">
        <f t="shared" si="29"/>
        <v>4</v>
      </c>
      <c r="BW3">
        <f t="shared" si="30"/>
        <v>56</v>
      </c>
      <c r="BX3" t="str">
        <f t="shared" si="31"/>
        <v>ZERO</v>
      </c>
      <c r="BY3" t="str">
        <f t="shared" si="32"/>
        <v>ZERO</v>
      </c>
      <c r="BZ3" t="str">
        <f t="shared" si="33"/>
        <v>Four</v>
      </c>
      <c r="CA3" t="str">
        <f t="shared" si="34"/>
        <v>Fifty Six</v>
      </c>
      <c r="CB3" t="str">
        <f t="shared" si="35"/>
        <v xml:space="preserve"> </v>
      </c>
      <c r="CC3" t="str">
        <f t="shared" si="36"/>
        <v xml:space="preserve"> </v>
      </c>
      <c r="CD3" t="str">
        <f t="shared" si="37"/>
        <v xml:space="preserve"> </v>
      </c>
      <c r="CE3" t="str">
        <f t="shared" si="38"/>
        <v xml:space="preserve"> </v>
      </c>
      <c r="CF3" t="str">
        <f t="shared" si="39"/>
        <v>Four</v>
      </c>
      <c r="CG3" t="str">
        <f t="shared" si="40"/>
        <v>HUNDRED</v>
      </c>
      <c r="CH3" t="str">
        <f t="shared" si="41"/>
        <v>Fifty Six</v>
      </c>
      <c r="CI3" t="b">
        <f t="shared" si="42"/>
        <v>0</v>
      </c>
      <c r="CJ3" t="str">
        <f t="shared" si="43"/>
        <v>AND</v>
      </c>
      <c r="CK3" t="str">
        <f t="shared" si="44"/>
        <v>AND</v>
      </c>
      <c r="CL3">
        <v>2</v>
      </c>
      <c r="CM3" t="s">
        <v>42</v>
      </c>
      <c r="CN3" t="s">
        <v>44</v>
      </c>
      <c r="CQ3">
        <v>456</v>
      </c>
      <c r="CR3" t="str">
        <f t="shared" si="45"/>
        <v>four hundred and fifty six</v>
      </c>
      <c r="CS3" t="str">
        <f t="shared" si="46"/>
        <v>Four HUNDRED AND Fifty Six</v>
      </c>
      <c r="CT3" t="str">
        <f t="shared" si="47"/>
        <v xml:space="preserve">        Four HUNDRED AND Fifty Six</v>
      </c>
      <c r="CU3">
        <f t="shared" si="48"/>
        <v>4.5599999999999998E-3</v>
      </c>
      <c r="CV3">
        <f t="shared" si="49"/>
        <v>0</v>
      </c>
      <c r="CW3">
        <f t="shared" si="50"/>
        <v>0.45600000000000002</v>
      </c>
      <c r="CX3">
        <f t="shared" si="51"/>
        <v>0</v>
      </c>
      <c r="CY3">
        <f t="shared" si="52"/>
        <v>0</v>
      </c>
      <c r="CZ3">
        <f t="shared" si="53"/>
        <v>4.5599999999999996</v>
      </c>
      <c r="DA3">
        <f t="shared" si="54"/>
        <v>4</v>
      </c>
      <c r="DB3">
        <f t="shared" si="55"/>
        <v>4</v>
      </c>
      <c r="DC3">
        <f t="shared" si="56"/>
        <v>56</v>
      </c>
      <c r="DD3" t="str">
        <f t="shared" si="57"/>
        <v>ZERO</v>
      </c>
      <c r="DE3" t="str">
        <f t="shared" si="58"/>
        <v>ZERO</v>
      </c>
      <c r="DF3" t="str">
        <f t="shared" si="59"/>
        <v>Four</v>
      </c>
      <c r="DG3" t="str">
        <f t="shared" si="60"/>
        <v>Fifty Six</v>
      </c>
      <c r="DH3" t="str">
        <f t="shared" si="61"/>
        <v xml:space="preserve"> </v>
      </c>
      <c r="DI3" t="str">
        <f t="shared" si="62"/>
        <v xml:space="preserve"> </v>
      </c>
      <c r="DJ3" t="str">
        <f t="shared" si="63"/>
        <v xml:space="preserve"> </v>
      </c>
      <c r="DK3" t="str">
        <f t="shared" si="64"/>
        <v xml:space="preserve"> </v>
      </c>
      <c r="DL3" t="str">
        <f t="shared" si="65"/>
        <v>Four</v>
      </c>
      <c r="DM3" t="str">
        <f t="shared" si="66"/>
        <v>HUNDRED</v>
      </c>
      <c r="DN3" t="str">
        <f t="shared" si="67"/>
        <v>Fifty Six</v>
      </c>
      <c r="DO3" t="b">
        <f t="shared" si="68"/>
        <v>0</v>
      </c>
      <c r="DP3" t="str">
        <f t="shared" si="69"/>
        <v>AND</v>
      </c>
      <c r="DQ3" t="str">
        <f t="shared" si="70"/>
        <v>AND</v>
      </c>
      <c r="DR3">
        <v>2</v>
      </c>
      <c r="DS3" t="s">
        <v>42</v>
      </c>
      <c r="DT3" t="s">
        <v>44</v>
      </c>
      <c r="DW3">
        <v>456</v>
      </c>
      <c r="DX3" t="str">
        <f t="shared" si="71"/>
        <v>four hundred and fifty six</v>
      </c>
      <c r="DY3" t="str">
        <f t="shared" si="72"/>
        <v>Four HUNDRED AND Fifty Six</v>
      </c>
      <c r="DZ3" t="str">
        <f t="shared" si="73"/>
        <v xml:space="preserve">        Four HUNDRED AND Fifty Six</v>
      </c>
      <c r="EA3">
        <f t="shared" si="74"/>
        <v>4.5599999999999998E-3</v>
      </c>
      <c r="EB3">
        <f t="shared" si="75"/>
        <v>0</v>
      </c>
      <c r="EC3">
        <f t="shared" si="76"/>
        <v>0.45600000000000002</v>
      </c>
      <c r="ED3">
        <f t="shared" si="77"/>
        <v>0</v>
      </c>
      <c r="EE3">
        <f t="shared" si="78"/>
        <v>0</v>
      </c>
      <c r="EF3">
        <f t="shared" si="79"/>
        <v>4.5599999999999996</v>
      </c>
      <c r="EG3">
        <f t="shared" si="80"/>
        <v>4</v>
      </c>
      <c r="EH3">
        <f t="shared" si="81"/>
        <v>4</v>
      </c>
      <c r="EI3">
        <f t="shared" si="82"/>
        <v>56</v>
      </c>
      <c r="EJ3" t="str">
        <f t="shared" si="83"/>
        <v>ZERO</v>
      </c>
      <c r="EK3" t="str">
        <f t="shared" si="84"/>
        <v>ZERO</v>
      </c>
      <c r="EL3" t="str">
        <f t="shared" si="85"/>
        <v>Four</v>
      </c>
      <c r="EM3" t="str">
        <f t="shared" si="86"/>
        <v>Fifty Six</v>
      </c>
      <c r="EN3" t="str">
        <f t="shared" si="87"/>
        <v xml:space="preserve"> </v>
      </c>
      <c r="EO3" t="str">
        <f t="shared" si="88"/>
        <v xml:space="preserve"> </v>
      </c>
      <c r="EP3" t="str">
        <f t="shared" si="89"/>
        <v xml:space="preserve"> </v>
      </c>
      <c r="EQ3" t="str">
        <f t="shared" si="90"/>
        <v xml:space="preserve"> </v>
      </c>
      <c r="ER3" t="str">
        <f t="shared" si="91"/>
        <v>Four</v>
      </c>
      <c r="ES3" t="str">
        <f t="shared" si="92"/>
        <v>HUNDRED</v>
      </c>
      <c r="ET3" t="str">
        <f t="shared" si="93"/>
        <v>Fifty Six</v>
      </c>
      <c r="EU3" t="b">
        <f t="shared" si="94"/>
        <v>0</v>
      </c>
      <c r="EV3" t="str">
        <f t="shared" si="95"/>
        <v>AND</v>
      </c>
      <c r="EW3" t="str">
        <f t="shared" si="96"/>
        <v>AND</v>
      </c>
      <c r="EX3">
        <v>2</v>
      </c>
      <c r="EY3" t="s">
        <v>42</v>
      </c>
      <c r="EZ3" t="s">
        <v>44</v>
      </c>
      <c r="FC3">
        <v>456</v>
      </c>
      <c r="FD3" t="str">
        <f t="shared" si="97"/>
        <v>four hundred and fifty six</v>
      </c>
      <c r="FE3" t="str">
        <f t="shared" si="98"/>
        <v>Four HUNDRED AND Fifty Six</v>
      </c>
      <c r="FF3" t="str">
        <f t="shared" si="99"/>
        <v xml:space="preserve">        Four HUNDRED AND Fifty Six</v>
      </c>
      <c r="FG3">
        <f t="shared" si="100"/>
        <v>4.5599999999999998E-3</v>
      </c>
      <c r="FH3">
        <f t="shared" si="101"/>
        <v>0</v>
      </c>
      <c r="FI3">
        <f t="shared" si="102"/>
        <v>0.45600000000000002</v>
      </c>
      <c r="FJ3">
        <f t="shared" si="103"/>
        <v>0</v>
      </c>
      <c r="FK3">
        <f t="shared" si="104"/>
        <v>0</v>
      </c>
      <c r="FL3">
        <f t="shared" si="105"/>
        <v>4.5599999999999996</v>
      </c>
      <c r="FM3">
        <f t="shared" si="106"/>
        <v>4</v>
      </c>
      <c r="FN3">
        <f t="shared" si="107"/>
        <v>4</v>
      </c>
      <c r="FO3">
        <f t="shared" si="108"/>
        <v>56</v>
      </c>
      <c r="FP3" t="str">
        <f t="shared" si="109"/>
        <v>ZERO</v>
      </c>
      <c r="FQ3" t="str">
        <f t="shared" si="110"/>
        <v>ZERO</v>
      </c>
      <c r="FR3" t="str">
        <f t="shared" si="111"/>
        <v>Four</v>
      </c>
      <c r="FS3" t="str">
        <f t="shared" si="112"/>
        <v>Fifty Six</v>
      </c>
      <c r="FT3" t="str">
        <f t="shared" si="113"/>
        <v xml:space="preserve"> </v>
      </c>
      <c r="FU3" t="str">
        <f t="shared" si="114"/>
        <v xml:space="preserve"> </v>
      </c>
      <c r="FV3" t="str">
        <f t="shared" si="115"/>
        <v xml:space="preserve"> </v>
      </c>
      <c r="FW3" t="str">
        <f t="shared" si="116"/>
        <v xml:space="preserve"> </v>
      </c>
      <c r="FX3" t="str">
        <f t="shared" si="117"/>
        <v>Four</v>
      </c>
      <c r="FY3" t="str">
        <f t="shared" si="118"/>
        <v>HUNDRED</v>
      </c>
      <c r="FZ3" t="str">
        <f t="shared" si="119"/>
        <v>Fifty Six</v>
      </c>
      <c r="GA3" t="b">
        <f t="shared" si="120"/>
        <v>0</v>
      </c>
      <c r="GB3" t="str">
        <f t="shared" si="121"/>
        <v>AND</v>
      </c>
      <c r="GC3" t="str">
        <f t="shared" si="122"/>
        <v>AND</v>
      </c>
      <c r="GD3">
        <v>2</v>
      </c>
      <c r="GE3" t="s">
        <v>42</v>
      </c>
      <c r="GF3" t="s">
        <v>44</v>
      </c>
      <c r="GI3">
        <v>456</v>
      </c>
      <c r="GJ3" t="str">
        <f t="shared" si="123"/>
        <v>four hundred and fifty six</v>
      </c>
      <c r="GK3" t="str">
        <f t="shared" si="124"/>
        <v>Four HUNDRED AND Fifty Six</v>
      </c>
      <c r="GL3" t="str">
        <f t="shared" si="125"/>
        <v xml:space="preserve">        Four HUNDRED AND Fifty Six</v>
      </c>
      <c r="GM3">
        <f t="shared" si="126"/>
        <v>4.5599999999999998E-3</v>
      </c>
      <c r="GN3">
        <f t="shared" si="127"/>
        <v>0</v>
      </c>
      <c r="GO3">
        <f t="shared" si="128"/>
        <v>0.45600000000000002</v>
      </c>
      <c r="GP3">
        <f t="shared" si="129"/>
        <v>0</v>
      </c>
      <c r="GQ3">
        <f t="shared" si="130"/>
        <v>0</v>
      </c>
      <c r="GR3">
        <f t="shared" si="131"/>
        <v>4.5599999999999996</v>
      </c>
      <c r="GS3">
        <f t="shared" si="132"/>
        <v>4</v>
      </c>
      <c r="GT3">
        <f t="shared" si="133"/>
        <v>4</v>
      </c>
      <c r="GU3">
        <f t="shared" si="134"/>
        <v>56</v>
      </c>
      <c r="GV3" t="str">
        <f t="shared" si="135"/>
        <v>ZERO</v>
      </c>
      <c r="GW3" t="str">
        <f t="shared" si="136"/>
        <v>ZERO</v>
      </c>
      <c r="GX3" t="str">
        <f t="shared" si="137"/>
        <v>Four</v>
      </c>
      <c r="GY3" t="str">
        <f t="shared" si="138"/>
        <v>Fifty Six</v>
      </c>
      <c r="GZ3" t="str">
        <f t="shared" si="139"/>
        <v xml:space="preserve"> </v>
      </c>
      <c r="HA3" t="str">
        <f t="shared" si="140"/>
        <v xml:space="preserve"> </v>
      </c>
      <c r="HB3" t="str">
        <f t="shared" si="141"/>
        <v xml:space="preserve"> </v>
      </c>
      <c r="HC3" t="str">
        <f t="shared" si="142"/>
        <v xml:space="preserve"> </v>
      </c>
      <c r="HD3" t="str">
        <f t="shared" si="143"/>
        <v>Four</v>
      </c>
      <c r="HE3" t="str">
        <f t="shared" si="144"/>
        <v>HUNDRED</v>
      </c>
      <c r="HF3" t="str">
        <f t="shared" si="145"/>
        <v>Fifty Six</v>
      </c>
      <c r="HG3" t="b">
        <f t="shared" si="146"/>
        <v>0</v>
      </c>
      <c r="HH3" t="str">
        <f t="shared" si="147"/>
        <v>AND</v>
      </c>
      <c r="HI3" t="str">
        <f t="shared" si="148"/>
        <v>AND</v>
      </c>
      <c r="HJ3">
        <v>2</v>
      </c>
      <c r="HK3" t="s">
        <v>42</v>
      </c>
      <c r="HL3" t="s">
        <v>44</v>
      </c>
      <c r="HO3">
        <v>456</v>
      </c>
      <c r="HP3" t="str">
        <f t="shared" si="149"/>
        <v>four hundred and fifty six</v>
      </c>
      <c r="HQ3" t="str">
        <f t="shared" si="150"/>
        <v>Four HUNDRED AND Fifty Six</v>
      </c>
      <c r="HR3" t="str">
        <f t="shared" si="151"/>
        <v xml:space="preserve">        Four HUNDRED AND Fifty Six</v>
      </c>
      <c r="HS3">
        <f t="shared" si="152"/>
        <v>4.5599999999999998E-3</v>
      </c>
      <c r="HT3">
        <f t="shared" si="153"/>
        <v>0</v>
      </c>
      <c r="HU3">
        <f t="shared" si="154"/>
        <v>0.45600000000000002</v>
      </c>
      <c r="HV3">
        <f t="shared" si="155"/>
        <v>0</v>
      </c>
      <c r="HW3">
        <f t="shared" si="156"/>
        <v>0</v>
      </c>
      <c r="HX3">
        <f t="shared" si="157"/>
        <v>4.5599999999999996</v>
      </c>
      <c r="HY3">
        <f t="shared" si="158"/>
        <v>4</v>
      </c>
      <c r="HZ3">
        <f t="shared" si="159"/>
        <v>4</v>
      </c>
      <c r="IA3">
        <f t="shared" si="160"/>
        <v>56</v>
      </c>
      <c r="IB3" t="str">
        <f t="shared" si="161"/>
        <v>ZERO</v>
      </c>
      <c r="IC3" t="str">
        <f t="shared" si="162"/>
        <v>ZERO</v>
      </c>
      <c r="ID3" t="str">
        <f t="shared" si="163"/>
        <v>Four</v>
      </c>
      <c r="IE3" t="str">
        <f t="shared" si="164"/>
        <v>Fifty Six</v>
      </c>
      <c r="IF3" t="str">
        <f t="shared" si="165"/>
        <v xml:space="preserve"> </v>
      </c>
      <c r="IG3" t="str">
        <f t="shared" si="166"/>
        <v xml:space="preserve"> </v>
      </c>
      <c r="IH3" t="str">
        <f t="shared" si="167"/>
        <v xml:space="preserve"> </v>
      </c>
      <c r="II3" t="str">
        <f t="shared" si="168"/>
        <v xml:space="preserve"> </v>
      </c>
      <c r="IJ3" t="str">
        <f t="shared" si="169"/>
        <v>Four</v>
      </c>
      <c r="IK3" t="str">
        <f t="shared" si="170"/>
        <v>HUNDRED</v>
      </c>
      <c r="IL3" t="str">
        <f t="shared" si="171"/>
        <v>Fifty Six</v>
      </c>
      <c r="IM3" t="b">
        <f t="shared" si="172"/>
        <v>0</v>
      </c>
      <c r="IN3" t="str">
        <f t="shared" si="173"/>
        <v>AND</v>
      </c>
      <c r="IO3" t="str">
        <f t="shared" si="174"/>
        <v>AND</v>
      </c>
      <c r="IP3">
        <v>2</v>
      </c>
      <c r="IQ3" t="s">
        <v>42</v>
      </c>
      <c r="IR3" t="s">
        <v>44</v>
      </c>
      <c r="IU3">
        <v>456</v>
      </c>
      <c r="IV3" t="e">
        <f>LOWER(#REF!)</f>
        <v>#REF!</v>
      </c>
    </row>
    <row r="4" spans="1:256">
      <c r="A4" s="9"/>
      <c r="B4" s="18" t="str">
        <f t="shared" si="175"/>
        <v xml:space="preserve">               </v>
      </c>
      <c r="C4" s="18">
        <f t="shared" si="0"/>
        <v>0</v>
      </c>
      <c r="D4" s="18">
        <f t="shared" si="1"/>
        <v>0</v>
      </c>
      <c r="E4" s="18">
        <f t="shared" si="2"/>
        <v>0</v>
      </c>
      <c r="F4" s="18">
        <f t="shared" si="3"/>
        <v>0</v>
      </c>
      <c r="G4" s="18">
        <f t="shared" si="4"/>
        <v>0</v>
      </c>
      <c r="H4" s="18">
        <f t="shared" si="5"/>
        <v>0</v>
      </c>
      <c r="I4" s="18">
        <f t="shared" si="6"/>
        <v>0</v>
      </c>
      <c r="J4" s="18">
        <f t="shared" si="7"/>
        <v>0</v>
      </c>
      <c r="K4" s="18">
        <f t="shared" si="8"/>
        <v>0</v>
      </c>
      <c r="L4" t="str">
        <f t="shared" si="9"/>
        <v>Zero</v>
      </c>
      <c r="M4" t="str">
        <f t="shared" si="10"/>
        <v>Zero</v>
      </c>
      <c r="N4" t="str">
        <f t="shared" si="11"/>
        <v>Zero</v>
      </c>
      <c r="O4" t="str">
        <f t="shared" si="12"/>
        <v>Zero</v>
      </c>
      <c r="P4" t="str">
        <f t="shared" si="13"/>
        <v xml:space="preserve"> </v>
      </c>
      <c r="Q4" t="str">
        <f t="shared" ref="Q4:Q12" si="176">IF(D4&gt;0,"LAKHS"," ")</f>
        <v xml:space="preserve"> </v>
      </c>
      <c r="R4" t="str">
        <f t="shared" si="14"/>
        <v xml:space="preserve"> </v>
      </c>
      <c r="S4" t="str">
        <f t="shared" ref="S4:S12" si="177">IF(G4&gt;0,"THOUSAND"," ")</f>
        <v xml:space="preserve"> </v>
      </c>
      <c r="T4" s="18" t="str">
        <f t="shared" si="15"/>
        <v xml:space="preserve"> </v>
      </c>
      <c r="U4" s="18" t="str">
        <f t="shared" ref="U4:U12" si="178">IF(J4&gt;0,"HUNDRED"," ")</f>
        <v xml:space="preserve"> </v>
      </c>
      <c r="V4" s="18" t="str">
        <f t="shared" si="16"/>
        <v xml:space="preserve"> </v>
      </c>
      <c r="W4" s="19" t="b">
        <f t="shared" si="17"/>
        <v>1</v>
      </c>
      <c r="X4" s="19" t="str">
        <f t="shared" ref="X4:X12" si="179">IF(W4=FALSE,"AND"," ")</f>
        <v xml:space="preserve"> </v>
      </c>
      <c r="Y4" s="18" t="str">
        <f t="shared" si="18"/>
        <v xml:space="preserve"> </v>
      </c>
      <c r="Z4">
        <v>3</v>
      </c>
      <c r="AA4" s="15" t="s">
        <v>45</v>
      </c>
      <c r="AB4" s="15" t="s">
        <v>46</v>
      </c>
      <c r="BK4">
        <v>45687</v>
      </c>
      <c r="BL4" t="str">
        <f t="shared" si="19"/>
        <v>forty five thousand six hundred and eighty seven</v>
      </c>
      <c r="BM4" t="str">
        <f t="shared" si="20"/>
        <v>Forty Five THOUSAND Six HUNDRED AND Eighty Seven</v>
      </c>
      <c r="BN4" t="str">
        <f t="shared" si="21"/>
        <v xml:space="preserve">    Forty  Five  THOUSAND Six HUNDRED AND Eighty Seven</v>
      </c>
      <c r="BO4">
        <f t="shared" si="22"/>
        <v>0.45687</v>
      </c>
      <c r="BP4">
        <f t="shared" si="23"/>
        <v>0</v>
      </c>
      <c r="BQ4">
        <f t="shared" si="24"/>
        <v>45.686999999999998</v>
      </c>
      <c r="BR4">
        <f t="shared" si="25"/>
        <v>45</v>
      </c>
      <c r="BS4">
        <f t="shared" si="26"/>
        <v>45</v>
      </c>
      <c r="BT4">
        <f t="shared" si="27"/>
        <v>456.87</v>
      </c>
      <c r="BU4">
        <f t="shared" si="28"/>
        <v>456</v>
      </c>
      <c r="BV4">
        <f t="shared" si="29"/>
        <v>6</v>
      </c>
      <c r="BW4">
        <f t="shared" si="30"/>
        <v>87</v>
      </c>
      <c r="BX4" t="str">
        <f t="shared" si="31"/>
        <v>ZERO</v>
      </c>
      <c r="BY4" t="str">
        <f t="shared" si="32"/>
        <v xml:space="preserve">Forty  Five </v>
      </c>
      <c r="BZ4" t="str">
        <f t="shared" si="33"/>
        <v>Six</v>
      </c>
      <c r="CA4" t="str">
        <f t="shared" si="34"/>
        <v>Eighty Seven</v>
      </c>
      <c r="CB4" t="str">
        <f t="shared" si="35"/>
        <v xml:space="preserve"> </v>
      </c>
      <c r="CC4" t="str">
        <f t="shared" si="36"/>
        <v xml:space="preserve"> </v>
      </c>
      <c r="CD4" t="str">
        <f t="shared" si="37"/>
        <v xml:space="preserve">Forty  Five </v>
      </c>
      <c r="CE4" t="str">
        <f t="shared" si="38"/>
        <v>THOUSAND</v>
      </c>
      <c r="CF4" t="str">
        <f t="shared" si="39"/>
        <v>Six</v>
      </c>
      <c r="CG4" t="str">
        <f t="shared" si="40"/>
        <v>HUNDRED</v>
      </c>
      <c r="CH4" t="str">
        <f t="shared" si="41"/>
        <v>Eighty Seven</v>
      </c>
      <c r="CI4" t="b">
        <f t="shared" si="42"/>
        <v>0</v>
      </c>
      <c r="CJ4" t="str">
        <f t="shared" si="43"/>
        <v>AND</v>
      </c>
      <c r="CK4" t="str">
        <f t="shared" si="44"/>
        <v>AND</v>
      </c>
      <c r="CL4">
        <v>3</v>
      </c>
      <c r="CM4" t="s">
        <v>45</v>
      </c>
      <c r="CN4" t="s">
        <v>47</v>
      </c>
      <c r="CQ4">
        <v>45687</v>
      </c>
      <c r="CR4" t="str">
        <f t="shared" si="45"/>
        <v>forty five thousand six hundred and eighty seven</v>
      </c>
      <c r="CS4" t="str">
        <f t="shared" si="46"/>
        <v>Forty Five THOUSAND Six HUNDRED AND Eighty Seven</v>
      </c>
      <c r="CT4" t="str">
        <f t="shared" si="47"/>
        <v xml:space="preserve">    Forty  Five  THOUSAND Six HUNDRED AND Eighty Seven</v>
      </c>
      <c r="CU4">
        <f t="shared" si="48"/>
        <v>0.45687</v>
      </c>
      <c r="CV4">
        <f t="shared" si="49"/>
        <v>0</v>
      </c>
      <c r="CW4">
        <f t="shared" si="50"/>
        <v>45.686999999999998</v>
      </c>
      <c r="CX4">
        <f t="shared" si="51"/>
        <v>45</v>
      </c>
      <c r="CY4">
        <f t="shared" si="52"/>
        <v>45</v>
      </c>
      <c r="CZ4">
        <f t="shared" si="53"/>
        <v>456.87</v>
      </c>
      <c r="DA4">
        <f t="shared" si="54"/>
        <v>456</v>
      </c>
      <c r="DB4">
        <f t="shared" si="55"/>
        <v>6</v>
      </c>
      <c r="DC4">
        <f t="shared" si="56"/>
        <v>87</v>
      </c>
      <c r="DD4" t="str">
        <f t="shared" si="57"/>
        <v>ZERO</v>
      </c>
      <c r="DE4" t="str">
        <f t="shared" si="58"/>
        <v xml:space="preserve">Forty  Five </v>
      </c>
      <c r="DF4" t="str">
        <f t="shared" si="59"/>
        <v>Six</v>
      </c>
      <c r="DG4" t="str">
        <f t="shared" si="60"/>
        <v>Eighty Seven</v>
      </c>
      <c r="DH4" t="str">
        <f t="shared" si="61"/>
        <v xml:space="preserve"> </v>
      </c>
      <c r="DI4" t="str">
        <f t="shared" si="62"/>
        <v xml:space="preserve"> </v>
      </c>
      <c r="DJ4" t="str">
        <f t="shared" si="63"/>
        <v xml:space="preserve">Forty  Five </v>
      </c>
      <c r="DK4" t="str">
        <f t="shared" si="64"/>
        <v>THOUSAND</v>
      </c>
      <c r="DL4" t="str">
        <f t="shared" si="65"/>
        <v>Six</v>
      </c>
      <c r="DM4" t="str">
        <f t="shared" si="66"/>
        <v>HUNDRED</v>
      </c>
      <c r="DN4" t="str">
        <f t="shared" si="67"/>
        <v>Eighty Seven</v>
      </c>
      <c r="DO4" t="b">
        <f t="shared" si="68"/>
        <v>0</v>
      </c>
      <c r="DP4" t="str">
        <f t="shared" si="69"/>
        <v>AND</v>
      </c>
      <c r="DQ4" t="str">
        <f t="shared" si="70"/>
        <v>AND</v>
      </c>
      <c r="DR4">
        <v>3</v>
      </c>
      <c r="DS4" t="s">
        <v>45</v>
      </c>
      <c r="DT4" t="s">
        <v>47</v>
      </c>
      <c r="DW4">
        <v>45687</v>
      </c>
      <c r="DX4" t="str">
        <f t="shared" si="71"/>
        <v>forty five thousand six hundred and eighty seven</v>
      </c>
      <c r="DY4" t="str">
        <f t="shared" si="72"/>
        <v>Forty Five THOUSAND Six HUNDRED AND Eighty Seven</v>
      </c>
      <c r="DZ4" t="str">
        <f t="shared" si="73"/>
        <v xml:space="preserve">    Forty  Five  THOUSAND Six HUNDRED AND Eighty Seven</v>
      </c>
      <c r="EA4">
        <f t="shared" si="74"/>
        <v>0.45687</v>
      </c>
      <c r="EB4">
        <f t="shared" si="75"/>
        <v>0</v>
      </c>
      <c r="EC4">
        <f t="shared" si="76"/>
        <v>45.686999999999998</v>
      </c>
      <c r="ED4">
        <f t="shared" si="77"/>
        <v>45</v>
      </c>
      <c r="EE4">
        <f t="shared" si="78"/>
        <v>45</v>
      </c>
      <c r="EF4">
        <f t="shared" si="79"/>
        <v>456.87</v>
      </c>
      <c r="EG4">
        <f t="shared" si="80"/>
        <v>456</v>
      </c>
      <c r="EH4">
        <f t="shared" si="81"/>
        <v>6</v>
      </c>
      <c r="EI4">
        <f t="shared" si="82"/>
        <v>87</v>
      </c>
      <c r="EJ4" t="str">
        <f t="shared" si="83"/>
        <v>ZERO</v>
      </c>
      <c r="EK4" t="str">
        <f t="shared" si="84"/>
        <v xml:space="preserve">Forty  Five </v>
      </c>
      <c r="EL4" t="str">
        <f t="shared" si="85"/>
        <v>Six</v>
      </c>
      <c r="EM4" t="str">
        <f t="shared" si="86"/>
        <v>Eighty Seven</v>
      </c>
      <c r="EN4" t="str">
        <f t="shared" si="87"/>
        <v xml:space="preserve"> </v>
      </c>
      <c r="EO4" t="str">
        <f t="shared" si="88"/>
        <v xml:space="preserve"> </v>
      </c>
      <c r="EP4" t="str">
        <f t="shared" si="89"/>
        <v xml:space="preserve">Forty  Five </v>
      </c>
      <c r="EQ4" t="str">
        <f t="shared" si="90"/>
        <v>THOUSAND</v>
      </c>
      <c r="ER4" t="str">
        <f t="shared" si="91"/>
        <v>Six</v>
      </c>
      <c r="ES4" t="str">
        <f t="shared" si="92"/>
        <v>HUNDRED</v>
      </c>
      <c r="ET4" t="str">
        <f t="shared" si="93"/>
        <v>Eighty Seven</v>
      </c>
      <c r="EU4" t="b">
        <f t="shared" si="94"/>
        <v>0</v>
      </c>
      <c r="EV4" t="str">
        <f t="shared" si="95"/>
        <v>AND</v>
      </c>
      <c r="EW4" t="str">
        <f t="shared" si="96"/>
        <v>AND</v>
      </c>
      <c r="EX4">
        <v>3</v>
      </c>
      <c r="EY4" t="s">
        <v>45</v>
      </c>
      <c r="EZ4" t="s">
        <v>47</v>
      </c>
      <c r="FC4">
        <v>45687</v>
      </c>
      <c r="FD4" t="str">
        <f t="shared" si="97"/>
        <v>forty five thousand six hundred and eighty seven</v>
      </c>
      <c r="FE4" t="str">
        <f t="shared" si="98"/>
        <v>Forty Five THOUSAND Six HUNDRED AND Eighty Seven</v>
      </c>
      <c r="FF4" t="str">
        <f t="shared" si="99"/>
        <v xml:space="preserve">    Forty  Five  THOUSAND Six HUNDRED AND Eighty Seven</v>
      </c>
      <c r="FG4">
        <f t="shared" si="100"/>
        <v>0.45687</v>
      </c>
      <c r="FH4">
        <f t="shared" si="101"/>
        <v>0</v>
      </c>
      <c r="FI4">
        <f t="shared" si="102"/>
        <v>45.686999999999998</v>
      </c>
      <c r="FJ4">
        <f t="shared" si="103"/>
        <v>45</v>
      </c>
      <c r="FK4">
        <f t="shared" si="104"/>
        <v>45</v>
      </c>
      <c r="FL4">
        <f t="shared" si="105"/>
        <v>456.87</v>
      </c>
      <c r="FM4">
        <f t="shared" si="106"/>
        <v>456</v>
      </c>
      <c r="FN4">
        <f t="shared" si="107"/>
        <v>6</v>
      </c>
      <c r="FO4">
        <f t="shared" si="108"/>
        <v>87</v>
      </c>
      <c r="FP4" t="str">
        <f t="shared" si="109"/>
        <v>ZERO</v>
      </c>
      <c r="FQ4" t="str">
        <f t="shared" si="110"/>
        <v xml:space="preserve">Forty  Five </v>
      </c>
      <c r="FR4" t="str">
        <f t="shared" si="111"/>
        <v>Six</v>
      </c>
      <c r="FS4" t="str">
        <f t="shared" si="112"/>
        <v>Eighty Seven</v>
      </c>
      <c r="FT4" t="str">
        <f t="shared" si="113"/>
        <v xml:space="preserve"> </v>
      </c>
      <c r="FU4" t="str">
        <f t="shared" si="114"/>
        <v xml:space="preserve"> </v>
      </c>
      <c r="FV4" t="str">
        <f t="shared" si="115"/>
        <v xml:space="preserve">Forty  Five </v>
      </c>
      <c r="FW4" t="str">
        <f t="shared" si="116"/>
        <v>THOUSAND</v>
      </c>
      <c r="FX4" t="str">
        <f t="shared" si="117"/>
        <v>Six</v>
      </c>
      <c r="FY4" t="str">
        <f t="shared" si="118"/>
        <v>HUNDRED</v>
      </c>
      <c r="FZ4" t="str">
        <f t="shared" si="119"/>
        <v>Eighty Seven</v>
      </c>
      <c r="GA4" t="b">
        <f t="shared" si="120"/>
        <v>0</v>
      </c>
      <c r="GB4" t="str">
        <f t="shared" si="121"/>
        <v>AND</v>
      </c>
      <c r="GC4" t="str">
        <f t="shared" si="122"/>
        <v>AND</v>
      </c>
      <c r="GD4">
        <v>3</v>
      </c>
      <c r="GE4" t="s">
        <v>45</v>
      </c>
      <c r="GF4" t="s">
        <v>47</v>
      </c>
      <c r="GI4">
        <v>45687</v>
      </c>
      <c r="GJ4" t="str">
        <f t="shared" si="123"/>
        <v>forty five thousand six hundred and eighty seven</v>
      </c>
      <c r="GK4" t="str">
        <f t="shared" si="124"/>
        <v>Forty Five THOUSAND Six HUNDRED AND Eighty Seven</v>
      </c>
      <c r="GL4" t="str">
        <f t="shared" si="125"/>
        <v xml:space="preserve">    Forty  Five  THOUSAND Six HUNDRED AND Eighty Seven</v>
      </c>
      <c r="GM4">
        <f t="shared" si="126"/>
        <v>0.45687</v>
      </c>
      <c r="GN4">
        <f t="shared" si="127"/>
        <v>0</v>
      </c>
      <c r="GO4">
        <f t="shared" si="128"/>
        <v>45.686999999999998</v>
      </c>
      <c r="GP4">
        <f t="shared" si="129"/>
        <v>45</v>
      </c>
      <c r="GQ4">
        <f t="shared" si="130"/>
        <v>45</v>
      </c>
      <c r="GR4">
        <f t="shared" si="131"/>
        <v>456.87</v>
      </c>
      <c r="GS4">
        <f t="shared" si="132"/>
        <v>456</v>
      </c>
      <c r="GT4">
        <f t="shared" si="133"/>
        <v>6</v>
      </c>
      <c r="GU4">
        <f t="shared" si="134"/>
        <v>87</v>
      </c>
      <c r="GV4" t="str">
        <f t="shared" si="135"/>
        <v>ZERO</v>
      </c>
      <c r="GW4" t="str">
        <f t="shared" si="136"/>
        <v xml:space="preserve">Forty  Five </v>
      </c>
      <c r="GX4" t="str">
        <f t="shared" si="137"/>
        <v>Six</v>
      </c>
      <c r="GY4" t="str">
        <f t="shared" si="138"/>
        <v>Eighty Seven</v>
      </c>
      <c r="GZ4" t="str">
        <f t="shared" si="139"/>
        <v xml:space="preserve"> </v>
      </c>
      <c r="HA4" t="str">
        <f t="shared" si="140"/>
        <v xml:space="preserve"> </v>
      </c>
      <c r="HB4" t="str">
        <f t="shared" si="141"/>
        <v xml:space="preserve">Forty  Five </v>
      </c>
      <c r="HC4" t="str">
        <f t="shared" si="142"/>
        <v>THOUSAND</v>
      </c>
      <c r="HD4" t="str">
        <f t="shared" si="143"/>
        <v>Six</v>
      </c>
      <c r="HE4" t="str">
        <f t="shared" si="144"/>
        <v>HUNDRED</v>
      </c>
      <c r="HF4" t="str">
        <f t="shared" si="145"/>
        <v>Eighty Seven</v>
      </c>
      <c r="HG4" t="b">
        <f t="shared" si="146"/>
        <v>0</v>
      </c>
      <c r="HH4" t="str">
        <f t="shared" si="147"/>
        <v>AND</v>
      </c>
      <c r="HI4" t="str">
        <f t="shared" si="148"/>
        <v>AND</v>
      </c>
      <c r="HJ4">
        <v>3</v>
      </c>
      <c r="HK4" t="s">
        <v>45</v>
      </c>
      <c r="HL4" t="s">
        <v>47</v>
      </c>
      <c r="HO4">
        <v>45687</v>
      </c>
      <c r="HP4" t="str">
        <f t="shared" si="149"/>
        <v>forty five thousand six hundred and eighty seven</v>
      </c>
      <c r="HQ4" t="str">
        <f t="shared" si="150"/>
        <v>Forty Five THOUSAND Six HUNDRED AND Eighty Seven</v>
      </c>
      <c r="HR4" t="str">
        <f t="shared" si="151"/>
        <v xml:space="preserve">    Forty  Five  THOUSAND Six HUNDRED AND Eighty Seven</v>
      </c>
      <c r="HS4">
        <f t="shared" si="152"/>
        <v>0.45687</v>
      </c>
      <c r="HT4">
        <f t="shared" si="153"/>
        <v>0</v>
      </c>
      <c r="HU4">
        <f t="shared" si="154"/>
        <v>45.686999999999998</v>
      </c>
      <c r="HV4">
        <f t="shared" si="155"/>
        <v>45</v>
      </c>
      <c r="HW4">
        <f t="shared" si="156"/>
        <v>45</v>
      </c>
      <c r="HX4">
        <f t="shared" si="157"/>
        <v>456.87</v>
      </c>
      <c r="HY4">
        <f t="shared" si="158"/>
        <v>456</v>
      </c>
      <c r="HZ4">
        <f t="shared" si="159"/>
        <v>6</v>
      </c>
      <c r="IA4">
        <f t="shared" si="160"/>
        <v>87</v>
      </c>
      <c r="IB4" t="str">
        <f t="shared" si="161"/>
        <v>ZERO</v>
      </c>
      <c r="IC4" t="str">
        <f t="shared" si="162"/>
        <v xml:space="preserve">Forty  Five </v>
      </c>
      <c r="ID4" t="str">
        <f t="shared" si="163"/>
        <v>Six</v>
      </c>
      <c r="IE4" t="str">
        <f t="shared" si="164"/>
        <v>Eighty Seven</v>
      </c>
      <c r="IF4" t="str">
        <f t="shared" si="165"/>
        <v xml:space="preserve"> </v>
      </c>
      <c r="IG4" t="str">
        <f t="shared" si="166"/>
        <v xml:space="preserve"> </v>
      </c>
      <c r="IH4" t="str">
        <f t="shared" si="167"/>
        <v xml:space="preserve">Forty  Five </v>
      </c>
      <c r="II4" t="str">
        <f t="shared" si="168"/>
        <v>THOUSAND</v>
      </c>
      <c r="IJ4" t="str">
        <f t="shared" si="169"/>
        <v>Six</v>
      </c>
      <c r="IK4" t="str">
        <f t="shared" si="170"/>
        <v>HUNDRED</v>
      </c>
      <c r="IL4" t="str">
        <f t="shared" si="171"/>
        <v>Eighty Seven</v>
      </c>
      <c r="IM4" t="b">
        <f t="shared" si="172"/>
        <v>0</v>
      </c>
      <c r="IN4" t="str">
        <f t="shared" si="173"/>
        <v>AND</v>
      </c>
      <c r="IO4" t="str">
        <f t="shared" si="174"/>
        <v>AND</v>
      </c>
      <c r="IP4">
        <v>3</v>
      </c>
      <c r="IQ4" t="s">
        <v>45</v>
      </c>
      <c r="IR4" t="s">
        <v>47</v>
      </c>
      <c r="IU4">
        <v>45687</v>
      </c>
      <c r="IV4" t="e">
        <f>LOWER(#REF!)</f>
        <v>#REF!</v>
      </c>
    </row>
    <row r="5" spans="1:256">
      <c r="A5" s="9"/>
      <c r="B5" s="18" t="str">
        <f t="shared" si="175"/>
        <v xml:space="preserve">               </v>
      </c>
      <c r="C5" s="18">
        <f t="shared" si="0"/>
        <v>0</v>
      </c>
      <c r="D5" s="18">
        <f t="shared" si="1"/>
        <v>0</v>
      </c>
      <c r="E5" s="18">
        <f t="shared" si="2"/>
        <v>0</v>
      </c>
      <c r="F5" s="18">
        <f t="shared" si="3"/>
        <v>0</v>
      </c>
      <c r="G5" s="18">
        <f t="shared" si="4"/>
        <v>0</v>
      </c>
      <c r="H5" s="18">
        <f t="shared" si="5"/>
        <v>0</v>
      </c>
      <c r="I5" s="18">
        <f t="shared" si="6"/>
        <v>0</v>
      </c>
      <c r="J5" s="18">
        <f t="shared" si="7"/>
        <v>0</v>
      </c>
      <c r="K5" s="18">
        <f t="shared" si="8"/>
        <v>0</v>
      </c>
      <c r="L5" t="str">
        <f t="shared" si="9"/>
        <v>Zero</v>
      </c>
      <c r="M5" t="str">
        <f t="shared" si="10"/>
        <v>Zero</v>
      </c>
      <c r="N5" t="str">
        <f t="shared" si="11"/>
        <v>Zero</v>
      </c>
      <c r="O5" t="str">
        <f t="shared" si="12"/>
        <v>Zero</v>
      </c>
      <c r="P5" t="str">
        <f t="shared" si="13"/>
        <v xml:space="preserve"> </v>
      </c>
      <c r="Q5" t="str">
        <f t="shared" si="176"/>
        <v xml:space="preserve"> </v>
      </c>
      <c r="R5" t="str">
        <f t="shared" si="14"/>
        <v xml:space="preserve"> </v>
      </c>
      <c r="S5" t="str">
        <f t="shared" si="177"/>
        <v xml:space="preserve"> </v>
      </c>
      <c r="T5" s="18" t="str">
        <f t="shared" si="15"/>
        <v xml:space="preserve"> </v>
      </c>
      <c r="U5" s="18" t="str">
        <f t="shared" si="178"/>
        <v xml:space="preserve"> </v>
      </c>
      <c r="V5" s="18" t="str">
        <f t="shared" si="16"/>
        <v xml:space="preserve"> </v>
      </c>
      <c r="W5" s="19" t="b">
        <f t="shared" si="17"/>
        <v>1</v>
      </c>
      <c r="X5" s="19" t="str">
        <f t="shared" si="179"/>
        <v xml:space="preserve"> </v>
      </c>
      <c r="Y5" s="18" t="str">
        <f t="shared" si="18"/>
        <v xml:space="preserve"> </v>
      </c>
      <c r="Z5">
        <v>4</v>
      </c>
      <c r="AA5" s="15" t="s">
        <v>48</v>
      </c>
      <c r="AB5" s="15" t="s">
        <v>49</v>
      </c>
      <c r="BK5">
        <v>45688</v>
      </c>
      <c r="BL5" t="str">
        <f t="shared" si="19"/>
        <v>forty five thousand six hundred and eighty eight</v>
      </c>
      <c r="BM5" t="str">
        <f t="shared" si="20"/>
        <v>Forty Five THOUSAND Six HUNDRED AND Eighty Eight</v>
      </c>
      <c r="BN5" t="str">
        <f t="shared" si="21"/>
        <v xml:space="preserve">    Forty  Five  THOUSAND Six HUNDRED AND Eighty Eight</v>
      </c>
      <c r="BO5">
        <f t="shared" si="22"/>
        <v>0.45688000000000001</v>
      </c>
      <c r="BP5">
        <f t="shared" si="23"/>
        <v>0</v>
      </c>
      <c r="BQ5">
        <f t="shared" si="24"/>
        <v>45.688000000000002</v>
      </c>
      <c r="BR5">
        <f t="shared" si="25"/>
        <v>45</v>
      </c>
      <c r="BS5">
        <f t="shared" si="26"/>
        <v>45</v>
      </c>
      <c r="BT5">
        <f t="shared" si="27"/>
        <v>456.88</v>
      </c>
      <c r="BU5">
        <f t="shared" si="28"/>
        <v>456</v>
      </c>
      <c r="BV5">
        <f t="shared" si="29"/>
        <v>6</v>
      </c>
      <c r="BW5">
        <f t="shared" si="30"/>
        <v>88</v>
      </c>
      <c r="BX5" t="str">
        <f t="shared" si="31"/>
        <v>ZERO</v>
      </c>
      <c r="BY5" t="str">
        <f t="shared" si="32"/>
        <v xml:space="preserve">Forty  Five </v>
      </c>
      <c r="BZ5" t="str">
        <f t="shared" si="33"/>
        <v>Six</v>
      </c>
      <c r="CA5" t="str">
        <f t="shared" si="34"/>
        <v>Eighty Eight</v>
      </c>
      <c r="CB5" t="str">
        <f t="shared" si="35"/>
        <v xml:space="preserve"> </v>
      </c>
      <c r="CC5" t="str">
        <f t="shared" si="36"/>
        <v xml:space="preserve"> </v>
      </c>
      <c r="CD5" t="str">
        <f t="shared" si="37"/>
        <v xml:space="preserve">Forty  Five </v>
      </c>
      <c r="CE5" t="str">
        <f t="shared" si="38"/>
        <v>THOUSAND</v>
      </c>
      <c r="CF5" t="str">
        <f t="shared" si="39"/>
        <v>Six</v>
      </c>
      <c r="CG5" t="str">
        <f t="shared" si="40"/>
        <v>HUNDRED</v>
      </c>
      <c r="CH5" t="str">
        <f t="shared" si="41"/>
        <v>Eighty Eight</v>
      </c>
      <c r="CI5" t="b">
        <f t="shared" si="42"/>
        <v>0</v>
      </c>
      <c r="CJ5" t="str">
        <f t="shared" si="43"/>
        <v>AND</v>
      </c>
      <c r="CK5" t="str">
        <f t="shared" si="44"/>
        <v>AND</v>
      </c>
      <c r="CL5">
        <v>4</v>
      </c>
      <c r="CM5" t="s">
        <v>48</v>
      </c>
      <c r="CN5" t="s">
        <v>50</v>
      </c>
      <c r="CQ5">
        <v>45688</v>
      </c>
      <c r="CR5" t="str">
        <f t="shared" si="45"/>
        <v>forty five thousand six hundred and eighty eight</v>
      </c>
      <c r="CS5" t="str">
        <f t="shared" si="46"/>
        <v>Forty Five THOUSAND Six HUNDRED AND Eighty Eight</v>
      </c>
      <c r="CT5" t="str">
        <f t="shared" si="47"/>
        <v xml:space="preserve">    Forty  Five  THOUSAND Six HUNDRED AND Eighty Eight</v>
      </c>
      <c r="CU5">
        <f t="shared" si="48"/>
        <v>0.45688000000000001</v>
      </c>
      <c r="CV5">
        <f t="shared" si="49"/>
        <v>0</v>
      </c>
      <c r="CW5">
        <f t="shared" si="50"/>
        <v>45.688000000000002</v>
      </c>
      <c r="CX5">
        <f t="shared" si="51"/>
        <v>45</v>
      </c>
      <c r="CY5">
        <f t="shared" si="52"/>
        <v>45</v>
      </c>
      <c r="CZ5">
        <f t="shared" si="53"/>
        <v>456.88</v>
      </c>
      <c r="DA5">
        <f t="shared" si="54"/>
        <v>456</v>
      </c>
      <c r="DB5">
        <f t="shared" si="55"/>
        <v>6</v>
      </c>
      <c r="DC5">
        <f t="shared" si="56"/>
        <v>88</v>
      </c>
      <c r="DD5" t="str">
        <f t="shared" si="57"/>
        <v>ZERO</v>
      </c>
      <c r="DE5" t="str">
        <f t="shared" si="58"/>
        <v xml:space="preserve">Forty  Five </v>
      </c>
      <c r="DF5" t="str">
        <f t="shared" si="59"/>
        <v>Six</v>
      </c>
      <c r="DG5" t="str">
        <f t="shared" si="60"/>
        <v>Eighty Eight</v>
      </c>
      <c r="DH5" t="str">
        <f t="shared" si="61"/>
        <v xml:space="preserve"> </v>
      </c>
      <c r="DI5" t="str">
        <f t="shared" si="62"/>
        <v xml:space="preserve"> </v>
      </c>
      <c r="DJ5" t="str">
        <f t="shared" si="63"/>
        <v xml:space="preserve">Forty  Five </v>
      </c>
      <c r="DK5" t="str">
        <f t="shared" si="64"/>
        <v>THOUSAND</v>
      </c>
      <c r="DL5" t="str">
        <f t="shared" si="65"/>
        <v>Six</v>
      </c>
      <c r="DM5" t="str">
        <f t="shared" si="66"/>
        <v>HUNDRED</v>
      </c>
      <c r="DN5" t="str">
        <f t="shared" si="67"/>
        <v>Eighty Eight</v>
      </c>
      <c r="DO5" t="b">
        <f t="shared" si="68"/>
        <v>0</v>
      </c>
      <c r="DP5" t="str">
        <f t="shared" si="69"/>
        <v>AND</v>
      </c>
      <c r="DQ5" t="str">
        <f t="shared" si="70"/>
        <v>AND</v>
      </c>
      <c r="DR5">
        <v>4</v>
      </c>
      <c r="DS5" t="s">
        <v>48</v>
      </c>
      <c r="DT5" t="s">
        <v>50</v>
      </c>
      <c r="DW5">
        <v>45688</v>
      </c>
      <c r="DX5" t="str">
        <f t="shared" si="71"/>
        <v>forty five thousand six hundred and eighty eight</v>
      </c>
      <c r="DY5" t="str">
        <f t="shared" si="72"/>
        <v>Forty Five THOUSAND Six HUNDRED AND Eighty Eight</v>
      </c>
      <c r="DZ5" t="str">
        <f t="shared" si="73"/>
        <v xml:space="preserve">    Forty  Five  THOUSAND Six HUNDRED AND Eighty Eight</v>
      </c>
      <c r="EA5">
        <f t="shared" si="74"/>
        <v>0.45688000000000001</v>
      </c>
      <c r="EB5">
        <f t="shared" si="75"/>
        <v>0</v>
      </c>
      <c r="EC5">
        <f t="shared" si="76"/>
        <v>45.688000000000002</v>
      </c>
      <c r="ED5">
        <f t="shared" si="77"/>
        <v>45</v>
      </c>
      <c r="EE5">
        <f t="shared" si="78"/>
        <v>45</v>
      </c>
      <c r="EF5">
        <f t="shared" si="79"/>
        <v>456.88</v>
      </c>
      <c r="EG5">
        <f t="shared" si="80"/>
        <v>456</v>
      </c>
      <c r="EH5">
        <f t="shared" si="81"/>
        <v>6</v>
      </c>
      <c r="EI5">
        <f t="shared" si="82"/>
        <v>88</v>
      </c>
      <c r="EJ5" t="str">
        <f t="shared" si="83"/>
        <v>ZERO</v>
      </c>
      <c r="EK5" t="str">
        <f t="shared" si="84"/>
        <v xml:space="preserve">Forty  Five </v>
      </c>
      <c r="EL5" t="str">
        <f t="shared" si="85"/>
        <v>Six</v>
      </c>
      <c r="EM5" t="str">
        <f t="shared" si="86"/>
        <v>Eighty Eight</v>
      </c>
      <c r="EN5" t="str">
        <f t="shared" si="87"/>
        <v xml:space="preserve"> </v>
      </c>
      <c r="EO5" t="str">
        <f t="shared" si="88"/>
        <v xml:space="preserve"> </v>
      </c>
      <c r="EP5" t="str">
        <f t="shared" si="89"/>
        <v xml:space="preserve">Forty  Five </v>
      </c>
      <c r="EQ5" t="str">
        <f t="shared" si="90"/>
        <v>THOUSAND</v>
      </c>
      <c r="ER5" t="str">
        <f t="shared" si="91"/>
        <v>Six</v>
      </c>
      <c r="ES5" t="str">
        <f t="shared" si="92"/>
        <v>HUNDRED</v>
      </c>
      <c r="ET5" t="str">
        <f t="shared" si="93"/>
        <v>Eighty Eight</v>
      </c>
      <c r="EU5" t="b">
        <f t="shared" si="94"/>
        <v>0</v>
      </c>
      <c r="EV5" t="str">
        <f t="shared" si="95"/>
        <v>AND</v>
      </c>
      <c r="EW5" t="str">
        <f t="shared" si="96"/>
        <v>AND</v>
      </c>
      <c r="EX5">
        <v>4</v>
      </c>
      <c r="EY5" t="s">
        <v>48</v>
      </c>
      <c r="EZ5" t="s">
        <v>50</v>
      </c>
      <c r="FC5">
        <v>45688</v>
      </c>
      <c r="FD5" t="str">
        <f t="shared" si="97"/>
        <v>forty five thousand six hundred and eighty eight</v>
      </c>
      <c r="FE5" t="str">
        <f t="shared" si="98"/>
        <v>Forty Five THOUSAND Six HUNDRED AND Eighty Eight</v>
      </c>
      <c r="FF5" t="str">
        <f t="shared" si="99"/>
        <v xml:space="preserve">    Forty  Five  THOUSAND Six HUNDRED AND Eighty Eight</v>
      </c>
      <c r="FG5">
        <f t="shared" si="100"/>
        <v>0.45688000000000001</v>
      </c>
      <c r="FH5">
        <f t="shared" si="101"/>
        <v>0</v>
      </c>
      <c r="FI5">
        <f t="shared" si="102"/>
        <v>45.688000000000002</v>
      </c>
      <c r="FJ5">
        <f t="shared" si="103"/>
        <v>45</v>
      </c>
      <c r="FK5">
        <f t="shared" si="104"/>
        <v>45</v>
      </c>
      <c r="FL5">
        <f t="shared" si="105"/>
        <v>456.88</v>
      </c>
      <c r="FM5">
        <f t="shared" si="106"/>
        <v>456</v>
      </c>
      <c r="FN5">
        <f t="shared" si="107"/>
        <v>6</v>
      </c>
      <c r="FO5">
        <f t="shared" si="108"/>
        <v>88</v>
      </c>
      <c r="FP5" t="str">
        <f t="shared" si="109"/>
        <v>ZERO</v>
      </c>
      <c r="FQ5" t="str">
        <f t="shared" si="110"/>
        <v xml:space="preserve">Forty  Five </v>
      </c>
      <c r="FR5" t="str">
        <f t="shared" si="111"/>
        <v>Six</v>
      </c>
      <c r="FS5" t="str">
        <f t="shared" si="112"/>
        <v>Eighty Eight</v>
      </c>
      <c r="FT5" t="str">
        <f t="shared" si="113"/>
        <v xml:space="preserve"> </v>
      </c>
      <c r="FU5" t="str">
        <f t="shared" si="114"/>
        <v xml:space="preserve"> </v>
      </c>
      <c r="FV5" t="str">
        <f t="shared" si="115"/>
        <v xml:space="preserve">Forty  Five </v>
      </c>
      <c r="FW5" t="str">
        <f t="shared" si="116"/>
        <v>THOUSAND</v>
      </c>
      <c r="FX5" t="str">
        <f t="shared" si="117"/>
        <v>Six</v>
      </c>
      <c r="FY5" t="str">
        <f t="shared" si="118"/>
        <v>HUNDRED</v>
      </c>
      <c r="FZ5" t="str">
        <f t="shared" si="119"/>
        <v>Eighty Eight</v>
      </c>
      <c r="GA5" t="b">
        <f t="shared" si="120"/>
        <v>0</v>
      </c>
      <c r="GB5" t="str">
        <f t="shared" si="121"/>
        <v>AND</v>
      </c>
      <c r="GC5" t="str">
        <f t="shared" si="122"/>
        <v>AND</v>
      </c>
      <c r="GD5">
        <v>4</v>
      </c>
      <c r="GE5" t="s">
        <v>48</v>
      </c>
      <c r="GF5" t="s">
        <v>50</v>
      </c>
      <c r="GI5">
        <v>45688</v>
      </c>
      <c r="GJ5" t="str">
        <f t="shared" si="123"/>
        <v>forty five thousand six hundred and eighty eight</v>
      </c>
      <c r="GK5" t="str">
        <f t="shared" si="124"/>
        <v>Forty Five THOUSAND Six HUNDRED AND Eighty Eight</v>
      </c>
      <c r="GL5" t="str">
        <f t="shared" si="125"/>
        <v xml:space="preserve">    Forty  Five  THOUSAND Six HUNDRED AND Eighty Eight</v>
      </c>
      <c r="GM5">
        <f t="shared" si="126"/>
        <v>0.45688000000000001</v>
      </c>
      <c r="GN5">
        <f t="shared" si="127"/>
        <v>0</v>
      </c>
      <c r="GO5">
        <f t="shared" si="128"/>
        <v>45.688000000000002</v>
      </c>
      <c r="GP5">
        <f t="shared" si="129"/>
        <v>45</v>
      </c>
      <c r="GQ5">
        <f t="shared" si="130"/>
        <v>45</v>
      </c>
      <c r="GR5">
        <f t="shared" si="131"/>
        <v>456.88</v>
      </c>
      <c r="GS5">
        <f t="shared" si="132"/>
        <v>456</v>
      </c>
      <c r="GT5">
        <f t="shared" si="133"/>
        <v>6</v>
      </c>
      <c r="GU5">
        <f t="shared" si="134"/>
        <v>88</v>
      </c>
      <c r="GV5" t="str">
        <f t="shared" si="135"/>
        <v>ZERO</v>
      </c>
      <c r="GW5" t="str">
        <f t="shared" si="136"/>
        <v xml:space="preserve">Forty  Five </v>
      </c>
      <c r="GX5" t="str">
        <f t="shared" si="137"/>
        <v>Six</v>
      </c>
      <c r="GY5" t="str">
        <f t="shared" si="138"/>
        <v>Eighty Eight</v>
      </c>
      <c r="GZ5" t="str">
        <f t="shared" si="139"/>
        <v xml:space="preserve"> </v>
      </c>
      <c r="HA5" t="str">
        <f t="shared" si="140"/>
        <v xml:space="preserve"> </v>
      </c>
      <c r="HB5" t="str">
        <f t="shared" si="141"/>
        <v xml:space="preserve">Forty  Five </v>
      </c>
      <c r="HC5" t="str">
        <f t="shared" si="142"/>
        <v>THOUSAND</v>
      </c>
      <c r="HD5" t="str">
        <f t="shared" si="143"/>
        <v>Six</v>
      </c>
      <c r="HE5" t="str">
        <f t="shared" si="144"/>
        <v>HUNDRED</v>
      </c>
      <c r="HF5" t="str">
        <f t="shared" si="145"/>
        <v>Eighty Eight</v>
      </c>
      <c r="HG5" t="b">
        <f t="shared" si="146"/>
        <v>0</v>
      </c>
      <c r="HH5" t="str">
        <f t="shared" si="147"/>
        <v>AND</v>
      </c>
      <c r="HI5" t="str">
        <f t="shared" si="148"/>
        <v>AND</v>
      </c>
      <c r="HJ5">
        <v>4</v>
      </c>
      <c r="HK5" t="s">
        <v>48</v>
      </c>
      <c r="HL5" t="s">
        <v>50</v>
      </c>
      <c r="HO5">
        <v>45688</v>
      </c>
      <c r="HP5" t="str">
        <f t="shared" si="149"/>
        <v>forty five thousand six hundred and eighty eight</v>
      </c>
      <c r="HQ5" t="str">
        <f t="shared" si="150"/>
        <v>Forty Five THOUSAND Six HUNDRED AND Eighty Eight</v>
      </c>
      <c r="HR5" t="str">
        <f t="shared" si="151"/>
        <v xml:space="preserve">    Forty  Five  THOUSAND Six HUNDRED AND Eighty Eight</v>
      </c>
      <c r="HS5">
        <f t="shared" si="152"/>
        <v>0.45688000000000001</v>
      </c>
      <c r="HT5">
        <f t="shared" si="153"/>
        <v>0</v>
      </c>
      <c r="HU5">
        <f t="shared" si="154"/>
        <v>45.688000000000002</v>
      </c>
      <c r="HV5">
        <f t="shared" si="155"/>
        <v>45</v>
      </c>
      <c r="HW5">
        <f t="shared" si="156"/>
        <v>45</v>
      </c>
      <c r="HX5">
        <f t="shared" si="157"/>
        <v>456.88</v>
      </c>
      <c r="HY5">
        <f t="shared" si="158"/>
        <v>456</v>
      </c>
      <c r="HZ5">
        <f t="shared" si="159"/>
        <v>6</v>
      </c>
      <c r="IA5">
        <f t="shared" si="160"/>
        <v>88</v>
      </c>
      <c r="IB5" t="str">
        <f t="shared" si="161"/>
        <v>ZERO</v>
      </c>
      <c r="IC5" t="str">
        <f t="shared" si="162"/>
        <v xml:space="preserve">Forty  Five </v>
      </c>
      <c r="ID5" t="str">
        <f t="shared" si="163"/>
        <v>Six</v>
      </c>
      <c r="IE5" t="str">
        <f t="shared" si="164"/>
        <v>Eighty Eight</v>
      </c>
      <c r="IF5" t="str">
        <f t="shared" si="165"/>
        <v xml:space="preserve"> </v>
      </c>
      <c r="IG5" t="str">
        <f t="shared" si="166"/>
        <v xml:space="preserve"> </v>
      </c>
      <c r="IH5" t="str">
        <f t="shared" si="167"/>
        <v xml:space="preserve">Forty  Five </v>
      </c>
      <c r="II5" t="str">
        <f t="shared" si="168"/>
        <v>THOUSAND</v>
      </c>
      <c r="IJ5" t="str">
        <f t="shared" si="169"/>
        <v>Six</v>
      </c>
      <c r="IK5" t="str">
        <f t="shared" si="170"/>
        <v>HUNDRED</v>
      </c>
      <c r="IL5" t="str">
        <f t="shared" si="171"/>
        <v>Eighty Eight</v>
      </c>
      <c r="IM5" t="b">
        <f t="shared" si="172"/>
        <v>0</v>
      </c>
      <c r="IN5" t="str">
        <f t="shared" si="173"/>
        <v>AND</v>
      </c>
      <c r="IO5" t="str">
        <f t="shared" si="174"/>
        <v>AND</v>
      </c>
      <c r="IP5">
        <v>4</v>
      </c>
      <c r="IQ5" t="s">
        <v>48</v>
      </c>
      <c r="IR5" t="s">
        <v>50</v>
      </c>
      <c r="IU5">
        <v>45688</v>
      </c>
      <c r="IV5" t="e">
        <f>LOWER(#REF!)</f>
        <v>#REF!</v>
      </c>
    </row>
    <row r="6" spans="1:256">
      <c r="A6" s="9"/>
      <c r="B6" s="18" t="str">
        <f t="shared" si="175"/>
        <v xml:space="preserve">               </v>
      </c>
      <c r="C6" s="18">
        <f t="shared" si="0"/>
        <v>0</v>
      </c>
      <c r="D6" s="18">
        <f t="shared" si="1"/>
        <v>0</v>
      </c>
      <c r="E6" s="18">
        <f t="shared" si="2"/>
        <v>0</v>
      </c>
      <c r="F6" s="18">
        <f t="shared" si="3"/>
        <v>0</v>
      </c>
      <c r="G6" s="18">
        <f t="shared" si="4"/>
        <v>0</v>
      </c>
      <c r="H6" s="18">
        <f t="shared" si="5"/>
        <v>0</v>
      </c>
      <c r="I6" s="18">
        <f t="shared" si="6"/>
        <v>0</v>
      </c>
      <c r="J6" s="18">
        <f t="shared" si="7"/>
        <v>0</v>
      </c>
      <c r="K6" s="18">
        <f t="shared" si="8"/>
        <v>0</v>
      </c>
      <c r="L6" t="str">
        <f t="shared" si="9"/>
        <v>Zero</v>
      </c>
      <c r="M6" t="str">
        <f t="shared" si="10"/>
        <v>Zero</v>
      </c>
      <c r="N6" t="str">
        <f t="shared" si="11"/>
        <v>Zero</v>
      </c>
      <c r="O6" t="str">
        <f t="shared" si="12"/>
        <v>Zero</v>
      </c>
      <c r="P6" t="str">
        <f t="shared" si="13"/>
        <v xml:space="preserve"> </v>
      </c>
      <c r="Q6" t="str">
        <f t="shared" si="176"/>
        <v xml:space="preserve"> </v>
      </c>
      <c r="R6" t="str">
        <f t="shared" si="14"/>
        <v xml:space="preserve"> </v>
      </c>
      <c r="S6" t="str">
        <f t="shared" si="177"/>
        <v xml:space="preserve"> </v>
      </c>
      <c r="T6" s="18" t="str">
        <f t="shared" si="15"/>
        <v xml:space="preserve"> </v>
      </c>
      <c r="U6" s="18" t="str">
        <f t="shared" si="178"/>
        <v xml:space="preserve"> </v>
      </c>
      <c r="V6" s="18" t="str">
        <f t="shared" si="16"/>
        <v xml:space="preserve"> </v>
      </c>
      <c r="W6" s="19" t="b">
        <f t="shared" si="17"/>
        <v>1</v>
      </c>
      <c r="X6" s="19" t="str">
        <f t="shared" si="179"/>
        <v xml:space="preserve"> </v>
      </c>
      <c r="Y6" s="18" t="str">
        <f t="shared" si="18"/>
        <v xml:space="preserve"> </v>
      </c>
      <c r="Z6">
        <v>5</v>
      </c>
      <c r="AA6" s="15" t="s">
        <v>51</v>
      </c>
      <c r="AB6" s="15"/>
      <c r="BK6">
        <v>45689</v>
      </c>
      <c r="BL6" t="str">
        <f t="shared" si="19"/>
        <v>forty five thousand six hundred and eighty nine</v>
      </c>
      <c r="BM6" t="str">
        <f t="shared" si="20"/>
        <v>Forty Five THOUSAND Six HUNDRED AND Eighty Nine</v>
      </c>
      <c r="BN6" t="str">
        <f t="shared" si="21"/>
        <v xml:space="preserve">    Forty  Five  THOUSAND Six HUNDRED AND Eighty Nine</v>
      </c>
      <c r="BO6">
        <f t="shared" si="22"/>
        <v>0.45689000000000002</v>
      </c>
      <c r="BP6">
        <f t="shared" si="23"/>
        <v>0</v>
      </c>
      <c r="BQ6">
        <f t="shared" si="24"/>
        <v>45.689</v>
      </c>
      <c r="BR6">
        <f t="shared" si="25"/>
        <v>45</v>
      </c>
      <c r="BS6">
        <f t="shared" si="26"/>
        <v>45</v>
      </c>
      <c r="BT6">
        <f t="shared" si="27"/>
        <v>456.89</v>
      </c>
      <c r="BU6">
        <f t="shared" si="28"/>
        <v>456</v>
      </c>
      <c r="BV6">
        <f t="shared" si="29"/>
        <v>6</v>
      </c>
      <c r="BW6">
        <f t="shared" si="30"/>
        <v>89</v>
      </c>
      <c r="BX6" t="str">
        <f t="shared" si="31"/>
        <v>ZERO</v>
      </c>
      <c r="BY6" t="str">
        <f t="shared" si="32"/>
        <v xml:space="preserve">Forty  Five </v>
      </c>
      <c r="BZ6" t="str">
        <f t="shared" si="33"/>
        <v>Six</v>
      </c>
      <c r="CA6" t="str">
        <f t="shared" si="34"/>
        <v>Eighty Nine</v>
      </c>
      <c r="CB6" t="str">
        <f t="shared" si="35"/>
        <v xml:space="preserve"> </v>
      </c>
      <c r="CC6" t="str">
        <f t="shared" si="36"/>
        <v xml:space="preserve"> </v>
      </c>
      <c r="CD6" t="str">
        <f t="shared" si="37"/>
        <v xml:space="preserve">Forty  Five </v>
      </c>
      <c r="CE6" t="str">
        <f t="shared" si="38"/>
        <v>THOUSAND</v>
      </c>
      <c r="CF6" t="str">
        <f t="shared" si="39"/>
        <v>Six</v>
      </c>
      <c r="CG6" t="str">
        <f t="shared" si="40"/>
        <v>HUNDRED</v>
      </c>
      <c r="CH6" t="str">
        <f t="shared" si="41"/>
        <v>Eighty Nine</v>
      </c>
      <c r="CI6" t="b">
        <f t="shared" si="42"/>
        <v>0</v>
      </c>
      <c r="CJ6" t="str">
        <f t="shared" si="43"/>
        <v>AND</v>
      </c>
      <c r="CK6" t="str">
        <f t="shared" si="44"/>
        <v>AND</v>
      </c>
      <c r="CL6">
        <v>5</v>
      </c>
      <c r="CM6" t="s">
        <v>52</v>
      </c>
      <c r="CQ6">
        <v>45689</v>
      </c>
      <c r="CR6" t="str">
        <f t="shared" si="45"/>
        <v>forty five thousand six hundred and eighty nine</v>
      </c>
      <c r="CS6" t="str">
        <f t="shared" si="46"/>
        <v>Forty Five THOUSAND Six HUNDRED AND Eighty Nine</v>
      </c>
      <c r="CT6" t="str">
        <f t="shared" si="47"/>
        <v xml:space="preserve">    Forty  Five  THOUSAND Six HUNDRED AND Eighty Nine</v>
      </c>
      <c r="CU6">
        <f t="shared" si="48"/>
        <v>0.45689000000000002</v>
      </c>
      <c r="CV6">
        <f t="shared" si="49"/>
        <v>0</v>
      </c>
      <c r="CW6">
        <f t="shared" si="50"/>
        <v>45.689</v>
      </c>
      <c r="CX6">
        <f t="shared" si="51"/>
        <v>45</v>
      </c>
      <c r="CY6">
        <f t="shared" si="52"/>
        <v>45</v>
      </c>
      <c r="CZ6">
        <f t="shared" si="53"/>
        <v>456.89</v>
      </c>
      <c r="DA6">
        <f t="shared" si="54"/>
        <v>456</v>
      </c>
      <c r="DB6">
        <f t="shared" si="55"/>
        <v>6</v>
      </c>
      <c r="DC6">
        <f t="shared" si="56"/>
        <v>89</v>
      </c>
      <c r="DD6" t="str">
        <f t="shared" si="57"/>
        <v>ZERO</v>
      </c>
      <c r="DE6" t="str">
        <f t="shared" si="58"/>
        <v xml:space="preserve">Forty  Five </v>
      </c>
      <c r="DF6" t="str">
        <f t="shared" si="59"/>
        <v>Six</v>
      </c>
      <c r="DG6" t="str">
        <f t="shared" si="60"/>
        <v>Eighty Nine</v>
      </c>
      <c r="DH6" t="str">
        <f t="shared" si="61"/>
        <v xml:space="preserve"> </v>
      </c>
      <c r="DI6" t="str">
        <f t="shared" si="62"/>
        <v xml:space="preserve"> </v>
      </c>
      <c r="DJ6" t="str">
        <f t="shared" si="63"/>
        <v xml:space="preserve">Forty  Five </v>
      </c>
      <c r="DK6" t="str">
        <f t="shared" si="64"/>
        <v>THOUSAND</v>
      </c>
      <c r="DL6" t="str">
        <f t="shared" si="65"/>
        <v>Six</v>
      </c>
      <c r="DM6" t="str">
        <f t="shared" si="66"/>
        <v>HUNDRED</v>
      </c>
      <c r="DN6" t="str">
        <f t="shared" si="67"/>
        <v>Eighty Nine</v>
      </c>
      <c r="DO6" t="b">
        <f t="shared" si="68"/>
        <v>0</v>
      </c>
      <c r="DP6" t="str">
        <f t="shared" si="69"/>
        <v>AND</v>
      </c>
      <c r="DQ6" t="str">
        <f t="shared" si="70"/>
        <v>AND</v>
      </c>
      <c r="DR6">
        <v>5</v>
      </c>
      <c r="DS6" t="s">
        <v>52</v>
      </c>
      <c r="DW6">
        <v>45689</v>
      </c>
      <c r="DX6" t="str">
        <f t="shared" si="71"/>
        <v>forty five thousand six hundred and eighty nine</v>
      </c>
      <c r="DY6" t="str">
        <f t="shared" si="72"/>
        <v>Forty Five THOUSAND Six HUNDRED AND Eighty Nine</v>
      </c>
      <c r="DZ6" t="str">
        <f t="shared" si="73"/>
        <v xml:space="preserve">    Forty  Five  THOUSAND Six HUNDRED AND Eighty Nine</v>
      </c>
      <c r="EA6">
        <f t="shared" si="74"/>
        <v>0.45689000000000002</v>
      </c>
      <c r="EB6">
        <f t="shared" si="75"/>
        <v>0</v>
      </c>
      <c r="EC6">
        <f t="shared" si="76"/>
        <v>45.689</v>
      </c>
      <c r="ED6">
        <f t="shared" si="77"/>
        <v>45</v>
      </c>
      <c r="EE6">
        <f t="shared" si="78"/>
        <v>45</v>
      </c>
      <c r="EF6">
        <f t="shared" si="79"/>
        <v>456.89</v>
      </c>
      <c r="EG6">
        <f t="shared" si="80"/>
        <v>456</v>
      </c>
      <c r="EH6">
        <f t="shared" si="81"/>
        <v>6</v>
      </c>
      <c r="EI6">
        <f t="shared" si="82"/>
        <v>89</v>
      </c>
      <c r="EJ6" t="str">
        <f t="shared" si="83"/>
        <v>ZERO</v>
      </c>
      <c r="EK6" t="str">
        <f t="shared" si="84"/>
        <v xml:space="preserve">Forty  Five </v>
      </c>
      <c r="EL6" t="str">
        <f t="shared" si="85"/>
        <v>Six</v>
      </c>
      <c r="EM6" t="str">
        <f t="shared" si="86"/>
        <v>Eighty Nine</v>
      </c>
      <c r="EN6" t="str">
        <f t="shared" si="87"/>
        <v xml:space="preserve"> </v>
      </c>
      <c r="EO6" t="str">
        <f t="shared" si="88"/>
        <v xml:space="preserve"> </v>
      </c>
      <c r="EP6" t="str">
        <f t="shared" si="89"/>
        <v xml:space="preserve">Forty  Five </v>
      </c>
      <c r="EQ6" t="str">
        <f t="shared" si="90"/>
        <v>THOUSAND</v>
      </c>
      <c r="ER6" t="str">
        <f t="shared" si="91"/>
        <v>Six</v>
      </c>
      <c r="ES6" t="str">
        <f t="shared" si="92"/>
        <v>HUNDRED</v>
      </c>
      <c r="ET6" t="str">
        <f t="shared" si="93"/>
        <v>Eighty Nine</v>
      </c>
      <c r="EU6" t="b">
        <f t="shared" si="94"/>
        <v>0</v>
      </c>
      <c r="EV6" t="str">
        <f t="shared" si="95"/>
        <v>AND</v>
      </c>
      <c r="EW6" t="str">
        <f t="shared" si="96"/>
        <v>AND</v>
      </c>
      <c r="EX6">
        <v>5</v>
      </c>
      <c r="EY6" t="s">
        <v>52</v>
      </c>
      <c r="FC6">
        <v>45689</v>
      </c>
      <c r="FD6" t="str">
        <f t="shared" si="97"/>
        <v>forty five thousand six hundred and eighty nine</v>
      </c>
      <c r="FE6" t="str">
        <f t="shared" si="98"/>
        <v>Forty Five THOUSAND Six HUNDRED AND Eighty Nine</v>
      </c>
      <c r="FF6" t="str">
        <f t="shared" si="99"/>
        <v xml:space="preserve">    Forty  Five  THOUSAND Six HUNDRED AND Eighty Nine</v>
      </c>
      <c r="FG6">
        <f t="shared" si="100"/>
        <v>0.45689000000000002</v>
      </c>
      <c r="FH6">
        <f t="shared" si="101"/>
        <v>0</v>
      </c>
      <c r="FI6">
        <f t="shared" si="102"/>
        <v>45.689</v>
      </c>
      <c r="FJ6">
        <f t="shared" si="103"/>
        <v>45</v>
      </c>
      <c r="FK6">
        <f t="shared" si="104"/>
        <v>45</v>
      </c>
      <c r="FL6">
        <f t="shared" si="105"/>
        <v>456.89</v>
      </c>
      <c r="FM6">
        <f t="shared" si="106"/>
        <v>456</v>
      </c>
      <c r="FN6">
        <f t="shared" si="107"/>
        <v>6</v>
      </c>
      <c r="FO6">
        <f t="shared" si="108"/>
        <v>89</v>
      </c>
      <c r="FP6" t="str">
        <f t="shared" si="109"/>
        <v>ZERO</v>
      </c>
      <c r="FQ6" t="str">
        <f t="shared" si="110"/>
        <v xml:space="preserve">Forty  Five </v>
      </c>
      <c r="FR6" t="str">
        <f t="shared" si="111"/>
        <v>Six</v>
      </c>
      <c r="FS6" t="str">
        <f t="shared" si="112"/>
        <v>Eighty Nine</v>
      </c>
      <c r="FT6" t="str">
        <f t="shared" si="113"/>
        <v xml:space="preserve"> </v>
      </c>
      <c r="FU6" t="str">
        <f t="shared" si="114"/>
        <v xml:space="preserve"> </v>
      </c>
      <c r="FV6" t="str">
        <f t="shared" si="115"/>
        <v xml:space="preserve">Forty  Five </v>
      </c>
      <c r="FW6" t="str">
        <f t="shared" si="116"/>
        <v>THOUSAND</v>
      </c>
      <c r="FX6" t="str">
        <f t="shared" si="117"/>
        <v>Six</v>
      </c>
      <c r="FY6" t="str">
        <f t="shared" si="118"/>
        <v>HUNDRED</v>
      </c>
      <c r="FZ6" t="str">
        <f t="shared" si="119"/>
        <v>Eighty Nine</v>
      </c>
      <c r="GA6" t="b">
        <f t="shared" si="120"/>
        <v>0</v>
      </c>
      <c r="GB6" t="str">
        <f t="shared" si="121"/>
        <v>AND</v>
      </c>
      <c r="GC6" t="str">
        <f t="shared" si="122"/>
        <v>AND</v>
      </c>
      <c r="GD6">
        <v>5</v>
      </c>
      <c r="GE6" t="s">
        <v>52</v>
      </c>
      <c r="GI6">
        <v>45689</v>
      </c>
      <c r="GJ6" t="str">
        <f t="shared" si="123"/>
        <v>forty five thousand six hundred and eighty nine</v>
      </c>
      <c r="GK6" t="str">
        <f t="shared" si="124"/>
        <v>Forty Five THOUSAND Six HUNDRED AND Eighty Nine</v>
      </c>
      <c r="GL6" t="str">
        <f t="shared" si="125"/>
        <v xml:space="preserve">    Forty  Five  THOUSAND Six HUNDRED AND Eighty Nine</v>
      </c>
      <c r="GM6">
        <f t="shared" si="126"/>
        <v>0.45689000000000002</v>
      </c>
      <c r="GN6">
        <f t="shared" si="127"/>
        <v>0</v>
      </c>
      <c r="GO6">
        <f t="shared" si="128"/>
        <v>45.689</v>
      </c>
      <c r="GP6">
        <f t="shared" si="129"/>
        <v>45</v>
      </c>
      <c r="GQ6">
        <f t="shared" si="130"/>
        <v>45</v>
      </c>
      <c r="GR6">
        <f t="shared" si="131"/>
        <v>456.89</v>
      </c>
      <c r="GS6">
        <f t="shared" si="132"/>
        <v>456</v>
      </c>
      <c r="GT6">
        <f t="shared" si="133"/>
        <v>6</v>
      </c>
      <c r="GU6">
        <f t="shared" si="134"/>
        <v>89</v>
      </c>
      <c r="GV6" t="str">
        <f t="shared" si="135"/>
        <v>ZERO</v>
      </c>
      <c r="GW6" t="str">
        <f t="shared" si="136"/>
        <v xml:space="preserve">Forty  Five </v>
      </c>
      <c r="GX6" t="str">
        <f t="shared" si="137"/>
        <v>Six</v>
      </c>
      <c r="GY6" t="str">
        <f t="shared" si="138"/>
        <v>Eighty Nine</v>
      </c>
      <c r="GZ6" t="str">
        <f t="shared" si="139"/>
        <v xml:space="preserve"> </v>
      </c>
      <c r="HA6" t="str">
        <f t="shared" si="140"/>
        <v xml:space="preserve"> </v>
      </c>
      <c r="HB6" t="str">
        <f t="shared" si="141"/>
        <v xml:space="preserve">Forty  Five </v>
      </c>
      <c r="HC6" t="str">
        <f t="shared" si="142"/>
        <v>THOUSAND</v>
      </c>
      <c r="HD6" t="str">
        <f t="shared" si="143"/>
        <v>Six</v>
      </c>
      <c r="HE6" t="str">
        <f t="shared" si="144"/>
        <v>HUNDRED</v>
      </c>
      <c r="HF6" t="str">
        <f t="shared" si="145"/>
        <v>Eighty Nine</v>
      </c>
      <c r="HG6" t="b">
        <f t="shared" si="146"/>
        <v>0</v>
      </c>
      <c r="HH6" t="str">
        <f t="shared" si="147"/>
        <v>AND</v>
      </c>
      <c r="HI6" t="str">
        <f t="shared" si="148"/>
        <v>AND</v>
      </c>
      <c r="HJ6">
        <v>5</v>
      </c>
      <c r="HK6" t="s">
        <v>52</v>
      </c>
      <c r="HO6">
        <v>45689</v>
      </c>
      <c r="HP6" t="str">
        <f t="shared" si="149"/>
        <v>forty five thousand six hundred and eighty nine</v>
      </c>
      <c r="HQ6" t="str">
        <f t="shared" si="150"/>
        <v>Forty Five THOUSAND Six HUNDRED AND Eighty Nine</v>
      </c>
      <c r="HR6" t="str">
        <f t="shared" si="151"/>
        <v xml:space="preserve">    Forty  Five  THOUSAND Six HUNDRED AND Eighty Nine</v>
      </c>
      <c r="HS6">
        <f t="shared" si="152"/>
        <v>0.45689000000000002</v>
      </c>
      <c r="HT6">
        <f t="shared" si="153"/>
        <v>0</v>
      </c>
      <c r="HU6">
        <f t="shared" si="154"/>
        <v>45.689</v>
      </c>
      <c r="HV6">
        <f t="shared" si="155"/>
        <v>45</v>
      </c>
      <c r="HW6">
        <f t="shared" si="156"/>
        <v>45</v>
      </c>
      <c r="HX6">
        <f t="shared" si="157"/>
        <v>456.89</v>
      </c>
      <c r="HY6">
        <f t="shared" si="158"/>
        <v>456</v>
      </c>
      <c r="HZ6">
        <f t="shared" si="159"/>
        <v>6</v>
      </c>
      <c r="IA6">
        <f t="shared" si="160"/>
        <v>89</v>
      </c>
      <c r="IB6" t="str">
        <f t="shared" si="161"/>
        <v>ZERO</v>
      </c>
      <c r="IC6" t="str">
        <f t="shared" si="162"/>
        <v xml:space="preserve">Forty  Five </v>
      </c>
      <c r="ID6" t="str">
        <f t="shared" si="163"/>
        <v>Six</v>
      </c>
      <c r="IE6" t="str">
        <f t="shared" si="164"/>
        <v>Eighty Nine</v>
      </c>
      <c r="IF6" t="str">
        <f t="shared" si="165"/>
        <v xml:space="preserve"> </v>
      </c>
      <c r="IG6" t="str">
        <f t="shared" si="166"/>
        <v xml:space="preserve"> </v>
      </c>
      <c r="IH6" t="str">
        <f t="shared" si="167"/>
        <v xml:space="preserve">Forty  Five </v>
      </c>
      <c r="II6" t="str">
        <f t="shared" si="168"/>
        <v>THOUSAND</v>
      </c>
      <c r="IJ6" t="str">
        <f t="shared" si="169"/>
        <v>Six</v>
      </c>
      <c r="IK6" t="str">
        <f t="shared" si="170"/>
        <v>HUNDRED</v>
      </c>
      <c r="IL6" t="str">
        <f t="shared" si="171"/>
        <v>Eighty Nine</v>
      </c>
      <c r="IM6" t="b">
        <f t="shared" si="172"/>
        <v>0</v>
      </c>
      <c r="IN6" t="str">
        <f t="shared" si="173"/>
        <v>AND</v>
      </c>
      <c r="IO6" t="str">
        <f t="shared" si="174"/>
        <v>AND</v>
      </c>
      <c r="IP6">
        <v>5</v>
      </c>
      <c r="IQ6" t="s">
        <v>52</v>
      </c>
      <c r="IU6">
        <v>45689</v>
      </c>
      <c r="IV6" t="e">
        <f>LOWER(#REF!)</f>
        <v>#REF!</v>
      </c>
    </row>
    <row r="7" spans="1:256">
      <c r="A7" s="9"/>
      <c r="B7" s="18" t="str">
        <f t="shared" si="175"/>
        <v xml:space="preserve">               </v>
      </c>
      <c r="C7" s="18">
        <f t="shared" si="0"/>
        <v>0</v>
      </c>
      <c r="D7" s="18">
        <f t="shared" si="1"/>
        <v>0</v>
      </c>
      <c r="E7" s="18">
        <f t="shared" si="2"/>
        <v>0</v>
      </c>
      <c r="F7" s="18">
        <f t="shared" si="3"/>
        <v>0</v>
      </c>
      <c r="G7" s="18">
        <f t="shared" si="4"/>
        <v>0</v>
      </c>
      <c r="H7" s="18">
        <f t="shared" si="5"/>
        <v>0</v>
      </c>
      <c r="I7" s="18">
        <f t="shared" si="6"/>
        <v>0</v>
      </c>
      <c r="J7" s="18">
        <f t="shared" si="7"/>
        <v>0</v>
      </c>
      <c r="K7" s="18">
        <f t="shared" si="8"/>
        <v>0</v>
      </c>
      <c r="L7" t="str">
        <f t="shared" si="9"/>
        <v>Zero</v>
      </c>
      <c r="M7" t="str">
        <f t="shared" si="10"/>
        <v>Zero</v>
      </c>
      <c r="N7" t="str">
        <f t="shared" si="11"/>
        <v>Zero</v>
      </c>
      <c r="O7" t="str">
        <f t="shared" si="12"/>
        <v>Zero</v>
      </c>
      <c r="P7" t="str">
        <f t="shared" si="13"/>
        <v xml:space="preserve"> </v>
      </c>
      <c r="Q7" t="str">
        <f t="shared" si="176"/>
        <v xml:space="preserve"> </v>
      </c>
      <c r="R7" t="str">
        <f t="shared" si="14"/>
        <v xml:space="preserve"> </v>
      </c>
      <c r="S7" t="str">
        <f t="shared" si="177"/>
        <v xml:space="preserve"> </v>
      </c>
      <c r="T7" s="18" t="str">
        <f t="shared" si="15"/>
        <v xml:space="preserve"> </v>
      </c>
      <c r="U7" s="18" t="str">
        <f t="shared" si="178"/>
        <v xml:space="preserve"> </v>
      </c>
      <c r="V7" s="18" t="str">
        <f t="shared" si="16"/>
        <v xml:space="preserve"> </v>
      </c>
      <c r="W7" s="19" t="b">
        <f t="shared" si="17"/>
        <v>1</v>
      </c>
      <c r="X7" s="19" t="str">
        <f t="shared" si="179"/>
        <v xml:space="preserve"> </v>
      </c>
      <c r="Y7" s="18" t="str">
        <f t="shared" si="18"/>
        <v xml:space="preserve"> </v>
      </c>
      <c r="Z7">
        <v>6</v>
      </c>
      <c r="AA7" s="15" t="s">
        <v>53</v>
      </c>
      <c r="AB7" s="15"/>
      <c r="BK7">
        <v>45690</v>
      </c>
      <c r="BL7" t="str">
        <f t="shared" si="19"/>
        <v>forty five thousand six hundred and ninety</v>
      </c>
      <c r="BM7" t="str">
        <f t="shared" si="20"/>
        <v>Forty Five THOUSAND Six HUNDRED AND Ninety</v>
      </c>
      <c r="BN7" t="str">
        <f t="shared" si="21"/>
        <v xml:space="preserve">    Forty  Five  THOUSAND Six HUNDRED AND Ninety</v>
      </c>
      <c r="BO7">
        <f t="shared" si="22"/>
        <v>0.45689999999999997</v>
      </c>
      <c r="BP7">
        <f t="shared" si="23"/>
        <v>0</v>
      </c>
      <c r="BQ7">
        <f t="shared" si="24"/>
        <v>45.69</v>
      </c>
      <c r="BR7">
        <f t="shared" si="25"/>
        <v>45</v>
      </c>
      <c r="BS7">
        <f t="shared" si="26"/>
        <v>45</v>
      </c>
      <c r="BT7">
        <f t="shared" si="27"/>
        <v>456.9</v>
      </c>
      <c r="BU7">
        <f t="shared" si="28"/>
        <v>456</v>
      </c>
      <c r="BV7">
        <f t="shared" si="29"/>
        <v>6</v>
      </c>
      <c r="BW7">
        <f t="shared" si="30"/>
        <v>90</v>
      </c>
      <c r="BX7" t="str">
        <f t="shared" si="31"/>
        <v>ZERO</v>
      </c>
      <c r="BY7" t="str">
        <f t="shared" si="32"/>
        <v xml:space="preserve">Forty  Five </v>
      </c>
      <c r="BZ7" t="str">
        <f t="shared" si="33"/>
        <v>Six</v>
      </c>
      <c r="CA7" t="str">
        <f t="shared" si="34"/>
        <v>Ninety</v>
      </c>
      <c r="CB7" t="str">
        <f t="shared" si="35"/>
        <v xml:space="preserve"> </v>
      </c>
      <c r="CC7" t="str">
        <f t="shared" si="36"/>
        <v xml:space="preserve"> </v>
      </c>
      <c r="CD7" t="str">
        <f t="shared" si="37"/>
        <v xml:space="preserve">Forty  Five </v>
      </c>
      <c r="CE7" t="str">
        <f t="shared" si="38"/>
        <v>THOUSAND</v>
      </c>
      <c r="CF7" t="str">
        <f t="shared" si="39"/>
        <v>Six</v>
      </c>
      <c r="CG7" t="str">
        <f t="shared" si="40"/>
        <v>HUNDRED</v>
      </c>
      <c r="CH7" t="str">
        <f t="shared" si="41"/>
        <v>Ninety</v>
      </c>
      <c r="CI7" t="b">
        <f t="shared" si="42"/>
        <v>0</v>
      </c>
      <c r="CJ7" t="str">
        <f t="shared" si="43"/>
        <v>AND</v>
      </c>
      <c r="CK7" t="str">
        <f t="shared" si="44"/>
        <v>AND</v>
      </c>
      <c r="CL7">
        <v>6</v>
      </c>
      <c r="CM7" t="s">
        <v>53</v>
      </c>
      <c r="CQ7">
        <v>45690</v>
      </c>
      <c r="CR7" t="str">
        <f t="shared" si="45"/>
        <v>forty five thousand six hundred and ninety</v>
      </c>
      <c r="CS7" t="str">
        <f t="shared" si="46"/>
        <v>Forty Five THOUSAND Six HUNDRED AND Ninety</v>
      </c>
      <c r="CT7" t="str">
        <f t="shared" si="47"/>
        <v xml:space="preserve">    Forty  Five  THOUSAND Six HUNDRED AND Ninety</v>
      </c>
      <c r="CU7">
        <f t="shared" si="48"/>
        <v>0.45689999999999997</v>
      </c>
      <c r="CV7">
        <f t="shared" si="49"/>
        <v>0</v>
      </c>
      <c r="CW7">
        <f t="shared" si="50"/>
        <v>45.69</v>
      </c>
      <c r="CX7">
        <f t="shared" si="51"/>
        <v>45</v>
      </c>
      <c r="CY7">
        <f t="shared" si="52"/>
        <v>45</v>
      </c>
      <c r="CZ7">
        <f t="shared" si="53"/>
        <v>456.9</v>
      </c>
      <c r="DA7">
        <f t="shared" si="54"/>
        <v>456</v>
      </c>
      <c r="DB7">
        <f t="shared" si="55"/>
        <v>6</v>
      </c>
      <c r="DC7">
        <f t="shared" si="56"/>
        <v>90</v>
      </c>
      <c r="DD7" t="str">
        <f t="shared" si="57"/>
        <v>ZERO</v>
      </c>
      <c r="DE7" t="str">
        <f t="shared" si="58"/>
        <v xml:space="preserve">Forty  Five </v>
      </c>
      <c r="DF7" t="str">
        <f t="shared" si="59"/>
        <v>Six</v>
      </c>
      <c r="DG7" t="str">
        <f t="shared" si="60"/>
        <v>Ninety</v>
      </c>
      <c r="DH7" t="str">
        <f t="shared" si="61"/>
        <v xml:space="preserve"> </v>
      </c>
      <c r="DI7" t="str">
        <f t="shared" si="62"/>
        <v xml:space="preserve"> </v>
      </c>
      <c r="DJ7" t="str">
        <f t="shared" si="63"/>
        <v xml:space="preserve">Forty  Five </v>
      </c>
      <c r="DK7" t="str">
        <f t="shared" si="64"/>
        <v>THOUSAND</v>
      </c>
      <c r="DL7" t="str">
        <f t="shared" si="65"/>
        <v>Six</v>
      </c>
      <c r="DM7" t="str">
        <f t="shared" si="66"/>
        <v>HUNDRED</v>
      </c>
      <c r="DN7" t="str">
        <f t="shared" si="67"/>
        <v>Ninety</v>
      </c>
      <c r="DO7" t="b">
        <f t="shared" si="68"/>
        <v>0</v>
      </c>
      <c r="DP7" t="str">
        <f t="shared" si="69"/>
        <v>AND</v>
      </c>
      <c r="DQ7" t="str">
        <f t="shared" si="70"/>
        <v>AND</v>
      </c>
      <c r="DR7">
        <v>6</v>
      </c>
      <c r="DS7" t="s">
        <v>53</v>
      </c>
      <c r="DW7">
        <v>45690</v>
      </c>
      <c r="DX7" t="str">
        <f t="shared" si="71"/>
        <v>forty five thousand six hundred and ninety</v>
      </c>
      <c r="DY7" t="str">
        <f t="shared" si="72"/>
        <v>Forty Five THOUSAND Six HUNDRED AND Ninety</v>
      </c>
      <c r="DZ7" t="str">
        <f t="shared" si="73"/>
        <v xml:space="preserve">    Forty  Five  THOUSAND Six HUNDRED AND Ninety</v>
      </c>
      <c r="EA7">
        <f t="shared" si="74"/>
        <v>0.45689999999999997</v>
      </c>
      <c r="EB7">
        <f t="shared" si="75"/>
        <v>0</v>
      </c>
      <c r="EC7">
        <f t="shared" si="76"/>
        <v>45.69</v>
      </c>
      <c r="ED7">
        <f t="shared" si="77"/>
        <v>45</v>
      </c>
      <c r="EE7">
        <f t="shared" si="78"/>
        <v>45</v>
      </c>
      <c r="EF7">
        <f t="shared" si="79"/>
        <v>456.9</v>
      </c>
      <c r="EG7">
        <f t="shared" si="80"/>
        <v>456</v>
      </c>
      <c r="EH7">
        <f t="shared" si="81"/>
        <v>6</v>
      </c>
      <c r="EI7">
        <f t="shared" si="82"/>
        <v>90</v>
      </c>
      <c r="EJ7" t="str">
        <f t="shared" si="83"/>
        <v>ZERO</v>
      </c>
      <c r="EK7" t="str">
        <f t="shared" si="84"/>
        <v xml:space="preserve">Forty  Five </v>
      </c>
      <c r="EL7" t="str">
        <f t="shared" si="85"/>
        <v>Six</v>
      </c>
      <c r="EM7" t="str">
        <f t="shared" si="86"/>
        <v>Ninety</v>
      </c>
      <c r="EN7" t="str">
        <f t="shared" si="87"/>
        <v xml:space="preserve"> </v>
      </c>
      <c r="EO7" t="str">
        <f t="shared" si="88"/>
        <v xml:space="preserve"> </v>
      </c>
      <c r="EP7" t="str">
        <f t="shared" si="89"/>
        <v xml:space="preserve">Forty  Five </v>
      </c>
      <c r="EQ7" t="str">
        <f t="shared" si="90"/>
        <v>THOUSAND</v>
      </c>
      <c r="ER7" t="str">
        <f t="shared" si="91"/>
        <v>Six</v>
      </c>
      <c r="ES7" t="str">
        <f t="shared" si="92"/>
        <v>HUNDRED</v>
      </c>
      <c r="ET7" t="str">
        <f t="shared" si="93"/>
        <v>Ninety</v>
      </c>
      <c r="EU7" t="b">
        <f t="shared" si="94"/>
        <v>0</v>
      </c>
      <c r="EV7" t="str">
        <f t="shared" si="95"/>
        <v>AND</v>
      </c>
      <c r="EW7" t="str">
        <f t="shared" si="96"/>
        <v>AND</v>
      </c>
      <c r="EX7">
        <v>6</v>
      </c>
      <c r="EY7" t="s">
        <v>53</v>
      </c>
      <c r="FC7">
        <v>45690</v>
      </c>
      <c r="FD7" t="str">
        <f t="shared" si="97"/>
        <v>forty five thousand six hundred and ninety</v>
      </c>
      <c r="FE7" t="str">
        <f t="shared" si="98"/>
        <v>Forty Five THOUSAND Six HUNDRED AND Ninety</v>
      </c>
      <c r="FF7" t="str">
        <f t="shared" si="99"/>
        <v xml:space="preserve">    Forty  Five  THOUSAND Six HUNDRED AND Ninety</v>
      </c>
      <c r="FG7">
        <f t="shared" si="100"/>
        <v>0.45689999999999997</v>
      </c>
      <c r="FH7">
        <f t="shared" si="101"/>
        <v>0</v>
      </c>
      <c r="FI7">
        <f t="shared" si="102"/>
        <v>45.69</v>
      </c>
      <c r="FJ7">
        <f t="shared" si="103"/>
        <v>45</v>
      </c>
      <c r="FK7">
        <f t="shared" si="104"/>
        <v>45</v>
      </c>
      <c r="FL7">
        <f t="shared" si="105"/>
        <v>456.9</v>
      </c>
      <c r="FM7">
        <f t="shared" si="106"/>
        <v>456</v>
      </c>
      <c r="FN7">
        <f t="shared" si="107"/>
        <v>6</v>
      </c>
      <c r="FO7">
        <f t="shared" si="108"/>
        <v>90</v>
      </c>
      <c r="FP7" t="str">
        <f t="shared" si="109"/>
        <v>ZERO</v>
      </c>
      <c r="FQ7" t="str">
        <f t="shared" si="110"/>
        <v xml:space="preserve">Forty  Five </v>
      </c>
      <c r="FR7" t="str">
        <f t="shared" si="111"/>
        <v>Six</v>
      </c>
      <c r="FS7" t="str">
        <f t="shared" si="112"/>
        <v>Ninety</v>
      </c>
      <c r="FT7" t="str">
        <f t="shared" si="113"/>
        <v xml:space="preserve"> </v>
      </c>
      <c r="FU7" t="str">
        <f t="shared" si="114"/>
        <v xml:space="preserve"> </v>
      </c>
      <c r="FV7" t="str">
        <f t="shared" si="115"/>
        <v xml:space="preserve">Forty  Five </v>
      </c>
      <c r="FW7" t="str">
        <f t="shared" si="116"/>
        <v>THOUSAND</v>
      </c>
      <c r="FX7" t="str">
        <f t="shared" si="117"/>
        <v>Six</v>
      </c>
      <c r="FY7" t="str">
        <f t="shared" si="118"/>
        <v>HUNDRED</v>
      </c>
      <c r="FZ7" t="str">
        <f t="shared" si="119"/>
        <v>Ninety</v>
      </c>
      <c r="GA7" t="b">
        <f t="shared" si="120"/>
        <v>0</v>
      </c>
      <c r="GB7" t="str">
        <f t="shared" si="121"/>
        <v>AND</v>
      </c>
      <c r="GC7" t="str">
        <f t="shared" si="122"/>
        <v>AND</v>
      </c>
      <c r="GD7">
        <v>6</v>
      </c>
      <c r="GE7" t="s">
        <v>53</v>
      </c>
      <c r="GI7">
        <v>45690</v>
      </c>
      <c r="GJ7" t="str">
        <f t="shared" si="123"/>
        <v>forty five thousand six hundred and ninety</v>
      </c>
      <c r="GK7" t="str">
        <f t="shared" si="124"/>
        <v>Forty Five THOUSAND Six HUNDRED AND Ninety</v>
      </c>
      <c r="GL7" t="str">
        <f t="shared" si="125"/>
        <v xml:space="preserve">    Forty  Five  THOUSAND Six HUNDRED AND Ninety</v>
      </c>
      <c r="GM7">
        <f t="shared" si="126"/>
        <v>0.45689999999999997</v>
      </c>
      <c r="GN7">
        <f t="shared" si="127"/>
        <v>0</v>
      </c>
      <c r="GO7">
        <f t="shared" si="128"/>
        <v>45.69</v>
      </c>
      <c r="GP7">
        <f t="shared" si="129"/>
        <v>45</v>
      </c>
      <c r="GQ7">
        <f t="shared" si="130"/>
        <v>45</v>
      </c>
      <c r="GR7">
        <f t="shared" si="131"/>
        <v>456.9</v>
      </c>
      <c r="GS7">
        <f t="shared" si="132"/>
        <v>456</v>
      </c>
      <c r="GT7">
        <f t="shared" si="133"/>
        <v>6</v>
      </c>
      <c r="GU7">
        <f t="shared" si="134"/>
        <v>90</v>
      </c>
      <c r="GV7" t="str">
        <f t="shared" si="135"/>
        <v>ZERO</v>
      </c>
      <c r="GW7" t="str">
        <f t="shared" si="136"/>
        <v xml:space="preserve">Forty  Five </v>
      </c>
      <c r="GX7" t="str">
        <f t="shared" si="137"/>
        <v>Six</v>
      </c>
      <c r="GY7" t="str">
        <f t="shared" si="138"/>
        <v>Ninety</v>
      </c>
      <c r="GZ7" t="str">
        <f t="shared" si="139"/>
        <v xml:space="preserve"> </v>
      </c>
      <c r="HA7" t="str">
        <f t="shared" si="140"/>
        <v xml:space="preserve"> </v>
      </c>
      <c r="HB7" t="str">
        <f t="shared" si="141"/>
        <v xml:space="preserve">Forty  Five </v>
      </c>
      <c r="HC7" t="str">
        <f t="shared" si="142"/>
        <v>THOUSAND</v>
      </c>
      <c r="HD7" t="str">
        <f t="shared" si="143"/>
        <v>Six</v>
      </c>
      <c r="HE7" t="str">
        <f t="shared" si="144"/>
        <v>HUNDRED</v>
      </c>
      <c r="HF7" t="str">
        <f t="shared" si="145"/>
        <v>Ninety</v>
      </c>
      <c r="HG7" t="b">
        <f t="shared" si="146"/>
        <v>0</v>
      </c>
      <c r="HH7" t="str">
        <f t="shared" si="147"/>
        <v>AND</v>
      </c>
      <c r="HI7" t="str">
        <f t="shared" si="148"/>
        <v>AND</v>
      </c>
      <c r="HJ7">
        <v>6</v>
      </c>
      <c r="HK7" t="s">
        <v>53</v>
      </c>
      <c r="HO7">
        <v>45690</v>
      </c>
      <c r="HP7" t="str">
        <f t="shared" si="149"/>
        <v>forty five thousand six hundred and ninety</v>
      </c>
      <c r="HQ7" t="str">
        <f t="shared" si="150"/>
        <v>Forty Five THOUSAND Six HUNDRED AND Ninety</v>
      </c>
      <c r="HR7" t="str">
        <f t="shared" si="151"/>
        <v xml:space="preserve">    Forty  Five  THOUSAND Six HUNDRED AND Ninety</v>
      </c>
      <c r="HS7">
        <f t="shared" si="152"/>
        <v>0.45689999999999997</v>
      </c>
      <c r="HT7">
        <f t="shared" si="153"/>
        <v>0</v>
      </c>
      <c r="HU7">
        <f t="shared" si="154"/>
        <v>45.69</v>
      </c>
      <c r="HV7">
        <f t="shared" si="155"/>
        <v>45</v>
      </c>
      <c r="HW7">
        <f t="shared" si="156"/>
        <v>45</v>
      </c>
      <c r="HX7">
        <f t="shared" si="157"/>
        <v>456.9</v>
      </c>
      <c r="HY7">
        <f t="shared" si="158"/>
        <v>456</v>
      </c>
      <c r="HZ7">
        <f t="shared" si="159"/>
        <v>6</v>
      </c>
      <c r="IA7">
        <f t="shared" si="160"/>
        <v>90</v>
      </c>
      <c r="IB7" t="str">
        <f t="shared" si="161"/>
        <v>ZERO</v>
      </c>
      <c r="IC7" t="str">
        <f t="shared" si="162"/>
        <v xml:space="preserve">Forty  Five </v>
      </c>
      <c r="ID7" t="str">
        <f t="shared" si="163"/>
        <v>Six</v>
      </c>
      <c r="IE7" t="str">
        <f t="shared" si="164"/>
        <v>Ninety</v>
      </c>
      <c r="IF7" t="str">
        <f t="shared" si="165"/>
        <v xml:space="preserve"> </v>
      </c>
      <c r="IG7" t="str">
        <f t="shared" si="166"/>
        <v xml:space="preserve"> </v>
      </c>
      <c r="IH7" t="str">
        <f t="shared" si="167"/>
        <v xml:space="preserve">Forty  Five </v>
      </c>
      <c r="II7" t="str">
        <f t="shared" si="168"/>
        <v>THOUSAND</v>
      </c>
      <c r="IJ7" t="str">
        <f t="shared" si="169"/>
        <v>Six</v>
      </c>
      <c r="IK7" t="str">
        <f t="shared" si="170"/>
        <v>HUNDRED</v>
      </c>
      <c r="IL7" t="str">
        <f t="shared" si="171"/>
        <v>Ninety</v>
      </c>
      <c r="IM7" t="b">
        <f t="shared" si="172"/>
        <v>0</v>
      </c>
      <c r="IN7" t="str">
        <f t="shared" si="173"/>
        <v>AND</v>
      </c>
      <c r="IO7" t="str">
        <f t="shared" si="174"/>
        <v>AND</v>
      </c>
      <c r="IP7">
        <v>6</v>
      </c>
      <c r="IQ7" t="s">
        <v>53</v>
      </c>
      <c r="IU7">
        <v>45690</v>
      </c>
      <c r="IV7" t="e">
        <f>LOWER(#REF!)</f>
        <v>#REF!</v>
      </c>
    </row>
    <row r="8" spans="1:256">
      <c r="A8" s="9"/>
      <c r="B8" s="18" t="str">
        <f t="shared" si="175"/>
        <v xml:space="preserve">               </v>
      </c>
      <c r="C8" s="18">
        <f t="shared" si="0"/>
        <v>0</v>
      </c>
      <c r="D8" s="18">
        <f t="shared" si="1"/>
        <v>0</v>
      </c>
      <c r="E8" s="18">
        <f t="shared" si="2"/>
        <v>0</v>
      </c>
      <c r="F8" s="18">
        <f t="shared" si="3"/>
        <v>0</v>
      </c>
      <c r="G8" s="18">
        <f t="shared" si="4"/>
        <v>0</v>
      </c>
      <c r="H8" s="18">
        <f t="shared" si="5"/>
        <v>0</v>
      </c>
      <c r="I8" s="18">
        <f t="shared" si="6"/>
        <v>0</v>
      </c>
      <c r="J8" s="18">
        <f t="shared" si="7"/>
        <v>0</v>
      </c>
      <c r="K8" s="18">
        <f t="shared" si="8"/>
        <v>0</v>
      </c>
      <c r="L8" t="str">
        <f t="shared" si="9"/>
        <v>Zero</v>
      </c>
      <c r="M8" t="str">
        <f t="shared" si="10"/>
        <v>Zero</v>
      </c>
      <c r="N8" t="str">
        <f t="shared" si="11"/>
        <v>Zero</v>
      </c>
      <c r="O8" t="str">
        <f t="shared" si="12"/>
        <v>Zero</v>
      </c>
      <c r="P8" t="str">
        <f t="shared" si="13"/>
        <v xml:space="preserve"> </v>
      </c>
      <c r="Q8" t="str">
        <f t="shared" si="176"/>
        <v xml:space="preserve"> </v>
      </c>
      <c r="R8" t="str">
        <f t="shared" si="14"/>
        <v xml:space="preserve"> </v>
      </c>
      <c r="S8" t="str">
        <f t="shared" si="177"/>
        <v xml:space="preserve"> </v>
      </c>
      <c r="T8" s="18" t="str">
        <f t="shared" si="15"/>
        <v xml:space="preserve"> </v>
      </c>
      <c r="U8" s="18" t="str">
        <f t="shared" si="178"/>
        <v xml:space="preserve"> </v>
      </c>
      <c r="V8" s="18" t="str">
        <f t="shared" si="16"/>
        <v xml:space="preserve"> </v>
      </c>
      <c r="W8" s="19" t="b">
        <f t="shared" si="17"/>
        <v>1</v>
      </c>
      <c r="X8" s="19" t="str">
        <f t="shared" si="179"/>
        <v xml:space="preserve"> </v>
      </c>
      <c r="Y8" s="18" t="str">
        <f t="shared" si="18"/>
        <v xml:space="preserve"> </v>
      </c>
      <c r="Z8">
        <v>7</v>
      </c>
      <c r="AA8" s="15" t="s">
        <v>54</v>
      </c>
      <c r="AB8" s="15"/>
      <c r="BK8">
        <v>45691</v>
      </c>
      <c r="BL8" t="str">
        <f t="shared" si="19"/>
        <v>forty five thousand six hundred and ninety one</v>
      </c>
      <c r="BM8" t="str">
        <f t="shared" si="20"/>
        <v>Forty Five THOUSAND Six HUNDRED AND Ninety One</v>
      </c>
      <c r="BN8" t="str">
        <f t="shared" si="21"/>
        <v xml:space="preserve">    Forty  Five  THOUSAND Six HUNDRED AND Ninety One </v>
      </c>
      <c r="BO8">
        <f t="shared" si="22"/>
        <v>0.45690999999999998</v>
      </c>
      <c r="BP8">
        <f t="shared" si="23"/>
        <v>0</v>
      </c>
      <c r="BQ8">
        <f t="shared" si="24"/>
        <v>45.691000000000003</v>
      </c>
      <c r="BR8">
        <f t="shared" si="25"/>
        <v>45</v>
      </c>
      <c r="BS8">
        <f t="shared" si="26"/>
        <v>45</v>
      </c>
      <c r="BT8">
        <f t="shared" si="27"/>
        <v>456.91</v>
      </c>
      <c r="BU8">
        <f t="shared" si="28"/>
        <v>456</v>
      </c>
      <c r="BV8">
        <f t="shared" si="29"/>
        <v>6</v>
      </c>
      <c r="BW8">
        <f t="shared" si="30"/>
        <v>91</v>
      </c>
      <c r="BX8" t="str">
        <f t="shared" si="31"/>
        <v>ZERO</v>
      </c>
      <c r="BY8" t="str">
        <f t="shared" si="32"/>
        <v xml:space="preserve">Forty  Five </v>
      </c>
      <c r="BZ8" t="str">
        <f t="shared" si="33"/>
        <v>Six</v>
      </c>
      <c r="CA8" t="str">
        <f t="shared" si="34"/>
        <v xml:space="preserve">Ninety One </v>
      </c>
      <c r="CB8" t="str">
        <f t="shared" si="35"/>
        <v xml:space="preserve"> </v>
      </c>
      <c r="CC8" t="str">
        <f t="shared" si="36"/>
        <v xml:space="preserve"> </v>
      </c>
      <c r="CD8" t="str">
        <f t="shared" si="37"/>
        <v xml:space="preserve">Forty  Five </v>
      </c>
      <c r="CE8" t="str">
        <f t="shared" si="38"/>
        <v>THOUSAND</v>
      </c>
      <c r="CF8" t="str">
        <f t="shared" si="39"/>
        <v>Six</v>
      </c>
      <c r="CG8" t="str">
        <f t="shared" si="40"/>
        <v>HUNDRED</v>
      </c>
      <c r="CH8" t="str">
        <f t="shared" si="41"/>
        <v xml:space="preserve">Ninety One </v>
      </c>
      <c r="CI8" t="b">
        <f t="shared" si="42"/>
        <v>0</v>
      </c>
      <c r="CJ8" t="str">
        <f t="shared" si="43"/>
        <v>AND</v>
      </c>
      <c r="CK8" t="str">
        <f t="shared" si="44"/>
        <v>AND</v>
      </c>
      <c r="CL8">
        <v>7</v>
      </c>
      <c r="CM8" t="s">
        <v>54</v>
      </c>
      <c r="CQ8">
        <v>45691</v>
      </c>
      <c r="CR8" t="str">
        <f t="shared" si="45"/>
        <v>forty five thousand six hundred and ninety one</v>
      </c>
      <c r="CS8" t="str">
        <f t="shared" si="46"/>
        <v>Forty Five THOUSAND Six HUNDRED AND Ninety One</v>
      </c>
      <c r="CT8" t="str">
        <f t="shared" si="47"/>
        <v xml:space="preserve">    Forty  Five  THOUSAND Six HUNDRED AND Ninety One </v>
      </c>
      <c r="CU8">
        <f t="shared" si="48"/>
        <v>0.45690999999999998</v>
      </c>
      <c r="CV8">
        <f t="shared" si="49"/>
        <v>0</v>
      </c>
      <c r="CW8">
        <f t="shared" si="50"/>
        <v>45.691000000000003</v>
      </c>
      <c r="CX8">
        <f t="shared" si="51"/>
        <v>45</v>
      </c>
      <c r="CY8">
        <f t="shared" si="52"/>
        <v>45</v>
      </c>
      <c r="CZ8">
        <f t="shared" si="53"/>
        <v>456.91</v>
      </c>
      <c r="DA8">
        <f t="shared" si="54"/>
        <v>456</v>
      </c>
      <c r="DB8">
        <f t="shared" si="55"/>
        <v>6</v>
      </c>
      <c r="DC8">
        <f t="shared" si="56"/>
        <v>91</v>
      </c>
      <c r="DD8" t="str">
        <f t="shared" si="57"/>
        <v>ZERO</v>
      </c>
      <c r="DE8" t="str">
        <f t="shared" si="58"/>
        <v xml:space="preserve">Forty  Five </v>
      </c>
      <c r="DF8" t="str">
        <f t="shared" si="59"/>
        <v>Six</v>
      </c>
      <c r="DG8" t="str">
        <f t="shared" si="60"/>
        <v xml:space="preserve">Ninety One </v>
      </c>
      <c r="DH8" t="str">
        <f t="shared" si="61"/>
        <v xml:space="preserve"> </v>
      </c>
      <c r="DI8" t="str">
        <f t="shared" si="62"/>
        <v xml:space="preserve"> </v>
      </c>
      <c r="DJ8" t="str">
        <f t="shared" si="63"/>
        <v xml:space="preserve">Forty  Five </v>
      </c>
      <c r="DK8" t="str">
        <f t="shared" si="64"/>
        <v>THOUSAND</v>
      </c>
      <c r="DL8" t="str">
        <f t="shared" si="65"/>
        <v>Six</v>
      </c>
      <c r="DM8" t="str">
        <f t="shared" si="66"/>
        <v>HUNDRED</v>
      </c>
      <c r="DN8" t="str">
        <f t="shared" si="67"/>
        <v xml:space="preserve">Ninety One </v>
      </c>
      <c r="DO8" t="b">
        <f t="shared" si="68"/>
        <v>0</v>
      </c>
      <c r="DP8" t="str">
        <f t="shared" si="69"/>
        <v>AND</v>
      </c>
      <c r="DQ8" t="str">
        <f t="shared" si="70"/>
        <v>AND</v>
      </c>
      <c r="DR8">
        <v>7</v>
      </c>
      <c r="DS8" t="s">
        <v>54</v>
      </c>
      <c r="DW8">
        <v>45691</v>
      </c>
      <c r="DX8" t="str">
        <f t="shared" si="71"/>
        <v>forty five thousand six hundred and ninety one</v>
      </c>
      <c r="DY8" t="str">
        <f t="shared" si="72"/>
        <v>Forty Five THOUSAND Six HUNDRED AND Ninety One</v>
      </c>
      <c r="DZ8" t="str">
        <f t="shared" si="73"/>
        <v xml:space="preserve">    Forty  Five  THOUSAND Six HUNDRED AND Ninety One </v>
      </c>
      <c r="EA8">
        <f t="shared" si="74"/>
        <v>0.45690999999999998</v>
      </c>
      <c r="EB8">
        <f t="shared" si="75"/>
        <v>0</v>
      </c>
      <c r="EC8">
        <f t="shared" si="76"/>
        <v>45.691000000000003</v>
      </c>
      <c r="ED8">
        <f t="shared" si="77"/>
        <v>45</v>
      </c>
      <c r="EE8">
        <f t="shared" si="78"/>
        <v>45</v>
      </c>
      <c r="EF8">
        <f t="shared" si="79"/>
        <v>456.91</v>
      </c>
      <c r="EG8">
        <f t="shared" si="80"/>
        <v>456</v>
      </c>
      <c r="EH8">
        <f t="shared" si="81"/>
        <v>6</v>
      </c>
      <c r="EI8">
        <f t="shared" si="82"/>
        <v>91</v>
      </c>
      <c r="EJ8" t="str">
        <f t="shared" si="83"/>
        <v>ZERO</v>
      </c>
      <c r="EK8" t="str">
        <f t="shared" si="84"/>
        <v xml:space="preserve">Forty  Five </v>
      </c>
      <c r="EL8" t="str">
        <f t="shared" si="85"/>
        <v>Six</v>
      </c>
      <c r="EM8" t="str">
        <f t="shared" si="86"/>
        <v xml:space="preserve">Ninety One </v>
      </c>
      <c r="EN8" t="str">
        <f t="shared" si="87"/>
        <v xml:space="preserve"> </v>
      </c>
      <c r="EO8" t="str">
        <f t="shared" si="88"/>
        <v xml:space="preserve"> </v>
      </c>
      <c r="EP8" t="str">
        <f t="shared" si="89"/>
        <v xml:space="preserve">Forty  Five </v>
      </c>
      <c r="EQ8" t="str">
        <f t="shared" si="90"/>
        <v>THOUSAND</v>
      </c>
      <c r="ER8" t="str">
        <f t="shared" si="91"/>
        <v>Six</v>
      </c>
      <c r="ES8" t="str">
        <f t="shared" si="92"/>
        <v>HUNDRED</v>
      </c>
      <c r="ET8" t="str">
        <f t="shared" si="93"/>
        <v xml:space="preserve">Ninety One </v>
      </c>
      <c r="EU8" t="b">
        <f t="shared" si="94"/>
        <v>0</v>
      </c>
      <c r="EV8" t="str">
        <f t="shared" si="95"/>
        <v>AND</v>
      </c>
      <c r="EW8" t="str">
        <f t="shared" si="96"/>
        <v>AND</v>
      </c>
      <c r="EX8">
        <v>7</v>
      </c>
      <c r="EY8" t="s">
        <v>54</v>
      </c>
      <c r="FC8">
        <v>45691</v>
      </c>
      <c r="FD8" t="str">
        <f t="shared" si="97"/>
        <v>forty five thousand six hundred and ninety one</v>
      </c>
      <c r="FE8" t="str">
        <f t="shared" si="98"/>
        <v>Forty Five THOUSAND Six HUNDRED AND Ninety One</v>
      </c>
      <c r="FF8" t="str">
        <f t="shared" si="99"/>
        <v xml:space="preserve">    Forty  Five  THOUSAND Six HUNDRED AND Ninety One </v>
      </c>
      <c r="FG8">
        <f t="shared" si="100"/>
        <v>0.45690999999999998</v>
      </c>
      <c r="FH8">
        <f t="shared" si="101"/>
        <v>0</v>
      </c>
      <c r="FI8">
        <f t="shared" si="102"/>
        <v>45.691000000000003</v>
      </c>
      <c r="FJ8">
        <f t="shared" si="103"/>
        <v>45</v>
      </c>
      <c r="FK8">
        <f t="shared" si="104"/>
        <v>45</v>
      </c>
      <c r="FL8">
        <f t="shared" si="105"/>
        <v>456.91</v>
      </c>
      <c r="FM8">
        <f t="shared" si="106"/>
        <v>456</v>
      </c>
      <c r="FN8">
        <f t="shared" si="107"/>
        <v>6</v>
      </c>
      <c r="FO8">
        <f t="shared" si="108"/>
        <v>91</v>
      </c>
      <c r="FP8" t="str">
        <f t="shared" si="109"/>
        <v>ZERO</v>
      </c>
      <c r="FQ8" t="str">
        <f t="shared" si="110"/>
        <v xml:space="preserve">Forty  Five </v>
      </c>
      <c r="FR8" t="str">
        <f t="shared" si="111"/>
        <v>Six</v>
      </c>
      <c r="FS8" t="str">
        <f t="shared" si="112"/>
        <v xml:space="preserve">Ninety One </v>
      </c>
      <c r="FT8" t="str">
        <f t="shared" si="113"/>
        <v xml:space="preserve"> </v>
      </c>
      <c r="FU8" t="str">
        <f t="shared" si="114"/>
        <v xml:space="preserve"> </v>
      </c>
      <c r="FV8" t="str">
        <f t="shared" si="115"/>
        <v xml:space="preserve">Forty  Five </v>
      </c>
      <c r="FW8" t="str">
        <f t="shared" si="116"/>
        <v>THOUSAND</v>
      </c>
      <c r="FX8" t="str">
        <f t="shared" si="117"/>
        <v>Six</v>
      </c>
      <c r="FY8" t="str">
        <f t="shared" si="118"/>
        <v>HUNDRED</v>
      </c>
      <c r="FZ8" t="str">
        <f t="shared" si="119"/>
        <v xml:space="preserve">Ninety One </v>
      </c>
      <c r="GA8" t="b">
        <f t="shared" si="120"/>
        <v>0</v>
      </c>
      <c r="GB8" t="str">
        <f t="shared" si="121"/>
        <v>AND</v>
      </c>
      <c r="GC8" t="str">
        <f t="shared" si="122"/>
        <v>AND</v>
      </c>
      <c r="GD8">
        <v>7</v>
      </c>
      <c r="GE8" t="s">
        <v>54</v>
      </c>
      <c r="GI8">
        <v>45691</v>
      </c>
      <c r="GJ8" t="str">
        <f t="shared" si="123"/>
        <v>forty five thousand six hundred and ninety one</v>
      </c>
      <c r="GK8" t="str">
        <f t="shared" si="124"/>
        <v>Forty Five THOUSAND Six HUNDRED AND Ninety One</v>
      </c>
      <c r="GL8" t="str">
        <f t="shared" si="125"/>
        <v xml:space="preserve">    Forty  Five  THOUSAND Six HUNDRED AND Ninety One </v>
      </c>
      <c r="GM8">
        <f t="shared" si="126"/>
        <v>0.45690999999999998</v>
      </c>
      <c r="GN8">
        <f t="shared" si="127"/>
        <v>0</v>
      </c>
      <c r="GO8">
        <f t="shared" si="128"/>
        <v>45.691000000000003</v>
      </c>
      <c r="GP8">
        <f t="shared" si="129"/>
        <v>45</v>
      </c>
      <c r="GQ8">
        <f t="shared" si="130"/>
        <v>45</v>
      </c>
      <c r="GR8">
        <f t="shared" si="131"/>
        <v>456.91</v>
      </c>
      <c r="GS8">
        <f t="shared" si="132"/>
        <v>456</v>
      </c>
      <c r="GT8">
        <f t="shared" si="133"/>
        <v>6</v>
      </c>
      <c r="GU8">
        <f t="shared" si="134"/>
        <v>91</v>
      </c>
      <c r="GV8" t="str">
        <f t="shared" si="135"/>
        <v>ZERO</v>
      </c>
      <c r="GW8" t="str">
        <f t="shared" si="136"/>
        <v xml:space="preserve">Forty  Five </v>
      </c>
      <c r="GX8" t="str">
        <f t="shared" si="137"/>
        <v>Six</v>
      </c>
      <c r="GY8" t="str">
        <f t="shared" si="138"/>
        <v xml:space="preserve">Ninety One </v>
      </c>
      <c r="GZ8" t="str">
        <f t="shared" si="139"/>
        <v xml:space="preserve"> </v>
      </c>
      <c r="HA8" t="str">
        <f t="shared" si="140"/>
        <v xml:space="preserve"> </v>
      </c>
      <c r="HB8" t="str">
        <f t="shared" si="141"/>
        <v xml:space="preserve">Forty  Five </v>
      </c>
      <c r="HC8" t="str">
        <f t="shared" si="142"/>
        <v>THOUSAND</v>
      </c>
      <c r="HD8" t="str">
        <f t="shared" si="143"/>
        <v>Six</v>
      </c>
      <c r="HE8" t="str">
        <f t="shared" si="144"/>
        <v>HUNDRED</v>
      </c>
      <c r="HF8" t="str">
        <f t="shared" si="145"/>
        <v xml:space="preserve">Ninety One </v>
      </c>
      <c r="HG8" t="b">
        <f t="shared" si="146"/>
        <v>0</v>
      </c>
      <c r="HH8" t="str">
        <f t="shared" si="147"/>
        <v>AND</v>
      </c>
      <c r="HI8" t="str">
        <f t="shared" si="148"/>
        <v>AND</v>
      </c>
      <c r="HJ8">
        <v>7</v>
      </c>
      <c r="HK8" t="s">
        <v>54</v>
      </c>
      <c r="HO8">
        <v>45691</v>
      </c>
      <c r="HP8" t="str">
        <f t="shared" si="149"/>
        <v>forty five thousand six hundred and ninety one</v>
      </c>
      <c r="HQ8" t="str">
        <f t="shared" si="150"/>
        <v>Forty Five THOUSAND Six HUNDRED AND Ninety One</v>
      </c>
      <c r="HR8" t="str">
        <f t="shared" si="151"/>
        <v xml:space="preserve">    Forty  Five  THOUSAND Six HUNDRED AND Ninety One </v>
      </c>
      <c r="HS8">
        <f t="shared" si="152"/>
        <v>0.45690999999999998</v>
      </c>
      <c r="HT8">
        <f t="shared" si="153"/>
        <v>0</v>
      </c>
      <c r="HU8">
        <f t="shared" si="154"/>
        <v>45.691000000000003</v>
      </c>
      <c r="HV8">
        <f t="shared" si="155"/>
        <v>45</v>
      </c>
      <c r="HW8">
        <f t="shared" si="156"/>
        <v>45</v>
      </c>
      <c r="HX8">
        <f t="shared" si="157"/>
        <v>456.91</v>
      </c>
      <c r="HY8">
        <f t="shared" si="158"/>
        <v>456</v>
      </c>
      <c r="HZ8">
        <f t="shared" si="159"/>
        <v>6</v>
      </c>
      <c r="IA8">
        <f t="shared" si="160"/>
        <v>91</v>
      </c>
      <c r="IB8" t="str">
        <f t="shared" si="161"/>
        <v>ZERO</v>
      </c>
      <c r="IC8" t="str">
        <f t="shared" si="162"/>
        <v xml:space="preserve">Forty  Five </v>
      </c>
      <c r="ID8" t="str">
        <f t="shared" si="163"/>
        <v>Six</v>
      </c>
      <c r="IE8" t="str">
        <f t="shared" si="164"/>
        <v xml:space="preserve">Ninety One </v>
      </c>
      <c r="IF8" t="str">
        <f t="shared" si="165"/>
        <v xml:space="preserve"> </v>
      </c>
      <c r="IG8" t="str">
        <f t="shared" si="166"/>
        <v xml:space="preserve"> </v>
      </c>
      <c r="IH8" t="str">
        <f t="shared" si="167"/>
        <v xml:space="preserve">Forty  Five </v>
      </c>
      <c r="II8" t="str">
        <f t="shared" si="168"/>
        <v>THOUSAND</v>
      </c>
      <c r="IJ8" t="str">
        <f t="shared" si="169"/>
        <v>Six</v>
      </c>
      <c r="IK8" t="str">
        <f t="shared" si="170"/>
        <v>HUNDRED</v>
      </c>
      <c r="IL8" t="str">
        <f t="shared" si="171"/>
        <v xml:space="preserve">Ninety One </v>
      </c>
      <c r="IM8" t="b">
        <f t="shared" si="172"/>
        <v>0</v>
      </c>
      <c r="IN8" t="str">
        <f t="shared" si="173"/>
        <v>AND</v>
      </c>
      <c r="IO8" t="str">
        <f t="shared" si="174"/>
        <v>AND</v>
      </c>
      <c r="IP8">
        <v>7</v>
      </c>
      <c r="IQ8" t="s">
        <v>54</v>
      </c>
      <c r="IU8">
        <v>45691</v>
      </c>
      <c r="IV8" t="e">
        <f>LOWER(#REF!)</f>
        <v>#REF!</v>
      </c>
    </row>
    <row r="9" spans="1:256">
      <c r="A9" s="9"/>
      <c r="B9" s="18" t="str">
        <f t="shared" si="175"/>
        <v xml:space="preserve">               </v>
      </c>
      <c r="C9" s="18">
        <f t="shared" si="0"/>
        <v>0</v>
      </c>
      <c r="D9" s="18">
        <f t="shared" si="1"/>
        <v>0</v>
      </c>
      <c r="E9" s="18">
        <f t="shared" si="2"/>
        <v>0</v>
      </c>
      <c r="F9" s="18">
        <f t="shared" si="3"/>
        <v>0</v>
      </c>
      <c r="G9" s="18">
        <f t="shared" si="4"/>
        <v>0</v>
      </c>
      <c r="H9" s="18">
        <f t="shared" si="5"/>
        <v>0</v>
      </c>
      <c r="I9" s="18">
        <f t="shared" si="6"/>
        <v>0</v>
      </c>
      <c r="J9" s="18">
        <f t="shared" si="7"/>
        <v>0</v>
      </c>
      <c r="K9" s="18">
        <f t="shared" si="8"/>
        <v>0</v>
      </c>
      <c r="L9" t="str">
        <f t="shared" si="9"/>
        <v>Zero</v>
      </c>
      <c r="M9" t="str">
        <f t="shared" si="10"/>
        <v>Zero</v>
      </c>
      <c r="N9" t="str">
        <f t="shared" si="11"/>
        <v>Zero</v>
      </c>
      <c r="O9" t="str">
        <f t="shared" si="12"/>
        <v>Zero</v>
      </c>
      <c r="P9" t="str">
        <f t="shared" si="13"/>
        <v xml:space="preserve"> </v>
      </c>
      <c r="Q9" t="str">
        <f t="shared" si="176"/>
        <v xml:space="preserve"> </v>
      </c>
      <c r="R9" t="str">
        <f t="shared" si="14"/>
        <v xml:space="preserve"> </v>
      </c>
      <c r="S9" t="str">
        <f t="shared" si="177"/>
        <v xml:space="preserve"> </v>
      </c>
      <c r="T9" s="18" t="str">
        <f t="shared" si="15"/>
        <v xml:space="preserve"> </v>
      </c>
      <c r="U9" s="18" t="str">
        <f t="shared" si="178"/>
        <v xml:space="preserve"> </v>
      </c>
      <c r="V9" s="18" t="str">
        <f t="shared" si="16"/>
        <v xml:space="preserve"> </v>
      </c>
      <c r="W9" s="19" t="b">
        <f t="shared" si="17"/>
        <v>1</v>
      </c>
      <c r="X9" s="19" t="str">
        <f t="shared" si="179"/>
        <v xml:space="preserve"> </v>
      </c>
      <c r="Y9" s="18" t="str">
        <f t="shared" si="18"/>
        <v xml:space="preserve"> </v>
      </c>
      <c r="Z9">
        <v>8</v>
      </c>
      <c r="AA9" s="15" t="s">
        <v>55</v>
      </c>
      <c r="AB9" s="15"/>
      <c r="BK9">
        <v>45692</v>
      </c>
      <c r="BL9" t="str">
        <f t="shared" si="19"/>
        <v>forty five thousand six hundred and ninety two</v>
      </c>
      <c r="BM9" t="str">
        <f t="shared" si="20"/>
        <v>Forty Five THOUSAND Six HUNDRED AND Ninety Two</v>
      </c>
      <c r="BN9" t="str">
        <f t="shared" si="21"/>
        <v xml:space="preserve">    Forty  Five  THOUSAND Six HUNDRED AND Ninety Two</v>
      </c>
      <c r="BO9">
        <f t="shared" si="22"/>
        <v>0.45691999999999999</v>
      </c>
      <c r="BP9">
        <f t="shared" si="23"/>
        <v>0</v>
      </c>
      <c r="BQ9">
        <f t="shared" si="24"/>
        <v>45.692</v>
      </c>
      <c r="BR9">
        <f t="shared" si="25"/>
        <v>45</v>
      </c>
      <c r="BS9">
        <f t="shared" si="26"/>
        <v>45</v>
      </c>
      <c r="BT9">
        <f t="shared" si="27"/>
        <v>456.92</v>
      </c>
      <c r="BU9">
        <f t="shared" si="28"/>
        <v>456</v>
      </c>
      <c r="BV9">
        <f t="shared" si="29"/>
        <v>6</v>
      </c>
      <c r="BW9">
        <f t="shared" si="30"/>
        <v>92</v>
      </c>
      <c r="BX9" t="str">
        <f t="shared" si="31"/>
        <v>ZERO</v>
      </c>
      <c r="BY9" t="str">
        <f t="shared" si="32"/>
        <v xml:space="preserve">Forty  Five </v>
      </c>
      <c r="BZ9" t="str">
        <f t="shared" si="33"/>
        <v>Six</v>
      </c>
      <c r="CA9" t="str">
        <f t="shared" si="34"/>
        <v>Ninety Two</v>
      </c>
      <c r="CB9" t="str">
        <f t="shared" si="35"/>
        <v xml:space="preserve"> </v>
      </c>
      <c r="CC9" t="str">
        <f t="shared" si="36"/>
        <v xml:space="preserve"> </v>
      </c>
      <c r="CD9" t="str">
        <f t="shared" si="37"/>
        <v xml:space="preserve">Forty  Five </v>
      </c>
      <c r="CE9" t="str">
        <f t="shared" si="38"/>
        <v>THOUSAND</v>
      </c>
      <c r="CF9" t="str">
        <f t="shared" si="39"/>
        <v>Six</v>
      </c>
      <c r="CG9" t="str">
        <f t="shared" si="40"/>
        <v>HUNDRED</v>
      </c>
      <c r="CH9" t="str">
        <f t="shared" si="41"/>
        <v>Ninety Two</v>
      </c>
      <c r="CI9" t="b">
        <f t="shared" si="42"/>
        <v>0</v>
      </c>
      <c r="CJ9" t="str">
        <f t="shared" si="43"/>
        <v>AND</v>
      </c>
      <c r="CK9" t="str">
        <f t="shared" si="44"/>
        <v>AND</v>
      </c>
      <c r="CL9">
        <v>8</v>
      </c>
      <c r="CM9" t="s">
        <v>55</v>
      </c>
      <c r="CQ9">
        <v>45692</v>
      </c>
      <c r="CR9" t="str">
        <f t="shared" si="45"/>
        <v>forty five thousand six hundred and ninety two</v>
      </c>
      <c r="CS9" t="str">
        <f t="shared" si="46"/>
        <v>Forty Five THOUSAND Six HUNDRED AND Ninety Two</v>
      </c>
      <c r="CT9" t="str">
        <f t="shared" si="47"/>
        <v xml:space="preserve">    Forty  Five  THOUSAND Six HUNDRED AND Ninety Two</v>
      </c>
      <c r="CU9">
        <f t="shared" si="48"/>
        <v>0.45691999999999999</v>
      </c>
      <c r="CV9">
        <f t="shared" si="49"/>
        <v>0</v>
      </c>
      <c r="CW9">
        <f t="shared" si="50"/>
        <v>45.692</v>
      </c>
      <c r="CX9">
        <f t="shared" si="51"/>
        <v>45</v>
      </c>
      <c r="CY9">
        <f t="shared" si="52"/>
        <v>45</v>
      </c>
      <c r="CZ9">
        <f t="shared" si="53"/>
        <v>456.92</v>
      </c>
      <c r="DA9">
        <f t="shared" si="54"/>
        <v>456</v>
      </c>
      <c r="DB9">
        <f t="shared" si="55"/>
        <v>6</v>
      </c>
      <c r="DC9">
        <f t="shared" si="56"/>
        <v>92</v>
      </c>
      <c r="DD9" t="str">
        <f t="shared" si="57"/>
        <v>ZERO</v>
      </c>
      <c r="DE9" t="str">
        <f t="shared" si="58"/>
        <v xml:space="preserve">Forty  Five </v>
      </c>
      <c r="DF9" t="str">
        <f t="shared" si="59"/>
        <v>Six</v>
      </c>
      <c r="DG9" t="str">
        <f t="shared" si="60"/>
        <v>Ninety Two</v>
      </c>
      <c r="DH9" t="str">
        <f t="shared" si="61"/>
        <v xml:space="preserve"> </v>
      </c>
      <c r="DI9" t="str">
        <f t="shared" si="62"/>
        <v xml:space="preserve"> </v>
      </c>
      <c r="DJ9" t="str">
        <f t="shared" si="63"/>
        <v xml:space="preserve">Forty  Five </v>
      </c>
      <c r="DK9" t="str">
        <f t="shared" si="64"/>
        <v>THOUSAND</v>
      </c>
      <c r="DL9" t="str">
        <f t="shared" si="65"/>
        <v>Six</v>
      </c>
      <c r="DM9" t="str">
        <f t="shared" si="66"/>
        <v>HUNDRED</v>
      </c>
      <c r="DN9" t="str">
        <f t="shared" si="67"/>
        <v>Ninety Two</v>
      </c>
      <c r="DO9" t="b">
        <f t="shared" si="68"/>
        <v>0</v>
      </c>
      <c r="DP9" t="str">
        <f t="shared" si="69"/>
        <v>AND</v>
      </c>
      <c r="DQ9" t="str">
        <f t="shared" si="70"/>
        <v>AND</v>
      </c>
      <c r="DR9">
        <v>8</v>
      </c>
      <c r="DS9" t="s">
        <v>55</v>
      </c>
      <c r="DW9">
        <v>45692</v>
      </c>
      <c r="DX9" t="str">
        <f t="shared" si="71"/>
        <v>forty five thousand six hundred and ninety two</v>
      </c>
      <c r="DY9" t="str">
        <f t="shared" si="72"/>
        <v>Forty Five THOUSAND Six HUNDRED AND Ninety Two</v>
      </c>
      <c r="DZ9" t="str">
        <f t="shared" si="73"/>
        <v xml:space="preserve">    Forty  Five  THOUSAND Six HUNDRED AND Ninety Two</v>
      </c>
      <c r="EA9">
        <f t="shared" si="74"/>
        <v>0.45691999999999999</v>
      </c>
      <c r="EB9">
        <f t="shared" si="75"/>
        <v>0</v>
      </c>
      <c r="EC9">
        <f t="shared" si="76"/>
        <v>45.692</v>
      </c>
      <c r="ED9">
        <f t="shared" si="77"/>
        <v>45</v>
      </c>
      <c r="EE9">
        <f t="shared" si="78"/>
        <v>45</v>
      </c>
      <c r="EF9">
        <f t="shared" si="79"/>
        <v>456.92</v>
      </c>
      <c r="EG9">
        <f t="shared" si="80"/>
        <v>456</v>
      </c>
      <c r="EH9">
        <f t="shared" si="81"/>
        <v>6</v>
      </c>
      <c r="EI9">
        <f t="shared" si="82"/>
        <v>92</v>
      </c>
      <c r="EJ9" t="str">
        <f t="shared" si="83"/>
        <v>ZERO</v>
      </c>
      <c r="EK9" t="str">
        <f t="shared" si="84"/>
        <v xml:space="preserve">Forty  Five </v>
      </c>
      <c r="EL9" t="str">
        <f t="shared" si="85"/>
        <v>Six</v>
      </c>
      <c r="EM9" t="str">
        <f t="shared" si="86"/>
        <v>Ninety Two</v>
      </c>
      <c r="EN9" t="str">
        <f t="shared" si="87"/>
        <v xml:space="preserve"> </v>
      </c>
      <c r="EO9" t="str">
        <f t="shared" si="88"/>
        <v xml:space="preserve"> </v>
      </c>
      <c r="EP9" t="str">
        <f t="shared" si="89"/>
        <v xml:space="preserve">Forty  Five </v>
      </c>
      <c r="EQ9" t="str">
        <f t="shared" si="90"/>
        <v>THOUSAND</v>
      </c>
      <c r="ER9" t="str">
        <f t="shared" si="91"/>
        <v>Six</v>
      </c>
      <c r="ES9" t="str">
        <f t="shared" si="92"/>
        <v>HUNDRED</v>
      </c>
      <c r="ET9" t="str">
        <f t="shared" si="93"/>
        <v>Ninety Two</v>
      </c>
      <c r="EU9" t="b">
        <f t="shared" si="94"/>
        <v>0</v>
      </c>
      <c r="EV9" t="str">
        <f t="shared" si="95"/>
        <v>AND</v>
      </c>
      <c r="EW9" t="str">
        <f t="shared" si="96"/>
        <v>AND</v>
      </c>
      <c r="EX9">
        <v>8</v>
      </c>
      <c r="EY9" t="s">
        <v>55</v>
      </c>
      <c r="FC9">
        <v>45692</v>
      </c>
      <c r="FD9" t="str">
        <f t="shared" si="97"/>
        <v>forty five thousand six hundred and ninety two</v>
      </c>
      <c r="FE9" t="str">
        <f t="shared" si="98"/>
        <v>Forty Five THOUSAND Six HUNDRED AND Ninety Two</v>
      </c>
      <c r="FF9" t="str">
        <f t="shared" si="99"/>
        <v xml:space="preserve">    Forty  Five  THOUSAND Six HUNDRED AND Ninety Two</v>
      </c>
      <c r="FG9">
        <f t="shared" si="100"/>
        <v>0.45691999999999999</v>
      </c>
      <c r="FH9">
        <f t="shared" si="101"/>
        <v>0</v>
      </c>
      <c r="FI9">
        <f t="shared" si="102"/>
        <v>45.692</v>
      </c>
      <c r="FJ9">
        <f t="shared" si="103"/>
        <v>45</v>
      </c>
      <c r="FK9">
        <f t="shared" si="104"/>
        <v>45</v>
      </c>
      <c r="FL9">
        <f t="shared" si="105"/>
        <v>456.92</v>
      </c>
      <c r="FM9">
        <f t="shared" si="106"/>
        <v>456</v>
      </c>
      <c r="FN9">
        <f t="shared" si="107"/>
        <v>6</v>
      </c>
      <c r="FO9">
        <f t="shared" si="108"/>
        <v>92</v>
      </c>
      <c r="FP9" t="str">
        <f t="shared" si="109"/>
        <v>ZERO</v>
      </c>
      <c r="FQ9" t="str">
        <f t="shared" si="110"/>
        <v xml:space="preserve">Forty  Five </v>
      </c>
      <c r="FR9" t="str">
        <f t="shared" si="111"/>
        <v>Six</v>
      </c>
      <c r="FS9" t="str">
        <f t="shared" si="112"/>
        <v>Ninety Two</v>
      </c>
      <c r="FT9" t="str">
        <f t="shared" si="113"/>
        <v xml:space="preserve"> </v>
      </c>
      <c r="FU9" t="str">
        <f t="shared" si="114"/>
        <v xml:space="preserve"> </v>
      </c>
      <c r="FV9" t="str">
        <f t="shared" si="115"/>
        <v xml:space="preserve">Forty  Five </v>
      </c>
      <c r="FW9" t="str">
        <f t="shared" si="116"/>
        <v>THOUSAND</v>
      </c>
      <c r="FX9" t="str">
        <f t="shared" si="117"/>
        <v>Six</v>
      </c>
      <c r="FY9" t="str">
        <f t="shared" si="118"/>
        <v>HUNDRED</v>
      </c>
      <c r="FZ9" t="str">
        <f t="shared" si="119"/>
        <v>Ninety Two</v>
      </c>
      <c r="GA9" t="b">
        <f t="shared" si="120"/>
        <v>0</v>
      </c>
      <c r="GB9" t="str">
        <f t="shared" si="121"/>
        <v>AND</v>
      </c>
      <c r="GC9" t="str">
        <f t="shared" si="122"/>
        <v>AND</v>
      </c>
      <c r="GD9">
        <v>8</v>
      </c>
      <c r="GE9" t="s">
        <v>55</v>
      </c>
      <c r="GI9">
        <v>45692</v>
      </c>
      <c r="GJ9" t="str">
        <f t="shared" si="123"/>
        <v>forty five thousand six hundred and ninety two</v>
      </c>
      <c r="GK9" t="str">
        <f t="shared" si="124"/>
        <v>Forty Five THOUSAND Six HUNDRED AND Ninety Two</v>
      </c>
      <c r="GL9" t="str">
        <f t="shared" si="125"/>
        <v xml:space="preserve">    Forty  Five  THOUSAND Six HUNDRED AND Ninety Two</v>
      </c>
      <c r="GM9">
        <f t="shared" si="126"/>
        <v>0.45691999999999999</v>
      </c>
      <c r="GN9">
        <f t="shared" si="127"/>
        <v>0</v>
      </c>
      <c r="GO9">
        <f t="shared" si="128"/>
        <v>45.692</v>
      </c>
      <c r="GP9">
        <f t="shared" si="129"/>
        <v>45</v>
      </c>
      <c r="GQ9">
        <f t="shared" si="130"/>
        <v>45</v>
      </c>
      <c r="GR9">
        <f t="shared" si="131"/>
        <v>456.92</v>
      </c>
      <c r="GS9">
        <f t="shared" si="132"/>
        <v>456</v>
      </c>
      <c r="GT9">
        <f t="shared" si="133"/>
        <v>6</v>
      </c>
      <c r="GU9">
        <f t="shared" si="134"/>
        <v>92</v>
      </c>
      <c r="GV9" t="str">
        <f t="shared" si="135"/>
        <v>ZERO</v>
      </c>
      <c r="GW9" t="str">
        <f t="shared" si="136"/>
        <v xml:space="preserve">Forty  Five </v>
      </c>
      <c r="GX9" t="str">
        <f t="shared" si="137"/>
        <v>Six</v>
      </c>
      <c r="GY9" t="str">
        <f t="shared" si="138"/>
        <v>Ninety Two</v>
      </c>
      <c r="GZ9" t="str">
        <f t="shared" si="139"/>
        <v xml:space="preserve"> </v>
      </c>
      <c r="HA9" t="str">
        <f t="shared" si="140"/>
        <v xml:space="preserve"> </v>
      </c>
      <c r="HB9" t="str">
        <f t="shared" si="141"/>
        <v xml:space="preserve">Forty  Five </v>
      </c>
      <c r="HC9" t="str">
        <f t="shared" si="142"/>
        <v>THOUSAND</v>
      </c>
      <c r="HD9" t="str">
        <f t="shared" si="143"/>
        <v>Six</v>
      </c>
      <c r="HE9" t="str">
        <f t="shared" si="144"/>
        <v>HUNDRED</v>
      </c>
      <c r="HF9" t="str">
        <f t="shared" si="145"/>
        <v>Ninety Two</v>
      </c>
      <c r="HG9" t="b">
        <f t="shared" si="146"/>
        <v>0</v>
      </c>
      <c r="HH9" t="str">
        <f t="shared" si="147"/>
        <v>AND</v>
      </c>
      <c r="HI9" t="str">
        <f t="shared" si="148"/>
        <v>AND</v>
      </c>
      <c r="HJ9">
        <v>8</v>
      </c>
      <c r="HK9" t="s">
        <v>55</v>
      </c>
      <c r="HO9">
        <v>45692</v>
      </c>
      <c r="HP9" t="str">
        <f t="shared" si="149"/>
        <v>forty five thousand six hundred and ninety two</v>
      </c>
      <c r="HQ9" t="str">
        <f t="shared" si="150"/>
        <v>Forty Five THOUSAND Six HUNDRED AND Ninety Two</v>
      </c>
      <c r="HR9" t="str">
        <f t="shared" si="151"/>
        <v xml:space="preserve">    Forty  Five  THOUSAND Six HUNDRED AND Ninety Two</v>
      </c>
      <c r="HS9">
        <f t="shared" si="152"/>
        <v>0.45691999999999999</v>
      </c>
      <c r="HT9">
        <f t="shared" si="153"/>
        <v>0</v>
      </c>
      <c r="HU9">
        <f t="shared" si="154"/>
        <v>45.692</v>
      </c>
      <c r="HV9">
        <f t="shared" si="155"/>
        <v>45</v>
      </c>
      <c r="HW9">
        <f t="shared" si="156"/>
        <v>45</v>
      </c>
      <c r="HX9">
        <f t="shared" si="157"/>
        <v>456.92</v>
      </c>
      <c r="HY9">
        <f t="shared" si="158"/>
        <v>456</v>
      </c>
      <c r="HZ9">
        <f t="shared" si="159"/>
        <v>6</v>
      </c>
      <c r="IA9">
        <f t="shared" si="160"/>
        <v>92</v>
      </c>
      <c r="IB9" t="str">
        <f t="shared" si="161"/>
        <v>ZERO</v>
      </c>
      <c r="IC9" t="str">
        <f t="shared" si="162"/>
        <v xml:space="preserve">Forty  Five </v>
      </c>
      <c r="ID9" t="str">
        <f t="shared" si="163"/>
        <v>Six</v>
      </c>
      <c r="IE9" t="str">
        <f t="shared" si="164"/>
        <v>Ninety Two</v>
      </c>
      <c r="IF9" t="str">
        <f t="shared" si="165"/>
        <v xml:space="preserve"> </v>
      </c>
      <c r="IG9" t="str">
        <f t="shared" si="166"/>
        <v xml:space="preserve"> </v>
      </c>
      <c r="IH9" t="str">
        <f t="shared" si="167"/>
        <v xml:space="preserve">Forty  Five </v>
      </c>
      <c r="II9" t="str">
        <f t="shared" si="168"/>
        <v>THOUSAND</v>
      </c>
      <c r="IJ9" t="str">
        <f t="shared" si="169"/>
        <v>Six</v>
      </c>
      <c r="IK9" t="str">
        <f t="shared" si="170"/>
        <v>HUNDRED</v>
      </c>
      <c r="IL9" t="str">
        <f t="shared" si="171"/>
        <v>Ninety Two</v>
      </c>
      <c r="IM9" t="b">
        <f t="shared" si="172"/>
        <v>0</v>
      </c>
      <c r="IN9" t="str">
        <f t="shared" si="173"/>
        <v>AND</v>
      </c>
      <c r="IO9" t="str">
        <f t="shared" si="174"/>
        <v>AND</v>
      </c>
      <c r="IP9">
        <v>8</v>
      </c>
      <c r="IQ9" t="s">
        <v>55</v>
      </c>
      <c r="IU9">
        <v>45692</v>
      </c>
      <c r="IV9" t="e">
        <f>LOWER(#REF!)</f>
        <v>#REF!</v>
      </c>
    </row>
    <row r="10" spans="1:256">
      <c r="A10" s="9"/>
      <c r="B10" s="18" t="str">
        <f t="shared" si="175"/>
        <v xml:space="preserve">               </v>
      </c>
      <c r="C10" s="18">
        <f t="shared" si="0"/>
        <v>0</v>
      </c>
      <c r="D10" s="18">
        <f t="shared" si="1"/>
        <v>0</v>
      </c>
      <c r="E10" s="18">
        <f t="shared" si="2"/>
        <v>0</v>
      </c>
      <c r="F10" s="18">
        <f t="shared" si="3"/>
        <v>0</v>
      </c>
      <c r="G10" s="18">
        <f t="shared" si="4"/>
        <v>0</v>
      </c>
      <c r="H10" s="18">
        <f t="shared" si="5"/>
        <v>0</v>
      </c>
      <c r="I10" s="18">
        <f t="shared" si="6"/>
        <v>0</v>
      </c>
      <c r="J10" s="18">
        <f t="shared" si="7"/>
        <v>0</v>
      </c>
      <c r="K10" s="18">
        <f t="shared" si="8"/>
        <v>0</v>
      </c>
      <c r="L10" t="str">
        <f t="shared" si="9"/>
        <v>Zero</v>
      </c>
      <c r="M10" t="str">
        <f t="shared" si="10"/>
        <v>Zero</v>
      </c>
      <c r="N10" t="str">
        <f t="shared" si="11"/>
        <v>Zero</v>
      </c>
      <c r="O10" t="str">
        <f t="shared" si="12"/>
        <v>Zero</v>
      </c>
      <c r="P10" t="str">
        <f t="shared" si="13"/>
        <v xml:space="preserve"> </v>
      </c>
      <c r="Q10" t="str">
        <f t="shared" si="176"/>
        <v xml:space="preserve"> </v>
      </c>
      <c r="R10" t="str">
        <f t="shared" si="14"/>
        <v xml:space="preserve"> </v>
      </c>
      <c r="S10" t="str">
        <f t="shared" si="177"/>
        <v xml:space="preserve"> </v>
      </c>
      <c r="T10" s="18" t="str">
        <f t="shared" si="15"/>
        <v xml:space="preserve"> </v>
      </c>
      <c r="U10" s="18" t="str">
        <f t="shared" si="178"/>
        <v xml:space="preserve"> </v>
      </c>
      <c r="V10" s="18" t="str">
        <f t="shared" si="16"/>
        <v xml:space="preserve"> </v>
      </c>
      <c r="W10" s="19" t="b">
        <f t="shared" si="17"/>
        <v>1</v>
      </c>
      <c r="X10" s="19" t="str">
        <f t="shared" si="179"/>
        <v xml:space="preserve"> </v>
      </c>
      <c r="Y10" s="18" t="str">
        <f t="shared" si="18"/>
        <v xml:space="preserve"> </v>
      </c>
      <c r="Z10">
        <v>9</v>
      </c>
      <c r="AA10" s="15" t="s">
        <v>56</v>
      </c>
      <c r="AB10" s="15"/>
      <c r="BK10">
        <v>45693</v>
      </c>
      <c r="BL10" t="str">
        <f t="shared" si="19"/>
        <v>forty five thousand six hundred and ninety three</v>
      </c>
      <c r="BM10" t="str">
        <f t="shared" si="20"/>
        <v>Forty Five THOUSAND Six HUNDRED AND Ninety Three</v>
      </c>
      <c r="BN10" t="str">
        <f t="shared" si="21"/>
        <v xml:space="preserve">    Forty  Five  THOUSAND Six HUNDRED AND Ninety Three</v>
      </c>
      <c r="BO10">
        <f t="shared" si="22"/>
        <v>0.45693</v>
      </c>
      <c r="BP10">
        <f t="shared" si="23"/>
        <v>0</v>
      </c>
      <c r="BQ10">
        <f t="shared" si="24"/>
        <v>45.692999999999998</v>
      </c>
      <c r="BR10">
        <f t="shared" si="25"/>
        <v>45</v>
      </c>
      <c r="BS10">
        <f t="shared" si="26"/>
        <v>45</v>
      </c>
      <c r="BT10">
        <f t="shared" si="27"/>
        <v>456.93</v>
      </c>
      <c r="BU10">
        <f t="shared" si="28"/>
        <v>456</v>
      </c>
      <c r="BV10">
        <f t="shared" si="29"/>
        <v>6</v>
      </c>
      <c r="BW10">
        <f t="shared" si="30"/>
        <v>93</v>
      </c>
      <c r="BX10" t="str">
        <f t="shared" si="31"/>
        <v>ZERO</v>
      </c>
      <c r="BY10" t="str">
        <f t="shared" si="32"/>
        <v xml:space="preserve">Forty  Five </v>
      </c>
      <c r="BZ10" t="str">
        <f t="shared" si="33"/>
        <v>Six</v>
      </c>
      <c r="CA10" t="str">
        <f t="shared" si="34"/>
        <v>Ninety Three</v>
      </c>
      <c r="CB10" t="str">
        <f t="shared" si="35"/>
        <v xml:space="preserve"> </v>
      </c>
      <c r="CC10" t="str">
        <f t="shared" si="36"/>
        <v xml:space="preserve"> </v>
      </c>
      <c r="CD10" t="str">
        <f t="shared" si="37"/>
        <v xml:space="preserve">Forty  Five </v>
      </c>
      <c r="CE10" t="str">
        <f t="shared" si="38"/>
        <v>THOUSAND</v>
      </c>
      <c r="CF10" t="str">
        <f t="shared" si="39"/>
        <v>Six</v>
      </c>
      <c r="CG10" t="str">
        <f t="shared" si="40"/>
        <v>HUNDRED</v>
      </c>
      <c r="CH10" t="str">
        <f t="shared" si="41"/>
        <v>Ninety Three</v>
      </c>
      <c r="CI10" t="b">
        <f t="shared" si="42"/>
        <v>0</v>
      </c>
      <c r="CJ10" t="str">
        <f t="shared" si="43"/>
        <v>AND</v>
      </c>
      <c r="CK10" t="str">
        <f t="shared" si="44"/>
        <v>AND</v>
      </c>
      <c r="CL10">
        <v>9</v>
      </c>
      <c r="CM10" t="s">
        <v>56</v>
      </c>
      <c r="CQ10">
        <v>45693</v>
      </c>
      <c r="CR10" t="str">
        <f t="shared" si="45"/>
        <v>forty five thousand six hundred and ninety three</v>
      </c>
      <c r="CS10" t="str">
        <f t="shared" si="46"/>
        <v>Forty Five THOUSAND Six HUNDRED AND Ninety Three</v>
      </c>
      <c r="CT10" t="str">
        <f t="shared" si="47"/>
        <v xml:space="preserve">    Forty  Five  THOUSAND Six HUNDRED AND Ninety Three</v>
      </c>
      <c r="CU10">
        <f t="shared" si="48"/>
        <v>0.45693</v>
      </c>
      <c r="CV10">
        <f t="shared" si="49"/>
        <v>0</v>
      </c>
      <c r="CW10">
        <f t="shared" si="50"/>
        <v>45.692999999999998</v>
      </c>
      <c r="CX10">
        <f t="shared" si="51"/>
        <v>45</v>
      </c>
      <c r="CY10">
        <f t="shared" si="52"/>
        <v>45</v>
      </c>
      <c r="CZ10">
        <f t="shared" si="53"/>
        <v>456.93</v>
      </c>
      <c r="DA10">
        <f t="shared" si="54"/>
        <v>456</v>
      </c>
      <c r="DB10">
        <f t="shared" si="55"/>
        <v>6</v>
      </c>
      <c r="DC10">
        <f t="shared" si="56"/>
        <v>93</v>
      </c>
      <c r="DD10" t="str">
        <f t="shared" si="57"/>
        <v>ZERO</v>
      </c>
      <c r="DE10" t="str">
        <f t="shared" si="58"/>
        <v xml:space="preserve">Forty  Five </v>
      </c>
      <c r="DF10" t="str">
        <f t="shared" si="59"/>
        <v>Six</v>
      </c>
      <c r="DG10" t="str">
        <f t="shared" si="60"/>
        <v>Ninety Three</v>
      </c>
      <c r="DH10" t="str">
        <f t="shared" si="61"/>
        <v xml:space="preserve"> </v>
      </c>
      <c r="DI10" t="str">
        <f t="shared" si="62"/>
        <v xml:space="preserve"> </v>
      </c>
      <c r="DJ10" t="str">
        <f t="shared" si="63"/>
        <v xml:space="preserve">Forty  Five </v>
      </c>
      <c r="DK10" t="str">
        <f t="shared" si="64"/>
        <v>THOUSAND</v>
      </c>
      <c r="DL10" t="str">
        <f t="shared" si="65"/>
        <v>Six</v>
      </c>
      <c r="DM10" t="str">
        <f t="shared" si="66"/>
        <v>HUNDRED</v>
      </c>
      <c r="DN10" t="str">
        <f t="shared" si="67"/>
        <v>Ninety Three</v>
      </c>
      <c r="DO10" t="b">
        <f t="shared" si="68"/>
        <v>0</v>
      </c>
      <c r="DP10" t="str">
        <f t="shared" si="69"/>
        <v>AND</v>
      </c>
      <c r="DQ10" t="str">
        <f t="shared" si="70"/>
        <v>AND</v>
      </c>
      <c r="DR10">
        <v>9</v>
      </c>
      <c r="DS10" t="s">
        <v>56</v>
      </c>
      <c r="DW10">
        <v>45693</v>
      </c>
      <c r="DX10" t="str">
        <f t="shared" si="71"/>
        <v>forty five thousand six hundred and ninety three</v>
      </c>
      <c r="DY10" t="str">
        <f t="shared" si="72"/>
        <v>Forty Five THOUSAND Six HUNDRED AND Ninety Three</v>
      </c>
      <c r="DZ10" t="str">
        <f t="shared" si="73"/>
        <v xml:space="preserve">    Forty  Five  THOUSAND Six HUNDRED AND Ninety Three</v>
      </c>
      <c r="EA10">
        <f t="shared" si="74"/>
        <v>0.45693</v>
      </c>
      <c r="EB10">
        <f t="shared" si="75"/>
        <v>0</v>
      </c>
      <c r="EC10">
        <f t="shared" si="76"/>
        <v>45.692999999999998</v>
      </c>
      <c r="ED10">
        <f t="shared" si="77"/>
        <v>45</v>
      </c>
      <c r="EE10">
        <f t="shared" si="78"/>
        <v>45</v>
      </c>
      <c r="EF10">
        <f t="shared" si="79"/>
        <v>456.93</v>
      </c>
      <c r="EG10">
        <f t="shared" si="80"/>
        <v>456</v>
      </c>
      <c r="EH10">
        <f t="shared" si="81"/>
        <v>6</v>
      </c>
      <c r="EI10">
        <f t="shared" si="82"/>
        <v>93</v>
      </c>
      <c r="EJ10" t="str">
        <f t="shared" si="83"/>
        <v>ZERO</v>
      </c>
      <c r="EK10" t="str">
        <f t="shared" si="84"/>
        <v xml:space="preserve">Forty  Five </v>
      </c>
      <c r="EL10" t="str">
        <f t="shared" si="85"/>
        <v>Six</v>
      </c>
      <c r="EM10" t="str">
        <f t="shared" si="86"/>
        <v>Ninety Three</v>
      </c>
      <c r="EN10" t="str">
        <f t="shared" si="87"/>
        <v xml:space="preserve"> </v>
      </c>
      <c r="EO10" t="str">
        <f t="shared" si="88"/>
        <v xml:space="preserve"> </v>
      </c>
      <c r="EP10" t="str">
        <f t="shared" si="89"/>
        <v xml:space="preserve">Forty  Five </v>
      </c>
      <c r="EQ10" t="str">
        <f t="shared" si="90"/>
        <v>THOUSAND</v>
      </c>
      <c r="ER10" t="str">
        <f t="shared" si="91"/>
        <v>Six</v>
      </c>
      <c r="ES10" t="str">
        <f t="shared" si="92"/>
        <v>HUNDRED</v>
      </c>
      <c r="ET10" t="str">
        <f t="shared" si="93"/>
        <v>Ninety Three</v>
      </c>
      <c r="EU10" t="b">
        <f t="shared" si="94"/>
        <v>0</v>
      </c>
      <c r="EV10" t="str">
        <f t="shared" si="95"/>
        <v>AND</v>
      </c>
      <c r="EW10" t="str">
        <f t="shared" si="96"/>
        <v>AND</v>
      </c>
      <c r="EX10">
        <v>9</v>
      </c>
      <c r="EY10" t="s">
        <v>56</v>
      </c>
      <c r="FC10">
        <v>45693</v>
      </c>
      <c r="FD10" t="str">
        <f t="shared" si="97"/>
        <v>forty five thousand six hundred and ninety three</v>
      </c>
      <c r="FE10" t="str">
        <f t="shared" si="98"/>
        <v>Forty Five THOUSAND Six HUNDRED AND Ninety Three</v>
      </c>
      <c r="FF10" t="str">
        <f t="shared" si="99"/>
        <v xml:space="preserve">    Forty  Five  THOUSAND Six HUNDRED AND Ninety Three</v>
      </c>
      <c r="FG10">
        <f t="shared" si="100"/>
        <v>0.45693</v>
      </c>
      <c r="FH10">
        <f t="shared" si="101"/>
        <v>0</v>
      </c>
      <c r="FI10">
        <f t="shared" si="102"/>
        <v>45.692999999999998</v>
      </c>
      <c r="FJ10">
        <f t="shared" si="103"/>
        <v>45</v>
      </c>
      <c r="FK10">
        <f t="shared" si="104"/>
        <v>45</v>
      </c>
      <c r="FL10">
        <f t="shared" si="105"/>
        <v>456.93</v>
      </c>
      <c r="FM10">
        <f t="shared" si="106"/>
        <v>456</v>
      </c>
      <c r="FN10">
        <f t="shared" si="107"/>
        <v>6</v>
      </c>
      <c r="FO10">
        <f t="shared" si="108"/>
        <v>93</v>
      </c>
      <c r="FP10" t="str">
        <f t="shared" si="109"/>
        <v>ZERO</v>
      </c>
      <c r="FQ10" t="str">
        <f t="shared" si="110"/>
        <v xml:space="preserve">Forty  Five </v>
      </c>
      <c r="FR10" t="str">
        <f t="shared" si="111"/>
        <v>Six</v>
      </c>
      <c r="FS10" t="str">
        <f t="shared" si="112"/>
        <v>Ninety Three</v>
      </c>
      <c r="FT10" t="str">
        <f t="shared" si="113"/>
        <v xml:space="preserve"> </v>
      </c>
      <c r="FU10" t="str">
        <f t="shared" si="114"/>
        <v xml:space="preserve"> </v>
      </c>
      <c r="FV10" t="str">
        <f t="shared" si="115"/>
        <v xml:space="preserve">Forty  Five </v>
      </c>
      <c r="FW10" t="str">
        <f t="shared" si="116"/>
        <v>THOUSAND</v>
      </c>
      <c r="FX10" t="str">
        <f t="shared" si="117"/>
        <v>Six</v>
      </c>
      <c r="FY10" t="str">
        <f t="shared" si="118"/>
        <v>HUNDRED</v>
      </c>
      <c r="FZ10" t="str">
        <f t="shared" si="119"/>
        <v>Ninety Three</v>
      </c>
      <c r="GA10" t="b">
        <f t="shared" si="120"/>
        <v>0</v>
      </c>
      <c r="GB10" t="str">
        <f t="shared" si="121"/>
        <v>AND</v>
      </c>
      <c r="GC10" t="str">
        <f t="shared" si="122"/>
        <v>AND</v>
      </c>
      <c r="GD10">
        <v>9</v>
      </c>
      <c r="GE10" t="s">
        <v>56</v>
      </c>
      <c r="GI10">
        <v>45693</v>
      </c>
      <c r="GJ10" t="str">
        <f t="shared" si="123"/>
        <v>forty five thousand six hundred and ninety three</v>
      </c>
      <c r="GK10" t="str">
        <f t="shared" si="124"/>
        <v>Forty Five THOUSAND Six HUNDRED AND Ninety Three</v>
      </c>
      <c r="GL10" t="str">
        <f t="shared" si="125"/>
        <v xml:space="preserve">    Forty  Five  THOUSAND Six HUNDRED AND Ninety Three</v>
      </c>
      <c r="GM10">
        <f t="shared" si="126"/>
        <v>0.45693</v>
      </c>
      <c r="GN10">
        <f t="shared" si="127"/>
        <v>0</v>
      </c>
      <c r="GO10">
        <f t="shared" si="128"/>
        <v>45.692999999999998</v>
      </c>
      <c r="GP10">
        <f t="shared" si="129"/>
        <v>45</v>
      </c>
      <c r="GQ10">
        <f t="shared" si="130"/>
        <v>45</v>
      </c>
      <c r="GR10">
        <f t="shared" si="131"/>
        <v>456.93</v>
      </c>
      <c r="GS10">
        <f t="shared" si="132"/>
        <v>456</v>
      </c>
      <c r="GT10">
        <f t="shared" si="133"/>
        <v>6</v>
      </c>
      <c r="GU10">
        <f t="shared" si="134"/>
        <v>93</v>
      </c>
      <c r="GV10" t="str">
        <f t="shared" si="135"/>
        <v>ZERO</v>
      </c>
      <c r="GW10" t="str">
        <f t="shared" si="136"/>
        <v xml:space="preserve">Forty  Five </v>
      </c>
      <c r="GX10" t="str">
        <f t="shared" si="137"/>
        <v>Six</v>
      </c>
      <c r="GY10" t="str">
        <f t="shared" si="138"/>
        <v>Ninety Three</v>
      </c>
      <c r="GZ10" t="str">
        <f t="shared" si="139"/>
        <v xml:space="preserve"> </v>
      </c>
      <c r="HA10" t="str">
        <f t="shared" si="140"/>
        <v xml:space="preserve"> </v>
      </c>
      <c r="HB10" t="str">
        <f t="shared" si="141"/>
        <v xml:space="preserve">Forty  Five </v>
      </c>
      <c r="HC10" t="str">
        <f t="shared" si="142"/>
        <v>THOUSAND</v>
      </c>
      <c r="HD10" t="str">
        <f t="shared" si="143"/>
        <v>Six</v>
      </c>
      <c r="HE10" t="str">
        <f t="shared" si="144"/>
        <v>HUNDRED</v>
      </c>
      <c r="HF10" t="str">
        <f t="shared" si="145"/>
        <v>Ninety Three</v>
      </c>
      <c r="HG10" t="b">
        <f t="shared" si="146"/>
        <v>0</v>
      </c>
      <c r="HH10" t="str">
        <f t="shared" si="147"/>
        <v>AND</v>
      </c>
      <c r="HI10" t="str">
        <f t="shared" si="148"/>
        <v>AND</v>
      </c>
      <c r="HJ10">
        <v>9</v>
      </c>
      <c r="HK10" t="s">
        <v>56</v>
      </c>
      <c r="HO10">
        <v>45693</v>
      </c>
      <c r="HP10" t="str">
        <f t="shared" si="149"/>
        <v>forty five thousand six hundred and ninety three</v>
      </c>
      <c r="HQ10" t="str">
        <f t="shared" si="150"/>
        <v>Forty Five THOUSAND Six HUNDRED AND Ninety Three</v>
      </c>
      <c r="HR10" t="str">
        <f t="shared" si="151"/>
        <v xml:space="preserve">    Forty  Five  THOUSAND Six HUNDRED AND Ninety Three</v>
      </c>
      <c r="HS10">
        <f t="shared" si="152"/>
        <v>0.45693</v>
      </c>
      <c r="HT10">
        <f t="shared" si="153"/>
        <v>0</v>
      </c>
      <c r="HU10">
        <f t="shared" si="154"/>
        <v>45.692999999999998</v>
      </c>
      <c r="HV10">
        <f t="shared" si="155"/>
        <v>45</v>
      </c>
      <c r="HW10">
        <f t="shared" si="156"/>
        <v>45</v>
      </c>
      <c r="HX10">
        <f t="shared" si="157"/>
        <v>456.93</v>
      </c>
      <c r="HY10">
        <f t="shared" si="158"/>
        <v>456</v>
      </c>
      <c r="HZ10">
        <f t="shared" si="159"/>
        <v>6</v>
      </c>
      <c r="IA10">
        <f t="shared" si="160"/>
        <v>93</v>
      </c>
      <c r="IB10" t="str">
        <f t="shared" si="161"/>
        <v>ZERO</v>
      </c>
      <c r="IC10" t="str">
        <f t="shared" si="162"/>
        <v xml:space="preserve">Forty  Five </v>
      </c>
      <c r="ID10" t="str">
        <f t="shared" si="163"/>
        <v>Six</v>
      </c>
      <c r="IE10" t="str">
        <f t="shared" si="164"/>
        <v>Ninety Three</v>
      </c>
      <c r="IF10" t="str">
        <f t="shared" si="165"/>
        <v xml:space="preserve"> </v>
      </c>
      <c r="IG10" t="str">
        <f t="shared" si="166"/>
        <v xml:space="preserve"> </v>
      </c>
      <c r="IH10" t="str">
        <f t="shared" si="167"/>
        <v xml:space="preserve">Forty  Five </v>
      </c>
      <c r="II10" t="str">
        <f t="shared" si="168"/>
        <v>THOUSAND</v>
      </c>
      <c r="IJ10" t="str">
        <f t="shared" si="169"/>
        <v>Six</v>
      </c>
      <c r="IK10" t="str">
        <f t="shared" si="170"/>
        <v>HUNDRED</v>
      </c>
      <c r="IL10" t="str">
        <f t="shared" si="171"/>
        <v>Ninety Three</v>
      </c>
      <c r="IM10" t="b">
        <f t="shared" si="172"/>
        <v>0</v>
      </c>
      <c r="IN10" t="str">
        <f t="shared" si="173"/>
        <v>AND</v>
      </c>
      <c r="IO10" t="str">
        <f t="shared" si="174"/>
        <v>AND</v>
      </c>
      <c r="IP10">
        <v>9</v>
      </c>
      <c r="IQ10" t="s">
        <v>56</v>
      </c>
      <c r="IU10">
        <v>45693</v>
      </c>
      <c r="IV10" t="e">
        <f>LOWER(#REF!)</f>
        <v>#REF!</v>
      </c>
    </row>
    <row r="11" spans="1:256">
      <c r="A11" s="9"/>
      <c r="B11" s="18" t="str">
        <f t="shared" si="175"/>
        <v xml:space="preserve">               </v>
      </c>
      <c r="C11" s="18">
        <f t="shared" si="0"/>
        <v>0</v>
      </c>
      <c r="D11" s="18">
        <f t="shared" si="1"/>
        <v>0</v>
      </c>
      <c r="E11" s="18">
        <f t="shared" si="2"/>
        <v>0</v>
      </c>
      <c r="F11" s="18">
        <f t="shared" si="3"/>
        <v>0</v>
      </c>
      <c r="G11" s="18">
        <f t="shared" si="4"/>
        <v>0</v>
      </c>
      <c r="H11" s="18">
        <f t="shared" si="5"/>
        <v>0</v>
      </c>
      <c r="I11" s="18">
        <f t="shared" si="6"/>
        <v>0</v>
      </c>
      <c r="J11" s="18">
        <f t="shared" si="7"/>
        <v>0</v>
      </c>
      <c r="K11" s="18">
        <f t="shared" si="8"/>
        <v>0</v>
      </c>
      <c r="L11" t="str">
        <f t="shared" si="9"/>
        <v>Zero</v>
      </c>
      <c r="M11" t="str">
        <f t="shared" si="10"/>
        <v>Zero</v>
      </c>
      <c r="N11" t="str">
        <f t="shared" si="11"/>
        <v>Zero</v>
      </c>
      <c r="O11" t="str">
        <f t="shared" si="12"/>
        <v>Zero</v>
      </c>
      <c r="P11" t="str">
        <f t="shared" si="13"/>
        <v xml:space="preserve"> </v>
      </c>
      <c r="Q11" t="str">
        <f t="shared" si="176"/>
        <v xml:space="preserve"> </v>
      </c>
      <c r="R11" t="str">
        <f t="shared" si="14"/>
        <v xml:space="preserve"> </v>
      </c>
      <c r="S11" t="str">
        <f t="shared" si="177"/>
        <v xml:space="preserve"> </v>
      </c>
      <c r="T11" s="18" t="str">
        <f t="shared" si="15"/>
        <v xml:space="preserve"> </v>
      </c>
      <c r="U11" s="18" t="str">
        <f t="shared" si="178"/>
        <v xml:space="preserve"> </v>
      </c>
      <c r="V11" s="18" t="str">
        <f t="shared" si="16"/>
        <v xml:space="preserve"> </v>
      </c>
      <c r="W11" s="19" t="b">
        <f t="shared" si="17"/>
        <v>1</v>
      </c>
      <c r="X11" s="19" t="str">
        <f t="shared" si="179"/>
        <v xml:space="preserve"> </v>
      </c>
      <c r="Y11" s="18" t="str">
        <f t="shared" si="18"/>
        <v xml:space="preserve"> </v>
      </c>
      <c r="Z11">
        <v>10</v>
      </c>
      <c r="AA11" s="15" t="s">
        <v>57</v>
      </c>
      <c r="AB11" s="15"/>
      <c r="BK11">
        <v>45694</v>
      </c>
      <c r="BL11" t="str">
        <f t="shared" si="19"/>
        <v>forty five thousand six hundred and ninety four</v>
      </c>
      <c r="BM11" t="str">
        <f t="shared" si="20"/>
        <v>Forty Five THOUSAND Six HUNDRED AND Ninety Four</v>
      </c>
      <c r="BN11" t="str">
        <f t="shared" si="21"/>
        <v xml:space="preserve">    Forty  Five  THOUSAND Six HUNDRED AND Ninety  Four</v>
      </c>
      <c r="BO11">
        <f t="shared" si="22"/>
        <v>0.45694000000000001</v>
      </c>
      <c r="BP11">
        <f t="shared" si="23"/>
        <v>0</v>
      </c>
      <c r="BQ11">
        <f t="shared" si="24"/>
        <v>45.694000000000003</v>
      </c>
      <c r="BR11">
        <f t="shared" si="25"/>
        <v>45</v>
      </c>
      <c r="BS11">
        <f t="shared" si="26"/>
        <v>45</v>
      </c>
      <c r="BT11">
        <f t="shared" si="27"/>
        <v>456.94</v>
      </c>
      <c r="BU11">
        <f t="shared" si="28"/>
        <v>456</v>
      </c>
      <c r="BV11">
        <f t="shared" si="29"/>
        <v>6</v>
      </c>
      <c r="BW11">
        <f t="shared" si="30"/>
        <v>94</v>
      </c>
      <c r="BX11" t="str">
        <f t="shared" si="31"/>
        <v>ZERO</v>
      </c>
      <c r="BY11" t="str">
        <f t="shared" si="32"/>
        <v xml:space="preserve">Forty  Five </v>
      </c>
      <c r="BZ11" t="str">
        <f t="shared" si="33"/>
        <v>Six</v>
      </c>
      <c r="CA11" t="str">
        <f t="shared" si="34"/>
        <v>Ninety  Four</v>
      </c>
      <c r="CB11" t="str">
        <f t="shared" si="35"/>
        <v xml:space="preserve"> </v>
      </c>
      <c r="CC11" t="str">
        <f t="shared" si="36"/>
        <v xml:space="preserve"> </v>
      </c>
      <c r="CD11" t="str">
        <f t="shared" si="37"/>
        <v xml:space="preserve">Forty  Five </v>
      </c>
      <c r="CE11" t="str">
        <f t="shared" si="38"/>
        <v>THOUSAND</v>
      </c>
      <c r="CF11" t="str">
        <f t="shared" si="39"/>
        <v>Six</v>
      </c>
      <c r="CG11" t="str">
        <f t="shared" si="40"/>
        <v>HUNDRED</v>
      </c>
      <c r="CH11" t="str">
        <f t="shared" si="41"/>
        <v>Ninety  Four</v>
      </c>
      <c r="CI11" t="b">
        <f t="shared" si="42"/>
        <v>0</v>
      </c>
      <c r="CJ11" t="str">
        <f t="shared" si="43"/>
        <v>AND</v>
      </c>
      <c r="CK11" t="str">
        <f t="shared" si="44"/>
        <v>AND</v>
      </c>
      <c r="CL11">
        <v>10</v>
      </c>
      <c r="CM11" t="s">
        <v>58</v>
      </c>
      <c r="CQ11">
        <v>45694</v>
      </c>
      <c r="CR11" t="str">
        <f t="shared" si="45"/>
        <v>forty five thousand six hundred and ninety four</v>
      </c>
      <c r="CS11" t="str">
        <f t="shared" si="46"/>
        <v>Forty Five THOUSAND Six HUNDRED AND Ninety Four</v>
      </c>
      <c r="CT11" t="str">
        <f t="shared" si="47"/>
        <v xml:space="preserve">    Forty  Five  THOUSAND Six HUNDRED AND Ninety  Four</v>
      </c>
      <c r="CU11">
        <f t="shared" si="48"/>
        <v>0.45694000000000001</v>
      </c>
      <c r="CV11">
        <f t="shared" si="49"/>
        <v>0</v>
      </c>
      <c r="CW11">
        <f t="shared" si="50"/>
        <v>45.694000000000003</v>
      </c>
      <c r="CX11">
        <f t="shared" si="51"/>
        <v>45</v>
      </c>
      <c r="CY11">
        <f t="shared" si="52"/>
        <v>45</v>
      </c>
      <c r="CZ11">
        <f t="shared" si="53"/>
        <v>456.94</v>
      </c>
      <c r="DA11">
        <f t="shared" si="54"/>
        <v>456</v>
      </c>
      <c r="DB11">
        <f t="shared" si="55"/>
        <v>6</v>
      </c>
      <c r="DC11">
        <f t="shared" si="56"/>
        <v>94</v>
      </c>
      <c r="DD11" t="str">
        <f t="shared" si="57"/>
        <v>ZERO</v>
      </c>
      <c r="DE11" t="str">
        <f t="shared" si="58"/>
        <v xml:space="preserve">Forty  Five </v>
      </c>
      <c r="DF11" t="str">
        <f t="shared" si="59"/>
        <v>Six</v>
      </c>
      <c r="DG11" t="str">
        <f t="shared" si="60"/>
        <v>Ninety  Four</v>
      </c>
      <c r="DH11" t="str">
        <f t="shared" si="61"/>
        <v xml:space="preserve"> </v>
      </c>
      <c r="DI11" t="str">
        <f t="shared" si="62"/>
        <v xml:space="preserve"> </v>
      </c>
      <c r="DJ11" t="str">
        <f t="shared" si="63"/>
        <v xml:space="preserve">Forty  Five </v>
      </c>
      <c r="DK11" t="str">
        <f t="shared" si="64"/>
        <v>THOUSAND</v>
      </c>
      <c r="DL11" t="str">
        <f t="shared" si="65"/>
        <v>Six</v>
      </c>
      <c r="DM11" t="str">
        <f t="shared" si="66"/>
        <v>HUNDRED</v>
      </c>
      <c r="DN11" t="str">
        <f t="shared" si="67"/>
        <v>Ninety  Four</v>
      </c>
      <c r="DO11" t="b">
        <f t="shared" si="68"/>
        <v>0</v>
      </c>
      <c r="DP11" t="str">
        <f t="shared" si="69"/>
        <v>AND</v>
      </c>
      <c r="DQ11" t="str">
        <f t="shared" si="70"/>
        <v>AND</v>
      </c>
      <c r="DR11">
        <v>10</v>
      </c>
      <c r="DS11" t="s">
        <v>58</v>
      </c>
      <c r="DW11">
        <v>45694</v>
      </c>
      <c r="DX11" t="str">
        <f t="shared" si="71"/>
        <v>forty five thousand six hundred and ninety four</v>
      </c>
      <c r="DY11" t="str">
        <f t="shared" si="72"/>
        <v>Forty Five THOUSAND Six HUNDRED AND Ninety Four</v>
      </c>
      <c r="DZ11" t="str">
        <f t="shared" si="73"/>
        <v xml:space="preserve">    Forty  Five  THOUSAND Six HUNDRED AND Ninety  Four</v>
      </c>
      <c r="EA11">
        <f t="shared" si="74"/>
        <v>0.45694000000000001</v>
      </c>
      <c r="EB11">
        <f t="shared" si="75"/>
        <v>0</v>
      </c>
      <c r="EC11">
        <f t="shared" si="76"/>
        <v>45.694000000000003</v>
      </c>
      <c r="ED11">
        <f t="shared" si="77"/>
        <v>45</v>
      </c>
      <c r="EE11">
        <f t="shared" si="78"/>
        <v>45</v>
      </c>
      <c r="EF11">
        <f t="shared" si="79"/>
        <v>456.94</v>
      </c>
      <c r="EG11">
        <f t="shared" si="80"/>
        <v>456</v>
      </c>
      <c r="EH11">
        <f t="shared" si="81"/>
        <v>6</v>
      </c>
      <c r="EI11">
        <f t="shared" si="82"/>
        <v>94</v>
      </c>
      <c r="EJ11" t="str">
        <f t="shared" si="83"/>
        <v>ZERO</v>
      </c>
      <c r="EK11" t="str">
        <f t="shared" si="84"/>
        <v xml:space="preserve">Forty  Five </v>
      </c>
      <c r="EL11" t="str">
        <f t="shared" si="85"/>
        <v>Six</v>
      </c>
      <c r="EM11" t="str">
        <f t="shared" si="86"/>
        <v>Ninety  Four</v>
      </c>
      <c r="EN11" t="str">
        <f t="shared" si="87"/>
        <v xml:space="preserve"> </v>
      </c>
      <c r="EO11" t="str">
        <f t="shared" si="88"/>
        <v xml:space="preserve"> </v>
      </c>
      <c r="EP11" t="str">
        <f t="shared" si="89"/>
        <v xml:space="preserve">Forty  Five </v>
      </c>
      <c r="EQ11" t="str">
        <f t="shared" si="90"/>
        <v>THOUSAND</v>
      </c>
      <c r="ER11" t="str">
        <f t="shared" si="91"/>
        <v>Six</v>
      </c>
      <c r="ES11" t="str">
        <f t="shared" si="92"/>
        <v>HUNDRED</v>
      </c>
      <c r="ET11" t="str">
        <f t="shared" si="93"/>
        <v>Ninety  Four</v>
      </c>
      <c r="EU11" t="b">
        <f t="shared" si="94"/>
        <v>0</v>
      </c>
      <c r="EV11" t="str">
        <f t="shared" si="95"/>
        <v>AND</v>
      </c>
      <c r="EW11" t="str">
        <f t="shared" si="96"/>
        <v>AND</v>
      </c>
      <c r="EX11">
        <v>10</v>
      </c>
      <c r="EY11" t="s">
        <v>58</v>
      </c>
      <c r="FC11">
        <v>45694</v>
      </c>
      <c r="FD11" t="str">
        <f t="shared" si="97"/>
        <v>forty five thousand six hundred and ninety four</v>
      </c>
      <c r="FE11" t="str">
        <f t="shared" si="98"/>
        <v>Forty Five THOUSAND Six HUNDRED AND Ninety Four</v>
      </c>
      <c r="FF11" t="str">
        <f t="shared" si="99"/>
        <v xml:space="preserve">    Forty  Five  THOUSAND Six HUNDRED AND Ninety  Four</v>
      </c>
      <c r="FG11">
        <f t="shared" si="100"/>
        <v>0.45694000000000001</v>
      </c>
      <c r="FH11">
        <f t="shared" si="101"/>
        <v>0</v>
      </c>
      <c r="FI11">
        <f t="shared" si="102"/>
        <v>45.694000000000003</v>
      </c>
      <c r="FJ11">
        <f t="shared" si="103"/>
        <v>45</v>
      </c>
      <c r="FK11">
        <f t="shared" si="104"/>
        <v>45</v>
      </c>
      <c r="FL11">
        <f t="shared" si="105"/>
        <v>456.94</v>
      </c>
      <c r="FM11">
        <f t="shared" si="106"/>
        <v>456</v>
      </c>
      <c r="FN11">
        <f t="shared" si="107"/>
        <v>6</v>
      </c>
      <c r="FO11">
        <f t="shared" si="108"/>
        <v>94</v>
      </c>
      <c r="FP11" t="str">
        <f t="shared" si="109"/>
        <v>ZERO</v>
      </c>
      <c r="FQ11" t="str">
        <f t="shared" si="110"/>
        <v xml:space="preserve">Forty  Five </v>
      </c>
      <c r="FR11" t="str">
        <f t="shared" si="111"/>
        <v>Six</v>
      </c>
      <c r="FS11" t="str">
        <f t="shared" si="112"/>
        <v>Ninety  Four</v>
      </c>
      <c r="FT11" t="str">
        <f t="shared" si="113"/>
        <v xml:space="preserve"> </v>
      </c>
      <c r="FU11" t="str">
        <f t="shared" si="114"/>
        <v xml:space="preserve"> </v>
      </c>
      <c r="FV11" t="str">
        <f t="shared" si="115"/>
        <v xml:space="preserve">Forty  Five </v>
      </c>
      <c r="FW11" t="str">
        <f t="shared" si="116"/>
        <v>THOUSAND</v>
      </c>
      <c r="FX11" t="str">
        <f t="shared" si="117"/>
        <v>Six</v>
      </c>
      <c r="FY11" t="str">
        <f t="shared" si="118"/>
        <v>HUNDRED</v>
      </c>
      <c r="FZ11" t="str">
        <f t="shared" si="119"/>
        <v>Ninety  Four</v>
      </c>
      <c r="GA11" t="b">
        <f t="shared" si="120"/>
        <v>0</v>
      </c>
      <c r="GB11" t="str">
        <f t="shared" si="121"/>
        <v>AND</v>
      </c>
      <c r="GC11" t="str">
        <f t="shared" si="122"/>
        <v>AND</v>
      </c>
      <c r="GD11">
        <v>10</v>
      </c>
      <c r="GE11" t="s">
        <v>58</v>
      </c>
      <c r="GI11">
        <v>45694</v>
      </c>
      <c r="GJ11" t="str">
        <f t="shared" si="123"/>
        <v>forty five thousand six hundred and ninety four</v>
      </c>
      <c r="GK11" t="str">
        <f t="shared" si="124"/>
        <v>Forty Five THOUSAND Six HUNDRED AND Ninety Four</v>
      </c>
      <c r="GL11" t="str">
        <f t="shared" si="125"/>
        <v xml:space="preserve">    Forty  Five  THOUSAND Six HUNDRED AND Ninety  Four</v>
      </c>
      <c r="GM11">
        <f t="shared" si="126"/>
        <v>0.45694000000000001</v>
      </c>
      <c r="GN11">
        <f t="shared" si="127"/>
        <v>0</v>
      </c>
      <c r="GO11">
        <f t="shared" si="128"/>
        <v>45.694000000000003</v>
      </c>
      <c r="GP11">
        <f t="shared" si="129"/>
        <v>45</v>
      </c>
      <c r="GQ11">
        <f t="shared" si="130"/>
        <v>45</v>
      </c>
      <c r="GR11">
        <f t="shared" si="131"/>
        <v>456.94</v>
      </c>
      <c r="GS11">
        <f t="shared" si="132"/>
        <v>456</v>
      </c>
      <c r="GT11">
        <f t="shared" si="133"/>
        <v>6</v>
      </c>
      <c r="GU11">
        <f t="shared" si="134"/>
        <v>94</v>
      </c>
      <c r="GV11" t="str">
        <f t="shared" si="135"/>
        <v>ZERO</v>
      </c>
      <c r="GW11" t="str">
        <f t="shared" si="136"/>
        <v xml:space="preserve">Forty  Five </v>
      </c>
      <c r="GX11" t="str">
        <f t="shared" si="137"/>
        <v>Six</v>
      </c>
      <c r="GY11" t="str">
        <f t="shared" si="138"/>
        <v>Ninety  Four</v>
      </c>
      <c r="GZ11" t="str">
        <f t="shared" si="139"/>
        <v xml:space="preserve"> </v>
      </c>
      <c r="HA11" t="str">
        <f t="shared" si="140"/>
        <v xml:space="preserve"> </v>
      </c>
      <c r="HB11" t="str">
        <f t="shared" si="141"/>
        <v xml:space="preserve">Forty  Five </v>
      </c>
      <c r="HC11" t="str">
        <f t="shared" si="142"/>
        <v>THOUSAND</v>
      </c>
      <c r="HD11" t="str">
        <f t="shared" si="143"/>
        <v>Six</v>
      </c>
      <c r="HE11" t="str">
        <f t="shared" si="144"/>
        <v>HUNDRED</v>
      </c>
      <c r="HF11" t="str">
        <f t="shared" si="145"/>
        <v>Ninety  Four</v>
      </c>
      <c r="HG11" t="b">
        <f t="shared" si="146"/>
        <v>0</v>
      </c>
      <c r="HH11" t="str">
        <f t="shared" si="147"/>
        <v>AND</v>
      </c>
      <c r="HI11" t="str">
        <f t="shared" si="148"/>
        <v>AND</v>
      </c>
      <c r="HJ11">
        <v>10</v>
      </c>
      <c r="HK11" t="s">
        <v>58</v>
      </c>
      <c r="HO11">
        <v>45694</v>
      </c>
      <c r="HP11" t="str">
        <f t="shared" si="149"/>
        <v>forty five thousand six hundred and ninety four</v>
      </c>
      <c r="HQ11" t="str">
        <f t="shared" si="150"/>
        <v>Forty Five THOUSAND Six HUNDRED AND Ninety Four</v>
      </c>
      <c r="HR11" t="str">
        <f t="shared" si="151"/>
        <v xml:space="preserve">    Forty  Five  THOUSAND Six HUNDRED AND Ninety  Four</v>
      </c>
      <c r="HS11">
        <f t="shared" si="152"/>
        <v>0.45694000000000001</v>
      </c>
      <c r="HT11">
        <f t="shared" si="153"/>
        <v>0</v>
      </c>
      <c r="HU11">
        <f t="shared" si="154"/>
        <v>45.694000000000003</v>
      </c>
      <c r="HV11">
        <f t="shared" si="155"/>
        <v>45</v>
      </c>
      <c r="HW11">
        <f t="shared" si="156"/>
        <v>45</v>
      </c>
      <c r="HX11">
        <f t="shared" si="157"/>
        <v>456.94</v>
      </c>
      <c r="HY11">
        <f t="shared" si="158"/>
        <v>456</v>
      </c>
      <c r="HZ11">
        <f t="shared" si="159"/>
        <v>6</v>
      </c>
      <c r="IA11">
        <f t="shared" si="160"/>
        <v>94</v>
      </c>
      <c r="IB11" t="str">
        <f t="shared" si="161"/>
        <v>ZERO</v>
      </c>
      <c r="IC11" t="str">
        <f t="shared" si="162"/>
        <v xml:space="preserve">Forty  Five </v>
      </c>
      <c r="ID11" t="str">
        <f t="shared" si="163"/>
        <v>Six</v>
      </c>
      <c r="IE11" t="str">
        <f t="shared" si="164"/>
        <v>Ninety  Four</v>
      </c>
      <c r="IF11" t="str">
        <f t="shared" si="165"/>
        <v xml:space="preserve"> </v>
      </c>
      <c r="IG11" t="str">
        <f t="shared" si="166"/>
        <v xml:space="preserve"> </v>
      </c>
      <c r="IH11" t="str">
        <f t="shared" si="167"/>
        <v xml:space="preserve">Forty  Five </v>
      </c>
      <c r="II11" t="str">
        <f t="shared" si="168"/>
        <v>THOUSAND</v>
      </c>
      <c r="IJ11" t="str">
        <f t="shared" si="169"/>
        <v>Six</v>
      </c>
      <c r="IK11" t="str">
        <f t="shared" si="170"/>
        <v>HUNDRED</v>
      </c>
      <c r="IL11" t="str">
        <f t="shared" si="171"/>
        <v>Ninety  Four</v>
      </c>
      <c r="IM11" t="b">
        <f t="shared" si="172"/>
        <v>0</v>
      </c>
      <c r="IN11" t="str">
        <f t="shared" si="173"/>
        <v>AND</v>
      </c>
      <c r="IO11" t="str">
        <f t="shared" si="174"/>
        <v>AND</v>
      </c>
      <c r="IP11">
        <v>10</v>
      </c>
      <c r="IQ11" t="s">
        <v>58</v>
      </c>
      <c r="IU11">
        <v>45694</v>
      </c>
      <c r="IV11" t="e">
        <f>LOWER(#REF!)</f>
        <v>#REF!</v>
      </c>
    </row>
    <row r="12" spans="1:256">
      <c r="A12" s="9"/>
      <c r="B12" s="18" t="str">
        <f t="shared" si="175"/>
        <v xml:space="preserve">               </v>
      </c>
      <c r="C12" s="18">
        <f t="shared" si="0"/>
        <v>0</v>
      </c>
      <c r="D12" s="18">
        <f t="shared" si="1"/>
        <v>0</v>
      </c>
      <c r="E12" s="18">
        <f t="shared" si="2"/>
        <v>0</v>
      </c>
      <c r="F12" s="18">
        <f t="shared" si="3"/>
        <v>0</v>
      </c>
      <c r="G12" s="18">
        <f t="shared" si="4"/>
        <v>0</v>
      </c>
      <c r="H12" s="18">
        <f t="shared" si="5"/>
        <v>0</v>
      </c>
      <c r="I12" s="18">
        <f t="shared" si="6"/>
        <v>0</v>
      </c>
      <c r="J12" s="18">
        <f t="shared" si="7"/>
        <v>0</v>
      </c>
      <c r="K12" s="18">
        <f t="shared" si="8"/>
        <v>0</v>
      </c>
      <c r="L12" t="str">
        <f t="shared" si="9"/>
        <v>Zero</v>
      </c>
      <c r="M12" t="str">
        <f t="shared" si="10"/>
        <v>Zero</v>
      </c>
      <c r="N12" t="str">
        <f t="shared" si="11"/>
        <v>Zero</v>
      </c>
      <c r="O12" t="str">
        <f t="shared" si="12"/>
        <v>Zero</v>
      </c>
      <c r="P12" t="str">
        <f t="shared" si="13"/>
        <v xml:space="preserve"> </v>
      </c>
      <c r="Q12" t="str">
        <f t="shared" si="176"/>
        <v xml:space="preserve"> </v>
      </c>
      <c r="R12" t="str">
        <f t="shared" si="14"/>
        <v xml:space="preserve"> </v>
      </c>
      <c r="S12" t="str">
        <f t="shared" si="177"/>
        <v xml:space="preserve"> </v>
      </c>
      <c r="T12" s="18" t="str">
        <f t="shared" si="15"/>
        <v xml:space="preserve"> </v>
      </c>
      <c r="U12" s="18" t="str">
        <f t="shared" si="178"/>
        <v xml:space="preserve"> </v>
      </c>
      <c r="V12" s="18" t="str">
        <f t="shared" si="16"/>
        <v xml:space="preserve"> </v>
      </c>
      <c r="W12" s="19" t="b">
        <f t="shared" si="17"/>
        <v>1</v>
      </c>
      <c r="X12" s="19" t="str">
        <f t="shared" si="179"/>
        <v xml:space="preserve"> </v>
      </c>
      <c r="Y12" s="18" t="str">
        <f t="shared" si="18"/>
        <v xml:space="preserve"> </v>
      </c>
      <c r="Z12">
        <v>11</v>
      </c>
      <c r="AA12" s="15" t="s">
        <v>59</v>
      </c>
      <c r="AB12" s="15"/>
      <c r="BK12">
        <v>45695</v>
      </c>
      <c r="BL12" t="str">
        <f t="shared" si="19"/>
        <v>forty five thousand six hundred and ninety five</v>
      </c>
      <c r="BM12" t="str">
        <f t="shared" si="20"/>
        <v>Forty Five THOUSAND Six HUNDRED AND Ninety Five</v>
      </c>
      <c r="BN12" t="str">
        <f t="shared" si="21"/>
        <v xml:space="preserve">    Forty  Five  THOUSAND Six HUNDRED AND Ninety  Five </v>
      </c>
      <c r="BO12">
        <f t="shared" si="22"/>
        <v>0.45695000000000002</v>
      </c>
      <c r="BP12">
        <f t="shared" si="23"/>
        <v>0</v>
      </c>
      <c r="BQ12">
        <f t="shared" si="24"/>
        <v>45.695</v>
      </c>
      <c r="BR12">
        <f t="shared" si="25"/>
        <v>45</v>
      </c>
      <c r="BS12">
        <f t="shared" si="26"/>
        <v>45</v>
      </c>
      <c r="BT12">
        <f t="shared" si="27"/>
        <v>456.95</v>
      </c>
      <c r="BU12">
        <f t="shared" si="28"/>
        <v>456</v>
      </c>
      <c r="BV12">
        <f t="shared" si="29"/>
        <v>6</v>
      </c>
      <c r="BW12">
        <f t="shared" si="30"/>
        <v>95</v>
      </c>
      <c r="BX12" t="str">
        <f t="shared" si="31"/>
        <v>ZERO</v>
      </c>
      <c r="BY12" t="str">
        <f t="shared" si="32"/>
        <v xml:space="preserve">Forty  Five </v>
      </c>
      <c r="BZ12" t="str">
        <f t="shared" si="33"/>
        <v>Six</v>
      </c>
      <c r="CA12" t="str">
        <f t="shared" si="34"/>
        <v xml:space="preserve">Ninety  Five </v>
      </c>
      <c r="CB12" t="str">
        <f t="shared" si="35"/>
        <v xml:space="preserve"> </v>
      </c>
      <c r="CC12" t="str">
        <f t="shared" si="36"/>
        <v xml:space="preserve"> </v>
      </c>
      <c r="CD12" t="str">
        <f t="shared" si="37"/>
        <v xml:space="preserve">Forty  Five </v>
      </c>
      <c r="CE12" t="str">
        <f t="shared" si="38"/>
        <v>THOUSAND</v>
      </c>
      <c r="CF12" t="str">
        <f t="shared" si="39"/>
        <v>Six</v>
      </c>
      <c r="CG12" t="str">
        <f t="shared" si="40"/>
        <v>HUNDRED</v>
      </c>
      <c r="CH12" t="str">
        <f t="shared" si="41"/>
        <v xml:space="preserve">Ninety  Five </v>
      </c>
      <c r="CI12" t="b">
        <f t="shared" si="42"/>
        <v>0</v>
      </c>
      <c r="CJ12" t="str">
        <f t="shared" si="43"/>
        <v>AND</v>
      </c>
      <c r="CK12" t="str">
        <f t="shared" si="44"/>
        <v>AND</v>
      </c>
      <c r="CL12">
        <v>11</v>
      </c>
      <c r="CM12" t="s">
        <v>60</v>
      </c>
      <c r="CQ12">
        <v>45695</v>
      </c>
      <c r="CR12" t="str">
        <f t="shared" si="45"/>
        <v>forty five thousand six hundred and ninety five</v>
      </c>
      <c r="CS12" t="str">
        <f t="shared" si="46"/>
        <v>Forty Five THOUSAND Six HUNDRED AND Ninety Five</v>
      </c>
      <c r="CT12" t="str">
        <f t="shared" si="47"/>
        <v xml:space="preserve">    Forty  Five  THOUSAND Six HUNDRED AND Ninety  Five </v>
      </c>
      <c r="CU12">
        <f t="shared" si="48"/>
        <v>0.45695000000000002</v>
      </c>
      <c r="CV12">
        <f t="shared" si="49"/>
        <v>0</v>
      </c>
      <c r="CW12">
        <f t="shared" si="50"/>
        <v>45.695</v>
      </c>
      <c r="CX12">
        <f t="shared" si="51"/>
        <v>45</v>
      </c>
      <c r="CY12">
        <f t="shared" si="52"/>
        <v>45</v>
      </c>
      <c r="CZ12">
        <f t="shared" si="53"/>
        <v>456.95</v>
      </c>
      <c r="DA12">
        <f t="shared" si="54"/>
        <v>456</v>
      </c>
      <c r="DB12">
        <f t="shared" si="55"/>
        <v>6</v>
      </c>
      <c r="DC12">
        <f t="shared" si="56"/>
        <v>95</v>
      </c>
      <c r="DD12" t="str">
        <f t="shared" si="57"/>
        <v>ZERO</v>
      </c>
      <c r="DE12" t="str">
        <f t="shared" si="58"/>
        <v xml:space="preserve">Forty  Five </v>
      </c>
      <c r="DF12" t="str">
        <f t="shared" si="59"/>
        <v>Six</v>
      </c>
      <c r="DG12" t="str">
        <f t="shared" si="60"/>
        <v xml:space="preserve">Ninety  Five </v>
      </c>
      <c r="DH12" t="str">
        <f t="shared" si="61"/>
        <v xml:space="preserve"> </v>
      </c>
      <c r="DI12" t="str">
        <f t="shared" si="62"/>
        <v xml:space="preserve"> </v>
      </c>
      <c r="DJ12" t="str">
        <f t="shared" si="63"/>
        <v xml:space="preserve">Forty  Five </v>
      </c>
      <c r="DK12" t="str">
        <f t="shared" si="64"/>
        <v>THOUSAND</v>
      </c>
      <c r="DL12" t="str">
        <f t="shared" si="65"/>
        <v>Six</v>
      </c>
      <c r="DM12" t="str">
        <f t="shared" si="66"/>
        <v>HUNDRED</v>
      </c>
      <c r="DN12" t="str">
        <f t="shared" si="67"/>
        <v xml:space="preserve">Ninety  Five </v>
      </c>
      <c r="DO12" t="b">
        <f t="shared" si="68"/>
        <v>0</v>
      </c>
      <c r="DP12" t="str">
        <f t="shared" si="69"/>
        <v>AND</v>
      </c>
      <c r="DQ12" t="str">
        <f t="shared" si="70"/>
        <v>AND</v>
      </c>
      <c r="DR12">
        <v>11</v>
      </c>
      <c r="DS12" t="s">
        <v>60</v>
      </c>
      <c r="DW12">
        <v>45695</v>
      </c>
      <c r="DX12" t="str">
        <f t="shared" si="71"/>
        <v>forty five thousand six hundred and ninety five</v>
      </c>
      <c r="DY12" t="str">
        <f t="shared" si="72"/>
        <v>Forty Five THOUSAND Six HUNDRED AND Ninety Five</v>
      </c>
      <c r="DZ12" t="str">
        <f t="shared" si="73"/>
        <v xml:space="preserve">    Forty  Five  THOUSAND Six HUNDRED AND Ninety  Five </v>
      </c>
      <c r="EA12">
        <f t="shared" si="74"/>
        <v>0.45695000000000002</v>
      </c>
      <c r="EB12">
        <f t="shared" si="75"/>
        <v>0</v>
      </c>
      <c r="EC12">
        <f t="shared" si="76"/>
        <v>45.695</v>
      </c>
      <c r="ED12">
        <f t="shared" si="77"/>
        <v>45</v>
      </c>
      <c r="EE12">
        <f t="shared" si="78"/>
        <v>45</v>
      </c>
      <c r="EF12">
        <f t="shared" si="79"/>
        <v>456.95</v>
      </c>
      <c r="EG12">
        <f t="shared" si="80"/>
        <v>456</v>
      </c>
      <c r="EH12">
        <f t="shared" si="81"/>
        <v>6</v>
      </c>
      <c r="EI12">
        <f t="shared" si="82"/>
        <v>95</v>
      </c>
      <c r="EJ12" t="str">
        <f t="shared" si="83"/>
        <v>ZERO</v>
      </c>
      <c r="EK12" t="str">
        <f t="shared" si="84"/>
        <v xml:space="preserve">Forty  Five </v>
      </c>
      <c r="EL12" t="str">
        <f t="shared" si="85"/>
        <v>Six</v>
      </c>
      <c r="EM12" t="str">
        <f t="shared" si="86"/>
        <v xml:space="preserve">Ninety  Five </v>
      </c>
      <c r="EN12" t="str">
        <f t="shared" si="87"/>
        <v xml:space="preserve"> </v>
      </c>
      <c r="EO12" t="str">
        <f t="shared" si="88"/>
        <v xml:space="preserve"> </v>
      </c>
      <c r="EP12" t="str">
        <f t="shared" si="89"/>
        <v xml:space="preserve">Forty  Five </v>
      </c>
      <c r="EQ12" t="str">
        <f t="shared" si="90"/>
        <v>THOUSAND</v>
      </c>
      <c r="ER12" t="str">
        <f t="shared" si="91"/>
        <v>Six</v>
      </c>
      <c r="ES12" t="str">
        <f t="shared" si="92"/>
        <v>HUNDRED</v>
      </c>
      <c r="ET12" t="str">
        <f t="shared" si="93"/>
        <v xml:space="preserve">Ninety  Five </v>
      </c>
      <c r="EU12" t="b">
        <f t="shared" si="94"/>
        <v>0</v>
      </c>
      <c r="EV12" t="str">
        <f t="shared" si="95"/>
        <v>AND</v>
      </c>
      <c r="EW12" t="str">
        <f t="shared" si="96"/>
        <v>AND</v>
      </c>
      <c r="EX12">
        <v>11</v>
      </c>
      <c r="EY12" t="s">
        <v>60</v>
      </c>
      <c r="FC12">
        <v>45695</v>
      </c>
      <c r="FD12" t="str">
        <f t="shared" si="97"/>
        <v>forty five thousand six hundred and ninety five</v>
      </c>
      <c r="FE12" t="str">
        <f t="shared" si="98"/>
        <v>Forty Five THOUSAND Six HUNDRED AND Ninety Five</v>
      </c>
      <c r="FF12" t="str">
        <f t="shared" si="99"/>
        <v xml:space="preserve">    Forty  Five  THOUSAND Six HUNDRED AND Ninety  Five </v>
      </c>
      <c r="FG12">
        <f t="shared" si="100"/>
        <v>0.45695000000000002</v>
      </c>
      <c r="FH12">
        <f t="shared" si="101"/>
        <v>0</v>
      </c>
      <c r="FI12">
        <f t="shared" si="102"/>
        <v>45.695</v>
      </c>
      <c r="FJ12">
        <f t="shared" si="103"/>
        <v>45</v>
      </c>
      <c r="FK12">
        <f t="shared" si="104"/>
        <v>45</v>
      </c>
      <c r="FL12">
        <f t="shared" si="105"/>
        <v>456.95</v>
      </c>
      <c r="FM12">
        <f t="shared" si="106"/>
        <v>456</v>
      </c>
      <c r="FN12">
        <f t="shared" si="107"/>
        <v>6</v>
      </c>
      <c r="FO12">
        <f t="shared" si="108"/>
        <v>95</v>
      </c>
      <c r="FP12" t="str">
        <f t="shared" si="109"/>
        <v>ZERO</v>
      </c>
      <c r="FQ12" t="str">
        <f t="shared" si="110"/>
        <v xml:space="preserve">Forty  Five </v>
      </c>
      <c r="FR12" t="str">
        <f t="shared" si="111"/>
        <v>Six</v>
      </c>
      <c r="FS12" t="str">
        <f t="shared" si="112"/>
        <v xml:space="preserve">Ninety  Five </v>
      </c>
      <c r="FT12" t="str">
        <f t="shared" si="113"/>
        <v xml:space="preserve"> </v>
      </c>
      <c r="FU12" t="str">
        <f t="shared" si="114"/>
        <v xml:space="preserve"> </v>
      </c>
      <c r="FV12" t="str">
        <f t="shared" si="115"/>
        <v xml:space="preserve">Forty  Five </v>
      </c>
      <c r="FW12" t="str">
        <f t="shared" si="116"/>
        <v>THOUSAND</v>
      </c>
      <c r="FX12" t="str">
        <f t="shared" si="117"/>
        <v>Six</v>
      </c>
      <c r="FY12" t="str">
        <f t="shared" si="118"/>
        <v>HUNDRED</v>
      </c>
      <c r="FZ12" t="str">
        <f t="shared" si="119"/>
        <v xml:space="preserve">Ninety  Five </v>
      </c>
      <c r="GA12" t="b">
        <f t="shared" si="120"/>
        <v>0</v>
      </c>
      <c r="GB12" t="str">
        <f t="shared" si="121"/>
        <v>AND</v>
      </c>
      <c r="GC12" t="str">
        <f t="shared" si="122"/>
        <v>AND</v>
      </c>
      <c r="GD12">
        <v>11</v>
      </c>
      <c r="GE12" t="s">
        <v>60</v>
      </c>
      <c r="GI12">
        <v>45695</v>
      </c>
      <c r="GJ12" t="str">
        <f t="shared" si="123"/>
        <v>forty five thousand six hundred and ninety five</v>
      </c>
      <c r="GK12" t="str">
        <f t="shared" si="124"/>
        <v>Forty Five THOUSAND Six HUNDRED AND Ninety Five</v>
      </c>
      <c r="GL12" t="str">
        <f t="shared" si="125"/>
        <v xml:space="preserve">    Forty  Five  THOUSAND Six HUNDRED AND Ninety  Five </v>
      </c>
      <c r="GM12">
        <f t="shared" si="126"/>
        <v>0.45695000000000002</v>
      </c>
      <c r="GN12">
        <f t="shared" si="127"/>
        <v>0</v>
      </c>
      <c r="GO12">
        <f t="shared" si="128"/>
        <v>45.695</v>
      </c>
      <c r="GP12">
        <f t="shared" si="129"/>
        <v>45</v>
      </c>
      <c r="GQ12">
        <f t="shared" si="130"/>
        <v>45</v>
      </c>
      <c r="GR12">
        <f t="shared" si="131"/>
        <v>456.95</v>
      </c>
      <c r="GS12">
        <f t="shared" si="132"/>
        <v>456</v>
      </c>
      <c r="GT12">
        <f t="shared" si="133"/>
        <v>6</v>
      </c>
      <c r="GU12">
        <f t="shared" si="134"/>
        <v>95</v>
      </c>
      <c r="GV12" t="str">
        <f t="shared" si="135"/>
        <v>ZERO</v>
      </c>
      <c r="GW12" t="str">
        <f t="shared" si="136"/>
        <v xml:space="preserve">Forty  Five </v>
      </c>
      <c r="GX12" t="str">
        <f t="shared" si="137"/>
        <v>Six</v>
      </c>
      <c r="GY12" t="str">
        <f t="shared" si="138"/>
        <v xml:space="preserve">Ninety  Five </v>
      </c>
      <c r="GZ12" t="str">
        <f t="shared" si="139"/>
        <v xml:space="preserve"> </v>
      </c>
      <c r="HA12" t="str">
        <f t="shared" si="140"/>
        <v xml:space="preserve"> </v>
      </c>
      <c r="HB12" t="str">
        <f t="shared" si="141"/>
        <v xml:space="preserve">Forty  Five </v>
      </c>
      <c r="HC12" t="str">
        <f t="shared" si="142"/>
        <v>THOUSAND</v>
      </c>
      <c r="HD12" t="str">
        <f t="shared" si="143"/>
        <v>Six</v>
      </c>
      <c r="HE12" t="str">
        <f t="shared" si="144"/>
        <v>HUNDRED</v>
      </c>
      <c r="HF12" t="str">
        <f t="shared" si="145"/>
        <v xml:space="preserve">Ninety  Five </v>
      </c>
      <c r="HG12" t="b">
        <f t="shared" si="146"/>
        <v>0</v>
      </c>
      <c r="HH12" t="str">
        <f t="shared" si="147"/>
        <v>AND</v>
      </c>
      <c r="HI12" t="str">
        <f t="shared" si="148"/>
        <v>AND</v>
      </c>
      <c r="HJ12">
        <v>11</v>
      </c>
      <c r="HK12" t="s">
        <v>60</v>
      </c>
      <c r="HO12">
        <v>45695</v>
      </c>
      <c r="HP12" t="str">
        <f t="shared" si="149"/>
        <v>forty five thousand six hundred and ninety five</v>
      </c>
      <c r="HQ12" t="str">
        <f t="shared" si="150"/>
        <v>Forty Five THOUSAND Six HUNDRED AND Ninety Five</v>
      </c>
      <c r="HR12" t="str">
        <f t="shared" si="151"/>
        <v xml:space="preserve">    Forty  Five  THOUSAND Six HUNDRED AND Ninety  Five </v>
      </c>
      <c r="HS12">
        <f t="shared" si="152"/>
        <v>0.45695000000000002</v>
      </c>
      <c r="HT12">
        <f t="shared" si="153"/>
        <v>0</v>
      </c>
      <c r="HU12">
        <f t="shared" si="154"/>
        <v>45.695</v>
      </c>
      <c r="HV12">
        <f t="shared" si="155"/>
        <v>45</v>
      </c>
      <c r="HW12">
        <f t="shared" si="156"/>
        <v>45</v>
      </c>
      <c r="HX12">
        <f t="shared" si="157"/>
        <v>456.95</v>
      </c>
      <c r="HY12">
        <f t="shared" si="158"/>
        <v>456</v>
      </c>
      <c r="HZ12">
        <f t="shared" si="159"/>
        <v>6</v>
      </c>
      <c r="IA12">
        <f t="shared" si="160"/>
        <v>95</v>
      </c>
      <c r="IB12" t="str">
        <f t="shared" si="161"/>
        <v>ZERO</v>
      </c>
      <c r="IC12" t="str">
        <f t="shared" si="162"/>
        <v xml:space="preserve">Forty  Five </v>
      </c>
      <c r="ID12" t="str">
        <f t="shared" si="163"/>
        <v>Six</v>
      </c>
      <c r="IE12" t="str">
        <f t="shared" si="164"/>
        <v xml:space="preserve">Ninety  Five </v>
      </c>
      <c r="IF12" t="str">
        <f t="shared" si="165"/>
        <v xml:space="preserve"> </v>
      </c>
      <c r="IG12" t="str">
        <f t="shared" si="166"/>
        <v xml:space="preserve"> </v>
      </c>
      <c r="IH12" t="str">
        <f t="shared" si="167"/>
        <v xml:space="preserve">Forty  Five </v>
      </c>
      <c r="II12" t="str">
        <f t="shared" si="168"/>
        <v>THOUSAND</v>
      </c>
      <c r="IJ12" t="str">
        <f t="shared" si="169"/>
        <v>Six</v>
      </c>
      <c r="IK12" t="str">
        <f t="shared" si="170"/>
        <v>HUNDRED</v>
      </c>
      <c r="IL12" t="str">
        <f t="shared" si="171"/>
        <v xml:space="preserve">Ninety  Five </v>
      </c>
      <c r="IM12" t="b">
        <f t="shared" si="172"/>
        <v>0</v>
      </c>
      <c r="IN12" t="str">
        <f t="shared" si="173"/>
        <v>AND</v>
      </c>
      <c r="IO12" t="str">
        <f t="shared" si="174"/>
        <v>AND</v>
      </c>
      <c r="IP12">
        <v>11</v>
      </c>
      <c r="IQ12" t="s">
        <v>60</v>
      </c>
      <c r="IU12">
        <v>45695</v>
      </c>
      <c r="IV12" t="e">
        <f>LOWER(#REF!)</f>
        <v>#REF!</v>
      </c>
    </row>
    <row r="13" spans="1:256">
      <c r="Z13">
        <v>12</v>
      </c>
      <c r="AA13" s="15" t="s">
        <v>61</v>
      </c>
      <c r="AB13" s="15"/>
      <c r="BL13" t="s">
        <v>62</v>
      </c>
      <c r="CL13">
        <v>12</v>
      </c>
      <c r="CM13" t="s">
        <v>63</v>
      </c>
      <c r="CR13" t="s">
        <v>62</v>
      </c>
      <c r="DR13">
        <v>12</v>
      </c>
      <c r="DS13" t="s">
        <v>63</v>
      </c>
      <c r="DX13" t="s">
        <v>62</v>
      </c>
      <c r="EX13">
        <v>12</v>
      </c>
      <c r="EY13" t="s">
        <v>63</v>
      </c>
      <c r="FD13" t="s">
        <v>62</v>
      </c>
      <c r="GD13">
        <v>12</v>
      </c>
      <c r="GE13" t="s">
        <v>63</v>
      </c>
      <c r="GJ13" t="s">
        <v>62</v>
      </c>
      <c r="HJ13">
        <v>12</v>
      </c>
      <c r="HK13" t="s">
        <v>63</v>
      </c>
      <c r="HP13" t="s">
        <v>62</v>
      </c>
      <c r="IP13">
        <v>12</v>
      </c>
      <c r="IQ13" t="s">
        <v>63</v>
      </c>
      <c r="IV13" t="s">
        <v>62</v>
      </c>
    </row>
    <row r="14" spans="1:256">
      <c r="Z14">
        <v>13</v>
      </c>
      <c r="AA14" s="15" t="s">
        <v>64</v>
      </c>
      <c r="AB14" s="15"/>
      <c r="BL14" t="s">
        <v>65</v>
      </c>
      <c r="CL14">
        <v>13</v>
      </c>
      <c r="CM14" t="s">
        <v>66</v>
      </c>
      <c r="CR14" t="s">
        <v>65</v>
      </c>
      <c r="DR14">
        <v>13</v>
      </c>
      <c r="DS14" t="s">
        <v>66</v>
      </c>
      <c r="DX14" t="s">
        <v>65</v>
      </c>
      <c r="EX14">
        <v>13</v>
      </c>
      <c r="EY14" t="s">
        <v>66</v>
      </c>
      <c r="FD14" t="s">
        <v>65</v>
      </c>
      <c r="GD14">
        <v>13</v>
      </c>
      <c r="GE14" t="s">
        <v>66</v>
      </c>
      <c r="GJ14" t="s">
        <v>65</v>
      </c>
      <c r="HJ14">
        <v>13</v>
      </c>
      <c r="HK14" t="s">
        <v>66</v>
      </c>
      <c r="HP14" t="s">
        <v>65</v>
      </c>
      <c r="IP14">
        <v>13</v>
      </c>
      <c r="IQ14" t="s">
        <v>66</v>
      </c>
      <c r="IV14" t="s">
        <v>65</v>
      </c>
    </row>
    <row r="15" spans="1:256">
      <c r="Z15">
        <v>14</v>
      </c>
      <c r="AA15" s="15" t="s">
        <v>67</v>
      </c>
      <c r="AB15" s="15"/>
      <c r="BL15">
        <v>9393632288</v>
      </c>
      <c r="CL15">
        <v>14</v>
      </c>
      <c r="CM15" t="s">
        <v>68</v>
      </c>
      <c r="CR15">
        <v>9393632288</v>
      </c>
      <c r="DR15">
        <v>14</v>
      </c>
      <c r="DS15" t="s">
        <v>68</v>
      </c>
      <c r="DX15">
        <v>9393632288</v>
      </c>
      <c r="EX15">
        <v>14</v>
      </c>
      <c r="EY15" t="s">
        <v>68</v>
      </c>
      <c r="FD15">
        <v>9393632288</v>
      </c>
      <c r="GD15">
        <v>14</v>
      </c>
      <c r="GE15" t="s">
        <v>68</v>
      </c>
      <c r="GJ15">
        <v>9393632288</v>
      </c>
      <c r="HJ15">
        <v>14</v>
      </c>
      <c r="HK15" t="s">
        <v>68</v>
      </c>
      <c r="HP15">
        <v>9393632288</v>
      </c>
      <c r="IP15">
        <v>14</v>
      </c>
      <c r="IQ15" t="s">
        <v>68</v>
      </c>
      <c r="IV15">
        <v>9393632288</v>
      </c>
    </row>
    <row r="16" spans="1:256">
      <c r="Z16">
        <v>15</v>
      </c>
      <c r="AA16" s="15" t="s">
        <v>69</v>
      </c>
      <c r="AB16" s="15"/>
      <c r="BL16" t="s">
        <v>70</v>
      </c>
      <c r="CL16">
        <v>15</v>
      </c>
      <c r="CM16" t="s">
        <v>71</v>
      </c>
      <c r="CR16" t="s">
        <v>70</v>
      </c>
      <c r="DR16">
        <v>15</v>
      </c>
      <c r="DS16" t="s">
        <v>71</v>
      </c>
      <c r="DX16" t="s">
        <v>70</v>
      </c>
      <c r="EX16">
        <v>15</v>
      </c>
      <c r="EY16" t="s">
        <v>71</v>
      </c>
      <c r="FD16" t="s">
        <v>70</v>
      </c>
      <c r="GD16">
        <v>15</v>
      </c>
      <c r="GE16" t="s">
        <v>71</v>
      </c>
      <c r="GJ16" t="s">
        <v>70</v>
      </c>
      <c r="HJ16">
        <v>15</v>
      </c>
      <c r="HK16" t="s">
        <v>71</v>
      </c>
      <c r="HP16" t="s">
        <v>70</v>
      </c>
      <c r="IP16">
        <v>15</v>
      </c>
      <c r="IQ16" t="s">
        <v>71</v>
      </c>
      <c r="IV16" t="s">
        <v>70</v>
      </c>
    </row>
    <row r="17" spans="26:251">
      <c r="Z17">
        <v>16</v>
      </c>
      <c r="AA17" s="15" t="s">
        <v>72</v>
      </c>
      <c r="AB17" s="15"/>
      <c r="CL17">
        <v>16</v>
      </c>
      <c r="CM17" t="s">
        <v>73</v>
      </c>
      <c r="DR17">
        <v>16</v>
      </c>
      <c r="DS17" t="s">
        <v>73</v>
      </c>
      <c r="EX17">
        <v>16</v>
      </c>
      <c r="EY17" t="s">
        <v>73</v>
      </c>
      <c r="GD17">
        <v>16</v>
      </c>
      <c r="GE17" t="s">
        <v>73</v>
      </c>
      <c r="HJ17">
        <v>16</v>
      </c>
      <c r="HK17" t="s">
        <v>73</v>
      </c>
      <c r="IP17">
        <v>16</v>
      </c>
      <c r="IQ17" t="s">
        <v>73</v>
      </c>
    </row>
    <row r="18" spans="26:251">
      <c r="Z18">
        <v>17</v>
      </c>
      <c r="AA18" s="15" t="s">
        <v>74</v>
      </c>
      <c r="AB18" s="15"/>
      <c r="CL18">
        <v>17</v>
      </c>
      <c r="CM18" t="s">
        <v>75</v>
      </c>
      <c r="DR18">
        <v>17</v>
      </c>
      <c r="DS18" t="s">
        <v>75</v>
      </c>
      <c r="EX18">
        <v>17</v>
      </c>
      <c r="EY18" t="s">
        <v>75</v>
      </c>
      <c r="GD18">
        <v>17</v>
      </c>
      <c r="GE18" t="s">
        <v>75</v>
      </c>
      <c r="HJ18">
        <v>17</v>
      </c>
      <c r="HK18" t="s">
        <v>75</v>
      </c>
      <c r="IP18">
        <v>17</v>
      </c>
      <c r="IQ18" t="s">
        <v>75</v>
      </c>
    </row>
    <row r="19" spans="26:251">
      <c r="Z19">
        <v>18</v>
      </c>
      <c r="AA19" s="15" t="s">
        <v>76</v>
      </c>
      <c r="AB19" s="15"/>
      <c r="CL19">
        <v>18</v>
      </c>
      <c r="CM19" t="s">
        <v>77</v>
      </c>
      <c r="DR19">
        <v>18</v>
      </c>
      <c r="DS19" t="s">
        <v>77</v>
      </c>
      <c r="EX19">
        <v>18</v>
      </c>
      <c r="EY19" t="s">
        <v>77</v>
      </c>
      <c r="GD19">
        <v>18</v>
      </c>
      <c r="GE19" t="s">
        <v>77</v>
      </c>
      <c r="HJ19">
        <v>18</v>
      </c>
      <c r="HK19" t="s">
        <v>77</v>
      </c>
      <c r="IP19">
        <v>18</v>
      </c>
      <c r="IQ19" t="s">
        <v>77</v>
      </c>
    </row>
    <row r="20" spans="26:251">
      <c r="Z20">
        <v>19</v>
      </c>
      <c r="AA20" s="15" t="s">
        <v>78</v>
      </c>
      <c r="AB20" s="15"/>
      <c r="CL20">
        <v>19</v>
      </c>
      <c r="CM20" t="s">
        <v>79</v>
      </c>
      <c r="DR20">
        <v>19</v>
      </c>
      <c r="DS20" t="s">
        <v>79</v>
      </c>
      <c r="EX20">
        <v>19</v>
      </c>
      <c r="EY20" t="s">
        <v>79</v>
      </c>
      <c r="GD20">
        <v>19</v>
      </c>
      <c r="GE20" t="s">
        <v>79</v>
      </c>
      <c r="HJ20">
        <v>19</v>
      </c>
      <c r="HK20" t="s">
        <v>79</v>
      </c>
      <c r="IP20">
        <v>19</v>
      </c>
      <c r="IQ20" t="s">
        <v>79</v>
      </c>
    </row>
    <row r="21" spans="26:251">
      <c r="Z21">
        <v>20</v>
      </c>
      <c r="AA21" s="15" t="s">
        <v>80</v>
      </c>
      <c r="AB21" s="15"/>
      <c r="CL21">
        <v>20</v>
      </c>
      <c r="CM21" t="s">
        <v>81</v>
      </c>
      <c r="DR21">
        <v>20</v>
      </c>
      <c r="DS21" t="s">
        <v>81</v>
      </c>
      <c r="EX21">
        <v>20</v>
      </c>
      <c r="EY21" t="s">
        <v>81</v>
      </c>
      <c r="GD21">
        <v>20</v>
      </c>
      <c r="GE21" t="s">
        <v>81</v>
      </c>
      <c r="HJ21">
        <v>20</v>
      </c>
      <c r="HK21" t="s">
        <v>81</v>
      </c>
      <c r="IP21">
        <v>20</v>
      </c>
      <c r="IQ21" t="s">
        <v>81</v>
      </c>
    </row>
    <row r="22" spans="26:251">
      <c r="Z22">
        <v>21</v>
      </c>
      <c r="AA22" s="15" t="s">
        <v>82</v>
      </c>
      <c r="AB22" s="15"/>
      <c r="CL22">
        <v>21</v>
      </c>
      <c r="CM22" t="s">
        <v>83</v>
      </c>
      <c r="DR22">
        <v>21</v>
      </c>
      <c r="DS22" t="s">
        <v>83</v>
      </c>
      <c r="EX22">
        <v>21</v>
      </c>
      <c r="EY22" t="s">
        <v>83</v>
      </c>
      <c r="GD22">
        <v>21</v>
      </c>
      <c r="GE22" t="s">
        <v>83</v>
      </c>
      <c r="HJ22">
        <v>21</v>
      </c>
      <c r="HK22" t="s">
        <v>83</v>
      </c>
      <c r="IP22">
        <v>21</v>
      </c>
      <c r="IQ22" t="s">
        <v>83</v>
      </c>
    </row>
    <row r="23" spans="26:251">
      <c r="Z23">
        <v>22</v>
      </c>
      <c r="AA23" s="15" t="s">
        <v>84</v>
      </c>
      <c r="AB23" s="15"/>
      <c r="CL23">
        <v>22</v>
      </c>
      <c r="CM23" t="s">
        <v>85</v>
      </c>
      <c r="DR23">
        <v>22</v>
      </c>
      <c r="DS23" t="s">
        <v>85</v>
      </c>
      <c r="EX23">
        <v>22</v>
      </c>
      <c r="EY23" t="s">
        <v>85</v>
      </c>
      <c r="GD23">
        <v>22</v>
      </c>
      <c r="GE23" t="s">
        <v>85</v>
      </c>
      <c r="HJ23">
        <v>22</v>
      </c>
      <c r="HK23" t="s">
        <v>85</v>
      </c>
      <c r="IP23">
        <v>22</v>
      </c>
      <c r="IQ23" t="s">
        <v>85</v>
      </c>
    </row>
    <row r="24" spans="26:251">
      <c r="Z24">
        <v>23</v>
      </c>
      <c r="AA24" s="15" t="s">
        <v>86</v>
      </c>
      <c r="AB24" s="15"/>
      <c r="CL24">
        <v>23</v>
      </c>
      <c r="CM24" t="s">
        <v>87</v>
      </c>
      <c r="DR24">
        <v>23</v>
      </c>
      <c r="DS24" t="s">
        <v>87</v>
      </c>
      <c r="EX24">
        <v>23</v>
      </c>
      <c r="EY24" t="s">
        <v>87</v>
      </c>
      <c r="GD24">
        <v>23</v>
      </c>
      <c r="GE24" t="s">
        <v>87</v>
      </c>
      <c r="HJ24">
        <v>23</v>
      </c>
      <c r="HK24" t="s">
        <v>87</v>
      </c>
      <c r="IP24">
        <v>23</v>
      </c>
      <c r="IQ24" t="s">
        <v>87</v>
      </c>
    </row>
    <row r="25" spans="26:251">
      <c r="Z25">
        <v>24</v>
      </c>
      <c r="AA25" s="15" t="s">
        <v>88</v>
      </c>
      <c r="AB25" s="15"/>
      <c r="CL25">
        <v>24</v>
      </c>
      <c r="CM25" t="s">
        <v>89</v>
      </c>
      <c r="DR25">
        <v>24</v>
      </c>
      <c r="DS25" t="s">
        <v>89</v>
      </c>
      <c r="EX25">
        <v>24</v>
      </c>
      <c r="EY25" t="s">
        <v>89</v>
      </c>
      <c r="GD25">
        <v>24</v>
      </c>
      <c r="GE25" t="s">
        <v>89</v>
      </c>
      <c r="HJ25">
        <v>24</v>
      </c>
      <c r="HK25" t="s">
        <v>89</v>
      </c>
      <c r="IP25">
        <v>24</v>
      </c>
      <c r="IQ25" t="s">
        <v>89</v>
      </c>
    </row>
    <row r="26" spans="26:251">
      <c r="Z26">
        <v>25</v>
      </c>
      <c r="AA26" s="15" t="s">
        <v>90</v>
      </c>
      <c r="AB26" s="15"/>
      <c r="CL26">
        <v>25</v>
      </c>
      <c r="CM26" t="s">
        <v>91</v>
      </c>
      <c r="DR26">
        <v>25</v>
      </c>
      <c r="DS26" t="s">
        <v>91</v>
      </c>
      <c r="EX26">
        <v>25</v>
      </c>
      <c r="EY26" t="s">
        <v>91</v>
      </c>
      <c r="GD26">
        <v>25</v>
      </c>
      <c r="GE26" t="s">
        <v>91</v>
      </c>
      <c r="HJ26">
        <v>25</v>
      </c>
      <c r="HK26" t="s">
        <v>91</v>
      </c>
      <c r="IP26">
        <v>25</v>
      </c>
      <c r="IQ26" t="s">
        <v>91</v>
      </c>
    </row>
    <row r="27" spans="26:251">
      <c r="Z27">
        <v>26</v>
      </c>
      <c r="AA27" s="15" t="s">
        <v>92</v>
      </c>
      <c r="AB27" s="15"/>
      <c r="CL27">
        <v>26</v>
      </c>
      <c r="CM27" t="s">
        <v>93</v>
      </c>
      <c r="DR27">
        <v>26</v>
      </c>
      <c r="DS27" t="s">
        <v>93</v>
      </c>
      <c r="EX27">
        <v>26</v>
      </c>
      <c r="EY27" t="s">
        <v>93</v>
      </c>
      <c r="GD27">
        <v>26</v>
      </c>
      <c r="GE27" t="s">
        <v>93</v>
      </c>
      <c r="HJ27">
        <v>26</v>
      </c>
      <c r="HK27" t="s">
        <v>93</v>
      </c>
      <c r="IP27">
        <v>26</v>
      </c>
      <c r="IQ27" t="s">
        <v>93</v>
      </c>
    </row>
    <row r="28" spans="26:251">
      <c r="Z28">
        <v>27</v>
      </c>
      <c r="AA28" s="15" t="s">
        <v>94</v>
      </c>
      <c r="AB28" s="15"/>
      <c r="CL28">
        <v>27</v>
      </c>
      <c r="CM28" t="s">
        <v>95</v>
      </c>
      <c r="DR28">
        <v>27</v>
      </c>
      <c r="DS28" t="s">
        <v>95</v>
      </c>
      <c r="EX28">
        <v>27</v>
      </c>
      <c r="EY28" t="s">
        <v>95</v>
      </c>
      <c r="GD28">
        <v>27</v>
      </c>
      <c r="GE28" t="s">
        <v>95</v>
      </c>
      <c r="HJ28">
        <v>27</v>
      </c>
      <c r="HK28" t="s">
        <v>95</v>
      </c>
      <c r="IP28">
        <v>27</v>
      </c>
      <c r="IQ28" t="s">
        <v>95</v>
      </c>
    </row>
    <row r="29" spans="26:251">
      <c r="Z29">
        <v>28</v>
      </c>
      <c r="AA29" s="15" t="s">
        <v>96</v>
      </c>
      <c r="AB29" s="15"/>
      <c r="CL29">
        <v>28</v>
      </c>
      <c r="CM29" t="s">
        <v>97</v>
      </c>
      <c r="DR29">
        <v>28</v>
      </c>
      <c r="DS29" t="s">
        <v>97</v>
      </c>
      <c r="EX29">
        <v>28</v>
      </c>
      <c r="EY29" t="s">
        <v>97</v>
      </c>
      <c r="GD29">
        <v>28</v>
      </c>
      <c r="GE29" t="s">
        <v>97</v>
      </c>
      <c r="HJ29">
        <v>28</v>
      </c>
      <c r="HK29" t="s">
        <v>97</v>
      </c>
      <c r="IP29">
        <v>28</v>
      </c>
      <c r="IQ29" t="s">
        <v>97</v>
      </c>
    </row>
    <row r="30" spans="26:251">
      <c r="Z30">
        <v>29</v>
      </c>
      <c r="AA30" s="15" t="s">
        <v>98</v>
      </c>
      <c r="AB30" s="15"/>
      <c r="CL30">
        <v>29</v>
      </c>
      <c r="CM30" t="s">
        <v>99</v>
      </c>
      <c r="DR30">
        <v>29</v>
      </c>
      <c r="DS30" t="s">
        <v>99</v>
      </c>
      <c r="EX30">
        <v>29</v>
      </c>
      <c r="EY30" t="s">
        <v>99</v>
      </c>
      <c r="GD30">
        <v>29</v>
      </c>
      <c r="GE30" t="s">
        <v>99</v>
      </c>
      <c r="HJ30">
        <v>29</v>
      </c>
      <c r="HK30" t="s">
        <v>99</v>
      </c>
      <c r="IP30">
        <v>29</v>
      </c>
      <c r="IQ30" t="s">
        <v>99</v>
      </c>
    </row>
    <row r="31" spans="26:251">
      <c r="Z31">
        <v>30</v>
      </c>
      <c r="AA31" s="15" t="s">
        <v>100</v>
      </c>
      <c r="AB31" s="15"/>
      <c r="CL31">
        <v>30</v>
      </c>
      <c r="CM31" t="s">
        <v>100</v>
      </c>
      <c r="DR31">
        <v>30</v>
      </c>
      <c r="DS31" t="s">
        <v>100</v>
      </c>
      <c r="EX31">
        <v>30</v>
      </c>
      <c r="EY31" t="s">
        <v>100</v>
      </c>
      <c r="GD31">
        <v>30</v>
      </c>
      <c r="GE31" t="s">
        <v>100</v>
      </c>
      <c r="HJ31">
        <v>30</v>
      </c>
      <c r="HK31" t="s">
        <v>100</v>
      </c>
      <c r="IP31">
        <v>30</v>
      </c>
      <c r="IQ31" t="s">
        <v>100</v>
      </c>
    </row>
    <row r="32" spans="26:251">
      <c r="Z32">
        <v>31</v>
      </c>
      <c r="AA32" s="15" t="s">
        <v>101</v>
      </c>
      <c r="AB32" s="15"/>
      <c r="CL32">
        <v>31</v>
      </c>
      <c r="CM32" t="s">
        <v>102</v>
      </c>
      <c r="DR32">
        <v>31</v>
      </c>
      <c r="DS32" t="s">
        <v>102</v>
      </c>
      <c r="EX32">
        <v>31</v>
      </c>
      <c r="EY32" t="s">
        <v>102</v>
      </c>
      <c r="GD32">
        <v>31</v>
      </c>
      <c r="GE32" t="s">
        <v>102</v>
      </c>
      <c r="HJ32">
        <v>31</v>
      </c>
      <c r="HK32" t="s">
        <v>102</v>
      </c>
      <c r="IP32">
        <v>31</v>
      </c>
      <c r="IQ32" t="s">
        <v>102</v>
      </c>
    </row>
    <row r="33" spans="26:251">
      <c r="Z33">
        <v>32</v>
      </c>
      <c r="AA33" s="15" t="s">
        <v>103</v>
      </c>
      <c r="AB33" s="15"/>
      <c r="CL33">
        <v>32</v>
      </c>
      <c r="CM33" t="s">
        <v>103</v>
      </c>
      <c r="DR33">
        <v>32</v>
      </c>
      <c r="DS33" t="s">
        <v>103</v>
      </c>
      <c r="EX33">
        <v>32</v>
      </c>
      <c r="EY33" t="s">
        <v>103</v>
      </c>
      <c r="GD33">
        <v>32</v>
      </c>
      <c r="GE33" t="s">
        <v>103</v>
      </c>
      <c r="HJ33">
        <v>32</v>
      </c>
      <c r="HK33" t="s">
        <v>103</v>
      </c>
      <c r="IP33">
        <v>32</v>
      </c>
      <c r="IQ33" t="s">
        <v>103</v>
      </c>
    </row>
    <row r="34" spans="26:251">
      <c r="Z34">
        <v>33</v>
      </c>
      <c r="AA34" s="15" t="s">
        <v>104</v>
      </c>
      <c r="AB34" s="15"/>
      <c r="CL34">
        <v>33</v>
      </c>
      <c r="CM34" t="s">
        <v>104</v>
      </c>
      <c r="DR34">
        <v>33</v>
      </c>
      <c r="DS34" t="s">
        <v>104</v>
      </c>
      <c r="EX34">
        <v>33</v>
      </c>
      <c r="EY34" t="s">
        <v>104</v>
      </c>
      <c r="GD34">
        <v>33</v>
      </c>
      <c r="GE34" t="s">
        <v>104</v>
      </c>
      <c r="HJ34">
        <v>33</v>
      </c>
      <c r="HK34" t="s">
        <v>104</v>
      </c>
      <c r="IP34">
        <v>33</v>
      </c>
      <c r="IQ34" t="s">
        <v>104</v>
      </c>
    </row>
    <row r="35" spans="26:251">
      <c r="Z35">
        <v>34</v>
      </c>
      <c r="AA35" s="15" t="s">
        <v>105</v>
      </c>
      <c r="AB35" s="15"/>
      <c r="CL35">
        <v>34</v>
      </c>
      <c r="CM35" t="s">
        <v>105</v>
      </c>
      <c r="DR35">
        <v>34</v>
      </c>
      <c r="DS35" t="s">
        <v>105</v>
      </c>
      <c r="EX35">
        <v>34</v>
      </c>
      <c r="EY35" t="s">
        <v>105</v>
      </c>
      <c r="GD35">
        <v>34</v>
      </c>
      <c r="GE35" t="s">
        <v>105</v>
      </c>
      <c r="HJ35">
        <v>34</v>
      </c>
      <c r="HK35" t="s">
        <v>105</v>
      </c>
      <c r="IP35">
        <v>34</v>
      </c>
      <c r="IQ35" t="s">
        <v>105</v>
      </c>
    </row>
    <row r="36" spans="26:251">
      <c r="Z36">
        <v>35</v>
      </c>
      <c r="AA36" s="15" t="s">
        <v>106</v>
      </c>
      <c r="AB36" s="15"/>
      <c r="CL36">
        <v>35</v>
      </c>
      <c r="CM36" t="s">
        <v>106</v>
      </c>
      <c r="DR36">
        <v>35</v>
      </c>
      <c r="DS36" t="s">
        <v>106</v>
      </c>
      <c r="EX36">
        <v>35</v>
      </c>
      <c r="EY36" t="s">
        <v>106</v>
      </c>
      <c r="GD36">
        <v>35</v>
      </c>
      <c r="GE36" t="s">
        <v>106</v>
      </c>
      <c r="HJ36">
        <v>35</v>
      </c>
      <c r="HK36" t="s">
        <v>106</v>
      </c>
      <c r="IP36">
        <v>35</v>
      </c>
      <c r="IQ36" t="s">
        <v>106</v>
      </c>
    </row>
    <row r="37" spans="26:251">
      <c r="Z37">
        <v>36</v>
      </c>
      <c r="AA37" s="15" t="s">
        <v>107</v>
      </c>
      <c r="AB37" s="15"/>
      <c r="CL37">
        <v>36</v>
      </c>
      <c r="CM37" t="s">
        <v>107</v>
      </c>
      <c r="DR37">
        <v>36</v>
      </c>
      <c r="DS37" t="s">
        <v>107</v>
      </c>
      <c r="EX37">
        <v>36</v>
      </c>
      <c r="EY37" t="s">
        <v>107</v>
      </c>
      <c r="GD37">
        <v>36</v>
      </c>
      <c r="GE37" t="s">
        <v>107</v>
      </c>
      <c r="HJ37">
        <v>36</v>
      </c>
      <c r="HK37" t="s">
        <v>107</v>
      </c>
      <c r="IP37">
        <v>36</v>
      </c>
      <c r="IQ37" t="s">
        <v>107</v>
      </c>
    </row>
    <row r="38" spans="26:251">
      <c r="Z38">
        <v>37</v>
      </c>
      <c r="AA38" s="15" t="s">
        <v>108</v>
      </c>
      <c r="AB38" s="15"/>
      <c r="CL38">
        <v>37</v>
      </c>
      <c r="CM38" t="s">
        <v>108</v>
      </c>
      <c r="DR38">
        <v>37</v>
      </c>
      <c r="DS38" t="s">
        <v>108</v>
      </c>
      <c r="EX38">
        <v>37</v>
      </c>
      <c r="EY38" t="s">
        <v>108</v>
      </c>
      <c r="GD38">
        <v>37</v>
      </c>
      <c r="GE38" t="s">
        <v>108</v>
      </c>
      <c r="HJ38">
        <v>37</v>
      </c>
      <c r="HK38" t="s">
        <v>108</v>
      </c>
      <c r="IP38">
        <v>37</v>
      </c>
      <c r="IQ38" t="s">
        <v>108</v>
      </c>
    </row>
    <row r="39" spans="26:251">
      <c r="Z39">
        <v>38</v>
      </c>
      <c r="AA39" s="15" t="s">
        <v>109</v>
      </c>
      <c r="AB39" s="15"/>
      <c r="CL39">
        <v>38</v>
      </c>
      <c r="CM39" t="s">
        <v>109</v>
      </c>
      <c r="DR39">
        <v>38</v>
      </c>
      <c r="DS39" t="s">
        <v>109</v>
      </c>
      <c r="EX39">
        <v>38</v>
      </c>
      <c r="EY39" t="s">
        <v>109</v>
      </c>
      <c r="GD39">
        <v>38</v>
      </c>
      <c r="GE39" t="s">
        <v>109</v>
      </c>
      <c r="HJ39">
        <v>38</v>
      </c>
      <c r="HK39" t="s">
        <v>109</v>
      </c>
      <c r="IP39">
        <v>38</v>
      </c>
      <c r="IQ39" t="s">
        <v>109</v>
      </c>
    </row>
    <row r="40" spans="26:251">
      <c r="Z40">
        <v>39</v>
      </c>
      <c r="AA40" s="15" t="s">
        <v>110</v>
      </c>
      <c r="AB40" s="15"/>
      <c r="CL40">
        <v>39</v>
      </c>
      <c r="CM40" t="s">
        <v>110</v>
      </c>
      <c r="DR40">
        <v>39</v>
      </c>
      <c r="DS40" t="s">
        <v>110</v>
      </c>
      <c r="EX40">
        <v>39</v>
      </c>
      <c r="EY40" t="s">
        <v>110</v>
      </c>
      <c r="GD40">
        <v>39</v>
      </c>
      <c r="GE40" t="s">
        <v>110</v>
      </c>
      <c r="HJ40">
        <v>39</v>
      </c>
      <c r="HK40" t="s">
        <v>110</v>
      </c>
      <c r="IP40">
        <v>39</v>
      </c>
      <c r="IQ40" t="s">
        <v>110</v>
      </c>
    </row>
    <row r="41" spans="26:251">
      <c r="Z41">
        <v>40</v>
      </c>
      <c r="AA41" s="15" t="s">
        <v>111</v>
      </c>
      <c r="AB41" s="15"/>
      <c r="CL41">
        <v>40</v>
      </c>
      <c r="CM41" t="s">
        <v>111</v>
      </c>
      <c r="DR41">
        <v>40</v>
      </c>
      <c r="DS41" t="s">
        <v>111</v>
      </c>
      <c r="EX41">
        <v>40</v>
      </c>
      <c r="EY41" t="s">
        <v>111</v>
      </c>
      <c r="GD41">
        <v>40</v>
      </c>
      <c r="GE41" t="s">
        <v>111</v>
      </c>
      <c r="HJ41">
        <v>40</v>
      </c>
      <c r="HK41" t="s">
        <v>111</v>
      </c>
      <c r="IP41">
        <v>40</v>
      </c>
      <c r="IQ41" t="s">
        <v>111</v>
      </c>
    </row>
    <row r="42" spans="26:251">
      <c r="Z42">
        <v>41</v>
      </c>
      <c r="AA42" s="15" t="s">
        <v>112</v>
      </c>
      <c r="AB42" s="15"/>
      <c r="CL42">
        <v>41</v>
      </c>
      <c r="CM42" t="s">
        <v>112</v>
      </c>
      <c r="DR42">
        <v>41</v>
      </c>
      <c r="DS42" t="s">
        <v>112</v>
      </c>
      <c r="EX42">
        <v>41</v>
      </c>
      <c r="EY42" t="s">
        <v>112</v>
      </c>
      <c r="GD42">
        <v>41</v>
      </c>
      <c r="GE42" t="s">
        <v>112</v>
      </c>
      <c r="HJ42">
        <v>41</v>
      </c>
      <c r="HK42" t="s">
        <v>112</v>
      </c>
      <c r="IP42">
        <v>41</v>
      </c>
      <c r="IQ42" t="s">
        <v>112</v>
      </c>
    </row>
    <row r="43" spans="26:251">
      <c r="Z43">
        <v>42</v>
      </c>
      <c r="AA43" s="15" t="s">
        <v>113</v>
      </c>
      <c r="AB43" s="15"/>
      <c r="CL43">
        <v>42</v>
      </c>
      <c r="CM43" t="s">
        <v>113</v>
      </c>
      <c r="DR43">
        <v>42</v>
      </c>
      <c r="DS43" t="s">
        <v>113</v>
      </c>
      <c r="EX43">
        <v>42</v>
      </c>
      <c r="EY43" t="s">
        <v>113</v>
      </c>
      <c r="GD43">
        <v>42</v>
      </c>
      <c r="GE43" t="s">
        <v>113</v>
      </c>
      <c r="HJ43">
        <v>42</v>
      </c>
      <c r="HK43" t="s">
        <v>113</v>
      </c>
      <c r="IP43">
        <v>42</v>
      </c>
      <c r="IQ43" t="s">
        <v>113</v>
      </c>
    </row>
    <row r="44" spans="26:251">
      <c r="Z44">
        <v>43</v>
      </c>
      <c r="AA44" s="15" t="s">
        <v>114</v>
      </c>
      <c r="AB44" s="15"/>
      <c r="CL44">
        <v>43</v>
      </c>
      <c r="CM44" t="s">
        <v>114</v>
      </c>
      <c r="DR44">
        <v>43</v>
      </c>
      <c r="DS44" t="s">
        <v>114</v>
      </c>
      <c r="EX44">
        <v>43</v>
      </c>
      <c r="EY44" t="s">
        <v>114</v>
      </c>
      <c r="GD44">
        <v>43</v>
      </c>
      <c r="GE44" t="s">
        <v>114</v>
      </c>
      <c r="HJ44">
        <v>43</v>
      </c>
      <c r="HK44" t="s">
        <v>114</v>
      </c>
      <c r="IP44">
        <v>43</v>
      </c>
      <c r="IQ44" t="s">
        <v>114</v>
      </c>
    </row>
    <row r="45" spans="26:251">
      <c r="Z45">
        <v>44</v>
      </c>
      <c r="AA45" s="15" t="s">
        <v>115</v>
      </c>
      <c r="AB45" s="15"/>
      <c r="CL45">
        <v>44</v>
      </c>
      <c r="CM45" t="s">
        <v>115</v>
      </c>
      <c r="DR45">
        <v>44</v>
      </c>
      <c r="DS45" t="s">
        <v>115</v>
      </c>
      <c r="EX45">
        <v>44</v>
      </c>
      <c r="EY45" t="s">
        <v>115</v>
      </c>
      <c r="GD45">
        <v>44</v>
      </c>
      <c r="GE45" t="s">
        <v>115</v>
      </c>
      <c r="HJ45">
        <v>44</v>
      </c>
      <c r="HK45" t="s">
        <v>115</v>
      </c>
      <c r="IP45">
        <v>44</v>
      </c>
      <c r="IQ45" t="s">
        <v>115</v>
      </c>
    </row>
    <row r="46" spans="26:251">
      <c r="Z46">
        <v>45</v>
      </c>
      <c r="AA46" s="15" t="s">
        <v>116</v>
      </c>
      <c r="AB46" s="15"/>
      <c r="CL46">
        <v>45</v>
      </c>
      <c r="CM46" t="s">
        <v>116</v>
      </c>
      <c r="DR46">
        <v>45</v>
      </c>
      <c r="DS46" t="s">
        <v>116</v>
      </c>
      <c r="EX46">
        <v>45</v>
      </c>
      <c r="EY46" t="s">
        <v>116</v>
      </c>
      <c r="GD46">
        <v>45</v>
      </c>
      <c r="GE46" t="s">
        <v>116</v>
      </c>
      <c r="HJ46">
        <v>45</v>
      </c>
      <c r="HK46" t="s">
        <v>116</v>
      </c>
      <c r="IP46">
        <v>45</v>
      </c>
      <c r="IQ46" t="s">
        <v>116</v>
      </c>
    </row>
    <row r="47" spans="26:251">
      <c r="Z47">
        <v>46</v>
      </c>
      <c r="AA47" s="15" t="s">
        <v>117</v>
      </c>
      <c r="AB47" s="15"/>
      <c r="CL47">
        <v>46</v>
      </c>
      <c r="CM47" t="s">
        <v>117</v>
      </c>
      <c r="DR47">
        <v>46</v>
      </c>
      <c r="DS47" t="s">
        <v>117</v>
      </c>
      <c r="EX47">
        <v>46</v>
      </c>
      <c r="EY47" t="s">
        <v>117</v>
      </c>
      <c r="GD47">
        <v>46</v>
      </c>
      <c r="GE47" t="s">
        <v>117</v>
      </c>
      <c r="HJ47">
        <v>46</v>
      </c>
      <c r="HK47" t="s">
        <v>117</v>
      </c>
      <c r="IP47">
        <v>46</v>
      </c>
      <c r="IQ47" t="s">
        <v>117</v>
      </c>
    </row>
    <row r="48" spans="26:251">
      <c r="Z48">
        <v>47</v>
      </c>
      <c r="AA48" s="15" t="s">
        <v>118</v>
      </c>
      <c r="AB48" s="15"/>
      <c r="CL48">
        <v>47</v>
      </c>
      <c r="CM48" t="s">
        <v>118</v>
      </c>
      <c r="DR48">
        <v>47</v>
      </c>
      <c r="DS48" t="s">
        <v>118</v>
      </c>
      <c r="EX48">
        <v>47</v>
      </c>
      <c r="EY48" t="s">
        <v>118</v>
      </c>
      <c r="GD48">
        <v>47</v>
      </c>
      <c r="GE48" t="s">
        <v>118</v>
      </c>
      <c r="HJ48">
        <v>47</v>
      </c>
      <c r="HK48" t="s">
        <v>118</v>
      </c>
      <c r="IP48">
        <v>47</v>
      </c>
      <c r="IQ48" t="s">
        <v>118</v>
      </c>
    </row>
    <row r="49" spans="26:251">
      <c r="Z49">
        <v>48</v>
      </c>
      <c r="AA49" s="15" t="s">
        <v>119</v>
      </c>
      <c r="AB49" s="15"/>
      <c r="CL49">
        <v>48</v>
      </c>
      <c r="CM49" t="s">
        <v>119</v>
      </c>
      <c r="DR49">
        <v>48</v>
      </c>
      <c r="DS49" t="s">
        <v>119</v>
      </c>
      <c r="EX49">
        <v>48</v>
      </c>
      <c r="EY49" t="s">
        <v>119</v>
      </c>
      <c r="GD49">
        <v>48</v>
      </c>
      <c r="GE49" t="s">
        <v>119</v>
      </c>
      <c r="HJ49">
        <v>48</v>
      </c>
      <c r="HK49" t="s">
        <v>119</v>
      </c>
      <c r="IP49">
        <v>48</v>
      </c>
      <c r="IQ49" t="s">
        <v>119</v>
      </c>
    </row>
    <row r="50" spans="26:251">
      <c r="Z50">
        <v>49</v>
      </c>
      <c r="AA50" s="15" t="s">
        <v>120</v>
      </c>
      <c r="AB50" s="15"/>
      <c r="CL50">
        <v>49</v>
      </c>
      <c r="CM50" t="s">
        <v>120</v>
      </c>
      <c r="DR50">
        <v>49</v>
      </c>
      <c r="DS50" t="s">
        <v>120</v>
      </c>
      <c r="EX50">
        <v>49</v>
      </c>
      <c r="EY50" t="s">
        <v>120</v>
      </c>
      <c r="GD50">
        <v>49</v>
      </c>
      <c r="GE50" t="s">
        <v>120</v>
      </c>
      <c r="HJ50">
        <v>49</v>
      </c>
      <c r="HK50" t="s">
        <v>120</v>
      </c>
      <c r="IP50">
        <v>49</v>
      </c>
      <c r="IQ50" t="s">
        <v>120</v>
      </c>
    </row>
    <row r="51" spans="26:251">
      <c r="Z51">
        <v>50</v>
      </c>
      <c r="AA51" s="15" t="s">
        <v>121</v>
      </c>
      <c r="AB51" s="15"/>
      <c r="CL51">
        <v>50</v>
      </c>
      <c r="CM51" t="s">
        <v>121</v>
      </c>
      <c r="DR51">
        <v>50</v>
      </c>
      <c r="DS51" t="s">
        <v>121</v>
      </c>
      <c r="EX51">
        <v>50</v>
      </c>
      <c r="EY51" t="s">
        <v>121</v>
      </c>
      <c r="GD51">
        <v>50</v>
      </c>
      <c r="GE51" t="s">
        <v>121</v>
      </c>
      <c r="HJ51">
        <v>50</v>
      </c>
      <c r="HK51" t="s">
        <v>121</v>
      </c>
      <c r="IP51">
        <v>50</v>
      </c>
      <c r="IQ51" t="s">
        <v>121</v>
      </c>
    </row>
    <row r="52" spans="26:251">
      <c r="Z52">
        <v>51</v>
      </c>
      <c r="AA52" s="15" t="s">
        <v>122</v>
      </c>
      <c r="AB52" s="15"/>
      <c r="CL52">
        <v>51</v>
      </c>
      <c r="CM52" t="s">
        <v>122</v>
      </c>
      <c r="DR52">
        <v>51</v>
      </c>
      <c r="DS52" t="s">
        <v>122</v>
      </c>
      <c r="EX52">
        <v>51</v>
      </c>
      <c r="EY52" t="s">
        <v>122</v>
      </c>
      <c r="GD52">
        <v>51</v>
      </c>
      <c r="GE52" t="s">
        <v>122</v>
      </c>
      <c r="HJ52">
        <v>51</v>
      </c>
      <c r="HK52" t="s">
        <v>122</v>
      </c>
      <c r="IP52">
        <v>51</v>
      </c>
      <c r="IQ52" t="s">
        <v>122</v>
      </c>
    </row>
    <row r="53" spans="26:251">
      <c r="Z53">
        <v>52</v>
      </c>
      <c r="AA53" s="15" t="s">
        <v>123</v>
      </c>
      <c r="AB53" s="15"/>
      <c r="CL53">
        <v>52</v>
      </c>
      <c r="CM53" t="s">
        <v>123</v>
      </c>
      <c r="DR53">
        <v>52</v>
      </c>
      <c r="DS53" t="s">
        <v>123</v>
      </c>
      <c r="EX53">
        <v>52</v>
      </c>
      <c r="EY53" t="s">
        <v>123</v>
      </c>
      <c r="GD53">
        <v>52</v>
      </c>
      <c r="GE53" t="s">
        <v>123</v>
      </c>
      <c r="HJ53">
        <v>52</v>
      </c>
      <c r="HK53" t="s">
        <v>123</v>
      </c>
      <c r="IP53">
        <v>52</v>
      </c>
      <c r="IQ53" t="s">
        <v>123</v>
      </c>
    </row>
    <row r="54" spans="26:251">
      <c r="Z54">
        <v>53</v>
      </c>
      <c r="AA54" s="15" t="s">
        <v>124</v>
      </c>
      <c r="AB54" s="15"/>
      <c r="CL54">
        <v>53</v>
      </c>
      <c r="CM54" t="s">
        <v>124</v>
      </c>
      <c r="DR54">
        <v>53</v>
      </c>
      <c r="DS54" t="s">
        <v>124</v>
      </c>
      <c r="EX54">
        <v>53</v>
      </c>
      <c r="EY54" t="s">
        <v>124</v>
      </c>
      <c r="GD54">
        <v>53</v>
      </c>
      <c r="GE54" t="s">
        <v>124</v>
      </c>
      <c r="HJ54">
        <v>53</v>
      </c>
      <c r="HK54" t="s">
        <v>124</v>
      </c>
      <c r="IP54">
        <v>53</v>
      </c>
      <c r="IQ54" t="s">
        <v>124</v>
      </c>
    </row>
    <row r="55" spans="26:251">
      <c r="Z55">
        <v>54</v>
      </c>
      <c r="AA55" s="15" t="s">
        <v>125</v>
      </c>
      <c r="AB55" s="15"/>
      <c r="CL55">
        <v>54</v>
      </c>
      <c r="CM55" t="s">
        <v>125</v>
      </c>
      <c r="DR55">
        <v>54</v>
      </c>
      <c r="DS55" t="s">
        <v>125</v>
      </c>
      <c r="EX55">
        <v>54</v>
      </c>
      <c r="EY55" t="s">
        <v>125</v>
      </c>
      <c r="GD55">
        <v>54</v>
      </c>
      <c r="GE55" t="s">
        <v>125</v>
      </c>
      <c r="HJ55">
        <v>54</v>
      </c>
      <c r="HK55" t="s">
        <v>125</v>
      </c>
      <c r="IP55">
        <v>54</v>
      </c>
      <c r="IQ55" t="s">
        <v>125</v>
      </c>
    </row>
    <row r="56" spans="26:251">
      <c r="Z56">
        <v>55</v>
      </c>
      <c r="AA56" s="15" t="s">
        <v>126</v>
      </c>
      <c r="AB56" s="15"/>
      <c r="CL56">
        <v>55</v>
      </c>
      <c r="CM56" t="s">
        <v>126</v>
      </c>
      <c r="DR56">
        <v>55</v>
      </c>
      <c r="DS56" t="s">
        <v>126</v>
      </c>
      <c r="EX56">
        <v>55</v>
      </c>
      <c r="EY56" t="s">
        <v>126</v>
      </c>
      <c r="GD56">
        <v>55</v>
      </c>
      <c r="GE56" t="s">
        <v>126</v>
      </c>
      <c r="HJ56">
        <v>55</v>
      </c>
      <c r="HK56" t="s">
        <v>126</v>
      </c>
      <c r="IP56">
        <v>55</v>
      </c>
      <c r="IQ56" t="s">
        <v>126</v>
      </c>
    </row>
    <row r="57" spans="26:251">
      <c r="Z57">
        <v>56</v>
      </c>
      <c r="AA57" s="15" t="s">
        <v>127</v>
      </c>
      <c r="AB57" s="15"/>
      <c r="CL57">
        <v>56</v>
      </c>
      <c r="CM57" t="s">
        <v>127</v>
      </c>
      <c r="DR57">
        <v>56</v>
      </c>
      <c r="DS57" t="s">
        <v>127</v>
      </c>
      <c r="EX57">
        <v>56</v>
      </c>
      <c r="EY57" t="s">
        <v>127</v>
      </c>
      <c r="GD57">
        <v>56</v>
      </c>
      <c r="GE57" t="s">
        <v>127</v>
      </c>
      <c r="HJ57">
        <v>56</v>
      </c>
      <c r="HK57" t="s">
        <v>127</v>
      </c>
      <c r="IP57">
        <v>56</v>
      </c>
      <c r="IQ57" t="s">
        <v>127</v>
      </c>
    </row>
    <row r="58" spans="26:251">
      <c r="Z58">
        <v>57</v>
      </c>
      <c r="AA58" s="15" t="s">
        <v>128</v>
      </c>
      <c r="AB58" s="15"/>
      <c r="CL58">
        <v>57</v>
      </c>
      <c r="CM58" t="s">
        <v>128</v>
      </c>
      <c r="DR58">
        <v>57</v>
      </c>
      <c r="DS58" t="s">
        <v>128</v>
      </c>
      <c r="EX58">
        <v>57</v>
      </c>
      <c r="EY58" t="s">
        <v>128</v>
      </c>
      <c r="GD58">
        <v>57</v>
      </c>
      <c r="GE58" t="s">
        <v>128</v>
      </c>
      <c r="HJ58">
        <v>57</v>
      </c>
      <c r="HK58" t="s">
        <v>128</v>
      </c>
      <c r="IP58">
        <v>57</v>
      </c>
      <c r="IQ58" t="s">
        <v>128</v>
      </c>
    </row>
    <row r="59" spans="26:251">
      <c r="Z59">
        <v>58</v>
      </c>
      <c r="AA59" s="15" t="s">
        <v>129</v>
      </c>
      <c r="AB59" s="15"/>
      <c r="CL59">
        <v>58</v>
      </c>
      <c r="CM59" t="s">
        <v>129</v>
      </c>
      <c r="DR59">
        <v>58</v>
      </c>
      <c r="DS59" t="s">
        <v>129</v>
      </c>
      <c r="EX59">
        <v>58</v>
      </c>
      <c r="EY59" t="s">
        <v>129</v>
      </c>
      <c r="GD59">
        <v>58</v>
      </c>
      <c r="GE59" t="s">
        <v>129</v>
      </c>
      <c r="HJ59">
        <v>58</v>
      </c>
      <c r="HK59" t="s">
        <v>129</v>
      </c>
      <c r="IP59">
        <v>58</v>
      </c>
      <c r="IQ59" t="s">
        <v>129</v>
      </c>
    </row>
    <row r="60" spans="26:251">
      <c r="Z60">
        <v>59</v>
      </c>
      <c r="AA60" s="15" t="s">
        <v>130</v>
      </c>
      <c r="AB60" s="15"/>
      <c r="CL60">
        <v>59</v>
      </c>
      <c r="CM60" t="s">
        <v>130</v>
      </c>
      <c r="DR60">
        <v>59</v>
      </c>
      <c r="DS60" t="s">
        <v>130</v>
      </c>
      <c r="EX60">
        <v>59</v>
      </c>
      <c r="EY60" t="s">
        <v>130</v>
      </c>
      <c r="GD60">
        <v>59</v>
      </c>
      <c r="GE60" t="s">
        <v>130</v>
      </c>
      <c r="HJ60">
        <v>59</v>
      </c>
      <c r="HK60" t="s">
        <v>130</v>
      </c>
      <c r="IP60">
        <v>59</v>
      </c>
      <c r="IQ60" t="s">
        <v>130</v>
      </c>
    </row>
    <row r="61" spans="26:251">
      <c r="Z61">
        <v>60</v>
      </c>
      <c r="AA61" s="15" t="s">
        <v>131</v>
      </c>
      <c r="AB61" s="15"/>
      <c r="CL61">
        <v>60</v>
      </c>
      <c r="CM61" t="s">
        <v>131</v>
      </c>
      <c r="DR61">
        <v>60</v>
      </c>
      <c r="DS61" t="s">
        <v>131</v>
      </c>
      <c r="EX61">
        <v>60</v>
      </c>
      <c r="EY61" t="s">
        <v>131</v>
      </c>
      <c r="GD61">
        <v>60</v>
      </c>
      <c r="GE61" t="s">
        <v>131</v>
      </c>
      <c r="HJ61">
        <v>60</v>
      </c>
      <c r="HK61" t="s">
        <v>131</v>
      </c>
      <c r="IP61">
        <v>60</v>
      </c>
      <c r="IQ61" t="s">
        <v>131</v>
      </c>
    </row>
    <row r="62" spans="26:251">
      <c r="Z62">
        <v>61</v>
      </c>
      <c r="AA62" s="15" t="s">
        <v>132</v>
      </c>
      <c r="AB62" s="15"/>
      <c r="CL62">
        <v>61</v>
      </c>
      <c r="CM62" t="s">
        <v>132</v>
      </c>
      <c r="DR62">
        <v>61</v>
      </c>
      <c r="DS62" t="s">
        <v>132</v>
      </c>
      <c r="EX62">
        <v>61</v>
      </c>
      <c r="EY62" t="s">
        <v>132</v>
      </c>
      <c r="GD62">
        <v>61</v>
      </c>
      <c r="GE62" t="s">
        <v>132</v>
      </c>
      <c r="HJ62">
        <v>61</v>
      </c>
      <c r="HK62" t="s">
        <v>132</v>
      </c>
      <c r="IP62">
        <v>61</v>
      </c>
      <c r="IQ62" t="s">
        <v>132</v>
      </c>
    </row>
    <row r="63" spans="26:251">
      <c r="Z63">
        <v>62</v>
      </c>
      <c r="AA63" s="15" t="s">
        <v>133</v>
      </c>
      <c r="AB63" s="15"/>
      <c r="CL63">
        <v>62</v>
      </c>
      <c r="CM63" t="s">
        <v>133</v>
      </c>
      <c r="DR63">
        <v>62</v>
      </c>
      <c r="DS63" t="s">
        <v>133</v>
      </c>
      <c r="EX63">
        <v>62</v>
      </c>
      <c r="EY63" t="s">
        <v>133</v>
      </c>
      <c r="GD63">
        <v>62</v>
      </c>
      <c r="GE63" t="s">
        <v>133</v>
      </c>
      <c r="HJ63">
        <v>62</v>
      </c>
      <c r="HK63" t="s">
        <v>133</v>
      </c>
      <c r="IP63">
        <v>62</v>
      </c>
      <c r="IQ63" t="s">
        <v>133</v>
      </c>
    </row>
    <row r="64" spans="26:251">
      <c r="Z64">
        <v>63</v>
      </c>
      <c r="AA64" s="15" t="s">
        <v>134</v>
      </c>
      <c r="AB64" s="15"/>
      <c r="CL64">
        <v>63</v>
      </c>
      <c r="CM64" t="s">
        <v>134</v>
      </c>
      <c r="DR64">
        <v>63</v>
      </c>
      <c r="DS64" t="s">
        <v>134</v>
      </c>
      <c r="EX64">
        <v>63</v>
      </c>
      <c r="EY64" t="s">
        <v>134</v>
      </c>
      <c r="GD64">
        <v>63</v>
      </c>
      <c r="GE64" t="s">
        <v>134</v>
      </c>
      <c r="HJ64">
        <v>63</v>
      </c>
      <c r="HK64" t="s">
        <v>134</v>
      </c>
      <c r="IP64">
        <v>63</v>
      </c>
      <c r="IQ64" t="s">
        <v>134</v>
      </c>
    </row>
    <row r="65" spans="26:251">
      <c r="Z65">
        <v>64</v>
      </c>
      <c r="AA65" s="15" t="s">
        <v>135</v>
      </c>
      <c r="AB65" s="15"/>
      <c r="CL65">
        <v>64</v>
      </c>
      <c r="CM65" t="s">
        <v>135</v>
      </c>
      <c r="DR65">
        <v>64</v>
      </c>
      <c r="DS65" t="s">
        <v>135</v>
      </c>
      <c r="EX65">
        <v>64</v>
      </c>
      <c r="EY65" t="s">
        <v>135</v>
      </c>
      <c r="GD65">
        <v>64</v>
      </c>
      <c r="GE65" t="s">
        <v>135</v>
      </c>
      <c r="HJ65">
        <v>64</v>
      </c>
      <c r="HK65" t="s">
        <v>135</v>
      </c>
      <c r="IP65">
        <v>64</v>
      </c>
      <c r="IQ65" t="s">
        <v>135</v>
      </c>
    </row>
    <row r="66" spans="26:251">
      <c r="Z66">
        <v>65</v>
      </c>
      <c r="AA66" s="15" t="s">
        <v>136</v>
      </c>
      <c r="AB66" s="15"/>
      <c r="CL66">
        <v>65</v>
      </c>
      <c r="CM66" t="s">
        <v>136</v>
      </c>
      <c r="DR66">
        <v>65</v>
      </c>
      <c r="DS66" t="s">
        <v>136</v>
      </c>
      <c r="EX66">
        <v>65</v>
      </c>
      <c r="EY66" t="s">
        <v>136</v>
      </c>
      <c r="GD66">
        <v>65</v>
      </c>
      <c r="GE66" t="s">
        <v>136</v>
      </c>
      <c r="HJ66">
        <v>65</v>
      </c>
      <c r="HK66" t="s">
        <v>136</v>
      </c>
      <c r="IP66">
        <v>65</v>
      </c>
      <c r="IQ66" t="s">
        <v>136</v>
      </c>
    </row>
    <row r="67" spans="26:251">
      <c r="Z67">
        <v>66</v>
      </c>
      <c r="AA67" s="15" t="s">
        <v>137</v>
      </c>
      <c r="AB67" s="15"/>
      <c r="CL67">
        <v>66</v>
      </c>
      <c r="CM67" t="s">
        <v>137</v>
      </c>
      <c r="DR67">
        <v>66</v>
      </c>
      <c r="DS67" t="s">
        <v>137</v>
      </c>
      <c r="EX67">
        <v>66</v>
      </c>
      <c r="EY67" t="s">
        <v>137</v>
      </c>
      <c r="GD67">
        <v>66</v>
      </c>
      <c r="GE67" t="s">
        <v>137</v>
      </c>
      <c r="HJ67">
        <v>66</v>
      </c>
      <c r="HK67" t="s">
        <v>137</v>
      </c>
      <c r="IP67">
        <v>66</v>
      </c>
      <c r="IQ67" t="s">
        <v>137</v>
      </c>
    </row>
    <row r="68" spans="26:251">
      <c r="Z68">
        <v>67</v>
      </c>
      <c r="AA68" s="15" t="s">
        <v>138</v>
      </c>
      <c r="AB68" s="15"/>
      <c r="CL68">
        <v>67</v>
      </c>
      <c r="CM68" t="s">
        <v>138</v>
      </c>
      <c r="DR68">
        <v>67</v>
      </c>
      <c r="DS68" t="s">
        <v>138</v>
      </c>
      <c r="EX68">
        <v>67</v>
      </c>
      <c r="EY68" t="s">
        <v>138</v>
      </c>
      <c r="GD68">
        <v>67</v>
      </c>
      <c r="GE68" t="s">
        <v>138</v>
      </c>
      <c r="HJ68">
        <v>67</v>
      </c>
      <c r="HK68" t="s">
        <v>138</v>
      </c>
      <c r="IP68">
        <v>67</v>
      </c>
      <c r="IQ68" t="s">
        <v>138</v>
      </c>
    </row>
    <row r="69" spans="26:251">
      <c r="Z69">
        <v>68</v>
      </c>
      <c r="AA69" s="15" t="s">
        <v>139</v>
      </c>
      <c r="AB69" s="15"/>
      <c r="CL69">
        <v>68</v>
      </c>
      <c r="CM69" t="s">
        <v>139</v>
      </c>
      <c r="DR69">
        <v>68</v>
      </c>
      <c r="DS69" t="s">
        <v>139</v>
      </c>
      <c r="EX69">
        <v>68</v>
      </c>
      <c r="EY69" t="s">
        <v>139</v>
      </c>
      <c r="GD69">
        <v>68</v>
      </c>
      <c r="GE69" t="s">
        <v>139</v>
      </c>
      <c r="HJ69">
        <v>68</v>
      </c>
      <c r="HK69" t="s">
        <v>139</v>
      </c>
      <c r="IP69">
        <v>68</v>
      </c>
      <c r="IQ69" t="s">
        <v>139</v>
      </c>
    </row>
    <row r="70" spans="26:251">
      <c r="Z70">
        <v>69</v>
      </c>
      <c r="AA70" s="15" t="s">
        <v>140</v>
      </c>
      <c r="AB70" s="15"/>
      <c r="CL70">
        <v>69</v>
      </c>
      <c r="CM70" t="s">
        <v>140</v>
      </c>
      <c r="DR70">
        <v>69</v>
      </c>
      <c r="DS70" t="s">
        <v>140</v>
      </c>
      <c r="EX70">
        <v>69</v>
      </c>
      <c r="EY70" t="s">
        <v>140</v>
      </c>
      <c r="GD70">
        <v>69</v>
      </c>
      <c r="GE70" t="s">
        <v>140</v>
      </c>
      <c r="HJ70">
        <v>69</v>
      </c>
      <c r="HK70" t="s">
        <v>140</v>
      </c>
      <c r="IP70">
        <v>69</v>
      </c>
      <c r="IQ70" t="s">
        <v>140</v>
      </c>
    </row>
    <row r="71" spans="26:251">
      <c r="Z71">
        <v>70</v>
      </c>
      <c r="AA71" s="15" t="s">
        <v>141</v>
      </c>
      <c r="AB71" s="15"/>
      <c r="CL71">
        <v>70</v>
      </c>
      <c r="CM71" t="s">
        <v>141</v>
      </c>
      <c r="DR71">
        <v>70</v>
      </c>
      <c r="DS71" t="s">
        <v>141</v>
      </c>
      <c r="EX71">
        <v>70</v>
      </c>
      <c r="EY71" t="s">
        <v>141</v>
      </c>
      <c r="GD71">
        <v>70</v>
      </c>
      <c r="GE71" t="s">
        <v>141</v>
      </c>
      <c r="HJ71">
        <v>70</v>
      </c>
      <c r="HK71" t="s">
        <v>141</v>
      </c>
      <c r="IP71">
        <v>70</v>
      </c>
      <c r="IQ71" t="s">
        <v>141</v>
      </c>
    </row>
    <row r="72" spans="26:251">
      <c r="Z72">
        <v>71</v>
      </c>
      <c r="AA72" s="15" t="s">
        <v>142</v>
      </c>
      <c r="AB72" s="15"/>
      <c r="CL72">
        <v>71</v>
      </c>
      <c r="CM72" t="s">
        <v>142</v>
      </c>
      <c r="DR72">
        <v>71</v>
      </c>
      <c r="DS72" t="s">
        <v>142</v>
      </c>
      <c r="EX72">
        <v>71</v>
      </c>
      <c r="EY72" t="s">
        <v>142</v>
      </c>
      <c r="GD72">
        <v>71</v>
      </c>
      <c r="GE72" t="s">
        <v>142</v>
      </c>
      <c r="HJ72">
        <v>71</v>
      </c>
      <c r="HK72" t="s">
        <v>142</v>
      </c>
      <c r="IP72">
        <v>71</v>
      </c>
      <c r="IQ72" t="s">
        <v>142</v>
      </c>
    </row>
    <row r="73" spans="26:251">
      <c r="Z73">
        <v>72</v>
      </c>
      <c r="AA73" s="15" t="s">
        <v>143</v>
      </c>
      <c r="AB73" s="15"/>
      <c r="CL73">
        <v>72</v>
      </c>
      <c r="CM73" t="s">
        <v>143</v>
      </c>
      <c r="DR73">
        <v>72</v>
      </c>
      <c r="DS73" t="s">
        <v>143</v>
      </c>
      <c r="EX73">
        <v>72</v>
      </c>
      <c r="EY73" t="s">
        <v>143</v>
      </c>
      <c r="GD73">
        <v>72</v>
      </c>
      <c r="GE73" t="s">
        <v>143</v>
      </c>
      <c r="HJ73">
        <v>72</v>
      </c>
      <c r="HK73" t="s">
        <v>143</v>
      </c>
      <c r="IP73">
        <v>72</v>
      </c>
      <c r="IQ73" t="s">
        <v>143</v>
      </c>
    </row>
    <row r="74" spans="26:251">
      <c r="Z74">
        <v>73</v>
      </c>
      <c r="AA74" s="15" t="s">
        <v>144</v>
      </c>
      <c r="AB74" s="15"/>
      <c r="CL74">
        <v>73</v>
      </c>
      <c r="CM74" t="s">
        <v>144</v>
      </c>
      <c r="DR74">
        <v>73</v>
      </c>
      <c r="DS74" t="s">
        <v>144</v>
      </c>
      <c r="EX74">
        <v>73</v>
      </c>
      <c r="EY74" t="s">
        <v>144</v>
      </c>
      <c r="GD74">
        <v>73</v>
      </c>
      <c r="GE74" t="s">
        <v>144</v>
      </c>
      <c r="HJ74">
        <v>73</v>
      </c>
      <c r="HK74" t="s">
        <v>144</v>
      </c>
      <c r="IP74">
        <v>73</v>
      </c>
      <c r="IQ74" t="s">
        <v>144</v>
      </c>
    </row>
    <row r="75" spans="26:251">
      <c r="Z75">
        <v>74</v>
      </c>
      <c r="AA75" s="15" t="s">
        <v>145</v>
      </c>
      <c r="AB75" s="15"/>
      <c r="CL75">
        <v>74</v>
      </c>
      <c r="CM75" t="s">
        <v>145</v>
      </c>
      <c r="DR75">
        <v>74</v>
      </c>
      <c r="DS75" t="s">
        <v>145</v>
      </c>
      <c r="EX75">
        <v>74</v>
      </c>
      <c r="EY75" t="s">
        <v>145</v>
      </c>
      <c r="GD75">
        <v>74</v>
      </c>
      <c r="GE75" t="s">
        <v>145</v>
      </c>
      <c r="HJ75">
        <v>74</v>
      </c>
      <c r="HK75" t="s">
        <v>145</v>
      </c>
      <c r="IP75">
        <v>74</v>
      </c>
      <c r="IQ75" t="s">
        <v>145</v>
      </c>
    </row>
    <row r="76" spans="26:251">
      <c r="Z76">
        <v>75</v>
      </c>
      <c r="AA76" s="15" t="s">
        <v>146</v>
      </c>
      <c r="AB76" s="15"/>
      <c r="CL76">
        <v>75</v>
      </c>
      <c r="CM76" t="s">
        <v>146</v>
      </c>
      <c r="DR76">
        <v>75</v>
      </c>
      <c r="DS76" t="s">
        <v>146</v>
      </c>
      <c r="EX76">
        <v>75</v>
      </c>
      <c r="EY76" t="s">
        <v>146</v>
      </c>
      <c r="GD76">
        <v>75</v>
      </c>
      <c r="GE76" t="s">
        <v>146</v>
      </c>
      <c r="HJ76">
        <v>75</v>
      </c>
      <c r="HK76" t="s">
        <v>146</v>
      </c>
      <c r="IP76">
        <v>75</v>
      </c>
      <c r="IQ76" t="s">
        <v>146</v>
      </c>
    </row>
    <row r="77" spans="26:251">
      <c r="Z77">
        <v>76</v>
      </c>
      <c r="AA77" s="15" t="s">
        <v>147</v>
      </c>
      <c r="AB77" s="15"/>
      <c r="CL77">
        <v>76</v>
      </c>
      <c r="CM77" t="s">
        <v>147</v>
      </c>
      <c r="DR77">
        <v>76</v>
      </c>
      <c r="DS77" t="s">
        <v>147</v>
      </c>
      <c r="EX77">
        <v>76</v>
      </c>
      <c r="EY77" t="s">
        <v>147</v>
      </c>
      <c r="GD77">
        <v>76</v>
      </c>
      <c r="GE77" t="s">
        <v>147</v>
      </c>
      <c r="HJ77">
        <v>76</v>
      </c>
      <c r="HK77" t="s">
        <v>147</v>
      </c>
      <c r="IP77">
        <v>76</v>
      </c>
      <c r="IQ77" t="s">
        <v>147</v>
      </c>
    </row>
    <row r="78" spans="26:251">
      <c r="Z78">
        <v>77</v>
      </c>
      <c r="AA78" s="15" t="s">
        <v>148</v>
      </c>
      <c r="AB78" s="15"/>
      <c r="CL78">
        <v>77</v>
      </c>
      <c r="CM78" t="s">
        <v>148</v>
      </c>
      <c r="DR78">
        <v>77</v>
      </c>
      <c r="DS78" t="s">
        <v>148</v>
      </c>
      <c r="EX78">
        <v>77</v>
      </c>
      <c r="EY78" t="s">
        <v>148</v>
      </c>
      <c r="GD78">
        <v>77</v>
      </c>
      <c r="GE78" t="s">
        <v>148</v>
      </c>
      <c r="HJ78">
        <v>77</v>
      </c>
      <c r="HK78" t="s">
        <v>148</v>
      </c>
      <c r="IP78">
        <v>77</v>
      </c>
      <c r="IQ78" t="s">
        <v>148</v>
      </c>
    </row>
    <row r="79" spans="26:251">
      <c r="Z79">
        <v>78</v>
      </c>
      <c r="AA79" s="15" t="s">
        <v>149</v>
      </c>
      <c r="AB79" s="15"/>
      <c r="CL79">
        <v>78</v>
      </c>
      <c r="CM79" t="s">
        <v>149</v>
      </c>
      <c r="DR79">
        <v>78</v>
      </c>
      <c r="DS79" t="s">
        <v>149</v>
      </c>
      <c r="EX79">
        <v>78</v>
      </c>
      <c r="EY79" t="s">
        <v>149</v>
      </c>
      <c r="GD79">
        <v>78</v>
      </c>
      <c r="GE79" t="s">
        <v>149</v>
      </c>
      <c r="HJ79">
        <v>78</v>
      </c>
      <c r="HK79" t="s">
        <v>149</v>
      </c>
      <c r="IP79">
        <v>78</v>
      </c>
      <c r="IQ79" t="s">
        <v>149</v>
      </c>
    </row>
    <row r="80" spans="26:251">
      <c r="Z80">
        <v>79</v>
      </c>
      <c r="AA80" s="15" t="s">
        <v>150</v>
      </c>
      <c r="AB80" s="15"/>
      <c r="CL80">
        <v>79</v>
      </c>
      <c r="CM80" t="s">
        <v>150</v>
      </c>
      <c r="DR80">
        <v>79</v>
      </c>
      <c r="DS80" t="s">
        <v>150</v>
      </c>
      <c r="EX80">
        <v>79</v>
      </c>
      <c r="EY80" t="s">
        <v>150</v>
      </c>
      <c r="GD80">
        <v>79</v>
      </c>
      <c r="GE80" t="s">
        <v>150</v>
      </c>
      <c r="HJ80">
        <v>79</v>
      </c>
      <c r="HK80" t="s">
        <v>150</v>
      </c>
      <c r="IP80">
        <v>79</v>
      </c>
      <c r="IQ80" t="s">
        <v>150</v>
      </c>
    </row>
    <row r="81" spans="26:251">
      <c r="Z81">
        <v>80</v>
      </c>
      <c r="AA81" s="15" t="s">
        <v>151</v>
      </c>
      <c r="AB81" s="15"/>
      <c r="CL81">
        <v>80</v>
      </c>
      <c r="CM81" t="s">
        <v>151</v>
      </c>
      <c r="DR81">
        <v>80</v>
      </c>
      <c r="DS81" t="s">
        <v>151</v>
      </c>
      <c r="EX81">
        <v>80</v>
      </c>
      <c r="EY81" t="s">
        <v>151</v>
      </c>
      <c r="GD81">
        <v>80</v>
      </c>
      <c r="GE81" t="s">
        <v>151</v>
      </c>
      <c r="HJ81">
        <v>80</v>
      </c>
      <c r="HK81" t="s">
        <v>151</v>
      </c>
      <c r="IP81">
        <v>80</v>
      </c>
      <c r="IQ81" t="s">
        <v>151</v>
      </c>
    </row>
    <row r="82" spans="26:251">
      <c r="Z82">
        <v>81</v>
      </c>
      <c r="AA82" s="15" t="s">
        <v>152</v>
      </c>
      <c r="AB82" s="15"/>
      <c r="CL82">
        <v>81</v>
      </c>
      <c r="CM82" t="s">
        <v>152</v>
      </c>
      <c r="DR82">
        <v>81</v>
      </c>
      <c r="DS82" t="s">
        <v>152</v>
      </c>
      <c r="EX82">
        <v>81</v>
      </c>
      <c r="EY82" t="s">
        <v>152</v>
      </c>
      <c r="GD82">
        <v>81</v>
      </c>
      <c r="GE82" t="s">
        <v>152</v>
      </c>
      <c r="HJ82">
        <v>81</v>
      </c>
      <c r="HK82" t="s">
        <v>152</v>
      </c>
      <c r="IP82">
        <v>81</v>
      </c>
      <c r="IQ82" t="s">
        <v>152</v>
      </c>
    </row>
    <row r="83" spans="26:251">
      <c r="Z83">
        <v>82</v>
      </c>
      <c r="AA83" s="15" t="s">
        <v>153</v>
      </c>
      <c r="AB83" s="15"/>
      <c r="CL83">
        <v>82</v>
      </c>
      <c r="CM83" t="s">
        <v>153</v>
      </c>
      <c r="DR83">
        <v>82</v>
      </c>
      <c r="DS83" t="s">
        <v>153</v>
      </c>
      <c r="EX83">
        <v>82</v>
      </c>
      <c r="EY83" t="s">
        <v>153</v>
      </c>
      <c r="GD83">
        <v>82</v>
      </c>
      <c r="GE83" t="s">
        <v>153</v>
      </c>
      <c r="HJ83">
        <v>82</v>
      </c>
      <c r="HK83" t="s">
        <v>153</v>
      </c>
      <c r="IP83">
        <v>82</v>
      </c>
      <c r="IQ83" t="s">
        <v>153</v>
      </c>
    </row>
    <row r="84" spans="26:251">
      <c r="Z84">
        <v>83</v>
      </c>
      <c r="AA84" s="15" t="s">
        <v>154</v>
      </c>
      <c r="AB84" s="15"/>
      <c r="CL84">
        <v>83</v>
      </c>
      <c r="CM84" t="s">
        <v>154</v>
      </c>
      <c r="DR84">
        <v>83</v>
      </c>
      <c r="DS84" t="s">
        <v>154</v>
      </c>
      <c r="EX84">
        <v>83</v>
      </c>
      <c r="EY84" t="s">
        <v>154</v>
      </c>
      <c r="GD84">
        <v>83</v>
      </c>
      <c r="GE84" t="s">
        <v>154</v>
      </c>
      <c r="HJ84">
        <v>83</v>
      </c>
      <c r="HK84" t="s">
        <v>154</v>
      </c>
      <c r="IP84">
        <v>83</v>
      </c>
      <c r="IQ84" t="s">
        <v>154</v>
      </c>
    </row>
    <row r="85" spans="26:251">
      <c r="Z85">
        <v>84</v>
      </c>
      <c r="AA85" s="15" t="s">
        <v>155</v>
      </c>
      <c r="AB85" s="15"/>
      <c r="CL85">
        <v>84</v>
      </c>
      <c r="CM85" t="s">
        <v>155</v>
      </c>
      <c r="DR85">
        <v>84</v>
      </c>
      <c r="DS85" t="s">
        <v>155</v>
      </c>
      <c r="EX85">
        <v>84</v>
      </c>
      <c r="EY85" t="s">
        <v>155</v>
      </c>
      <c r="GD85">
        <v>84</v>
      </c>
      <c r="GE85" t="s">
        <v>155</v>
      </c>
      <c r="HJ85">
        <v>84</v>
      </c>
      <c r="HK85" t="s">
        <v>155</v>
      </c>
      <c r="IP85">
        <v>84</v>
      </c>
      <c r="IQ85" t="s">
        <v>155</v>
      </c>
    </row>
    <row r="86" spans="26:251">
      <c r="Z86">
        <v>85</v>
      </c>
      <c r="AA86" s="15" t="s">
        <v>156</v>
      </c>
      <c r="AB86" s="15"/>
      <c r="CL86">
        <v>85</v>
      </c>
      <c r="CM86" t="s">
        <v>156</v>
      </c>
      <c r="DR86">
        <v>85</v>
      </c>
      <c r="DS86" t="s">
        <v>156</v>
      </c>
      <c r="EX86">
        <v>85</v>
      </c>
      <c r="EY86" t="s">
        <v>156</v>
      </c>
      <c r="GD86">
        <v>85</v>
      </c>
      <c r="GE86" t="s">
        <v>156</v>
      </c>
      <c r="HJ86">
        <v>85</v>
      </c>
      <c r="HK86" t="s">
        <v>156</v>
      </c>
      <c r="IP86">
        <v>85</v>
      </c>
      <c r="IQ86" t="s">
        <v>156</v>
      </c>
    </row>
    <row r="87" spans="26:251">
      <c r="Z87">
        <v>86</v>
      </c>
      <c r="AA87" s="15" t="s">
        <v>157</v>
      </c>
      <c r="AB87" s="15"/>
      <c r="CL87">
        <v>86</v>
      </c>
      <c r="CM87" t="s">
        <v>157</v>
      </c>
      <c r="DR87">
        <v>86</v>
      </c>
      <c r="DS87" t="s">
        <v>157</v>
      </c>
      <c r="EX87">
        <v>86</v>
      </c>
      <c r="EY87" t="s">
        <v>157</v>
      </c>
      <c r="GD87">
        <v>86</v>
      </c>
      <c r="GE87" t="s">
        <v>157</v>
      </c>
      <c r="HJ87">
        <v>86</v>
      </c>
      <c r="HK87" t="s">
        <v>157</v>
      </c>
      <c r="IP87">
        <v>86</v>
      </c>
      <c r="IQ87" t="s">
        <v>157</v>
      </c>
    </row>
    <row r="88" spans="26:251">
      <c r="Z88">
        <v>87</v>
      </c>
      <c r="AA88" s="15" t="s">
        <v>158</v>
      </c>
      <c r="AB88" s="15"/>
      <c r="CL88">
        <v>87</v>
      </c>
      <c r="CM88" t="s">
        <v>158</v>
      </c>
      <c r="DR88">
        <v>87</v>
      </c>
      <c r="DS88" t="s">
        <v>158</v>
      </c>
      <c r="EX88">
        <v>87</v>
      </c>
      <c r="EY88" t="s">
        <v>158</v>
      </c>
      <c r="GD88">
        <v>87</v>
      </c>
      <c r="GE88" t="s">
        <v>158</v>
      </c>
      <c r="HJ88">
        <v>87</v>
      </c>
      <c r="HK88" t="s">
        <v>158</v>
      </c>
      <c r="IP88">
        <v>87</v>
      </c>
      <c r="IQ88" t="s">
        <v>158</v>
      </c>
    </row>
    <row r="89" spans="26:251">
      <c r="Z89">
        <v>88</v>
      </c>
      <c r="AA89" s="15" t="s">
        <v>159</v>
      </c>
      <c r="AB89" s="15"/>
      <c r="CL89">
        <v>88</v>
      </c>
      <c r="CM89" t="s">
        <v>159</v>
      </c>
      <c r="DR89">
        <v>88</v>
      </c>
      <c r="DS89" t="s">
        <v>159</v>
      </c>
      <c r="EX89">
        <v>88</v>
      </c>
      <c r="EY89" t="s">
        <v>159</v>
      </c>
      <c r="GD89">
        <v>88</v>
      </c>
      <c r="GE89" t="s">
        <v>159</v>
      </c>
      <c r="HJ89">
        <v>88</v>
      </c>
      <c r="HK89" t="s">
        <v>159</v>
      </c>
      <c r="IP89">
        <v>88</v>
      </c>
      <c r="IQ89" t="s">
        <v>159</v>
      </c>
    </row>
    <row r="90" spans="26:251">
      <c r="Z90">
        <v>89</v>
      </c>
      <c r="AA90" s="15" t="s">
        <v>160</v>
      </c>
      <c r="AB90" s="15"/>
      <c r="CL90">
        <v>89</v>
      </c>
      <c r="CM90" t="s">
        <v>160</v>
      </c>
      <c r="DR90">
        <v>89</v>
      </c>
      <c r="DS90" t="s">
        <v>160</v>
      </c>
      <c r="EX90">
        <v>89</v>
      </c>
      <c r="EY90" t="s">
        <v>160</v>
      </c>
      <c r="GD90">
        <v>89</v>
      </c>
      <c r="GE90" t="s">
        <v>160</v>
      </c>
      <c r="HJ90">
        <v>89</v>
      </c>
      <c r="HK90" t="s">
        <v>160</v>
      </c>
      <c r="IP90">
        <v>89</v>
      </c>
      <c r="IQ90" t="s">
        <v>160</v>
      </c>
    </row>
    <row r="91" spans="26:251">
      <c r="Z91">
        <v>90</v>
      </c>
      <c r="AA91" s="15" t="s">
        <v>161</v>
      </c>
      <c r="AB91" s="15"/>
      <c r="CL91">
        <v>90</v>
      </c>
      <c r="CM91" t="s">
        <v>161</v>
      </c>
      <c r="DR91">
        <v>90</v>
      </c>
      <c r="DS91" t="s">
        <v>161</v>
      </c>
      <c r="EX91">
        <v>90</v>
      </c>
      <c r="EY91" t="s">
        <v>161</v>
      </c>
      <c r="GD91">
        <v>90</v>
      </c>
      <c r="GE91" t="s">
        <v>161</v>
      </c>
      <c r="HJ91">
        <v>90</v>
      </c>
      <c r="HK91" t="s">
        <v>161</v>
      </c>
      <c r="IP91">
        <v>90</v>
      </c>
      <c r="IQ91" t="s">
        <v>161</v>
      </c>
    </row>
    <row r="92" spans="26:251">
      <c r="Z92">
        <v>91</v>
      </c>
      <c r="AA92" s="15" t="s">
        <v>162</v>
      </c>
      <c r="AB92" s="15"/>
      <c r="CL92">
        <v>91</v>
      </c>
      <c r="CM92" t="s">
        <v>162</v>
      </c>
      <c r="DR92">
        <v>91</v>
      </c>
      <c r="DS92" t="s">
        <v>162</v>
      </c>
      <c r="EX92">
        <v>91</v>
      </c>
      <c r="EY92" t="s">
        <v>162</v>
      </c>
      <c r="GD92">
        <v>91</v>
      </c>
      <c r="GE92" t="s">
        <v>162</v>
      </c>
      <c r="HJ92">
        <v>91</v>
      </c>
      <c r="HK92" t="s">
        <v>162</v>
      </c>
      <c r="IP92">
        <v>91</v>
      </c>
      <c r="IQ92" t="s">
        <v>162</v>
      </c>
    </row>
    <row r="93" spans="26:251">
      <c r="Z93">
        <v>92</v>
      </c>
      <c r="AA93" s="15" t="s">
        <v>163</v>
      </c>
      <c r="AB93" s="15"/>
      <c r="CL93">
        <v>92</v>
      </c>
      <c r="CM93" t="s">
        <v>163</v>
      </c>
      <c r="DR93">
        <v>92</v>
      </c>
      <c r="DS93" t="s">
        <v>163</v>
      </c>
      <c r="EX93">
        <v>92</v>
      </c>
      <c r="EY93" t="s">
        <v>163</v>
      </c>
      <c r="GD93">
        <v>92</v>
      </c>
      <c r="GE93" t="s">
        <v>163</v>
      </c>
      <c r="HJ93">
        <v>92</v>
      </c>
      <c r="HK93" t="s">
        <v>163</v>
      </c>
      <c r="IP93">
        <v>92</v>
      </c>
      <c r="IQ93" t="s">
        <v>163</v>
      </c>
    </row>
    <row r="94" spans="26:251">
      <c r="Z94">
        <v>93</v>
      </c>
      <c r="AA94" s="15" t="s">
        <v>164</v>
      </c>
      <c r="AB94" s="15"/>
      <c r="CL94">
        <v>93</v>
      </c>
      <c r="CM94" t="s">
        <v>164</v>
      </c>
      <c r="DR94">
        <v>93</v>
      </c>
      <c r="DS94" t="s">
        <v>164</v>
      </c>
      <c r="EX94">
        <v>93</v>
      </c>
      <c r="EY94" t="s">
        <v>164</v>
      </c>
      <c r="GD94">
        <v>93</v>
      </c>
      <c r="GE94" t="s">
        <v>164</v>
      </c>
      <c r="HJ94">
        <v>93</v>
      </c>
      <c r="HK94" t="s">
        <v>164</v>
      </c>
      <c r="IP94">
        <v>93</v>
      </c>
      <c r="IQ94" t="s">
        <v>164</v>
      </c>
    </row>
    <row r="95" spans="26:251">
      <c r="Z95">
        <v>94</v>
      </c>
      <c r="AA95" s="15" t="s">
        <v>165</v>
      </c>
      <c r="AB95" s="15"/>
      <c r="CL95">
        <v>94</v>
      </c>
      <c r="CM95" t="s">
        <v>165</v>
      </c>
      <c r="DR95">
        <v>94</v>
      </c>
      <c r="DS95" t="s">
        <v>165</v>
      </c>
      <c r="EX95">
        <v>94</v>
      </c>
      <c r="EY95" t="s">
        <v>165</v>
      </c>
      <c r="GD95">
        <v>94</v>
      </c>
      <c r="GE95" t="s">
        <v>165</v>
      </c>
      <c r="HJ95">
        <v>94</v>
      </c>
      <c r="HK95" t="s">
        <v>165</v>
      </c>
      <c r="IP95">
        <v>94</v>
      </c>
      <c r="IQ95" t="s">
        <v>165</v>
      </c>
    </row>
    <row r="96" spans="26:251">
      <c r="Z96">
        <v>95</v>
      </c>
      <c r="AA96" s="15" t="s">
        <v>166</v>
      </c>
      <c r="AB96" s="15"/>
      <c r="CL96">
        <v>95</v>
      </c>
      <c r="CM96" t="s">
        <v>166</v>
      </c>
      <c r="DR96">
        <v>95</v>
      </c>
      <c r="DS96" t="s">
        <v>166</v>
      </c>
      <c r="EX96">
        <v>95</v>
      </c>
      <c r="EY96" t="s">
        <v>166</v>
      </c>
      <c r="GD96">
        <v>95</v>
      </c>
      <c r="GE96" t="s">
        <v>166</v>
      </c>
      <c r="HJ96">
        <v>95</v>
      </c>
      <c r="HK96" t="s">
        <v>166</v>
      </c>
      <c r="IP96">
        <v>95</v>
      </c>
      <c r="IQ96" t="s">
        <v>166</v>
      </c>
    </row>
    <row r="97" spans="26:251">
      <c r="Z97">
        <v>96</v>
      </c>
      <c r="AA97" s="15" t="s">
        <v>167</v>
      </c>
      <c r="AB97" s="15"/>
      <c r="CL97">
        <v>96</v>
      </c>
      <c r="CM97" t="s">
        <v>167</v>
      </c>
      <c r="DR97">
        <v>96</v>
      </c>
      <c r="DS97" t="s">
        <v>167</v>
      </c>
      <c r="EX97">
        <v>96</v>
      </c>
      <c r="EY97" t="s">
        <v>167</v>
      </c>
      <c r="GD97">
        <v>96</v>
      </c>
      <c r="GE97" t="s">
        <v>167</v>
      </c>
      <c r="HJ97">
        <v>96</v>
      </c>
      <c r="HK97" t="s">
        <v>167</v>
      </c>
      <c r="IP97">
        <v>96</v>
      </c>
      <c r="IQ97" t="s">
        <v>167</v>
      </c>
    </row>
    <row r="98" spans="26:251">
      <c r="Z98">
        <v>97</v>
      </c>
      <c r="AA98" s="15" t="s">
        <v>168</v>
      </c>
      <c r="AB98" s="15"/>
      <c r="CL98">
        <v>97</v>
      </c>
      <c r="CM98" t="s">
        <v>168</v>
      </c>
      <c r="DR98">
        <v>97</v>
      </c>
      <c r="DS98" t="s">
        <v>168</v>
      </c>
      <c r="EX98">
        <v>97</v>
      </c>
      <c r="EY98" t="s">
        <v>168</v>
      </c>
      <c r="GD98">
        <v>97</v>
      </c>
      <c r="GE98" t="s">
        <v>168</v>
      </c>
      <c r="HJ98">
        <v>97</v>
      </c>
      <c r="HK98" t="s">
        <v>168</v>
      </c>
      <c r="IP98">
        <v>97</v>
      </c>
      <c r="IQ98" t="s">
        <v>168</v>
      </c>
    </row>
    <row r="99" spans="26:251">
      <c r="Z99">
        <v>98</v>
      </c>
      <c r="AA99" s="15" t="s">
        <v>169</v>
      </c>
      <c r="AB99" s="15"/>
      <c r="CL99">
        <v>98</v>
      </c>
      <c r="CM99" t="s">
        <v>169</v>
      </c>
      <c r="DR99">
        <v>98</v>
      </c>
      <c r="DS99" t="s">
        <v>169</v>
      </c>
      <c r="EX99">
        <v>98</v>
      </c>
      <c r="EY99" t="s">
        <v>169</v>
      </c>
      <c r="GD99">
        <v>98</v>
      </c>
      <c r="GE99" t="s">
        <v>169</v>
      </c>
      <c r="HJ99">
        <v>98</v>
      </c>
      <c r="HK99" t="s">
        <v>169</v>
      </c>
      <c r="IP99">
        <v>98</v>
      </c>
      <c r="IQ99" t="s">
        <v>169</v>
      </c>
    </row>
    <row r="100" spans="26:251">
      <c r="Z100">
        <v>99</v>
      </c>
      <c r="AA100" s="15" t="s">
        <v>170</v>
      </c>
      <c r="AB100" s="15"/>
      <c r="CL100">
        <v>99</v>
      </c>
      <c r="CM100" t="s">
        <v>170</v>
      </c>
      <c r="DR100">
        <v>99</v>
      </c>
      <c r="DS100" t="s">
        <v>170</v>
      </c>
      <c r="EX100">
        <v>99</v>
      </c>
      <c r="EY100" t="s">
        <v>170</v>
      </c>
      <c r="GD100">
        <v>99</v>
      </c>
      <c r="GE100" t="s">
        <v>170</v>
      </c>
      <c r="HJ100">
        <v>99</v>
      </c>
      <c r="HK100" t="s">
        <v>170</v>
      </c>
      <c r="IP100">
        <v>99</v>
      </c>
      <c r="IQ100" t="s">
        <v>170</v>
      </c>
    </row>
  </sheetData>
  <customSheetViews>
    <customSheetView guid="{DDA22D69-94B5-45BC-9EE2-6055A845129B}" state="hidden">
      <selection activeCell="A2" sqref="A2"/>
      <pageMargins left="0.7" right="0.7" top="0.75" bottom="0.75" header="0.3" footer="0.3"/>
    </customSheetView>
    <customSheetView guid="{1B7577DB-E3C4-4E68-B7CF-8F86FF7C5A82}" state="hidden">
      <selection activeCell="A2" sqref="A2"/>
      <pageMargins left="0.7" right="0.7" top="0.75" bottom="0.75" header="0.3" footer="0.3"/>
    </customSheetView>
    <customSheetView guid="{2BE9587E-F957-49DF-9716-3F2B35B49DC1}" state="hidden">
      <selection activeCell="A4" sqref="A4"/>
      <pageMargins left="0.7" right="0.7" top="0.75" bottom="0.75" header="0.3" footer="0.3"/>
    </customSheetView>
    <customSheetView guid="{60E5615C-64A2-4675-848A-970A515EAF91}" state="hidden">
      <selection activeCell="A4" sqref="A4"/>
      <pageMargins left="0.7" right="0.7" top="0.75" bottom="0.75" header="0.3" footer="0.3"/>
    </customSheetView>
    <customSheetView guid="{E7B1C62B-1F1D-4A62-BD87-EE62D3A36B6C}" state="hidden">
      <selection activeCell="A2" sqref="A2"/>
      <pageMargins left="0.7" right="0.7" top="0.75" bottom="0.75" header="0.3" footer="0.3"/>
    </customSheetView>
  </customSheetViews>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800000"/>
  </sheetPr>
  <dimension ref="A1:CM168"/>
  <sheetViews>
    <sheetView zoomScaleNormal="100" workbookViewId="0">
      <selection activeCell="H43" sqref="H43"/>
    </sheetView>
  </sheetViews>
  <sheetFormatPr defaultColWidth="0" defaultRowHeight="12.75" zeroHeight="1"/>
  <cols>
    <col min="1" max="1" width="3.5703125" style="51" customWidth="1"/>
    <col min="2" max="2" width="26.28515625" style="13" customWidth="1"/>
    <col min="3" max="3" width="10.85546875" style="13" customWidth="1"/>
    <col min="4" max="4" width="6.42578125" style="13" customWidth="1"/>
    <col min="5" max="5" width="8.28515625" style="13" customWidth="1"/>
    <col min="6" max="6" width="8.140625" style="13" customWidth="1"/>
    <col min="7" max="7" width="5.140625" style="13" customWidth="1"/>
    <col min="8" max="8" width="5.42578125" style="13" customWidth="1"/>
    <col min="9" max="10" width="5.140625" style="13" customWidth="1"/>
    <col min="11" max="11" width="5.5703125" style="13" customWidth="1"/>
    <col min="12" max="12" width="8.28515625" style="13" customWidth="1"/>
    <col min="13" max="13" width="9.28515625" style="13" customWidth="1"/>
    <col min="14" max="14" width="7.28515625" style="13" customWidth="1"/>
    <col min="15" max="15" width="6" style="13" bestFit="1" customWidth="1"/>
    <col min="16" max="16" width="5.85546875" style="13" customWidth="1"/>
    <col min="17" max="17" width="6.28515625" style="13" customWidth="1"/>
    <col min="18" max="18" width="6" style="13" customWidth="1"/>
    <col min="19" max="20" width="6.28515625" style="13" customWidth="1"/>
    <col min="21" max="21" width="9" style="13" customWidth="1"/>
    <col min="22" max="22" width="7" style="13" bestFit="1" customWidth="1"/>
    <col min="23" max="23" width="11.28515625" style="13" customWidth="1"/>
    <col min="24" max="24" width="4.7109375" style="13" customWidth="1"/>
    <col min="25" max="25" width="8.28515625" style="13" customWidth="1"/>
    <col min="26" max="26" width="10.42578125" style="13" hidden="1" customWidth="1"/>
    <col min="27" max="27" width="7.85546875" style="13" hidden="1" customWidth="1"/>
    <col min="28" max="28" width="10.28515625" style="13" hidden="1" customWidth="1"/>
    <col min="29" max="29" width="8.7109375" style="13" hidden="1" customWidth="1"/>
    <col min="30" max="30" width="11.5703125" style="13" hidden="1" customWidth="1"/>
    <col min="31" max="31" width="12" style="13" hidden="1" customWidth="1"/>
    <col min="32" max="32" width="11.42578125" style="13" hidden="1" customWidth="1"/>
    <col min="33" max="33" width="10.140625" style="13" hidden="1" customWidth="1"/>
    <col min="34" max="34" width="14.28515625" style="13" hidden="1" customWidth="1"/>
    <col min="35" max="35" width="10" style="13" hidden="1" customWidth="1"/>
    <col min="36" max="36" width="12.28515625" style="13" hidden="1" customWidth="1"/>
    <col min="37" max="37" width="15.7109375" style="13" hidden="1" customWidth="1"/>
    <col min="38" max="38" width="14.5703125" style="13" hidden="1" customWidth="1"/>
    <col min="39" max="39" width="13.85546875" style="13" hidden="1" customWidth="1"/>
    <col min="40" max="40" width="38.28515625" style="13" hidden="1" customWidth="1"/>
    <col min="41" max="41" width="27.42578125" style="13" hidden="1" customWidth="1"/>
    <col min="42" max="42" width="34.28515625" style="13" hidden="1" customWidth="1"/>
    <col min="43" max="43" width="18.7109375" style="13" hidden="1" customWidth="1"/>
    <col min="44" max="44" width="18.85546875" style="13" hidden="1" customWidth="1"/>
    <col min="45" max="45" width="19.85546875" style="13" hidden="1" customWidth="1"/>
    <col min="46" max="16384" width="15.7109375" style="13" hidden="1"/>
  </cols>
  <sheetData>
    <row r="1" spans="1:90" s="12" customFormat="1" ht="3.75" customHeight="1" thickBot="1">
      <c r="A1" s="51"/>
      <c r="AA1" s="13"/>
      <c r="AF1" s="52"/>
      <c r="AG1" s="52"/>
      <c r="AH1" s="52"/>
      <c r="AI1" s="52"/>
      <c r="AJ1" s="52"/>
    </row>
    <row r="2" spans="1:90" s="12" customFormat="1" ht="3.75" customHeight="1" thickTop="1">
      <c r="A2" s="3256"/>
      <c r="B2" s="3257"/>
      <c r="C2" s="3257"/>
      <c r="D2" s="3257"/>
      <c r="E2" s="3257"/>
      <c r="F2" s="3257"/>
      <c r="G2" s="3257"/>
      <c r="H2" s="3257"/>
      <c r="I2" s="3257"/>
      <c r="J2" s="3257"/>
      <c r="K2" s="3257"/>
      <c r="L2" s="3257"/>
      <c r="M2" s="3257"/>
      <c r="N2" s="3257"/>
      <c r="O2" s="3257"/>
      <c r="P2" s="3257"/>
      <c r="Q2" s="3257"/>
      <c r="R2" s="3257"/>
      <c r="S2" s="3257"/>
      <c r="T2" s="3257"/>
      <c r="U2" s="3257"/>
      <c r="V2" s="3257"/>
      <c r="W2" s="3257"/>
      <c r="X2" s="3257"/>
      <c r="Y2" s="3258"/>
      <c r="AA2" s="13"/>
      <c r="AF2" s="52"/>
      <c r="AG2" s="52"/>
      <c r="AH2" s="52"/>
      <c r="AI2" s="52"/>
      <c r="AJ2" s="52"/>
    </row>
    <row r="3" spans="1:90" s="12" customFormat="1" ht="3.75" customHeight="1">
      <c r="A3" s="3259"/>
      <c r="B3" s="1200"/>
      <c r="C3" s="1200"/>
      <c r="D3" s="1200"/>
      <c r="E3" s="1200"/>
      <c r="F3" s="1200"/>
      <c r="G3" s="1200"/>
      <c r="H3" s="1200"/>
      <c r="I3" s="1200"/>
      <c r="J3" s="1200"/>
      <c r="K3" s="1200"/>
      <c r="L3" s="1200"/>
      <c r="M3" s="1200"/>
      <c r="N3" s="1200"/>
      <c r="O3" s="1200"/>
      <c r="P3" s="1200"/>
      <c r="Q3" s="1200"/>
      <c r="R3" s="1200"/>
      <c r="S3" s="1200"/>
      <c r="T3" s="1200"/>
      <c r="U3" s="1200"/>
      <c r="V3" s="1200"/>
      <c r="W3" s="1200"/>
      <c r="X3" s="1200"/>
      <c r="Y3" s="3260"/>
      <c r="AA3" s="13"/>
      <c r="AF3" s="52"/>
      <c r="AG3" s="52"/>
      <c r="AH3" s="52"/>
      <c r="AI3" s="52"/>
      <c r="AJ3" s="52"/>
    </row>
    <row r="4" spans="1:90" s="12" customFormat="1" ht="3.75" customHeight="1">
      <c r="A4" s="3259"/>
      <c r="B4" s="1200"/>
      <c r="C4" s="1200"/>
      <c r="D4" s="1200"/>
      <c r="E4" s="1200"/>
      <c r="F4" s="1200"/>
      <c r="G4" s="1200"/>
      <c r="H4" s="1200"/>
      <c r="I4" s="1200"/>
      <c r="J4" s="1200"/>
      <c r="K4" s="1200"/>
      <c r="L4" s="1200"/>
      <c r="M4" s="1200"/>
      <c r="N4" s="1200"/>
      <c r="O4" s="1200"/>
      <c r="P4" s="1200"/>
      <c r="Q4" s="1200"/>
      <c r="R4" s="1200"/>
      <c r="S4" s="1200"/>
      <c r="T4" s="1200"/>
      <c r="U4" s="1200"/>
      <c r="V4" s="1200"/>
      <c r="W4" s="1200"/>
      <c r="X4" s="1200"/>
      <c r="Y4" s="3260"/>
      <c r="AA4" s="13"/>
      <c r="AF4" s="52"/>
      <c r="AG4" s="52"/>
      <c r="AH4" s="52"/>
      <c r="AI4" s="52"/>
      <c r="AJ4" s="52"/>
    </row>
    <row r="5" spans="1:90" s="12" customFormat="1" ht="25.5" customHeight="1">
      <c r="A5" s="3261"/>
      <c r="B5" s="3262"/>
      <c r="C5" s="5180"/>
      <c r="D5" s="5180"/>
      <c r="E5" s="5180"/>
      <c r="F5" s="5181"/>
      <c r="G5" s="5181"/>
      <c r="H5" s="5181"/>
      <c r="I5" s="5181"/>
      <c r="J5" s="3263"/>
      <c r="K5" s="3263"/>
      <c r="L5" s="3263"/>
      <c r="M5" s="3263"/>
      <c r="N5" s="3263"/>
      <c r="O5" s="3263"/>
      <c r="P5" s="3263"/>
      <c r="Q5" s="3264"/>
      <c r="R5" s="614"/>
      <c r="S5" s="614"/>
      <c r="T5" s="614"/>
      <c r="U5" s="614"/>
      <c r="V5" s="614"/>
      <c r="W5" s="614"/>
      <c r="X5" s="614"/>
      <c r="Y5" s="3265"/>
      <c r="Z5" s="53"/>
      <c r="AA5" s="54"/>
      <c r="AB5" s="54"/>
      <c r="AC5" s="54"/>
      <c r="AD5" s="54"/>
      <c r="AE5" s="54"/>
      <c r="AF5" s="54"/>
      <c r="AG5" s="54"/>
      <c r="AH5" s="54"/>
      <c r="AI5" s="54"/>
      <c r="AJ5" s="13"/>
    </row>
    <row r="6" spans="1:90" s="12" customFormat="1" ht="15.75" customHeight="1" thickBot="1">
      <c r="A6" s="3261"/>
      <c r="B6" s="1200"/>
      <c r="C6" s="1200"/>
      <c r="D6" s="1200"/>
      <c r="E6" s="1200"/>
      <c r="F6" s="1200"/>
      <c r="G6" s="1200"/>
      <c r="H6" s="1200"/>
      <c r="I6" s="1200"/>
      <c r="J6" s="1200"/>
      <c r="K6" s="1200"/>
      <c r="L6" s="1200"/>
      <c r="M6" s="1200"/>
      <c r="N6" s="1200"/>
      <c r="O6" s="1200"/>
      <c r="P6" s="1200"/>
      <c r="Q6" s="1200"/>
      <c r="R6" s="1200"/>
      <c r="S6" s="1200"/>
      <c r="T6" s="1200"/>
      <c r="U6" s="1200"/>
      <c r="V6" s="1200"/>
      <c r="W6" s="1200"/>
      <c r="X6" s="1200"/>
      <c r="Y6" s="3260"/>
      <c r="AA6" s="54"/>
      <c r="AB6" s="54"/>
      <c r="AC6" s="54"/>
      <c r="AD6" s="54"/>
      <c r="AE6" s="54"/>
      <c r="AF6" s="54"/>
      <c r="AG6" s="54"/>
      <c r="AH6" s="54"/>
      <c r="AI6" s="54"/>
      <c r="AJ6" s="52"/>
      <c r="AK6" s="52"/>
      <c r="AL6" s="52"/>
      <c r="AM6" s="52"/>
      <c r="AN6" s="52"/>
      <c r="AO6" s="52"/>
      <c r="AP6" s="52"/>
      <c r="AQ6" s="52"/>
      <c r="AR6" s="52"/>
      <c r="AS6" s="52"/>
      <c r="AT6" s="52"/>
    </row>
    <row r="7" spans="1:90" s="4" customFormat="1" ht="23.25" customHeight="1" thickTop="1">
      <c r="A7" s="3261"/>
      <c r="B7" s="5191" t="s">
        <v>1696</v>
      </c>
      <c r="C7" s="5192"/>
      <c r="D7" s="5192"/>
      <c r="E7" s="5192"/>
      <c r="F7" s="5192"/>
      <c r="G7" s="5192"/>
      <c r="H7" s="5192"/>
      <c r="I7" s="5192"/>
      <c r="J7" s="5192"/>
      <c r="K7" s="5192"/>
      <c r="L7" s="5192"/>
      <c r="M7" s="5192"/>
      <c r="N7" s="5192"/>
      <c r="O7" s="5192"/>
      <c r="P7" s="5192"/>
      <c r="Q7" s="5192"/>
      <c r="R7" s="5192"/>
      <c r="S7" s="5192"/>
      <c r="T7" s="5192"/>
      <c r="U7" s="5192"/>
      <c r="V7" s="5192"/>
      <c r="W7" s="5192"/>
      <c r="X7" s="5193"/>
      <c r="Y7" s="5186" t="s">
        <v>1599</v>
      </c>
      <c r="Z7" s="55"/>
      <c r="AA7" s="54"/>
      <c r="AB7" s="56"/>
      <c r="AC7" s="57"/>
      <c r="AD7" s="57"/>
      <c r="AE7" s="58"/>
      <c r="AF7" s="57"/>
      <c r="AG7" s="59"/>
      <c r="AH7" s="60"/>
      <c r="AI7" s="59"/>
      <c r="AJ7" s="59"/>
      <c r="AK7" s="61"/>
      <c r="AL7" s="62"/>
      <c r="AM7" s="63"/>
      <c r="AN7" s="64"/>
      <c r="AO7" s="54"/>
      <c r="AP7" s="54"/>
      <c r="CI7" s="5188"/>
      <c r="CJ7" s="5188"/>
      <c r="CK7" s="5188"/>
      <c r="CL7" s="5188"/>
    </row>
    <row r="8" spans="1:90" s="12" customFormat="1" ht="18.75" customHeight="1">
      <c r="A8" s="3261"/>
      <c r="B8" s="5189" t="s">
        <v>1535</v>
      </c>
      <c r="C8" s="5190"/>
      <c r="D8" s="5190"/>
      <c r="E8" s="5190"/>
      <c r="F8" s="5194" t="str">
        <f>CONCATENATE(Formula!FQ8,AN12,",",    AO12,    ",",    AP12,":",    AQ12," ",   AQ13,",",  AR12,   "",  AR13,   ",",    AS12,  " ",AS13)</f>
        <v>Sri.B.Saidi Reddy,Asst.Professor of Maths,KRR Govt.Arts &amp; Science College(A):Kodad (M),Suryapet(Dt),Telangana (State)</v>
      </c>
      <c r="G8" s="5194"/>
      <c r="H8" s="5194"/>
      <c r="I8" s="5194"/>
      <c r="J8" s="5194"/>
      <c r="K8" s="5194"/>
      <c r="L8" s="5194"/>
      <c r="M8" s="5194"/>
      <c r="N8" s="5194"/>
      <c r="O8" s="5194"/>
      <c r="P8" s="5194"/>
      <c r="Q8" s="5194"/>
      <c r="R8" s="5194"/>
      <c r="S8" s="5194"/>
      <c r="T8" s="5194"/>
      <c r="U8" s="5194"/>
      <c r="V8" s="5194"/>
      <c r="W8" s="5194"/>
      <c r="X8" s="3532"/>
      <c r="Y8" s="5187"/>
      <c r="Z8" s="528"/>
      <c r="AA8" s="66"/>
      <c r="AB8" s="67"/>
      <c r="AC8" s="68"/>
      <c r="AD8" s="54"/>
      <c r="AE8" s="54"/>
      <c r="AF8" s="54"/>
      <c r="AG8" s="54"/>
      <c r="AH8" s="54"/>
      <c r="AI8" s="54"/>
      <c r="AJ8" s="54"/>
      <c r="AK8" s="54"/>
      <c r="AL8" s="54"/>
      <c r="AM8" s="54"/>
      <c r="AN8" s="54"/>
      <c r="AO8" s="54"/>
      <c r="AP8" s="54"/>
      <c r="AQ8" s="52"/>
      <c r="AR8" s="52"/>
      <c r="AS8" s="52"/>
      <c r="AT8" s="52"/>
    </row>
    <row r="9" spans="1:90" s="12" customFormat="1" ht="0.75" customHeight="1">
      <c r="A9" s="3261"/>
      <c r="B9" s="1201"/>
      <c r="C9" s="70"/>
      <c r="D9" s="70"/>
      <c r="E9" s="70"/>
      <c r="F9" s="70"/>
      <c r="G9" s="70"/>
      <c r="H9" s="70"/>
      <c r="I9" s="70"/>
      <c r="J9" s="70"/>
      <c r="K9" s="70"/>
      <c r="L9" s="70"/>
      <c r="M9" s="70"/>
      <c r="N9" s="70"/>
      <c r="O9" s="70"/>
      <c r="P9" s="70"/>
      <c r="Q9" s="70"/>
      <c r="R9" s="70"/>
      <c r="S9" s="70"/>
      <c r="T9" s="70"/>
      <c r="U9" s="70"/>
      <c r="V9" s="70"/>
      <c r="W9" s="70"/>
      <c r="X9" s="1202"/>
      <c r="Y9" s="5187"/>
      <c r="Z9" s="65"/>
      <c r="AA9" s="54"/>
      <c r="AB9" s="67"/>
      <c r="AC9" s="54"/>
      <c r="AD9" s="54"/>
      <c r="AE9" s="54"/>
      <c r="AF9" s="54"/>
      <c r="AG9" s="54"/>
      <c r="AH9" s="54"/>
      <c r="AI9" s="54"/>
      <c r="AJ9" s="54"/>
      <c r="AK9" s="54"/>
      <c r="AL9" s="54"/>
      <c r="AM9" s="54"/>
      <c r="AN9" s="54"/>
      <c r="AO9" s="54"/>
      <c r="AP9" s="54"/>
      <c r="AQ9" s="52"/>
      <c r="AR9" s="52"/>
      <c r="AS9" s="52"/>
      <c r="AT9" s="52"/>
      <c r="CJ9" s="69"/>
      <c r="CK9" s="69"/>
    </row>
    <row r="10" spans="1:90" s="12" customFormat="1" ht="22.5" customHeight="1">
      <c r="A10" s="3261"/>
      <c r="B10" s="3250" t="s">
        <v>225</v>
      </c>
      <c r="C10" s="5197" t="str">
        <f>CONCATENATE('Data Sheet-II'!L10)</f>
        <v>2000083</v>
      </c>
      <c r="D10" s="5198"/>
      <c r="E10" s="639"/>
      <c r="F10" s="639"/>
      <c r="G10" s="639"/>
      <c r="H10" s="639"/>
      <c r="I10" s="639"/>
      <c r="J10" s="639"/>
      <c r="K10" s="639"/>
      <c r="L10" s="639"/>
      <c r="M10" s="639"/>
      <c r="N10" s="639"/>
      <c r="O10" s="639"/>
      <c r="P10" s="639"/>
      <c r="Q10" s="639"/>
      <c r="R10" s="639"/>
      <c r="S10" s="639"/>
      <c r="T10" s="639"/>
      <c r="U10" s="639"/>
      <c r="V10" s="639"/>
      <c r="W10" s="639"/>
      <c r="X10" s="1202"/>
      <c r="Y10" s="5187"/>
      <c r="Z10" s="65"/>
      <c r="AA10" s="54"/>
      <c r="AB10" s="67"/>
      <c r="AC10" s="54"/>
      <c r="AD10" s="54"/>
      <c r="AE10" s="54"/>
      <c r="AF10" s="54"/>
      <c r="AG10" s="54"/>
      <c r="AH10" s="54"/>
      <c r="AI10" s="54"/>
      <c r="AJ10" s="54"/>
      <c r="AK10" s="63"/>
      <c r="AL10" s="63"/>
      <c r="AM10" s="63"/>
      <c r="AN10" s="63"/>
      <c r="AO10" s="54"/>
      <c r="AP10" s="54"/>
      <c r="AQ10" s="52"/>
      <c r="AR10" s="52"/>
      <c r="AS10" s="52"/>
      <c r="AT10" s="52"/>
      <c r="CJ10" s="69"/>
      <c r="CK10" s="69"/>
    </row>
    <row r="11" spans="1:90" s="12" customFormat="1" ht="44.25" customHeight="1">
      <c r="A11" s="3261"/>
      <c r="B11" s="1203" t="s">
        <v>182</v>
      </c>
      <c r="C11" s="6908" t="s">
        <v>226</v>
      </c>
      <c r="D11" s="6909" t="s">
        <v>227</v>
      </c>
      <c r="E11" s="6908" t="s">
        <v>228</v>
      </c>
      <c r="F11" s="6908" t="s">
        <v>189</v>
      </c>
      <c r="G11" s="6909" t="s">
        <v>229</v>
      </c>
      <c r="H11" s="6909" t="s">
        <v>230</v>
      </c>
      <c r="I11" s="6909" t="s">
        <v>231</v>
      </c>
      <c r="J11" s="6909" t="s">
        <v>232</v>
      </c>
      <c r="K11" s="6909" t="s">
        <v>233</v>
      </c>
      <c r="L11" s="6909" t="str">
        <f>Formula!EI172</f>
        <v>Principal Allowances</v>
      </c>
      <c r="M11" s="6910" t="s">
        <v>234</v>
      </c>
      <c r="N11" s="6909" t="str">
        <f>Formula!EK172</f>
        <v>GPF</v>
      </c>
      <c r="O11" s="6908" t="s">
        <v>671</v>
      </c>
      <c r="P11" s="6908" t="s">
        <v>236</v>
      </c>
      <c r="Q11" s="6908" t="s">
        <v>237</v>
      </c>
      <c r="R11" s="6909" t="s">
        <v>238</v>
      </c>
      <c r="S11" s="6909" t="s">
        <v>239</v>
      </c>
      <c r="T11" s="6909" t="s">
        <v>1432</v>
      </c>
      <c r="U11" s="6909" t="s">
        <v>240</v>
      </c>
      <c r="V11" s="6911" t="s">
        <v>200</v>
      </c>
      <c r="W11" s="6911" t="s">
        <v>241</v>
      </c>
      <c r="X11" s="1204"/>
      <c r="Y11" s="5187"/>
      <c r="Z11" s="13"/>
      <c r="AA11" s="54"/>
      <c r="AB11" s="67"/>
      <c r="AC11" s="60"/>
      <c r="AD11" s="54"/>
      <c r="AE11" s="54"/>
      <c r="AF11" s="54"/>
      <c r="AG11" s="54"/>
      <c r="AH11" s="54"/>
      <c r="AI11" s="54"/>
      <c r="AJ11" s="54"/>
      <c r="AK11" s="54"/>
      <c r="AL11" s="54"/>
      <c r="AM11" s="54"/>
      <c r="AN11" s="54"/>
      <c r="AO11" s="54"/>
      <c r="AP11" s="54"/>
      <c r="AQ11" s="52"/>
      <c r="AR11" s="52"/>
      <c r="AS11" s="52"/>
      <c r="AT11" s="52"/>
      <c r="CJ11" s="71"/>
      <c r="CK11" s="72"/>
    </row>
    <row r="12" spans="1:90" s="12" customFormat="1" ht="18" customHeight="1">
      <c r="A12" s="3266">
        <v>1</v>
      </c>
      <c r="B12" s="1826">
        <v>45717</v>
      </c>
      <c r="C12" s="6903">
        <f>IF(Formula!DZ173&gt;0,Formula!DZ173,"")</f>
        <v>82300</v>
      </c>
      <c r="D12" s="6903" t="str">
        <f>IF(Formula!EA173&gt;0,Formula!EA173,"")</f>
        <v/>
      </c>
      <c r="E12" s="6903">
        <f>IF(Formula!EB173&gt;0,Formula!EB173,"")</f>
        <v>31274</v>
      </c>
      <c r="F12" s="6903">
        <f>IF(Formula!EC173&gt;0,Formula!EC173,"")</f>
        <v>7407</v>
      </c>
      <c r="G12" s="6903" t="str">
        <f>IF(Formula!ED173&gt;0,Formula!ED173,"")</f>
        <v/>
      </c>
      <c r="H12" s="6903" t="str">
        <f>IF(Formula!EE173&gt;0,Formula!EE173,"")</f>
        <v/>
      </c>
      <c r="I12" s="6903">
        <f>IF(Formula!EF173&gt;0,Formula!EF173,"")</f>
        <v>650</v>
      </c>
      <c r="J12" s="6903" t="str">
        <f>IF(Formula!EG173&gt;0,Formula!EG173,"")</f>
        <v/>
      </c>
      <c r="K12" s="6903" t="str">
        <f>IF(Formula!EH173&gt;0,Formula!EH173,"")</f>
        <v/>
      </c>
      <c r="L12" s="6903" t="str">
        <f>IF(Formula!EI173&gt;0,Formula!EI173,"")</f>
        <v/>
      </c>
      <c r="M12" s="6904">
        <f>IF(AB12=0,"",LOOKUP(AB12,AB12))</f>
        <v>121631</v>
      </c>
      <c r="N12" s="6903">
        <f>IF(Formula!EK173&gt;0,Formula!EK173,"")</f>
        <v>6000</v>
      </c>
      <c r="O12" s="6903">
        <f>IF(Formula!EL173&gt;0,Formula!EL173,"")</f>
        <v>5000</v>
      </c>
      <c r="P12" s="6903">
        <f>IF(Formula!EM173&gt;0,Formula!EM173,"")</f>
        <v>120</v>
      </c>
      <c r="Q12" s="6903">
        <f>IF(Formula!EN173&gt;0,Formula!EN173,"")</f>
        <v>200</v>
      </c>
      <c r="R12" s="6903">
        <f>IF(Formula!EO173&gt;0,Formula!EO173,"")</f>
        <v>50</v>
      </c>
      <c r="S12" s="6903" t="str">
        <f>IF(Formula!EP173&gt;0,Formula!EP173,"")</f>
        <v/>
      </c>
      <c r="T12" s="6903" t="str">
        <f>IF(Formula!EQ173&gt;0,Formula!EQ173,"")</f>
        <v/>
      </c>
      <c r="U12" s="6903">
        <f>IF(Formula!ER173&gt;0,Formula!ER173,"")</f>
        <v>20000</v>
      </c>
      <c r="V12" s="6903">
        <f>IF(AC12&gt;0,AC12,"")</f>
        <v>31370</v>
      </c>
      <c r="W12" s="3249">
        <f>IF(AD12=0,"",LOOKUP(AD12,AD12))</f>
        <v>90261</v>
      </c>
      <c r="X12" s="1205"/>
      <c r="Y12" s="3364" t="str">
        <f>IF(OR(M12="",M12=0),IF(B12="",1,""),"")</f>
        <v/>
      </c>
      <c r="Z12" s="13"/>
      <c r="AA12" s="73"/>
      <c r="AB12" s="2442">
        <f t="shared" ref="AB12:AB30" si="0">SUM(C12:L12)</f>
        <v>121631</v>
      </c>
      <c r="AC12" s="2442">
        <f>SUM(N12:U12)</f>
        <v>31370</v>
      </c>
      <c r="AD12" s="2442">
        <f>AB12-AC12</f>
        <v>90261</v>
      </c>
      <c r="AE12" s="63"/>
      <c r="AF12" s="54"/>
      <c r="AG12" s="54"/>
      <c r="AH12" s="54"/>
      <c r="AI12" s="54"/>
      <c r="AJ12" s="52"/>
      <c r="AK12" s="74"/>
      <c r="AL12" s="14"/>
      <c r="AM12" s="52"/>
      <c r="AN12" s="75" t="str">
        <f>'Data Sheet-II'!L8</f>
        <v>B.Saidi Reddy</v>
      </c>
      <c r="AO12" s="75" t="str">
        <f>'Data Sheet-II'!L9</f>
        <v>Asst.Professor of Maths</v>
      </c>
      <c r="AP12" s="75" t="str">
        <f>'Data Sheet-II'!L14</f>
        <v>KRR Govt.Arts &amp; Science College(A)</v>
      </c>
      <c r="AQ12" s="638" t="str">
        <f>'Data Sheet-II'!L15</f>
        <v>Kodad</v>
      </c>
      <c r="AR12" s="76" t="str">
        <f>'Data Sheet-II'!L16</f>
        <v>Suryapet</v>
      </c>
      <c r="AS12" s="76" t="str">
        <f>'Data Sheet-II'!L17</f>
        <v>Telangana</v>
      </c>
      <c r="AT12" s="52"/>
      <c r="CJ12" s="71"/>
      <c r="CK12" s="72"/>
    </row>
    <row r="13" spans="1:90" s="12" customFormat="1" ht="18" customHeight="1">
      <c r="A13" s="3266">
        <v>2</v>
      </c>
      <c r="B13" s="1826">
        <v>45748</v>
      </c>
      <c r="C13" s="6903">
        <f>IF(Formula!DZ174&gt;0,Formula!DZ174,"")</f>
        <v>82300</v>
      </c>
      <c r="D13" s="6903" t="str">
        <f>IF(Formula!EA174&gt;0,Formula!EA174,"")</f>
        <v/>
      </c>
      <c r="E13" s="6903">
        <f>IF(Formula!EB174&gt;0,Formula!EB174,"")</f>
        <v>31274</v>
      </c>
      <c r="F13" s="6903">
        <f>IF(Formula!EC174&gt;0,Formula!EC174,"")</f>
        <v>7407</v>
      </c>
      <c r="G13" s="6903" t="str">
        <f>IF(Formula!ED174&gt;0,Formula!ED174,"")</f>
        <v/>
      </c>
      <c r="H13" s="6903" t="str">
        <f>IF(Formula!EE174&gt;0,Formula!EE174,"")</f>
        <v/>
      </c>
      <c r="I13" s="6903">
        <f>IF(Formula!EF174&gt;0,Formula!EF174,"")</f>
        <v>650</v>
      </c>
      <c r="J13" s="6903" t="str">
        <f>IF(Formula!EG174&gt;0,Formula!EG174,"")</f>
        <v/>
      </c>
      <c r="K13" s="6903" t="str">
        <f>IF(Formula!EH174&gt;0,Formula!EH174,"")</f>
        <v/>
      </c>
      <c r="L13" s="6903" t="str">
        <f>IF(Formula!EI174&gt;0,Formula!EI174,"")</f>
        <v/>
      </c>
      <c r="M13" s="6904">
        <f t="shared" ref="M13:M40" si="1">IF(AB13=0,"",LOOKUP(AB13,AB13))</f>
        <v>121631</v>
      </c>
      <c r="N13" s="6903">
        <f>IF(Formula!EK174&gt;0,Formula!EK174,"")</f>
        <v>6000</v>
      </c>
      <c r="O13" s="6903">
        <f>IF(Formula!EL174&gt;0,Formula!EL174,"")</f>
        <v>5000</v>
      </c>
      <c r="P13" s="6903">
        <f>IF(Formula!EM174&gt;0,Formula!EM174,"")</f>
        <v>120</v>
      </c>
      <c r="Q13" s="6903">
        <f>IF(Formula!EN174&gt;0,Formula!EN174,"")</f>
        <v>200</v>
      </c>
      <c r="R13" s="6903" t="str">
        <f>IF(Formula!EO174&gt;0,Formula!EO174,"")</f>
        <v/>
      </c>
      <c r="S13" s="6903" t="str">
        <f>IF(Formula!EP174&gt;0,Formula!EP174,"")</f>
        <v/>
      </c>
      <c r="T13" s="6903">
        <f>IF(Formula!EQ174&gt;0,Formula!EQ174,"")</f>
        <v>300</v>
      </c>
      <c r="U13" s="6903">
        <f>IF(Formula!ER174&gt;0,Formula!ER174,"")</f>
        <v>20000</v>
      </c>
      <c r="V13" s="6903">
        <f t="shared" ref="V13:V40" si="2">IF(AC13&gt;0,AC13,"")</f>
        <v>31620</v>
      </c>
      <c r="W13" s="3249">
        <f t="shared" ref="W13:W33" si="3">IF(AD13=0,"",LOOKUP(AD13,AD13))</f>
        <v>90011</v>
      </c>
      <c r="X13" s="1205"/>
      <c r="Y13" s="3364" t="str">
        <f t="shared" ref="Y13:Y40" si="4">IF(OR(M13="",M13=0),IF(B13="",1,""),"")</f>
        <v/>
      </c>
      <c r="Z13" s="13"/>
      <c r="AA13" s="73"/>
      <c r="AB13" s="2442">
        <f t="shared" si="0"/>
        <v>121631</v>
      </c>
      <c r="AC13" s="2442">
        <f t="shared" ref="AC13:AC30" si="5">SUM(N13:U13)</f>
        <v>31620</v>
      </c>
      <c r="AD13" s="2442">
        <f t="shared" ref="AD13:AD40" si="6">AB13-AC13</f>
        <v>90011</v>
      </c>
      <c r="AE13" s="63"/>
      <c r="AF13" s="54"/>
      <c r="AG13" s="54"/>
      <c r="AH13" s="54"/>
      <c r="AI13" s="54"/>
      <c r="AJ13" s="52"/>
      <c r="AK13" s="74"/>
      <c r="AL13" s="14"/>
      <c r="AM13" s="52"/>
      <c r="AN13" s="52"/>
      <c r="AO13" s="52"/>
      <c r="AP13" s="52"/>
      <c r="AQ13" s="77" t="s">
        <v>25</v>
      </c>
      <c r="AR13" s="77" t="s">
        <v>242</v>
      </c>
      <c r="AS13" s="77" t="s">
        <v>180</v>
      </c>
      <c r="AT13" s="52"/>
      <c r="CJ13" s="71"/>
      <c r="CK13" s="72"/>
    </row>
    <row r="14" spans="1:90" s="12" customFormat="1" ht="18" customHeight="1">
      <c r="A14" s="3266">
        <v>3</v>
      </c>
      <c r="B14" s="1826">
        <v>45778</v>
      </c>
      <c r="C14" s="6903">
        <f>IF(Formula!DZ175&gt;0,Formula!DZ175,"")</f>
        <v>82300</v>
      </c>
      <c r="D14" s="6903" t="str">
        <f>IF(Formula!EA175&gt;0,Formula!EA175,"")</f>
        <v/>
      </c>
      <c r="E14" s="6903">
        <f>IF(Formula!EB175&gt;0,Formula!EB175,"")</f>
        <v>31274</v>
      </c>
      <c r="F14" s="6903">
        <f>IF(Formula!EC175&gt;0,Formula!EC175,"")</f>
        <v>7407</v>
      </c>
      <c r="G14" s="6903" t="str">
        <f>IF(Formula!ED175&gt;0,Formula!ED175,"")</f>
        <v/>
      </c>
      <c r="H14" s="6903" t="str">
        <f>IF(Formula!EE175&gt;0,Formula!EE175,"")</f>
        <v/>
      </c>
      <c r="I14" s="6903">
        <f>IF(Formula!EF175&gt;0,Formula!EF175,"")</f>
        <v>650</v>
      </c>
      <c r="J14" s="6903" t="str">
        <f>IF(Formula!EG175&gt;0,Formula!EG175,"")</f>
        <v/>
      </c>
      <c r="K14" s="6903" t="str">
        <f>IF(Formula!EH175&gt;0,Formula!EH175,"")</f>
        <v/>
      </c>
      <c r="L14" s="6903" t="str">
        <f>IF(Formula!EI175&gt;0,Formula!EI175,"")</f>
        <v/>
      </c>
      <c r="M14" s="6904">
        <f t="shared" si="1"/>
        <v>121631</v>
      </c>
      <c r="N14" s="6903">
        <f>IF(Formula!EK175&gt;0,Formula!EK175,"")</f>
        <v>6000</v>
      </c>
      <c r="O14" s="6903">
        <f>IF(Formula!EL175&gt;0,Formula!EL175,"")</f>
        <v>5000</v>
      </c>
      <c r="P14" s="6903">
        <f>IF(Formula!EM175&gt;0,Formula!EM175,"")</f>
        <v>120</v>
      </c>
      <c r="Q14" s="6903">
        <f>IF(Formula!EN175&gt;0,Formula!EN175,"")</f>
        <v>200</v>
      </c>
      <c r="R14" s="6903" t="str">
        <f>IF(Formula!EO175&gt;0,Formula!EO175,"")</f>
        <v/>
      </c>
      <c r="S14" s="6903" t="str">
        <f>IF(Formula!EP175&gt;0,Formula!EP175,"")</f>
        <v/>
      </c>
      <c r="T14" s="6903" t="str">
        <f>IF(Formula!EQ175&gt;0,Formula!EQ175,"")</f>
        <v/>
      </c>
      <c r="U14" s="6903">
        <f>IF(Formula!ER175&gt;0,Formula!ER175,"")</f>
        <v>20000</v>
      </c>
      <c r="V14" s="6903">
        <f t="shared" si="2"/>
        <v>31320</v>
      </c>
      <c r="W14" s="3249">
        <f t="shared" si="3"/>
        <v>90311</v>
      </c>
      <c r="X14" s="1206"/>
      <c r="Y14" s="3364" t="str">
        <f t="shared" si="4"/>
        <v/>
      </c>
      <c r="Z14" s="13"/>
      <c r="AA14" s="73"/>
      <c r="AB14" s="2442">
        <f t="shared" si="0"/>
        <v>121631</v>
      </c>
      <c r="AC14" s="2442">
        <f t="shared" si="5"/>
        <v>31320</v>
      </c>
      <c r="AD14" s="2442">
        <f t="shared" si="6"/>
        <v>90311</v>
      </c>
      <c r="AE14" s="63"/>
      <c r="AF14" s="54"/>
      <c r="AG14" s="54"/>
      <c r="AH14" s="54"/>
      <c r="AI14" s="54"/>
      <c r="AJ14" s="52"/>
      <c r="AK14" s="74"/>
      <c r="AL14" s="14"/>
      <c r="AM14" s="52"/>
      <c r="AN14" s="52"/>
      <c r="AO14" s="52"/>
      <c r="AP14" s="52"/>
      <c r="AQ14" s="52"/>
      <c r="AR14" s="52"/>
      <c r="AS14" s="52"/>
      <c r="AT14" s="52"/>
      <c r="CJ14" s="71"/>
      <c r="CK14" s="72"/>
    </row>
    <row r="15" spans="1:90" s="12" customFormat="1" ht="18" customHeight="1">
      <c r="A15" s="3266">
        <v>4</v>
      </c>
      <c r="B15" s="1826">
        <v>45809</v>
      </c>
      <c r="C15" s="6903">
        <f>IF(Formula!DZ176&gt;0,Formula!DZ176,"")</f>
        <v>82300</v>
      </c>
      <c r="D15" s="6903" t="str">
        <f>IF(Formula!EA176&gt;0,Formula!EA176,"")</f>
        <v/>
      </c>
      <c r="E15" s="6903">
        <f>IF(Formula!EB176&gt;0,Formula!EB176,"")</f>
        <v>34566</v>
      </c>
      <c r="F15" s="6903">
        <f>IF(Formula!EC176&gt;0,Formula!EC176,"")</f>
        <v>7407</v>
      </c>
      <c r="G15" s="6903" t="str">
        <f>IF(Formula!ED176&gt;0,Formula!ED176,"")</f>
        <v/>
      </c>
      <c r="H15" s="6903" t="str">
        <f>IF(Formula!EE176&gt;0,Formula!EE176,"")</f>
        <v/>
      </c>
      <c r="I15" s="6903">
        <f>IF(Formula!EF176&gt;0,Formula!EF176,"")</f>
        <v>650</v>
      </c>
      <c r="J15" s="6903" t="str">
        <f>IF(Formula!EG176&gt;0,Formula!EG176,"")</f>
        <v/>
      </c>
      <c r="K15" s="6903" t="str">
        <f>IF(Formula!EH176&gt;0,Formula!EH176,"")</f>
        <v/>
      </c>
      <c r="L15" s="6903" t="str">
        <f>IF(Formula!EI176&gt;0,Formula!EI176,"")</f>
        <v/>
      </c>
      <c r="M15" s="6904">
        <f t="shared" si="1"/>
        <v>124923</v>
      </c>
      <c r="N15" s="6903">
        <f>IF(Formula!EK176&gt;0,Formula!EK176,"")</f>
        <v>6000</v>
      </c>
      <c r="O15" s="6903">
        <f>IF(Formula!EL176&gt;0,Formula!EL176,"")</f>
        <v>5000</v>
      </c>
      <c r="P15" s="6903">
        <f>IF(Formula!EM176&gt;0,Formula!EM176,"")</f>
        <v>120</v>
      </c>
      <c r="Q15" s="6903">
        <f>IF(Formula!EN176&gt;0,Formula!EN176,"")</f>
        <v>200</v>
      </c>
      <c r="R15" s="6903" t="str">
        <f>IF(Formula!EO176&gt;0,Formula!EO176,"")</f>
        <v/>
      </c>
      <c r="S15" s="6903" t="str">
        <f>IF(Formula!EP176&gt;0,Formula!EP176,"")</f>
        <v/>
      </c>
      <c r="T15" s="6903" t="str">
        <f>IF(Formula!EQ176&gt;0,Formula!EQ176,"")</f>
        <v/>
      </c>
      <c r="U15" s="6903">
        <f>IF(Formula!ER176&gt;0,Formula!ER176,"")</f>
        <v>20000</v>
      </c>
      <c r="V15" s="6903">
        <f t="shared" si="2"/>
        <v>31320</v>
      </c>
      <c r="W15" s="3249">
        <f t="shared" si="3"/>
        <v>93603</v>
      </c>
      <c r="X15" s="1206"/>
      <c r="Y15" s="3364" t="str">
        <f t="shared" si="4"/>
        <v/>
      </c>
      <c r="Z15" s="13"/>
      <c r="AA15" s="73"/>
      <c r="AB15" s="2442">
        <f t="shared" si="0"/>
        <v>124923</v>
      </c>
      <c r="AC15" s="2442">
        <f t="shared" si="5"/>
        <v>31320</v>
      </c>
      <c r="AD15" s="2442">
        <f t="shared" si="6"/>
        <v>93603</v>
      </c>
      <c r="AE15" s="63"/>
      <c r="AF15" s="78"/>
      <c r="AG15" s="79"/>
      <c r="AH15" s="54"/>
      <c r="AI15" s="54"/>
      <c r="AJ15" s="52"/>
      <c r="AK15" s="74"/>
      <c r="AL15" s="14"/>
      <c r="AM15" s="52"/>
      <c r="AN15" s="52"/>
      <c r="AO15" s="52"/>
      <c r="AP15" s="52"/>
      <c r="AQ15" s="52"/>
      <c r="AR15" s="52"/>
      <c r="AS15" s="52"/>
      <c r="AT15" s="52"/>
      <c r="CJ15" s="71"/>
      <c r="CK15" s="72"/>
    </row>
    <row r="16" spans="1:90" s="12" customFormat="1" ht="18" customHeight="1">
      <c r="A16" s="3266">
        <v>5</v>
      </c>
      <c r="B16" s="1826">
        <v>45839</v>
      </c>
      <c r="C16" s="6903">
        <f>IF(Formula!DZ177&gt;0,Formula!DZ177,"")</f>
        <v>82300</v>
      </c>
      <c r="D16" s="6903" t="str">
        <f>IF(Formula!EA177&gt;0,Formula!EA177,"")</f>
        <v/>
      </c>
      <c r="E16" s="6903">
        <f>IF(Formula!EB177&gt;0,Formula!EB177,"")</f>
        <v>34566</v>
      </c>
      <c r="F16" s="6903">
        <f>IF(Formula!EC177&gt;0,Formula!EC177,"")</f>
        <v>7407</v>
      </c>
      <c r="G16" s="6903" t="str">
        <f>IF(Formula!ED177&gt;0,Formula!ED177,"")</f>
        <v/>
      </c>
      <c r="H16" s="6903" t="str">
        <f>IF(Formula!EE177&gt;0,Formula!EE177,"")</f>
        <v/>
      </c>
      <c r="I16" s="6903">
        <f>IF(Formula!EF177&gt;0,Formula!EF177,"")</f>
        <v>650</v>
      </c>
      <c r="J16" s="6903" t="str">
        <f>IF(Formula!EG177&gt;0,Formula!EG177,"")</f>
        <v/>
      </c>
      <c r="K16" s="6903" t="str">
        <f>IF(Formula!EH177&gt;0,Formula!EH177,"")</f>
        <v/>
      </c>
      <c r="L16" s="6903" t="str">
        <f>IF(Formula!EI177&gt;0,Formula!EI177,"")</f>
        <v/>
      </c>
      <c r="M16" s="6904">
        <f t="shared" si="1"/>
        <v>124923</v>
      </c>
      <c r="N16" s="6903">
        <f>IF(Formula!EK177&gt;0,Formula!EK177,"")</f>
        <v>6000</v>
      </c>
      <c r="O16" s="6903">
        <f>IF(Formula!EL177&gt;0,Formula!EL177,"")</f>
        <v>5000</v>
      </c>
      <c r="P16" s="6903">
        <f>IF(Formula!EM177&gt;0,Formula!EM177,"")</f>
        <v>120</v>
      </c>
      <c r="Q16" s="6903">
        <f>IF(Formula!EN177&gt;0,Formula!EN177,"")</f>
        <v>200</v>
      </c>
      <c r="R16" s="6903" t="str">
        <f>IF(Formula!EO177&gt;0,Formula!EO177,"")</f>
        <v/>
      </c>
      <c r="S16" s="6903" t="str">
        <f>IF(Formula!EP177&gt;0,Formula!EP177,"")</f>
        <v/>
      </c>
      <c r="T16" s="6903" t="str">
        <f>IF(Formula!EQ177&gt;0,Formula!EQ177,"")</f>
        <v/>
      </c>
      <c r="U16" s="6903">
        <f>IF(Formula!ER177&gt;0,Formula!ER177,"")</f>
        <v>20000</v>
      </c>
      <c r="V16" s="6903">
        <f t="shared" si="2"/>
        <v>31320</v>
      </c>
      <c r="W16" s="3249">
        <f t="shared" si="3"/>
        <v>93603</v>
      </c>
      <c r="X16" s="1205"/>
      <c r="Y16" s="3364" t="str">
        <f t="shared" si="4"/>
        <v/>
      </c>
      <c r="Z16" s="13"/>
      <c r="AA16" s="73"/>
      <c r="AB16" s="2442">
        <f t="shared" si="0"/>
        <v>124923</v>
      </c>
      <c r="AC16" s="2442">
        <f t="shared" si="5"/>
        <v>31320</v>
      </c>
      <c r="AD16" s="2442">
        <f t="shared" si="6"/>
        <v>93603</v>
      </c>
      <c r="AE16" s="63"/>
      <c r="AF16" s="78"/>
      <c r="AG16" s="79"/>
      <c r="AH16" s="54"/>
      <c r="AI16" s="54"/>
      <c r="AJ16" s="52"/>
      <c r="AK16" s="74"/>
      <c r="AL16" s="14"/>
      <c r="AM16" s="52"/>
      <c r="AN16" s="52"/>
      <c r="AO16" s="52"/>
      <c r="AP16" s="52"/>
      <c r="AQ16" s="52"/>
      <c r="AR16" s="52"/>
      <c r="AS16" s="52"/>
      <c r="AT16" s="52"/>
      <c r="CJ16" s="71"/>
      <c r="CK16" s="72"/>
    </row>
    <row r="17" spans="1:91" s="12" customFormat="1" ht="18" customHeight="1">
      <c r="A17" s="3266">
        <v>6</v>
      </c>
      <c r="B17" s="1826">
        <v>45870</v>
      </c>
      <c r="C17" s="6903">
        <f>IF(Formula!DZ178&gt;0,Formula!DZ178,"")</f>
        <v>82300</v>
      </c>
      <c r="D17" s="6903" t="str">
        <f>IF(Formula!EA178&gt;0,Formula!EA178,"")</f>
        <v/>
      </c>
      <c r="E17" s="6903">
        <f>IF(Formula!EB178&gt;0,Formula!EB178,"")</f>
        <v>34566</v>
      </c>
      <c r="F17" s="6903">
        <f>IF(Formula!EC178&gt;0,Formula!EC178,"")</f>
        <v>7407</v>
      </c>
      <c r="G17" s="6903" t="str">
        <f>IF(Formula!ED178&gt;0,Formula!ED178,"")</f>
        <v/>
      </c>
      <c r="H17" s="6903" t="str">
        <f>IF(Formula!EE178&gt;0,Formula!EE178,"")</f>
        <v/>
      </c>
      <c r="I17" s="6903">
        <f>IF(Formula!EF178&gt;0,Formula!EF178,"")</f>
        <v>650</v>
      </c>
      <c r="J17" s="6903" t="str">
        <f>IF(Formula!EG178&gt;0,Formula!EG178,"")</f>
        <v/>
      </c>
      <c r="K17" s="6903" t="str">
        <f>IF(Formula!EH178&gt;0,Formula!EH178,"")</f>
        <v/>
      </c>
      <c r="L17" s="6903" t="str">
        <f>IF(Formula!EI178&gt;0,Formula!EI178,"")</f>
        <v/>
      </c>
      <c r="M17" s="6904">
        <f t="shared" si="1"/>
        <v>124923</v>
      </c>
      <c r="N17" s="6903">
        <f>IF(Formula!EK178&gt;0,Formula!EK178,"")</f>
        <v>6000</v>
      </c>
      <c r="O17" s="6903">
        <f>IF(Formula!EL178&gt;0,Formula!EL178,"")</f>
        <v>5000</v>
      </c>
      <c r="P17" s="6903">
        <f>IF(Formula!EM178&gt;0,Formula!EM178,"")</f>
        <v>120</v>
      </c>
      <c r="Q17" s="6903">
        <f>IF(Formula!EN178&gt;0,Formula!EN178,"")</f>
        <v>200</v>
      </c>
      <c r="R17" s="6903" t="str">
        <f>IF(Formula!EO178&gt;0,Formula!EO178,"")</f>
        <v/>
      </c>
      <c r="S17" s="6903" t="str">
        <f>IF(Formula!EP178&gt;0,Formula!EP178,"")</f>
        <v/>
      </c>
      <c r="T17" s="6903" t="str">
        <f>IF(Formula!EQ178&gt;0,Formula!EQ178,"")</f>
        <v/>
      </c>
      <c r="U17" s="6903">
        <f>IF(Formula!ER178&gt;0,Formula!ER178,"")</f>
        <v>20000</v>
      </c>
      <c r="V17" s="6903">
        <f t="shared" si="2"/>
        <v>31320</v>
      </c>
      <c r="W17" s="3249">
        <f t="shared" si="3"/>
        <v>93603</v>
      </c>
      <c r="X17" s="1205"/>
      <c r="Y17" s="3364" t="str">
        <f t="shared" si="4"/>
        <v/>
      </c>
      <c r="Z17" s="13"/>
      <c r="AA17" s="73"/>
      <c r="AB17" s="2442">
        <f t="shared" si="0"/>
        <v>124923</v>
      </c>
      <c r="AC17" s="2442">
        <f t="shared" si="5"/>
        <v>31320</v>
      </c>
      <c r="AD17" s="2442">
        <f t="shared" si="6"/>
        <v>93603</v>
      </c>
      <c r="AE17" s="63"/>
      <c r="AF17" s="78"/>
      <c r="AG17" s="79"/>
      <c r="AH17" s="54"/>
      <c r="AI17" s="54"/>
      <c r="AJ17" s="52"/>
      <c r="AK17" s="74"/>
      <c r="AL17" s="14"/>
      <c r="AM17" s="52"/>
      <c r="AN17" s="52"/>
      <c r="AO17" s="52"/>
      <c r="AP17" s="52"/>
      <c r="AQ17" s="52"/>
      <c r="AR17" s="52"/>
      <c r="AS17" s="52"/>
      <c r="AT17" s="52"/>
      <c r="CJ17" s="71"/>
      <c r="CK17" s="72"/>
    </row>
    <row r="18" spans="1:91" s="12" customFormat="1" ht="18" customHeight="1">
      <c r="A18" s="3266">
        <v>7</v>
      </c>
      <c r="B18" s="1826">
        <v>45901</v>
      </c>
      <c r="C18" s="6903">
        <f>IF(Formula!DZ179&gt;0,Formula!DZ179,"")</f>
        <v>82300</v>
      </c>
      <c r="D18" s="6903" t="str">
        <f>IF(Formula!EA179&gt;0,Formula!EA179,"")</f>
        <v/>
      </c>
      <c r="E18" s="6903">
        <f>IF(Formula!EB179&gt;0,Formula!EB179,"")</f>
        <v>34566</v>
      </c>
      <c r="F18" s="6903">
        <f>IF(Formula!EC179&gt;0,Formula!EC179,"")</f>
        <v>7407</v>
      </c>
      <c r="G18" s="6903" t="str">
        <f>IF(Formula!ED179&gt;0,Formula!ED179,"")</f>
        <v/>
      </c>
      <c r="H18" s="6903" t="str">
        <f>IF(Formula!EE179&gt;0,Formula!EE179,"")</f>
        <v/>
      </c>
      <c r="I18" s="6903">
        <f>IF(Formula!EF179&gt;0,Formula!EF179,"")</f>
        <v>650</v>
      </c>
      <c r="J18" s="6903" t="str">
        <f>IF(Formula!EG179&gt;0,Formula!EG179,"")</f>
        <v/>
      </c>
      <c r="K18" s="6903" t="str">
        <f>IF(Formula!EH179&gt;0,Formula!EH179,"")</f>
        <v/>
      </c>
      <c r="L18" s="6903" t="str">
        <f>IF(Formula!EI179&gt;0,Formula!EI179,"")</f>
        <v/>
      </c>
      <c r="M18" s="6904">
        <f t="shared" si="1"/>
        <v>124923</v>
      </c>
      <c r="N18" s="6903">
        <f>IF(Formula!EK179&gt;0,Formula!EK179,"")</f>
        <v>6000</v>
      </c>
      <c r="O18" s="6903">
        <f>IF(Formula!EL179&gt;0,Formula!EL179,"")</f>
        <v>5000</v>
      </c>
      <c r="P18" s="6903">
        <f>IF(Formula!EM179&gt;0,Formula!EM179,"")</f>
        <v>120</v>
      </c>
      <c r="Q18" s="6903">
        <f>IF(Formula!EN179&gt;0,Formula!EN179,"")</f>
        <v>200</v>
      </c>
      <c r="R18" s="6903" t="str">
        <f>IF(Formula!EO179&gt;0,Formula!EO179,"")</f>
        <v/>
      </c>
      <c r="S18" s="6903" t="str">
        <f>IF(Formula!EP179&gt;0,Formula!EP179,"")</f>
        <v/>
      </c>
      <c r="T18" s="6903" t="str">
        <f>IF(Formula!EQ179&gt;0,Formula!EQ179,"")</f>
        <v/>
      </c>
      <c r="U18" s="6903">
        <f>IF(Formula!ER179&gt;0,Formula!ER179,"")</f>
        <v>20000</v>
      </c>
      <c r="V18" s="6903">
        <f t="shared" si="2"/>
        <v>31320</v>
      </c>
      <c r="W18" s="3249">
        <f t="shared" si="3"/>
        <v>93603</v>
      </c>
      <c r="X18" s="1206"/>
      <c r="Y18" s="3364" t="str">
        <f t="shared" si="4"/>
        <v/>
      </c>
      <c r="Z18" s="13"/>
      <c r="AA18" s="73"/>
      <c r="AB18" s="2442">
        <f t="shared" si="0"/>
        <v>124923</v>
      </c>
      <c r="AC18" s="2442">
        <f t="shared" si="5"/>
        <v>31320</v>
      </c>
      <c r="AD18" s="2442">
        <f t="shared" si="6"/>
        <v>93603</v>
      </c>
      <c r="AE18" s="63"/>
      <c r="AF18" s="78"/>
      <c r="AG18" s="79"/>
      <c r="AH18" s="54"/>
      <c r="AI18" s="54"/>
      <c r="AJ18" s="52"/>
      <c r="AK18" s="74"/>
      <c r="AL18" s="14"/>
      <c r="AM18" s="52"/>
      <c r="AN18" s="52"/>
      <c r="AO18" s="52"/>
      <c r="AP18" s="52"/>
      <c r="AQ18" s="52"/>
      <c r="AR18" s="52"/>
      <c r="AS18" s="52"/>
      <c r="AT18" s="52"/>
      <c r="CJ18" s="71"/>
      <c r="CK18" s="72"/>
    </row>
    <row r="19" spans="1:91" s="12" customFormat="1" ht="18" customHeight="1">
      <c r="A19" s="3266">
        <v>8</v>
      </c>
      <c r="B19" s="1826">
        <v>45931</v>
      </c>
      <c r="C19" s="6903">
        <f>IF(Formula!DZ180&gt;0,Formula!DZ180,"")</f>
        <v>82300</v>
      </c>
      <c r="D19" s="6903" t="str">
        <f>IF(Formula!EA180&gt;0,Formula!EA180,"")</f>
        <v/>
      </c>
      <c r="E19" s="6903">
        <f>IF(Formula!EB180&gt;0,Formula!EB180,"")</f>
        <v>34566</v>
      </c>
      <c r="F19" s="6903">
        <f>IF(Formula!EC180&gt;0,Formula!EC180,"")</f>
        <v>7407</v>
      </c>
      <c r="G19" s="6903" t="str">
        <f>IF(Formula!ED180&gt;0,Formula!ED180,"")</f>
        <v/>
      </c>
      <c r="H19" s="6903" t="str">
        <f>IF(Formula!EE180&gt;0,Formula!EE180,"")</f>
        <v/>
      </c>
      <c r="I19" s="6903">
        <f>IF(Formula!EF180&gt;0,Formula!EF180,"")</f>
        <v>650</v>
      </c>
      <c r="J19" s="6903" t="str">
        <f>IF(Formula!EG180&gt;0,Formula!EG180,"")</f>
        <v/>
      </c>
      <c r="K19" s="6903" t="str">
        <f>IF(Formula!EH180&gt;0,Formula!EH180,"")</f>
        <v/>
      </c>
      <c r="L19" s="6903" t="str">
        <f>IF(Formula!EI180&gt;0,Formula!EI180,"")</f>
        <v/>
      </c>
      <c r="M19" s="6904">
        <f t="shared" si="1"/>
        <v>124923</v>
      </c>
      <c r="N19" s="6903">
        <f>IF(Formula!EK180&gt;0,Formula!EK180,"")</f>
        <v>6000</v>
      </c>
      <c r="O19" s="6903">
        <f>IF(Formula!EL180&gt;0,Formula!EL180,"")</f>
        <v>5000</v>
      </c>
      <c r="P19" s="6903">
        <f>IF(Formula!EM180&gt;0,Formula!EM180,"")</f>
        <v>120</v>
      </c>
      <c r="Q19" s="6903">
        <f>IF(Formula!EN180&gt;0,Formula!EN180,"")</f>
        <v>200</v>
      </c>
      <c r="R19" s="6903" t="str">
        <f>IF(Formula!EO180&gt;0,Formula!EO180,"")</f>
        <v/>
      </c>
      <c r="S19" s="6903" t="str">
        <f>IF(Formula!EP180&gt;0,Formula!EP180,"")</f>
        <v/>
      </c>
      <c r="T19" s="6903" t="str">
        <f>IF(Formula!EQ180&gt;0,Formula!EQ180,"")</f>
        <v/>
      </c>
      <c r="U19" s="6903">
        <f>IF(Formula!ER180&gt;0,Formula!ER180,"")</f>
        <v>20000</v>
      </c>
      <c r="V19" s="6903">
        <f t="shared" si="2"/>
        <v>31320</v>
      </c>
      <c r="W19" s="3249">
        <f t="shared" si="3"/>
        <v>93603</v>
      </c>
      <c r="X19" s="1206"/>
      <c r="Y19" s="3364" t="str">
        <f t="shared" si="4"/>
        <v/>
      </c>
      <c r="Z19" s="13"/>
      <c r="AA19" s="73"/>
      <c r="AB19" s="2442">
        <f t="shared" si="0"/>
        <v>124923</v>
      </c>
      <c r="AC19" s="2442">
        <f t="shared" si="5"/>
        <v>31320</v>
      </c>
      <c r="AD19" s="2442">
        <f t="shared" si="6"/>
        <v>93603</v>
      </c>
      <c r="AE19" s="63"/>
      <c r="AF19" s="5199"/>
      <c r="AG19" s="5199"/>
      <c r="AH19" s="5199"/>
      <c r="AI19" s="318"/>
      <c r="AJ19" s="52"/>
      <c r="AK19" s="74"/>
      <c r="AL19" s="14"/>
      <c r="AM19" s="52"/>
      <c r="AN19" s="52"/>
      <c r="AO19" s="52"/>
      <c r="AP19" s="52"/>
      <c r="AQ19" s="52"/>
      <c r="AR19" s="52"/>
      <c r="AS19" s="52"/>
      <c r="AT19" s="52"/>
      <c r="CJ19" s="71"/>
      <c r="CK19" s="72"/>
    </row>
    <row r="20" spans="1:91" s="12" customFormat="1" ht="18" customHeight="1">
      <c r="A20" s="3266">
        <v>9</v>
      </c>
      <c r="B20" s="1826">
        <v>45962</v>
      </c>
      <c r="C20" s="6903">
        <f>IF(Formula!DZ181&gt;0,Formula!DZ181,"")</f>
        <v>82300</v>
      </c>
      <c r="D20" s="6903" t="str">
        <f>IF(Formula!EA181&gt;0,Formula!EA181,"")</f>
        <v/>
      </c>
      <c r="E20" s="6903">
        <f>IF(Formula!EB181&gt;0,Formula!EB181,"")</f>
        <v>34566</v>
      </c>
      <c r="F20" s="6903">
        <f>IF(Formula!EC181&gt;0,Formula!EC181,"")</f>
        <v>7407</v>
      </c>
      <c r="G20" s="6903" t="str">
        <f>IF(Formula!ED181&gt;0,Formula!ED181,"")</f>
        <v/>
      </c>
      <c r="H20" s="6903" t="str">
        <f>IF(Formula!EE181&gt;0,Formula!EE181,"")</f>
        <v/>
      </c>
      <c r="I20" s="6903">
        <f>IF(Formula!EF181&gt;0,Formula!EF181,"")</f>
        <v>650</v>
      </c>
      <c r="J20" s="6903" t="str">
        <f>IF(Formula!EG181&gt;0,Formula!EG181,"")</f>
        <v/>
      </c>
      <c r="K20" s="6903" t="str">
        <f>IF(Formula!EH181&gt;0,Formula!EH181,"")</f>
        <v/>
      </c>
      <c r="L20" s="6903" t="str">
        <f>IF(Formula!EI181&gt;0,Formula!EI181,"")</f>
        <v/>
      </c>
      <c r="M20" s="6904">
        <f t="shared" si="1"/>
        <v>124923</v>
      </c>
      <c r="N20" s="6903">
        <f>IF(Formula!EK181&gt;0,Formula!EK181,"")</f>
        <v>6000</v>
      </c>
      <c r="O20" s="6903">
        <f>IF(Formula!EL181&gt;0,Formula!EL181,"")</f>
        <v>5000</v>
      </c>
      <c r="P20" s="6903">
        <f>IF(Formula!EM181&gt;0,Formula!EM181,"")</f>
        <v>120</v>
      </c>
      <c r="Q20" s="6903">
        <f>IF(Formula!EN181&gt;0,Formula!EN181,"")</f>
        <v>200</v>
      </c>
      <c r="R20" s="6903" t="str">
        <f>IF(Formula!EO181&gt;0,Formula!EO181,"")</f>
        <v/>
      </c>
      <c r="S20" s="6903" t="str">
        <f>IF(Formula!EP181&gt;0,Formula!EP181,"")</f>
        <v/>
      </c>
      <c r="T20" s="6903" t="str">
        <f>IF(Formula!EQ181&gt;0,Formula!EQ181,"")</f>
        <v/>
      </c>
      <c r="U20" s="6903">
        <f>IF(Formula!ER181&gt;0,Formula!ER181,"")</f>
        <v>20000</v>
      </c>
      <c r="V20" s="6903">
        <f t="shared" si="2"/>
        <v>31320</v>
      </c>
      <c r="W20" s="3249">
        <f t="shared" si="3"/>
        <v>93603</v>
      </c>
      <c r="X20" s="1205"/>
      <c r="Y20" s="3364" t="str">
        <f t="shared" si="4"/>
        <v/>
      </c>
      <c r="Z20" s="13"/>
      <c r="AA20" s="73"/>
      <c r="AB20" s="2442">
        <f t="shared" si="0"/>
        <v>124923</v>
      </c>
      <c r="AC20" s="2442">
        <f t="shared" si="5"/>
        <v>31320</v>
      </c>
      <c r="AD20" s="2442">
        <f t="shared" si="6"/>
        <v>93603</v>
      </c>
      <c r="AE20" s="63"/>
      <c r="AF20" s="78"/>
      <c r="AG20" s="79"/>
      <c r="AH20" s="54"/>
      <c r="AI20" s="54"/>
      <c r="AJ20" s="52"/>
      <c r="AK20" s="74"/>
      <c r="AL20" s="14"/>
      <c r="AM20" s="52"/>
      <c r="AN20" s="52"/>
      <c r="AO20" s="52"/>
      <c r="AP20" s="52"/>
      <c r="AQ20" s="52"/>
      <c r="AR20" s="52"/>
      <c r="AS20" s="52"/>
      <c r="AT20" s="52"/>
      <c r="CJ20" s="71"/>
      <c r="CK20" s="72"/>
    </row>
    <row r="21" spans="1:91" s="12" customFormat="1" ht="18" customHeight="1">
      <c r="A21" s="3266">
        <v>10</v>
      </c>
      <c r="B21" s="1826">
        <v>45992</v>
      </c>
      <c r="C21" s="6903">
        <f>IF(Formula!DZ182&gt;0,Formula!DZ182,"")</f>
        <v>82300</v>
      </c>
      <c r="D21" s="6903" t="str">
        <f>IF(Formula!EA182&gt;0,Formula!EA182,"")</f>
        <v/>
      </c>
      <c r="E21" s="6903">
        <f>IF(Formula!EB182&gt;0,Formula!EB182,"")</f>
        <v>34566</v>
      </c>
      <c r="F21" s="6903">
        <f>IF(Formula!EC182&gt;0,Formula!EC182,"")</f>
        <v>7407</v>
      </c>
      <c r="G21" s="6903" t="str">
        <f>IF(Formula!ED182&gt;0,Formula!ED182,"")</f>
        <v/>
      </c>
      <c r="H21" s="6903" t="str">
        <f>IF(Formula!EE182&gt;0,Formula!EE182,"")</f>
        <v/>
      </c>
      <c r="I21" s="6903">
        <f>IF(Formula!EF182&gt;0,Formula!EF182,"")</f>
        <v>650</v>
      </c>
      <c r="J21" s="6903" t="str">
        <f>IF(Formula!EG182&gt;0,Formula!EG182,"")</f>
        <v/>
      </c>
      <c r="K21" s="6903" t="str">
        <f>IF(Formula!EH182&gt;0,Formula!EH182,"")</f>
        <v/>
      </c>
      <c r="L21" s="6903" t="str">
        <f>IF(Formula!EI182&gt;0,Formula!EI182,"")</f>
        <v/>
      </c>
      <c r="M21" s="6904">
        <f t="shared" si="1"/>
        <v>124923</v>
      </c>
      <c r="N21" s="6903">
        <f>IF(Formula!EK182&gt;0,Formula!EK182,"")</f>
        <v>6000</v>
      </c>
      <c r="O21" s="6903">
        <f>IF(Formula!EL182&gt;0,Formula!EL182,"")</f>
        <v>5000</v>
      </c>
      <c r="P21" s="6903">
        <f>IF(Formula!EM182&gt;0,Formula!EM182,"")</f>
        <v>120</v>
      </c>
      <c r="Q21" s="6903">
        <f>IF(Formula!EN182&gt;0,Formula!EN182,"")</f>
        <v>200</v>
      </c>
      <c r="R21" s="6903">
        <f>IF(Formula!EO182&gt;0,Formula!EO182,"")</f>
        <v>200</v>
      </c>
      <c r="S21" s="6903" t="str">
        <f>IF(Formula!EP182&gt;0,Formula!EP182,"")</f>
        <v/>
      </c>
      <c r="T21" s="6903" t="str">
        <f>IF(Formula!EQ182&gt;0,Formula!EQ182,"")</f>
        <v/>
      </c>
      <c r="U21" s="6903">
        <f>IF(Formula!ER182&gt;0,Formula!ER182,"")</f>
        <v>14000</v>
      </c>
      <c r="V21" s="6903">
        <f t="shared" si="2"/>
        <v>25520</v>
      </c>
      <c r="W21" s="3249">
        <f t="shared" si="3"/>
        <v>99403</v>
      </c>
      <c r="X21" s="1205"/>
      <c r="Y21" s="3364" t="str">
        <f t="shared" si="4"/>
        <v/>
      </c>
      <c r="Z21" s="13"/>
      <c r="AA21" s="73"/>
      <c r="AB21" s="2442">
        <f t="shared" si="0"/>
        <v>124923</v>
      </c>
      <c r="AC21" s="2442">
        <f t="shared" si="5"/>
        <v>25520</v>
      </c>
      <c r="AD21" s="2442">
        <f t="shared" si="6"/>
        <v>99403</v>
      </c>
      <c r="AE21" s="63"/>
      <c r="AF21" s="54"/>
      <c r="AG21" s="671">
        <v>1</v>
      </c>
      <c r="AH21" s="5182" t="s">
        <v>1464</v>
      </c>
      <c r="AI21" s="5182"/>
      <c r="AJ21" s="5182"/>
      <c r="AK21" s="673">
        <f>SUM(R41+S41+T41)</f>
        <v>550</v>
      </c>
      <c r="AL21" s="14"/>
      <c r="AM21" s="52"/>
      <c r="AN21" s="52"/>
      <c r="AO21" s="52"/>
      <c r="AP21" s="52"/>
      <c r="AQ21" s="52"/>
      <c r="AR21" s="52"/>
      <c r="AS21" s="52"/>
      <c r="AT21" s="52"/>
      <c r="CJ21" s="71"/>
      <c r="CK21" s="72"/>
    </row>
    <row r="22" spans="1:91" s="12" customFormat="1" ht="18" customHeight="1">
      <c r="A22" s="3266">
        <v>11</v>
      </c>
      <c r="B22" s="1826">
        <v>46023</v>
      </c>
      <c r="C22" s="6903">
        <f>IF(Formula!DZ183&gt;0,Formula!DZ183,"")</f>
        <v>84800</v>
      </c>
      <c r="D22" s="6903" t="str">
        <f>IF(Formula!EA183&gt;0,Formula!EA183,"")</f>
        <v/>
      </c>
      <c r="E22" s="6903">
        <f>IF(Formula!EB183&gt;0,Formula!EB183,"")</f>
        <v>39008</v>
      </c>
      <c r="F22" s="6903">
        <f>IF(Formula!EC183&gt;0,Formula!EC183,"")</f>
        <v>7632</v>
      </c>
      <c r="G22" s="6903" t="str">
        <f>IF(Formula!ED183&gt;0,Formula!ED183,"")</f>
        <v/>
      </c>
      <c r="H22" s="6903" t="str">
        <f>IF(Formula!EE183&gt;0,Formula!EE183,"")</f>
        <v/>
      </c>
      <c r="I22" s="6903">
        <f>IF(Formula!EF183&gt;0,Formula!EF183,"")</f>
        <v>650</v>
      </c>
      <c r="J22" s="6903" t="str">
        <f>IF(Formula!EG183&gt;0,Formula!EG183,"")</f>
        <v/>
      </c>
      <c r="K22" s="6903" t="str">
        <f>IF(Formula!EH183&gt;0,Formula!EH183,"")</f>
        <v/>
      </c>
      <c r="L22" s="6903" t="str">
        <f>IF(Formula!EI183&gt;0,Formula!EI183,"")</f>
        <v/>
      </c>
      <c r="M22" s="6904">
        <f t="shared" si="1"/>
        <v>132090</v>
      </c>
      <c r="N22" s="6903">
        <f>IF(Formula!EK183&gt;0,Formula!EK183,"")</f>
        <v>6000</v>
      </c>
      <c r="O22" s="6903">
        <f>IF(Formula!EL183&gt;0,Formula!EL183,"")</f>
        <v>5000</v>
      </c>
      <c r="P22" s="6903">
        <f>IF(Formula!EM183&gt;0,Formula!EM183,"")</f>
        <v>120</v>
      </c>
      <c r="Q22" s="6903">
        <f>IF(Formula!EN183&gt;0,Formula!EN183,"")</f>
        <v>200</v>
      </c>
      <c r="R22" s="6903" t="str">
        <f>IF(Formula!EO183&gt;0,Formula!EO183,"")</f>
        <v/>
      </c>
      <c r="S22" s="6903" t="str">
        <f>IF(Formula!EP183&gt;0,Formula!EP183,"")</f>
        <v/>
      </c>
      <c r="T22" s="6903" t="str">
        <f>IF(Formula!EQ183&gt;0,Formula!EQ183,"")</f>
        <v/>
      </c>
      <c r="U22" s="6903" t="str">
        <f>IF(Formula!ER183&gt;0,Formula!ER183,"")</f>
        <v/>
      </c>
      <c r="V22" s="6903">
        <f t="shared" si="2"/>
        <v>11320</v>
      </c>
      <c r="W22" s="3249">
        <f t="shared" si="3"/>
        <v>120770</v>
      </c>
      <c r="X22" s="1206"/>
      <c r="Y22" s="3364" t="str">
        <f t="shared" si="4"/>
        <v/>
      </c>
      <c r="Z22" s="13"/>
      <c r="AA22" s="73"/>
      <c r="AB22" s="2442">
        <f t="shared" si="0"/>
        <v>132090</v>
      </c>
      <c r="AC22" s="2442">
        <f t="shared" si="5"/>
        <v>11320</v>
      </c>
      <c r="AD22" s="2442">
        <f t="shared" si="6"/>
        <v>120770</v>
      </c>
      <c r="AE22" s="63"/>
      <c r="AF22" s="54"/>
      <c r="AG22" s="671"/>
      <c r="AH22" s="5183"/>
      <c r="AI22" s="5184"/>
      <c r="AJ22" s="5185"/>
      <c r="AK22" s="674"/>
      <c r="AL22" s="14"/>
      <c r="AM22" s="52"/>
      <c r="AN22" s="52"/>
      <c r="AO22" s="52"/>
      <c r="AP22" s="52"/>
      <c r="AQ22" s="52"/>
      <c r="AR22" s="52"/>
      <c r="AS22" s="52"/>
      <c r="AT22" s="52"/>
      <c r="CJ22" s="71"/>
      <c r="CK22" s="72"/>
    </row>
    <row r="23" spans="1:91" s="12" customFormat="1" ht="18" customHeight="1">
      <c r="A23" s="3266">
        <v>12</v>
      </c>
      <c r="B23" s="1826">
        <v>46054</v>
      </c>
      <c r="C23" s="6903">
        <f>IF(Formula!DZ184&gt;0,Formula!DZ184,"")</f>
        <v>84800</v>
      </c>
      <c r="D23" s="6903" t="str">
        <f>IF(Formula!EA184&gt;0,Formula!EA184,"")</f>
        <v/>
      </c>
      <c r="E23" s="6903">
        <f>IF(Formula!EB184&gt;0,Formula!EB184,"")</f>
        <v>39008</v>
      </c>
      <c r="F23" s="6903">
        <f>IF(Formula!EC184&gt;0,Formula!EC184,"")</f>
        <v>7632</v>
      </c>
      <c r="G23" s="6903" t="str">
        <f>IF(Formula!ED184&gt;0,Formula!ED184,"")</f>
        <v/>
      </c>
      <c r="H23" s="6903" t="str">
        <f>IF(Formula!EE184&gt;0,Formula!EE184,"")</f>
        <v/>
      </c>
      <c r="I23" s="6903">
        <f>IF(Formula!EF184&gt;0,Formula!EF184,"")</f>
        <v>650</v>
      </c>
      <c r="J23" s="6903" t="str">
        <f>IF(Formula!EG184&gt;0,Formula!EG184,"")</f>
        <v/>
      </c>
      <c r="K23" s="6903" t="str">
        <f>IF(Formula!EH184&gt;0,Formula!EH184,"")</f>
        <v/>
      </c>
      <c r="L23" s="6903" t="str">
        <f>IF(Formula!EI184&gt;0,Formula!EI184,"")</f>
        <v/>
      </c>
      <c r="M23" s="6904">
        <f t="shared" si="1"/>
        <v>132090</v>
      </c>
      <c r="N23" s="6903">
        <f>IF(Formula!EK184&gt;0,Formula!EK184,"")</f>
        <v>6000</v>
      </c>
      <c r="O23" s="6903">
        <f>IF(Formula!EL184&gt;0,Formula!EL184,"")</f>
        <v>5000</v>
      </c>
      <c r="P23" s="6903">
        <f>IF(Formula!EM184&gt;0,Formula!EM184,"")</f>
        <v>120</v>
      </c>
      <c r="Q23" s="6903">
        <f>IF(Formula!EN184&gt;0,Formula!EN184,"")</f>
        <v>200</v>
      </c>
      <c r="R23" s="6903" t="str">
        <f>IF(Formula!EO184&gt;0,Formula!EO184,"")</f>
        <v/>
      </c>
      <c r="S23" s="6903" t="str">
        <f>IF(Formula!EP184&gt;0,Formula!EP184,"")</f>
        <v/>
      </c>
      <c r="T23" s="6903" t="str">
        <f>IF(Formula!EQ184&gt;0,Formula!EQ184,"")</f>
        <v/>
      </c>
      <c r="U23" s="6903" t="str">
        <f>IF(Formula!ER184&gt;0,Formula!ER184,"")</f>
        <v/>
      </c>
      <c r="V23" s="6903">
        <f t="shared" si="2"/>
        <v>11320</v>
      </c>
      <c r="W23" s="3249">
        <f t="shared" si="3"/>
        <v>120770</v>
      </c>
      <c r="X23" s="1206"/>
      <c r="Y23" s="3364" t="str">
        <f t="shared" si="4"/>
        <v/>
      </c>
      <c r="Z23" s="13"/>
      <c r="AA23" s="73"/>
      <c r="AB23" s="2442">
        <f t="shared" si="0"/>
        <v>132090</v>
      </c>
      <c r="AC23" s="2442">
        <f t="shared" si="5"/>
        <v>11320</v>
      </c>
      <c r="AD23" s="2442">
        <f t="shared" si="6"/>
        <v>120770</v>
      </c>
      <c r="AE23" s="63"/>
      <c r="AF23" s="54"/>
      <c r="AG23" s="671">
        <v>2</v>
      </c>
      <c r="AH23" s="5182" t="str">
        <f>N11</f>
        <v>GPF</v>
      </c>
      <c r="AI23" s="5182"/>
      <c r="AJ23" s="5182"/>
      <c r="AK23" s="673">
        <f>N41</f>
        <v>72000</v>
      </c>
      <c r="AL23" s="14"/>
      <c r="AM23" s="52"/>
      <c r="AN23" s="52"/>
      <c r="AO23" s="52"/>
      <c r="AP23" s="52"/>
      <c r="AQ23" s="52"/>
      <c r="AR23" s="52"/>
      <c r="AS23" s="52"/>
      <c r="AT23" s="52"/>
      <c r="CJ23" s="81"/>
      <c r="CK23" s="82"/>
    </row>
    <row r="24" spans="1:91" s="12" customFormat="1" ht="27.95" customHeight="1">
      <c r="A24" s="3266">
        <v>13</v>
      </c>
      <c r="B24" s="6912" t="str">
        <f>IF(Formula!BG8=2,Formula!DY185,"")</f>
        <v/>
      </c>
      <c r="C24" s="6905" t="str">
        <f>IF(AND(Formula!BG8=2,'Data Sheet-II'!X17&gt;0),'Data Sheet-II'!X17,"")</f>
        <v/>
      </c>
      <c r="D24" s="6905"/>
      <c r="E24" s="6905" t="str">
        <f>IF(AND(Formula!BG8=2,'Data Sheet-II'!Y17&gt;0),'Data Sheet-II'!Y17,"")</f>
        <v/>
      </c>
      <c r="F24" s="6905" t="str">
        <f>IF(AND(Formula!BG8=2,'Data Sheet-II'!Z17&gt;0),'Data Sheet-II'!Z17,"")</f>
        <v/>
      </c>
      <c r="G24" s="6905"/>
      <c r="H24" s="6905"/>
      <c r="I24" s="6905"/>
      <c r="J24" s="6905"/>
      <c r="K24" s="6905"/>
      <c r="L24" s="6905"/>
      <c r="M24" s="6906" t="str">
        <f t="shared" si="1"/>
        <v/>
      </c>
      <c r="N24" s="6905" t="str">
        <f>IF(AND(Formula!BG8=2,Formula!GE3=2,'Data Sheet-II'!AB17&gt;0),'Data Sheet-II'!AB17,"")</f>
        <v/>
      </c>
      <c r="O24" s="6905" t="str">
        <f>IF(Formula!EL185&gt;0,Formula!EL185,"")</f>
        <v/>
      </c>
      <c r="P24" s="6905"/>
      <c r="Q24" s="6905"/>
      <c r="R24" s="6905"/>
      <c r="S24" s="6905"/>
      <c r="T24" s="6905"/>
      <c r="U24" s="6905"/>
      <c r="V24" s="6903" t="str">
        <f t="shared" si="2"/>
        <v/>
      </c>
      <c r="W24" s="3291" t="str">
        <f t="shared" si="3"/>
        <v/>
      </c>
      <c r="X24" s="1205"/>
      <c r="Y24" s="3364">
        <f t="shared" si="4"/>
        <v>1</v>
      </c>
      <c r="Z24" s="13"/>
      <c r="AA24" s="73"/>
      <c r="AB24" s="2442">
        <f t="shared" si="0"/>
        <v>0</v>
      </c>
      <c r="AC24" s="2442">
        <f t="shared" si="5"/>
        <v>0</v>
      </c>
      <c r="AD24" s="2442">
        <f t="shared" si="6"/>
        <v>0</v>
      </c>
      <c r="AE24" s="63"/>
      <c r="AF24" s="54"/>
      <c r="AG24" s="671"/>
      <c r="AH24" s="5183"/>
      <c r="AI24" s="5184"/>
      <c r="AJ24" s="5185"/>
      <c r="AK24" s="674"/>
      <c r="AL24" s="14"/>
      <c r="AM24" s="52"/>
      <c r="AN24" s="52"/>
      <c r="AO24" s="52"/>
      <c r="AP24" s="52"/>
      <c r="AQ24" s="52"/>
      <c r="AR24" s="52"/>
      <c r="AS24" s="52"/>
      <c r="AT24" s="52"/>
    </row>
    <row r="25" spans="1:91" ht="27.95" customHeight="1">
      <c r="A25" s="3266">
        <v>14</v>
      </c>
      <c r="B25" s="6913" t="str">
        <f>IF(Formula!DY186="","",Formula!DY186)</f>
        <v/>
      </c>
      <c r="C25" s="6905" t="str">
        <f>IF(AND(Formula!BW2=2,'Data Sheet-II'!X29&gt;0),'Data Sheet-II'!X29,"")</f>
        <v/>
      </c>
      <c r="D25" s="6905"/>
      <c r="E25" s="6905" t="str">
        <f>IF(AND(Formula!BW2=2,'Data Sheet-II'!Y29&gt;0),'Data Sheet-II'!Y29,"")</f>
        <v/>
      </c>
      <c r="F25" s="6905" t="str">
        <f>IF(AND(Formula!BW2=2,'Data Sheet-II'!Z29&gt;0),'Data Sheet-II'!Z29,"")</f>
        <v/>
      </c>
      <c r="G25" s="6905"/>
      <c r="H25" s="6905"/>
      <c r="I25" s="6905"/>
      <c r="J25" s="6905"/>
      <c r="K25" s="6905"/>
      <c r="L25" s="6905"/>
      <c r="M25" s="6906" t="str">
        <f t="shared" si="1"/>
        <v/>
      </c>
      <c r="N25" s="6905" t="str">
        <f>IF(AND(Formula!BW2=2,Formula!GE3=2,'Data Sheet-II'!AB29&gt;0),'Data Sheet-II'!AB29,"")</f>
        <v/>
      </c>
      <c r="O25" s="6905"/>
      <c r="P25" s="6905"/>
      <c r="Q25" s="6905"/>
      <c r="R25" s="6907"/>
      <c r="S25" s="6905"/>
      <c r="T25" s="6905"/>
      <c r="U25" s="6905" t="str">
        <f>IF(AND(Formula!BW2=2,'Data Sheet-II'!X30&gt;0),'Data Sheet-II'!X30,"")</f>
        <v/>
      </c>
      <c r="V25" s="6903" t="str">
        <f t="shared" si="2"/>
        <v/>
      </c>
      <c r="W25" s="3291" t="str">
        <f t="shared" si="3"/>
        <v/>
      </c>
      <c r="X25" s="1205"/>
      <c r="Y25" s="3364">
        <f t="shared" si="4"/>
        <v>1</v>
      </c>
      <c r="AA25" s="73"/>
      <c r="AB25" s="2442">
        <f t="shared" si="0"/>
        <v>0</v>
      </c>
      <c r="AC25" s="2442">
        <f t="shared" si="5"/>
        <v>0</v>
      </c>
      <c r="AD25" s="2442">
        <f t="shared" si="6"/>
        <v>0</v>
      </c>
      <c r="AE25" s="63"/>
      <c r="AF25" s="54"/>
      <c r="AG25" s="671">
        <v>3</v>
      </c>
      <c r="AH25" s="5182" t="s">
        <v>671</v>
      </c>
      <c r="AI25" s="5182"/>
      <c r="AJ25" s="5182"/>
      <c r="AK25" s="673">
        <f>O41</f>
        <v>60000</v>
      </c>
      <c r="CM25" s="83"/>
    </row>
    <row r="26" spans="1:91" ht="27.95" customHeight="1">
      <c r="A26" s="3266">
        <v>15</v>
      </c>
      <c r="B26" s="6913" t="str">
        <f>IF(Formula!DY187&gt;0,Formula!DY187,"")</f>
        <v/>
      </c>
      <c r="C26" s="6905" t="str">
        <f>IF(AND(Formula!CS2=2,Formula!DZ187&gt;0),Formula!DZ187,"")</f>
        <v/>
      </c>
      <c r="D26" s="6905"/>
      <c r="E26" s="6905" t="str">
        <f>IF(AND(Formula!CS2=2,Formula!EB187&gt;0),Formula!EB187,"")</f>
        <v/>
      </c>
      <c r="F26" s="6905" t="str">
        <f>IF(AND(Formula!CS2=2,Formula!EC187&gt;0),Formula!EC187,"")</f>
        <v/>
      </c>
      <c r="G26" s="6905"/>
      <c r="H26" s="6905"/>
      <c r="I26" s="6905"/>
      <c r="J26" s="6905"/>
      <c r="K26" s="6905"/>
      <c r="L26" s="6905"/>
      <c r="M26" s="6906" t="str">
        <f t="shared" si="1"/>
        <v/>
      </c>
      <c r="N26" s="6905" t="str">
        <f>IF(AND(Formula!CS2=2,Formula!GE3=2,Formula!EK187&gt;0),Formula!EK187,"")</f>
        <v/>
      </c>
      <c r="O26" s="6905"/>
      <c r="P26" s="6905"/>
      <c r="Q26" s="6905"/>
      <c r="R26" s="6907"/>
      <c r="S26" s="6905"/>
      <c r="T26" s="6905"/>
      <c r="U26" s="6905" t="str">
        <f>IF(AND(Formula!CS2=2,Formula!ER187&gt;0),Formula!ER187,"")</f>
        <v/>
      </c>
      <c r="V26" s="6903" t="str">
        <f t="shared" si="2"/>
        <v/>
      </c>
      <c r="W26" s="3291" t="str">
        <f t="shared" si="3"/>
        <v/>
      </c>
      <c r="X26" s="1205"/>
      <c r="Y26" s="3364">
        <f t="shared" si="4"/>
        <v>1</v>
      </c>
      <c r="AA26" s="73"/>
      <c r="AB26" s="2442">
        <f t="shared" si="0"/>
        <v>0</v>
      </c>
      <c r="AC26" s="2442">
        <f t="shared" si="5"/>
        <v>0</v>
      </c>
      <c r="AD26" s="2442">
        <f t="shared" si="6"/>
        <v>0</v>
      </c>
      <c r="AE26" s="80"/>
      <c r="AF26" s="84"/>
      <c r="AG26" s="672"/>
      <c r="AH26" s="5200"/>
      <c r="AI26" s="5200"/>
      <c r="AJ26" s="5200"/>
      <c r="AK26" s="675"/>
      <c r="AN26" s="85"/>
      <c r="AO26" s="86"/>
      <c r="AP26" s="85"/>
      <c r="AQ26" s="86"/>
    </row>
    <row r="27" spans="1:91" ht="27.95" customHeight="1">
      <c r="A27" s="3266">
        <v>16</v>
      </c>
      <c r="B27" s="6912" t="str">
        <f>IF(Formula!DY188&gt;0,Formula!DY188,"")</f>
        <v/>
      </c>
      <c r="C27" s="6905" t="str">
        <f>IF(AND(Formula!DT2=2,'Data Sheet-II'!X60&gt;0),'Data Sheet-II'!X60,"")</f>
        <v/>
      </c>
      <c r="D27" s="6905"/>
      <c r="E27" s="6905" t="str">
        <f>IF(AND(Formula!DT2=2,'Data Sheet-II'!Y60&gt;0),'Data Sheet-II'!Y60,"")</f>
        <v/>
      </c>
      <c r="F27" s="6905" t="str">
        <f>IF(AND(Formula!DT2=2,'Data Sheet-II'!Z60&gt;0),'Data Sheet-II'!Z60,"")</f>
        <v/>
      </c>
      <c r="G27" s="6905"/>
      <c r="H27" s="6905"/>
      <c r="I27" s="6905"/>
      <c r="J27" s="6905"/>
      <c r="K27" s="6905"/>
      <c r="L27" s="6905"/>
      <c r="M27" s="6906" t="str">
        <f t="shared" si="1"/>
        <v/>
      </c>
      <c r="N27" s="6905" t="str">
        <f>IF(AND(Formula!DT2=2,Formula!GE3=2,'Data Sheet-II'!AB60&gt;0),'Data Sheet-II'!AB60,"")</f>
        <v/>
      </c>
      <c r="O27" s="6905"/>
      <c r="P27" s="6905"/>
      <c r="Q27" s="6905"/>
      <c r="R27" s="6907"/>
      <c r="S27" s="6905"/>
      <c r="T27" s="6905"/>
      <c r="U27" s="6905" t="str">
        <f>IF(AND(Formula!DT2=2,Formula!CX157=1,'Data Sheet-II'!X61&gt;0),'Data Sheet-II'!X61,"")</f>
        <v/>
      </c>
      <c r="V27" s="6903" t="str">
        <f t="shared" si="2"/>
        <v/>
      </c>
      <c r="W27" s="3291" t="str">
        <f t="shared" si="3"/>
        <v/>
      </c>
      <c r="X27" s="1206"/>
      <c r="Y27" s="3364">
        <f t="shared" si="4"/>
        <v>1</v>
      </c>
      <c r="AA27" s="54"/>
      <c r="AB27" s="2442">
        <f t="shared" si="0"/>
        <v>0</v>
      </c>
      <c r="AC27" s="2442">
        <f t="shared" si="5"/>
        <v>0</v>
      </c>
      <c r="AD27" s="2442">
        <f t="shared" si="6"/>
        <v>0</v>
      </c>
      <c r="AE27" s="80"/>
      <c r="AF27" s="84"/>
      <c r="AG27" s="672">
        <v>4</v>
      </c>
      <c r="AH27" s="5201" t="s">
        <v>281</v>
      </c>
      <c r="AI27" s="5201"/>
      <c r="AJ27" s="5201"/>
      <c r="AK27" s="673">
        <f>P41</f>
        <v>1440</v>
      </c>
    </row>
    <row r="28" spans="1:91" ht="27.95" customHeight="1">
      <c r="A28" s="3266">
        <v>17</v>
      </c>
      <c r="B28" s="6913" t="str">
        <f>IF(Formula!DY189&gt;0,Formula!DY189,"")</f>
        <v/>
      </c>
      <c r="C28" s="6905" t="str">
        <f>IF(Formula!DZ189&gt;0,Formula!DZ189,"")</f>
        <v/>
      </c>
      <c r="D28" s="6905"/>
      <c r="E28" s="6905" t="str">
        <f>IF(Formula!EB189&gt;0,Formula!EB189,"")</f>
        <v/>
      </c>
      <c r="F28" s="6905" t="str">
        <f>IF(Formula!EC189&gt;0,Formula!EC189,"")</f>
        <v/>
      </c>
      <c r="G28" s="6905"/>
      <c r="H28" s="6905"/>
      <c r="I28" s="6905"/>
      <c r="J28" s="6905"/>
      <c r="K28" s="6905"/>
      <c r="L28" s="6905"/>
      <c r="M28" s="6906" t="str">
        <f t="shared" si="1"/>
        <v/>
      </c>
      <c r="N28" s="6905" t="str">
        <f>IF(Formula!EK189&gt;0,Formula!EK189,"")</f>
        <v/>
      </c>
      <c r="O28" s="6905"/>
      <c r="P28" s="6905"/>
      <c r="Q28" s="6905"/>
      <c r="R28" s="6905"/>
      <c r="S28" s="6905"/>
      <c r="T28" s="6905"/>
      <c r="U28" s="6905"/>
      <c r="V28" s="6903" t="str">
        <f t="shared" si="2"/>
        <v/>
      </c>
      <c r="W28" s="3291" t="str">
        <f t="shared" si="3"/>
        <v/>
      </c>
      <c r="X28" s="1206"/>
      <c r="Y28" s="3364">
        <f t="shared" si="4"/>
        <v>1</v>
      </c>
      <c r="AA28" s="54"/>
      <c r="AB28" s="2442">
        <f t="shared" si="0"/>
        <v>0</v>
      </c>
      <c r="AC28" s="2442">
        <f t="shared" si="5"/>
        <v>0</v>
      </c>
      <c r="AD28" s="2442">
        <f t="shared" si="6"/>
        <v>0</v>
      </c>
      <c r="AE28" s="80"/>
      <c r="AF28" s="84"/>
      <c r="AG28" s="1890"/>
      <c r="AH28" s="5202"/>
      <c r="AI28" s="5203"/>
      <c r="AJ28" s="5204"/>
      <c r="AK28" s="1891"/>
    </row>
    <row r="29" spans="1:91" ht="27.95" customHeight="1">
      <c r="A29" s="3266">
        <v>18</v>
      </c>
      <c r="B29" s="6913" t="str">
        <f>IF(Formula!DY190&gt;0,Formula!DY190,"")</f>
        <v/>
      </c>
      <c r="C29" s="6905" t="str">
        <f>IF(Formula!DZ190&gt;0,Formula!DZ190,"")</f>
        <v/>
      </c>
      <c r="D29" s="6905"/>
      <c r="E29" s="6905" t="str">
        <f>IF(Formula!EB190&gt;0,Formula!EB190,"")</f>
        <v/>
      </c>
      <c r="F29" s="6905" t="str">
        <f>IF(Formula!EC190&gt;0,Formula!EC190,"")</f>
        <v/>
      </c>
      <c r="G29" s="6905"/>
      <c r="H29" s="6905"/>
      <c r="I29" s="6905"/>
      <c r="J29" s="6905"/>
      <c r="K29" s="6905"/>
      <c r="L29" s="6905"/>
      <c r="M29" s="6906" t="str">
        <f t="shared" si="1"/>
        <v/>
      </c>
      <c r="N29" s="6905" t="str">
        <f>IF(Formula!EK190&gt;0,Formula!EK190,"")</f>
        <v/>
      </c>
      <c r="O29" s="6905"/>
      <c r="P29" s="6905"/>
      <c r="Q29" s="6905"/>
      <c r="R29" s="6905"/>
      <c r="S29" s="6905"/>
      <c r="T29" s="6905"/>
      <c r="U29" s="6905"/>
      <c r="V29" s="6903" t="str">
        <f t="shared" si="2"/>
        <v/>
      </c>
      <c r="W29" s="3291" t="str">
        <f t="shared" si="3"/>
        <v/>
      </c>
      <c r="X29" s="1205"/>
      <c r="Y29" s="3364">
        <f t="shared" si="4"/>
        <v>1</v>
      </c>
      <c r="AA29" s="54"/>
      <c r="AB29" s="2442">
        <f t="shared" si="0"/>
        <v>0</v>
      </c>
      <c r="AC29" s="2442">
        <f t="shared" si="5"/>
        <v>0</v>
      </c>
      <c r="AD29" s="2442">
        <f t="shared" si="6"/>
        <v>0</v>
      </c>
      <c r="AE29" s="80"/>
      <c r="AF29" s="54"/>
      <c r="AG29" s="672"/>
      <c r="AH29" s="5200"/>
      <c r="AI29" s="5200"/>
      <c r="AJ29" s="5200"/>
      <c r="AK29" s="675"/>
    </row>
    <row r="30" spans="1:91" ht="35.25" customHeight="1">
      <c r="A30" s="3266">
        <v>19</v>
      </c>
      <c r="B30" s="6914" t="str">
        <f>IF(Formula!DY191&gt;0,Formula!DY191,"")</f>
        <v/>
      </c>
      <c r="C30" s="6905"/>
      <c r="D30" s="6905"/>
      <c r="E30" s="6905" t="str">
        <f>IF(Formula!EB191&gt;0,Formula!EB191,"")</f>
        <v/>
      </c>
      <c r="F30" s="6905"/>
      <c r="G30" s="6905"/>
      <c r="H30" s="6905"/>
      <c r="I30" s="6905"/>
      <c r="J30" s="6905"/>
      <c r="K30" s="6905"/>
      <c r="L30" s="6905"/>
      <c r="M30" s="6906" t="str">
        <f t="shared" si="1"/>
        <v/>
      </c>
      <c r="N30" s="6905" t="str">
        <f>IF(Formula!EK191&gt;0,Formula!EK191,"")</f>
        <v/>
      </c>
      <c r="O30" s="6905"/>
      <c r="P30" s="6905"/>
      <c r="Q30" s="6905"/>
      <c r="R30" s="6905"/>
      <c r="S30" s="6905"/>
      <c r="T30" s="6905"/>
      <c r="U30" s="6905"/>
      <c r="V30" s="6903" t="str">
        <f t="shared" si="2"/>
        <v/>
      </c>
      <c r="W30" s="3291" t="str">
        <f t="shared" si="3"/>
        <v/>
      </c>
      <c r="X30" s="1206"/>
      <c r="Y30" s="3364">
        <f t="shared" si="4"/>
        <v>1</v>
      </c>
      <c r="AA30" s="1456"/>
      <c r="AB30" s="2442">
        <f t="shared" si="0"/>
        <v>0</v>
      </c>
      <c r="AC30" s="2442">
        <f t="shared" si="5"/>
        <v>0</v>
      </c>
      <c r="AD30" s="2442">
        <f t="shared" si="6"/>
        <v>0</v>
      </c>
      <c r="AE30" s="80"/>
      <c r="AF30" s="84"/>
      <c r="AG30" s="672">
        <v>5</v>
      </c>
      <c r="AH30" s="5200" t="s">
        <v>806</v>
      </c>
      <c r="AI30" s="5200"/>
      <c r="AJ30" s="5200"/>
      <c r="AK30" s="676">
        <f>Q41</f>
        <v>2400</v>
      </c>
    </row>
    <row r="31" spans="1:91" ht="34.5" customHeight="1">
      <c r="A31" s="3266">
        <v>20</v>
      </c>
      <c r="B31" s="6914" t="str">
        <f>IF(Formula!DY192&gt;0,Formula!DY192,"")</f>
        <v/>
      </c>
      <c r="C31" s="6905"/>
      <c r="D31" s="6905"/>
      <c r="E31" s="6905" t="str">
        <f>IF(Formula!EB192&gt;0,Formula!EB192,"")</f>
        <v/>
      </c>
      <c r="F31" s="6905"/>
      <c r="G31" s="6905"/>
      <c r="H31" s="6905"/>
      <c r="I31" s="6905"/>
      <c r="J31" s="6905"/>
      <c r="K31" s="6905"/>
      <c r="L31" s="6905"/>
      <c r="M31" s="6906" t="str">
        <f t="shared" si="1"/>
        <v/>
      </c>
      <c r="N31" s="6905" t="str">
        <f>IF(Formula!EK192&gt;0,Formula!EK192,"")</f>
        <v/>
      </c>
      <c r="O31" s="6905"/>
      <c r="P31" s="6905"/>
      <c r="Q31" s="6905"/>
      <c r="R31" s="6905"/>
      <c r="S31" s="6905"/>
      <c r="T31" s="6905"/>
      <c r="U31" s="6905"/>
      <c r="V31" s="6903" t="str">
        <f t="shared" si="2"/>
        <v/>
      </c>
      <c r="W31" s="3291" t="str">
        <f t="shared" si="3"/>
        <v/>
      </c>
      <c r="X31" s="1206"/>
      <c r="Y31" s="3364">
        <f t="shared" si="4"/>
        <v>1</v>
      </c>
      <c r="AA31" s="54"/>
      <c r="AB31" s="2442">
        <f t="shared" ref="AB31:AB40" si="7">SUM(C31:L31)</f>
        <v>0</v>
      </c>
      <c r="AC31" s="2442">
        <f>SUM(N31:U31)</f>
        <v>0</v>
      </c>
      <c r="AD31" s="2442">
        <f t="shared" si="6"/>
        <v>0</v>
      </c>
      <c r="AE31" s="80"/>
      <c r="AF31" s="84"/>
      <c r="AG31" s="84"/>
      <c r="AH31" s="84"/>
      <c r="AI31" s="84"/>
      <c r="AJ31" s="87"/>
    </row>
    <row r="32" spans="1:91" ht="36.75" customHeight="1">
      <c r="A32" s="3266">
        <v>21</v>
      </c>
      <c r="B32" s="6914" t="str">
        <f>IF(Formula!DY193&gt;0,Formula!DY193,"")</f>
        <v/>
      </c>
      <c r="C32" s="6905"/>
      <c r="D32" s="6905"/>
      <c r="E32" s="6905" t="str">
        <f>IF(Formula!EB193&gt;0,Formula!EB193,"")</f>
        <v/>
      </c>
      <c r="F32" s="6905"/>
      <c r="G32" s="6905"/>
      <c r="H32" s="6905"/>
      <c r="I32" s="6905"/>
      <c r="J32" s="6905"/>
      <c r="K32" s="6905"/>
      <c r="L32" s="6905"/>
      <c r="M32" s="6906" t="str">
        <f t="shared" si="1"/>
        <v/>
      </c>
      <c r="N32" s="6905" t="str">
        <f>IF(Formula!EK193&gt;0,Formula!EK193,"")</f>
        <v/>
      </c>
      <c r="O32" s="6905"/>
      <c r="P32" s="6905"/>
      <c r="Q32" s="6905"/>
      <c r="R32" s="6905"/>
      <c r="S32" s="6905"/>
      <c r="T32" s="6905"/>
      <c r="U32" s="6905"/>
      <c r="V32" s="6903" t="str">
        <f t="shared" si="2"/>
        <v/>
      </c>
      <c r="W32" s="3291" t="str">
        <f t="shared" si="3"/>
        <v/>
      </c>
      <c r="X32" s="1206"/>
      <c r="Y32" s="3364">
        <f t="shared" si="4"/>
        <v>1</v>
      </c>
      <c r="AA32" s="54"/>
      <c r="AB32" s="2442">
        <f t="shared" si="7"/>
        <v>0</v>
      </c>
      <c r="AC32" s="2442">
        <f>SUM(N32:U32)</f>
        <v>0</v>
      </c>
      <c r="AD32" s="2442">
        <f t="shared" si="6"/>
        <v>0</v>
      </c>
      <c r="AE32" s="80"/>
      <c r="AF32" s="84"/>
      <c r="AG32" s="84"/>
      <c r="AH32" s="84"/>
      <c r="AI32" s="84"/>
      <c r="AJ32" s="87"/>
    </row>
    <row r="33" spans="1:46" ht="37.5" customHeight="1">
      <c r="A33" s="3806">
        <v>22</v>
      </c>
      <c r="B33" s="6914" t="str">
        <f>IF(Formula!DY194&gt;0,Formula!DY194,"")</f>
        <v/>
      </c>
      <c r="C33" s="6905"/>
      <c r="D33" s="6905"/>
      <c r="E33" s="6905" t="str">
        <f>IF(Formula!EB194&gt;0,Formula!EB194,"")</f>
        <v/>
      </c>
      <c r="F33" s="6905"/>
      <c r="G33" s="6905"/>
      <c r="H33" s="6905"/>
      <c r="I33" s="6905"/>
      <c r="J33" s="6905"/>
      <c r="K33" s="6905"/>
      <c r="L33" s="6905"/>
      <c r="M33" s="6906" t="str">
        <f t="shared" si="1"/>
        <v/>
      </c>
      <c r="N33" s="6905" t="str">
        <f>IF(Formula!EK194&gt;0,Formula!EK194,"")</f>
        <v/>
      </c>
      <c r="O33" s="6905"/>
      <c r="P33" s="6905"/>
      <c r="Q33" s="6905"/>
      <c r="R33" s="6905"/>
      <c r="S33" s="6905"/>
      <c r="T33" s="6905"/>
      <c r="U33" s="6905"/>
      <c r="V33" s="6903" t="str">
        <f t="shared" si="2"/>
        <v/>
      </c>
      <c r="W33" s="3291" t="str">
        <f t="shared" si="3"/>
        <v/>
      </c>
      <c r="X33" s="1206"/>
      <c r="Y33" s="3364">
        <f t="shared" si="4"/>
        <v>1</v>
      </c>
      <c r="AA33" s="54"/>
      <c r="AB33" s="2442">
        <f t="shared" si="7"/>
        <v>0</v>
      </c>
      <c r="AC33" s="2442">
        <f>SUM(N33:U33)</f>
        <v>0</v>
      </c>
      <c r="AD33" s="2442">
        <f t="shared" si="6"/>
        <v>0</v>
      </c>
      <c r="AE33" s="80"/>
      <c r="AF33" s="84"/>
      <c r="AG33" s="84"/>
      <c r="AH33" s="84"/>
      <c r="AI33" s="84"/>
      <c r="AJ33" s="87"/>
    </row>
    <row r="34" spans="1:46" ht="36.75" customHeight="1">
      <c r="A34" s="3266">
        <v>23</v>
      </c>
      <c r="B34" s="6914" t="str">
        <f>IF(Formula!DY195&gt;0,Formula!DY195,"")</f>
        <v/>
      </c>
      <c r="C34" s="6905"/>
      <c r="D34" s="6905"/>
      <c r="E34" s="6905" t="str">
        <f>IF(Formula!EB195&gt;0,Formula!EB195,"")</f>
        <v/>
      </c>
      <c r="F34" s="6905"/>
      <c r="G34" s="6905"/>
      <c r="H34" s="6905"/>
      <c r="I34" s="6905"/>
      <c r="J34" s="6905"/>
      <c r="K34" s="6905"/>
      <c r="L34" s="6905"/>
      <c r="M34" s="6906" t="str">
        <f t="shared" si="1"/>
        <v/>
      </c>
      <c r="N34" s="6905" t="str">
        <f>IF(Formula!EK195&gt;0,Formula!EK195,"")</f>
        <v/>
      </c>
      <c r="O34" s="6905"/>
      <c r="P34" s="6905"/>
      <c r="Q34" s="6905"/>
      <c r="R34" s="6905"/>
      <c r="S34" s="6905"/>
      <c r="T34" s="6905"/>
      <c r="U34" s="6905"/>
      <c r="V34" s="6903" t="str">
        <f t="shared" si="2"/>
        <v/>
      </c>
      <c r="W34" s="3291" t="str">
        <f t="shared" ref="W34:W40" si="8">IF(AD34=0,"",LOOKUP(AD34,AD34))</f>
        <v/>
      </c>
      <c r="X34" s="1206"/>
      <c r="Y34" s="3364">
        <f t="shared" si="4"/>
        <v>1</v>
      </c>
      <c r="AA34" s="54"/>
      <c r="AB34" s="3810">
        <f t="shared" si="7"/>
        <v>0</v>
      </c>
      <c r="AC34" s="3810">
        <f t="shared" ref="AC34:AC40" si="9">SUM(N34:U34)</f>
        <v>0</v>
      </c>
      <c r="AD34" s="3810">
        <f t="shared" si="6"/>
        <v>0</v>
      </c>
      <c r="AE34" s="80"/>
      <c r="AF34" s="84"/>
      <c r="AG34" s="84"/>
      <c r="AH34" s="84"/>
      <c r="AI34" s="84"/>
      <c r="AJ34" s="87"/>
    </row>
    <row r="35" spans="1:46" ht="36" customHeight="1">
      <c r="A35" s="3266">
        <v>24</v>
      </c>
      <c r="B35" s="6914" t="str">
        <f>IF(Formula!DY196&gt;0,Formula!DY196,"")</f>
        <v/>
      </c>
      <c r="C35" s="6905"/>
      <c r="D35" s="6905"/>
      <c r="E35" s="6905" t="str">
        <f>IF(Formula!EB196&gt;0,Formula!EB196,"")</f>
        <v/>
      </c>
      <c r="F35" s="6905"/>
      <c r="G35" s="6905"/>
      <c r="H35" s="6905"/>
      <c r="I35" s="6905"/>
      <c r="J35" s="6905"/>
      <c r="K35" s="6905"/>
      <c r="L35" s="6905"/>
      <c r="M35" s="6906" t="str">
        <f t="shared" si="1"/>
        <v/>
      </c>
      <c r="N35" s="6905" t="str">
        <f>IF(Formula!EK196&gt;0,Formula!EK196,"")</f>
        <v/>
      </c>
      <c r="O35" s="6905"/>
      <c r="P35" s="6905"/>
      <c r="Q35" s="6905"/>
      <c r="R35" s="6905"/>
      <c r="S35" s="6905"/>
      <c r="T35" s="6905"/>
      <c r="U35" s="6905"/>
      <c r="V35" s="6903" t="str">
        <f t="shared" si="2"/>
        <v/>
      </c>
      <c r="W35" s="3291" t="str">
        <f t="shared" si="8"/>
        <v/>
      </c>
      <c r="X35" s="1206"/>
      <c r="Y35" s="3364">
        <f t="shared" si="4"/>
        <v>1</v>
      </c>
      <c r="AA35" s="54"/>
      <c r="AB35" s="3810">
        <f t="shared" si="7"/>
        <v>0</v>
      </c>
      <c r="AC35" s="3810">
        <f t="shared" si="9"/>
        <v>0</v>
      </c>
      <c r="AD35" s="3810">
        <f t="shared" si="6"/>
        <v>0</v>
      </c>
      <c r="AE35" s="80"/>
      <c r="AF35" s="84"/>
      <c r="AG35" s="84"/>
      <c r="AH35" s="84"/>
      <c r="AI35" s="84"/>
      <c r="AJ35" s="87"/>
    </row>
    <row r="36" spans="1:46" ht="32.25" customHeight="1">
      <c r="A36" s="3266">
        <v>25</v>
      </c>
      <c r="B36" s="6915" t="str">
        <f>IF(Formula!DY218&gt;0,Formula!DY218,"")</f>
        <v/>
      </c>
      <c r="C36" s="6905" t="str">
        <f>IF(Formula!DZ218&gt;0,Formula!DZ218,"")</f>
        <v/>
      </c>
      <c r="D36" s="6905"/>
      <c r="E36" s="6905" t="str">
        <f>IF(Formula!EB218&gt;0,Formula!EB218,"")</f>
        <v/>
      </c>
      <c r="F36" s="6905" t="str">
        <f>IF(Formula!EC218&gt;0,Formula!EC218,"")</f>
        <v/>
      </c>
      <c r="G36" s="6905"/>
      <c r="H36" s="6905"/>
      <c r="I36" s="6905"/>
      <c r="J36" s="6905"/>
      <c r="K36" s="6905"/>
      <c r="L36" s="6905"/>
      <c r="M36" s="6906">
        <f>Formula!EJ218</f>
        <v>0</v>
      </c>
      <c r="N36" s="6905" t="str">
        <f>IF(Formula!EK218&gt;0,Formula!EK218,"")</f>
        <v/>
      </c>
      <c r="O36" s="6905"/>
      <c r="P36" s="6905"/>
      <c r="Q36" s="6905"/>
      <c r="R36" s="6905"/>
      <c r="S36" s="6905"/>
      <c r="T36" s="6905"/>
      <c r="U36" s="6905" t="str">
        <f>IF(Formula!ER218&gt;0,Formula!ER218,"")</f>
        <v/>
      </c>
      <c r="V36" s="6903" t="str">
        <f t="shared" si="2"/>
        <v/>
      </c>
      <c r="W36" s="3291" t="str">
        <f t="shared" si="8"/>
        <v/>
      </c>
      <c r="X36" s="1206"/>
      <c r="Y36" s="3364">
        <f t="shared" si="4"/>
        <v>1</v>
      </c>
      <c r="AA36" s="54"/>
      <c r="AB36" s="2442">
        <f>M36</f>
        <v>0</v>
      </c>
      <c r="AC36" s="2442">
        <f t="shared" si="9"/>
        <v>0</v>
      </c>
      <c r="AD36" s="2442">
        <f t="shared" si="6"/>
        <v>0</v>
      </c>
      <c r="AE36" s="80"/>
      <c r="AF36" s="84"/>
      <c r="AG36" s="84"/>
      <c r="AH36" s="84"/>
      <c r="AI36" s="84"/>
      <c r="AJ36" s="87"/>
    </row>
    <row r="37" spans="1:46" ht="33.75" customHeight="1">
      <c r="A37" s="3266">
        <v>26</v>
      </c>
      <c r="B37" s="6915" t="str">
        <f>IF(Formula!DY219&gt;0,Formula!DY219,"")</f>
        <v/>
      </c>
      <c r="C37" s="6905" t="str">
        <f>IF(Formula!DZ219&gt;0,Formula!DZ219,"")</f>
        <v/>
      </c>
      <c r="D37" s="6905"/>
      <c r="E37" s="6905" t="str">
        <f>IF(Formula!EB219&gt;0,Formula!EB219,"")</f>
        <v/>
      </c>
      <c r="F37" s="6905" t="str">
        <f>IF(Formula!EC219&gt;0,Formula!EC219,"")</f>
        <v/>
      </c>
      <c r="G37" s="6905"/>
      <c r="H37" s="6905"/>
      <c r="I37" s="6905"/>
      <c r="J37" s="6905"/>
      <c r="K37" s="6905"/>
      <c r="L37" s="6905"/>
      <c r="M37" s="6906" t="str">
        <f t="shared" si="1"/>
        <v/>
      </c>
      <c r="N37" s="6905" t="str">
        <f>IF(Formula!EK219&gt;0,Formula!EK219,"")</f>
        <v/>
      </c>
      <c r="O37" s="6905"/>
      <c r="P37" s="6905"/>
      <c r="Q37" s="6905"/>
      <c r="R37" s="6905"/>
      <c r="S37" s="6905"/>
      <c r="T37" s="6905"/>
      <c r="U37" s="6905"/>
      <c r="V37" s="6903" t="str">
        <f t="shared" si="2"/>
        <v/>
      </c>
      <c r="W37" s="3291" t="str">
        <f t="shared" si="8"/>
        <v/>
      </c>
      <c r="X37" s="1206"/>
      <c r="Y37" s="3364">
        <f t="shared" si="4"/>
        <v>1</v>
      </c>
      <c r="AA37" s="54"/>
      <c r="AB37" s="2442">
        <f t="shared" si="7"/>
        <v>0</v>
      </c>
      <c r="AC37" s="2442">
        <f t="shared" si="9"/>
        <v>0</v>
      </c>
      <c r="AD37" s="2442">
        <f t="shared" si="6"/>
        <v>0</v>
      </c>
      <c r="AE37" s="80"/>
      <c r="AF37" s="84"/>
      <c r="AG37" s="84"/>
      <c r="AH37" s="84"/>
      <c r="AI37" s="84"/>
      <c r="AJ37" s="87"/>
    </row>
    <row r="38" spans="1:46" ht="24.75" customHeight="1">
      <c r="A38" s="3266">
        <v>27</v>
      </c>
      <c r="B38" s="6915" t="str">
        <f>IF(Formula!DY220&gt;0,Formula!DY220,"")</f>
        <v/>
      </c>
      <c r="C38" s="6905" t="str">
        <f>IF(Formula!DZ220&gt;0,Formula!DZ220,"")</f>
        <v/>
      </c>
      <c r="D38" s="6905"/>
      <c r="E38" s="6905" t="str">
        <f>IF(Formula!EB220&gt;0,Formula!EB220,"")</f>
        <v/>
      </c>
      <c r="F38" s="6905" t="str">
        <f>IF(Formula!EC220&gt;0,Formula!EC220,"")</f>
        <v/>
      </c>
      <c r="G38" s="6905"/>
      <c r="H38" s="6905"/>
      <c r="I38" s="6905"/>
      <c r="J38" s="6905"/>
      <c r="K38" s="6905"/>
      <c r="L38" s="6905"/>
      <c r="M38" s="6906" t="str">
        <f t="shared" si="1"/>
        <v/>
      </c>
      <c r="N38" s="6905" t="str">
        <f>IF(Formula!EK220&gt;0,Formula!EK220,"")</f>
        <v/>
      </c>
      <c r="O38" s="6905"/>
      <c r="P38" s="6905"/>
      <c r="Q38" s="6905"/>
      <c r="R38" s="6905"/>
      <c r="S38" s="6905"/>
      <c r="T38" s="6905"/>
      <c r="U38" s="6905"/>
      <c r="V38" s="6903" t="str">
        <f t="shared" si="2"/>
        <v/>
      </c>
      <c r="W38" s="3291" t="str">
        <f t="shared" si="8"/>
        <v/>
      </c>
      <c r="X38" s="1206"/>
      <c r="Y38" s="3364">
        <f t="shared" si="4"/>
        <v>1</v>
      </c>
      <c r="AA38" s="54"/>
      <c r="AB38" s="2442">
        <f t="shared" si="7"/>
        <v>0</v>
      </c>
      <c r="AC38" s="2442">
        <f t="shared" si="9"/>
        <v>0</v>
      </c>
      <c r="AD38" s="2442">
        <f t="shared" si="6"/>
        <v>0</v>
      </c>
      <c r="AE38" s="80"/>
      <c r="AF38" s="84"/>
      <c r="AG38" s="84"/>
      <c r="AH38" s="84"/>
      <c r="AI38" s="84"/>
      <c r="AJ38" s="87"/>
    </row>
    <row r="39" spans="1:46" ht="27.95" customHeight="1">
      <c r="A39" s="3266">
        <v>28</v>
      </c>
      <c r="B39" s="6916" t="str">
        <f>IF(Formula!DY221&gt;0,Formula!DY221,"")</f>
        <v/>
      </c>
      <c r="C39" s="6905" t="str">
        <f>IF(Formula!DZ221&gt;0,Formula!DZ221,"")</f>
        <v/>
      </c>
      <c r="D39" s="6905"/>
      <c r="E39" s="6905" t="str">
        <f>IF(Formula!EB221&gt;0,Formula!EB221,"")</f>
        <v/>
      </c>
      <c r="F39" s="6905" t="str">
        <f>IF(Formula!EC221&gt;0,Formula!EC221,"")</f>
        <v/>
      </c>
      <c r="G39" s="6905"/>
      <c r="H39" s="6905"/>
      <c r="I39" s="6905"/>
      <c r="J39" s="6905"/>
      <c r="K39" s="6905"/>
      <c r="L39" s="6905"/>
      <c r="M39" s="6906" t="str">
        <f t="shared" si="1"/>
        <v/>
      </c>
      <c r="N39" s="6905" t="str">
        <f>IF(Formula!EK221&gt;0,Formula!EK221,"")</f>
        <v/>
      </c>
      <c r="O39" s="6905"/>
      <c r="P39" s="6905"/>
      <c r="Q39" s="6905"/>
      <c r="R39" s="6905"/>
      <c r="S39" s="6905"/>
      <c r="T39" s="6905"/>
      <c r="U39" s="6905" t="str">
        <f>IF(Formula!ER221&gt;0,Formula!ER221,"")</f>
        <v/>
      </c>
      <c r="V39" s="6903" t="str">
        <f t="shared" si="2"/>
        <v/>
      </c>
      <c r="W39" s="3291" t="str">
        <f t="shared" si="8"/>
        <v/>
      </c>
      <c r="X39" s="1206"/>
      <c r="Y39" s="3364">
        <f t="shared" si="4"/>
        <v>1</v>
      </c>
      <c r="AA39" s="54"/>
      <c r="AB39" s="2442">
        <f t="shared" si="7"/>
        <v>0</v>
      </c>
      <c r="AC39" s="2442">
        <f t="shared" si="9"/>
        <v>0</v>
      </c>
      <c r="AD39" s="2442">
        <f t="shared" si="6"/>
        <v>0</v>
      </c>
      <c r="AE39" s="80"/>
      <c r="AF39" s="84"/>
      <c r="AG39" s="84"/>
      <c r="AH39" s="84"/>
      <c r="AI39" s="84"/>
      <c r="AJ39" s="87"/>
    </row>
    <row r="40" spans="1:46" ht="26.25" customHeight="1">
      <c r="A40" s="3266">
        <v>29</v>
      </c>
      <c r="B40" s="6917" t="str">
        <f>IF(Formula!DY222&gt;0,Formula!DY222,"")</f>
        <v/>
      </c>
      <c r="C40" s="6905" t="str">
        <f>IF(Formula!DZ222&gt;0,Formula!DZ222,"")</f>
        <v/>
      </c>
      <c r="D40" s="6905"/>
      <c r="E40" s="6905" t="str">
        <f>IF(Formula!EB222&gt;0,Formula!EB222,"")</f>
        <v/>
      </c>
      <c r="F40" s="6905" t="str">
        <f>IF(Formula!EC222&gt;0,Formula!EC222,"")</f>
        <v/>
      </c>
      <c r="G40" s="6905"/>
      <c r="H40" s="6905"/>
      <c r="I40" s="6905"/>
      <c r="J40" s="6905"/>
      <c r="K40" s="6905"/>
      <c r="L40" s="6905"/>
      <c r="M40" s="6906" t="str">
        <f t="shared" si="1"/>
        <v/>
      </c>
      <c r="N40" s="6905"/>
      <c r="O40" s="6905"/>
      <c r="P40" s="6905"/>
      <c r="Q40" s="6905"/>
      <c r="R40" s="6905"/>
      <c r="S40" s="6905"/>
      <c r="T40" s="6905"/>
      <c r="U40" s="6905"/>
      <c r="V40" s="6903" t="str">
        <f t="shared" si="2"/>
        <v/>
      </c>
      <c r="W40" s="3291" t="str">
        <f t="shared" si="8"/>
        <v/>
      </c>
      <c r="X40" s="1206"/>
      <c r="Y40" s="3364">
        <f t="shared" si="4"/>
        <v>1</v>
      </c>
      <c r="AA40" s="54"/>
      <c r="AB40" s="2442">
        <f t="shared" si="7"/>
        <v>0</v>
      </c>
      <c r="AC40" s="2442">
        <f t="shared" si="9"/>
        <v>0</v>
      </c>
      <c r="AD40" s="2442">
        <f t="shared" si="6"/>
        <v>0</v>
      </c>
      <c r="AE40" s="80"/>
      <c r="AF40" s="84"/>
      <c r="AG40" s="84"/>
      <c r="AH40" s="84"/>
      <c r="AI40" s="84"/>
      <c r="AJ40" s="87"/>
    </row>
    <row r="41" spans="1:46" ht="29.25" customHeight="1" thickBot="1">
      <c r="A41" s="3266"/>
      <c r="B41" s="3247" t="s">
        <v>243</v>
      </c>
      <c r="C41" s="3248">
        <f t="shared" ref="C41:W41" si="10">IF(SUM(C12:C40)&gt;0,SUM(C12:C40),0)</f>
        <v>992600</v>
      </c>
      <c r="D41" s="3248">
        <f t="shared" si="10"/>
        <v>0</v>
      </c>
      <c r="E41" s="3248">
        <f t="shared" si="10"/>
        <v>413800</v>
      </c>
      <c r="F41" s="3248">
        <f t="shared" si="10"/>
        <v>89334</v>
      </c>
      <c r="G41" s="3248">
        <f t="shared" si="10"/>
        <v>0</v>
      </c>
      <c r="H41" s="3248">
        <f t="shared" si="10"/>
        <v>0</v>
      </c>
      <c r="I41" s="3248">
        <f t="shared" si="10"/>
        <v>7800</v>
      </c>
      <c r="J41" s="3248">
        <f t="shared" si="10"/>
        <v>0</v>
      </c>
      <c r="K41" s="3248">
        <f t="shared" si="10"/>
        <v>0</v>
      </c>
      <c r="L41" s="3248">
        <f t="shared" si="10"/>
        <v>0</v>
      </c>
      <c r="M41" s="3248">
        <f t="shared" si="10"/>
        <v>1503534</v>
      </c>
      <c r="N41" s="3248">
        <f t="shared" si="10"/>
        <v>72000</v>
      </c>
      <c r="O41" s="3248">
        <f t="shared" si="10"/>
        <v>60000</v>
      </c>
      <c r="P41" s="3248">
        <f t="shared" si="10"/>
        <v>1440</v>
      </c>
      <c r="Q41" s="3248">
        <f t="shared" si="10"/>
        <v>2400</v>
      </c>
      <c r="R41" s="3248">
        <f t="shared" si="10"/>
        <v>250</v>
      </c>
      <c r="S41" s="3248">
        <f t="shared" si="10"/>
        <v>0</v>
      </c>
      <c r="T41" s="3248">
        <f t="shared" si="10"/>
        <v>300</v>
      </c>
      <c r="U41" s="3248">
        <f t="shared" si="10"/>
        <v>194000</v>
      </c>
      <c r="V41" s="3248">
        <f t="shared" si="10"/>
        <v>330390</v>
      </c>
      <c r="W41" s="3248">
        <f t="shared" si="10"/>
        <v>1173144</v>
      </c>
      <c r="X41" s="1207"/>
      <c r="Y41" s="3364"/>
      <c r="AA41" s="88"/>
      <c r="AB41" s="2443">
        <f>SUM(AB12:AB31)</f>
        <v>1503534</v>
      </c>
      <c r="AC41" s="2443">
        <f>SUM(AC12:AC31)</f>
        <v>330390</v>
      </c>
      <c r="AD41" s="2443">
        <f>SUM(AD12:AD31)</f>
        <v>1173144</v>
      </c>
      <c r="AE41" s="89"/>
      <c r="AF41" s="90"/>
      <c r="AG41" s="84"/>
      <c r="AH41" s="84"/>
      <c r="AI41" s="84"/>
      <c r="AJ41" s="87"/>
    </row>
    <row r="42" spans="1:46" ht="27.75" customHeight="1">
      <c r="A42" s="3261"/>
      <c r="B42" s="1208"/>
      <c r="C42" s="529"/>
      <c r="D42" s="2914"/>
      <c r="E42" s="2914"/>
      <c r="F42" s="2914"/>
      <c r="G42" s="2914"/>
      <c r="H42" s="2914"/>
      <c r="I42" s="2914"/>
      <c r="J42" s="2914"/>
      <c r="K42" s="2914"/>
      <c r="L42" s="2914"/>
      <c r="M42" s="2914"/>
      <c r="N42" s="2914"/>
      <c r="O42" s="2915"/>
      <c r="P42" s="2915"/>
      <c r="Q42" s="2915"/>
      <c r="R42" s="2914"/>
      <c r="S42" s="529"/>
      <c r="T42" s="529"/>
      <c r="U42" s="529"/>
      <c r="V42" s="529"/>
      <c r="W42" s="529"/>
      <c r="X42" s="1209"/>
      <c r="Y42" s="3366"/>
      <c r="Z42" s="91"/>
      <c r="AA42" s="54"/>
      <c r="AB42" s="92"/>
      <c r="AC42" s="90"/>
      <c r="AD42" s="90"/>
      <c r="AE42" s="90"/>
      <c r="AF42" s="90"/>
      <c r="AG42" s="84"/>
      <c r="AH42" s="84"/>
      <c r="AI42" s="84"/>
      <c r="AJ42" s="87"/>
    </row>
    <row r="43" spans="1:46" s="12" customFormat="1" ht="24.75" customHeight="1">
      <c r="A43" s="3261"/>
      <c r="B43" s="1210" t="s">
        <v>32</v>
      </c>
      <c r="C43" s="530"/>
      <c r="D43" s="2916"/>
      <c r="E43" s="2917"/>
      <c r="F43" s="2918"/>
      <c r="G43" s="2918"/>
      <c r="H43" s="2918"/>
      <c r="I43" s="2918"/>
      <c r="J43" s="2918"/>
      <c r="K43" s="2918"/>
      <c r="L43" s="2918"/>
      <c r="M43" s="2918"/>
      <c r="N43" s="2918"/>
      <c r="O43" s="5195"/>
      <c r="P43" s="5196"/>
      <c r="Q43" s="5196"/>
      <c r="R43" s="2919"/>
      <c r="S43" s="531"/>
      <c r="T43" s="531"/>
      <c r="U43" s="532" t="s">
        <v>30</v>
      </c>
      <c r="V43" s="533"/>
      <c r="W43" s="533"/>
      <c r="X43" s="1211"/>
      <c r="Y43" s="3365"/>
      <c r="Z43" s="93"/>
      <c r="AA43" s="13"/>
      <c r="AB43" s="94"/>
      <c r="AC43" s="13"/>
      <c r="AD43" s="13"/>
      <c r="AE43" s="13"/>
      <c r="AF43" s="13"/>
      <c r="AG43" s="13"/>
      <c r="AH43" s="13"/>
      <c r="AI43" s="52"/>
      <c r="AJ43" s="52"/>
      <c r="AK43" s="52"/>
      <c r="AL43" s="52"/>
      <c r="AM43" s="52"/>
      <c r="AN43" s="52"/>
      <c r="AO43" s="52"/>
      <c r="AP43" s="52"/>
      <c r="AQ43" s="52"/>
      <c r="AR43" s="52"/>
      <c r="AS43" s="52"/>
      <c r="AT43" s="52"/>
    </row>
    <row r="44" spans="1:46" ht="19.5" customHeight="1" thickBot="1">
      <c r="A44" s="3261"/>
      <c r="B44" s="3360"/>
      <c r="C44" s="3361"/>
      <c r="D44" s="3362"/>
      <c r="E44" s="3362"/>
      <c r="F44" s="3362"/>
      <c r="G44" s="3362"/>
      <c r="H44" s="3362"/>
      <c r="I44" s="3362"/>
      <c r="J44" s="3362"/>
      <c r="K44" s="3362"/>
      <c r="L44" s="3362"/>
      <c r="M44" s="3362"/>
      <c r="N44" s="3362"/>
      <c r="O44" s="3362"/>
      <c r="P44" s="3362"/>
      <c r="Q44" s="3362"/>
      <c r="R44" s="3362"/>
      <c r="S44" s="3361"/>
      <c r="T44" s="3361"/>
      <c r="U44" s="3361"/>
      <c r="V44" s="3361"/>
      <c r="W44" s="3361"/>
      <c r="X44" s="3363"/>
      <c r="Y44" s="3367"/>
    </row>
    <row r="45" spans="1:46" ht="27.75" customHeight="1" thickTop="1">
      <c r="A45" s="3255"/>
      <c r="B45" s="3267"/>
      <c r="C45" s="3267"/>
      <c r="D45" s="3267"/>
      <c r="E45" s="3268"/>
      <c r="F45" s="3268"/>
      <c r="G45" s="3268"/>
      <c r="H45" s="3268"/>
      <c r="I45" s="3268"/>
      <c r="J45" s="3268"/>
      <c r="K45" s="3268"/>
      <c r="L45" s="3268"/>
      <c r="M45" s="3268"/>
      <c r="N45" s="3268"/>
      <c r="O45" s="3268"/>
      <c r="P45" s="3268"/>
      <c r="Q45" s="3268"/>
      <c r="R45" s="3268"/>
      <c r="S45" s="3268"/>
      <c r="T45" s="3268"/>
      <c r="U45" s="3268"/>
      <c r="V45" s="3268"/>
      <c r="W45" s="3268"/>
      <c r="X45" s="3268"/>
      <c r="Y45" s="3368"/>
      <c r="Z45" s="95"/>
    </row>
    <row r="46" spans="1:46" ht="15" hidden="1" customHeight="1">
      <c r="A46" s="3253"/>
      <c r="B46" s="3269"/>
      <c r="C46" s="3269"/>
      <c r="D46" s="3269"/>
      <c r="E46" s="3269"/>
      <c r="F46" s="3269"/>
      <c r="G46" s="3269"/>
      <c r="H46" s="3269"/>
      <c r="I46" s="3269"/>
      <c r="J46" s="3269"/>
      <c r="K46" s="3269"/>
      <c r="L46" s="3269"/>
      <c r="M46" s="3269"/>
      <c r="N46" s="3269"/>
      <c r="O46" s="3269"/>
      <c r="P46" s="3269"/>
      <c r="Q46" s="3269"/>
      <c r="R46" s="3269"/>
      <c r="S46" s="3269"/>
      <c r="T46" s="3269"/>
      <c r="U46" s="3269"/>
      <c r="V46" s="3269"/>
      <c r="W46" s="3269"/>
      <c r="X46" s="3269"/>
      <c r="Y46" s="3369"/>
    </row>
    <row r="47" spans="1:46" ht="15" hidden="1" customHeight="1">
      <c r="A47" s="3253"/>
      <c r="B47" s="3269"/>
      <c r="C47" s="3269"/>
      <c r="D47" s="3269"/>
      <c r="E47" s="3269"/>
      <c r="F47" s="3269"/>
      <c r="G47" s="3269"/>
      <c r="H47" s="3269"/>
      <c r="I47" s="3269"/>
      <c r="J47" s="3269"/>
      <c r="K47" s="3269"/>
      <c r="L47" s="3269"/>
      <c r="M47" s="3269"/>
      <c r="N47" s="3269"/>
      <c r="O47" s="3269"/>
      <c r="P47" s="3269"/>
      <c r="Q47" s="3269"/>
      <c r="R47" s="3269"/>
      <c r="S47" s="3269"/>
      <c r="T47" s="3269"/>
      <c r="U47" s="3269"/>
      <c r="V47" s="3269"/>
      <c r="W47" s="3269"/>
      <c r="X47" s="3269"/>
      <c r="Y47" s="3369"/>
    </row>
    <row r="48" spans="1:46" ht="15" hidden="1" customHeight="1">
      <c r="A48" s="3253"/>
      <c r="B48" s="3269"/>
      <c r="C48" s="3269"/>
      <c r="D48" s="3269"/>
      <c r="E48" s="3269"/>
      <c r="F48" s="3269"/>
      <c r="G48" s="3269"/>
      <c r="H48" s="3269"/>
      <c r="I48" s="3269"/>
      <c r="J48" s="3269"/>
      <c r="K48" s="3269"/>
      <c r="L48" s="3269"/>
      <c r="M48" s="3269"/>
      <c r="N48" s="3269"/>
      <c r="O48" s="3269"/>
      <c r="P48" s="3269"/>
      <c r="Q48" s="3269"/>
      <c r="R48" s="3269"/>
      <c r="S48" s="3269"/>
      <c r="T48" s="3269"/>
      <c r="U48" s="3269"/>
      <c r="V48" s="3269"/>
      <c r="W48" s="3269"/>
      <c r="X48" s="3269"/>
      <c r="Y48" s="3369"/>
    </row>
    <row r="49" spans="1:31" ht="15" hidden="1" customHeight="1">
      <c r="A49" s="3253"/>
      <c r="B49" s="3269"/>
      <c r="C49" s="3269"/>
      <c r="D49" s="3269"/>
      <c r="E49" s="3269"/>
      <c r="F49" s="3269"/>
      <c r="G49" s="3269"/>
      <c r="H49" s="3269"/>
      <c r="I49" s="3269"/>
      <c r="J49" s="3269"/>
      <c r="K49" s="3269"/>
      <c r="L49" s="3269"/>
      <c r="M49" s="3269"/>
      <c r="N49" s="3269"/>
      <c r="O49" s="3269"/>
      <c r="P49" s="3269"/>
      <c r="Q49" s="3269"/>
      <c r="R49" s="3269"/>
      <c r="S49" s="3269"/>
      <c r="T49" s="3269"/>
      <c r="U49" s="3269"/>
      <c r="V49" s="3269"/>
      <c r="W49" s="3269"/>
      <c r="X49" s="3269"/>
      <c r="Y49" s="3369"/>
    </row>
    <row r="50" spans="1:31" ht="15" hidden="1" customHeight="1">
      <c r="A50" s="3253"/>
      <c r="B50" s="3269"/>
      <c r="C50" s="3269"/>
      <c r="D50" s="3269"/>
      <c r="E50" s="3269"/>
      <c r="F50" s="3269"/>
      <c r="G50" s="3269"/>
      <c r="H50" s="3269"/>
      <c r="I50" s="3269"/>
      <c r="J50" s="3269"/>
      <c r="K50" s="3269"/>
      <c r="L50" s="3269"/>
      <c r="M50" s="3269"/>
      <c r="N50" s="3269"/>
      <c r="O50" s="3269"/>
      <c r="P50" s="3269"/>
      <c r="Q50" s="3269"/>
      <c r="R50" s="3269"/>
      <c r="S50" s="3269"/>
      <c r="T50" s="3269"/>
      <c r="U50" s="3269"/>
      <c r="V50" s="3269"/>
      <c r="W50" s="3269"/>
      <c r="X50" s="3269"/>
      <c r="Y50" s="3369"/>
    </row>
    <row r="51" spans="1:31" ht="15" hidden="1" customHeight="1">
      <c r="A51" s="3253"/>
      <c r="B51" s="3269"/>
      <c r="C51" s="3269"/>
      <c r="D51" s="3269"/>
      <c r="E51" s="3269"/>
      <c r="F51" s="3269"/>
      <c r="G51" s="3269"/>
      <c r="H51" s="3269"/>
      <c r="I51" s="3269"/>
      <c r="J51" s="3269"/>
      <c r="K51" s="3269"/>
      <c r="L51" s="3269"/>
      <c r="M51" s="3269"/>
      <c r="N51" s="3269"/>
      <c r="O51" s="3269"/>
      <c r="P51" s="3269"/>
      <c r="Q51" s="3269"/>
      <c r="R51" s="3269"/>
      <c r="S51" s="3269"/>
      <c r="T51" s="3269"/>
      <c r="U51" s="3269"/>
      <c r="V51" s="3269"/>
      <c r="W51" s="3269"/>
      <c r="X51" s="3269"/>
      <c r="Y51" s="3369"/>
      <c r="AE51" s="96"/>
    </row>
    <row r="52" spans="1:31" ht="15" hidden="1" customHeight="1">
      <c r="A52" s="3253"/>
      <c r="B52" s="3269"/>
      <c r="C52" s="3269"/>
      <c r="D52" s="3269"/>
      <c r="E52" s="3269"/>
      <c r="F52" s="3269"/>
      <c r="G52" s="3269"/>
      <c r="H52" s="3269"/>
      <c r="I52" s="3269"/>
      <c r="J52" s="3269"/>
      <c r="K52" s="3269"/>
      <c r="L52" s="3269"/>
      <c r="M52" s="3269"/>
      <c r="N52" s="3269"/>
      <c r="O52" s="3269"/>
      <c r="P52" s="3269"/>
      <c r="Q52" s="3269"/>
      <c r="R52" s="3269"/>
      <c r="S52" s="3269"/>
      <c r="T52" s="3269"/>
      <c r="U52" s="3269"/>
      <c r="V52" s="3269"/>
      <c r="W52" s="3269"/>
      <c r="X52" s="3269"/>
      <c r="Y52" s="3369"/>
      <c r="AE52" s="96"/>
    </row>
    <row r="53" spans="1:31" ht="15" hidden="1" customHeight="1">
      <c r="A53" s="3253"/>
      <c r="B53" s="3269"/>
      <c r="C53" s="3269"/>
      <c r="D53" s="3269"/>
      <c r="E53" s="3269"/>
      <c r="F53" s="3269"/>
      <c r="G53" s="3269"/>
      <c r="H53" s="3269"/>
      <c r="I53" s="3269"/>
      <c r="J53" s="3269"/>
      <c r="K53" s="3269"/>
      <c r="L53" s="3269"/>
      <c r="M53" s="3269"/>
      <c r="N53" s="3269"/>
      <c r="O53" s="3269"/>
      <c r="P53" s="3269"/>
      <c r="Q53" s="3269"/>
      <c r="R53" s="3269"/>
      <c r="S53" s="3269"/>
      <c r="T53" s="3269"/>
      <c r="U53" s="3269"/>
      <c r="V53" s="3269"/>
      <c r="W53" s="3269"/>
      <c r="X53" s="3269"/>
      <c r="Y53" s="3369"/>
      <c r="AE53" s="96"/>
    </row>
    <row r="54" spans="1:31" ht="15" hidden="1" customHeight="1">
      <c r="A54" s="3253"/>
      <c r="B54" s="3269"/>
      <c r="C54" s="3269"/>
      <c r="D54" s="3269"/>
      <c r="E54" s="3269"/>
      <c r="F54" s="3269"/>
      <c r="G54" s="3269"/>
      <c r="H54" s="3269"/>
      <c r="I54" s="3269"/>
      <c r="J54" s="3269"/>
      <c r="K54" s="3269"/>
      <c r="L54" s="3269"/>
      <c r="M54" s="3269"/>
      <c r="N54" s="3269"/>
      <c r="O54" s="3269"/>
      <c r="P54" s="3269"/>
      <c r="Q54" s="3269"/>
      <c r="R54" s="3269"/>
      <c r="S54" s="3269"/>
      <c r="T54" s="3269"/>
      <c r="U54" s="3269"/>
      <c r="V54" s="3269"/>
      <c r="W54" s="3269"/>
      <c r="X54" s="3269"/>
      <c r="Y54" s="3369"/>
      <c r="AE54" s="96"/>
    </row>
    <row r="55" spans="1:31" ht="15" hidden="1" customHeight="1">
      <c r="A55" s="3253"/>
      <c r="B55" s="3269"/>
      <c r="C55" s="3269"/>
      <c r="D55" s="3269"/>
      <c r="E55" s="3269"/>
      <c r="F55" s="3269"/>
      <c r="G55" s="3269"/>
      <c r="H55" s="3269"/>
      <c r="I55" s="3269"/>
      <c r="J55" s="3269"/>
      <c r="K55" s="3269"/>
      <c r="L55" s="3269"/>
      <c r="M55" s="3269"/>
      <c r="N55" s="3269"/>
      <c r="O55" s="3269"/>
      <c r="P55" s="3269"/>
      <c r="Q55" s="3269"/>
      <c r="R55" s="3269"/>
      <c r="S55" s="3269"/>
      <c r="T55" s="3269"/>
      <c r="U55" s="3269"/>
      <c r="V55" s="3269"/>
      <c r="W55" s="3269"/>
      <c r="X55" s="3269"/>
      <c r="Y55" s="3369"/>
      <c r="AE55" s="96"/>
    </row>
    <row r="56" spans="1:31" ht="15" hidden="1" customHeight="1">
      <c r="A56" s="3253"/>
      <c r="B56" s="3269"/>
      <c r="C56" s="3269"/>
      <c r="D56" s="3269"/>
      <c r="E56" s="3269"/>
      <c r="F56" s="3269"/>
      <c r="G56" s="3269"/>
      <c r="H56" s="3269"/>
      <c r="I56" s="3269"/>
      <c r="J56" s="3269"/>
      <c r="K56" s="3269"/>
      <c r="L56" s="3269"/>
      <c r="M56" s="3269"/>
      <c r="N56" s="3269"/>
      <c r="O56" s="3269"/>
      <c r="P56" s="3269"/>
      <c r="Q56" s="3269"/>
      <c r="R56" s="3269"/>
      <c r="S56" s="3269"/>
      <c r="T56" s="3269"/>
      <c r="U56" s="3269"/>
      <c r="V56" s="3269"/>
      <c r="W56" s="3269"/>
      <c r="X56" s="3269"/>
      <c r="Y56" s="3369"/>
      <c r="AE56" s="96"/>
    </row>
    <row r="57" spans="1:31" ht="15" hidden="1" customHeight="1">
      <c r="A57" s="3253"/>
      <c r="B57" s="3269"/>
      <c r="C57" s="3269"/>
      <c r="D57" s="3269"/>
      <c r="E57" s="3269"/>
      <c r="F57" s="3269"/>
      <c r="G57" s="3269"/>
      <c r="H57" s="3269"/>
      <c r="I57" s="3269"/>
      <c r="J57" s="3269"/>
      <c r="K57" s="3269"/>
      <c r="L57" s="3269"/>
      <c r="M57" s="3269"/>
      <c r="N57" s="3269"/>
      <c r="O57" s="3269"/>
      <c r="P57" s="3269"/>
      <c r="Q57" s="3269"/>
      <c r="R57" s="3269"/>
      <c r="S57" s="3269"/>
      <c r="T57" s="3269"/>
      <c r="U57" s="3269"/>
      <c r="V57" s="3269"/>
      <c r="W57" s="3269"/>
      <c r="X57" s="3269"/>
      <c r="Y57" s="3369"/>
      <c r="AE57" s="96"/>
    </row>
    <row r="58" spans="1:31" ht="15" hidden="1" customHeight="1">
      <c r="A58" s="3253"/>
      <c r="B58" s="3269"/>
      <c r="C58" s="3269"/>
      <c r="D58" s="3269"/>
      <c r="E58" s="3269"/>
      <c r="F58" s="3269"/>
      <c r="G58" s="3269"/>
      <c r="H58" s="3269"/>
      <c r="I58" s="3269"/>
      <c r="J58" s="3269"/>
      <c r="K58" s="3269"/>
      <c r="L58" s="3269"/>
      <c r="M58" s="3269"/>
      <c r="N58" s="3269"/>
      <c r="O58" s="3269"/>
      <c r="P58" s="3269"/>
      <c r="Q58" s="3269"/>
      <c r="R58" s="3269"/>
      <c r="S58" s="3269"/>
      <c r="T58" s="3269"/>
      <c r="U58" s="3269"/>
      <c r="V58" s="3269"/>
      <c r="W58" s="3269"/>
      <c r="X58" s="3269"/>
      <c r="Y58" s="3369"/>
      <c r="AE58" s="96"/>
    </row>
    <row r="59" spans="1:31" ht="15" hidden="1" customHeight="1">
      <c r="A59" s="3253"/>
      <c r="B59" s="3269"/>
      <c r="C59" s="3269"/>
      <c r="D59" s="3269"/>
      <c r="E59" s="3269"/>
      <c r="F59" s="3269"/>
      <c r="G59" s="3269"/>
      <c r="H59" s="3269"/>
      <c r="I59" s="3269"/>
      <c r="J59" s="3269"/>
      <c r="K59" s="3269"/>
      <c r="L59" s="3269"/>
      <c r="M59" s="3269"/>
      <c r="N59" s="3269"/>
      <c r="O59" s="3269"/>
      <c r="P59" s="3269"/>
      <c r="Q59" s="3269"/>
      <c r="R59" s="3269"/>
      <c r="S59" s="3269"/>
      <c r="T59" s="3269"/>
      <c r="U59" s="3269"/>
      <c r="V59" s="3269"/>
      <c r="W59" s="3269"/>
      <c r="X59" s="3269"/>
      <c r="Y59" s="3369"/>
      <c r="AE59" s="96"/>
    </row>
    <row r="60" spans="1:31" ht="15" hidden="1" customHeight="1">
      <c r="A60" s="3253"/>
      <c r="B60" s="3269"/>
      <c r="C60" s="3269"/>
      <c r="D60" s="3269"/>
      <c r="E60" s="3269"/>
      <c r="F60" s="3269"/>
      <c r="G60" s="3269"/>
      <c r="H60" s="3269"/>
      <c r="I60" s="3269"/>
      <c r="J60" s="3269"/>
      <c r="K60" s="3269"/>
      <c r="L60" s="3269"/>
      <c r="M60" s="3269"/>
      <c r="N60" s="3269"/>
      <c r="O60" s="3269"/>
      <c r="P60" s="3269"/>
      <c r="Q60" s="3269"/>
      <c r="R60" s="3269"/>
      <c r="S60" s="3269"/>
      <c r="T60" s="3269"/>
      <c r="U60" s="3269"/>
      <c r="V60" s="3269"/>
      <c r="W60" s="3269"/>
      <c r="X60" s="3269"/>
      <c r="Y60" s="3369"/>
      <c r="AE60" s="96"/>
    </row>
    <row r="61" spans="1:31" ht="15" hidden="1" customHeight="1">
      <c r="A61" s="3253"/>
      <c r="B61" s="3269"/>
      <c r="C61" s="3269"/>
      <c r="D61" s="3269"/>
      <c r="E61" s="3269"/>
      <c r="F61" s="3269"/>
      <c r="G61" s="3269"/>
      <c r="H61" s="3269"/>
      <c r="I61" s="3269"/>
      <c r="J61" s="3269"/>
      <c r="K61" s="3269"/>
      <c r="L61" s="3269"/>
      <c r="M61" s="3269"/>
      <c r="N61" s="3269"/>
      <c r="O61" s="3269"/>
      <c r="P61" s="3269"/>
      <c r="Q61" s="3269"/>
      <c r="R61" s="3269"/>
      <c r="S61" s="3269"/>
      <c r="T61" s="3269"/>
      <c r="U61" s="3269"/>
      <c r="V61" s="3269"/>
      <c r="W61" s="3269"/>
      <c r="X61" s="3269"/>
      <c r="Y61" s="3369"/>
      <c r="AE61" s="96"/>
    </row>
    <row r="62" spans="1:31" ht="15" hidden="1" customHeight="1">
      <c r="A62" s="3253"/>
      <c r="B62" s="3269"/>
      <c r="C62" s="3269"/>
      <c r="D62" s="3269"/>
      <c r="E62" s="3269"/>
      <c r="F62" s="3269"/>
      <c r="G62" s="3269"/>
      <c r="H62" s="3269"/>
      <c r="I62" s="3269"/>
      <c r="J62" s="3269"/>
      <c r="K62" s="3269"/>
      <c r="L62" s="3269"/>
      <c r="M62" s="3269"/>
      <c r="N62" s="3269"/>
      <c r="O62" s="3269"/>
      <c r="P62" s="3269"/>
      <c r="Q62" s="3269"/>
      <c r="R62" s="3269"/>
      <c r="S62" s="3269"/>
      <c r="T62" s="3269"/>
      <c r="U62" s="3269"/>
      <c r="V62" s="3269"/>
      <c r="W62" s="3269"/>
      <c r="X62" s="3269"/>
      <c r="Y62" s="3369"/>
      <c r="AE62" s="96"/>
    </row>
    <row r="63" spans="1:31" ht="15" hidden="1" customHeight="1">
      <c r="A63" s="3253"/>
      <c r="B63" s="3269"/>
      <c r="C63" s="3269"/>
      <c r="D63" s="3269"/>
      <c r="E63" s="3269"/>
      <c r="F63" s="3269"/>
      <c r="G63" s="3269"/>
      <c r="H63" s="3269"/>
      <c r="I63" s="3269"/>
      <c r="J63" s="3269"/>
      <c r="K63" s="3269"/>
      <c r="L63" s="3269"/>
      <c r="M63" s="3269"/>
      <c r="N63" s="3269"/>
      <c r="O63" s="3269"/>
      <c r="P63" s="3269"/>
      <c r="Q63" s="3269"/>
      <c r="R63" s="3269"/>
      <c r="S63" s="3269"/>
      <c r="T63" s="3269"/>
      <c r="U63" s="3269"/>
      <c r="V63" s="3269"/>
      <c r="W63" s="3269"/>
      <c r="X63" s="3269"/>
      <c r="Y63" s="3369"/>
      <c r="AE63" s="96"/>
    </row>
    <row r="64" spans="1:31" ht="15" hidden="1" customHeight="1">
      <c r="A64" s="3253"/>
      <c r="B64" s="3269"/>
      <c r="C64" s="3269"/>
      <c r="D64" s="3269"/>
      <c r="E64" s="3269"/>
      <c r="F64" s="3269"/>
      <c r="G64" s="3269"/>
      <c r="H64" s="3269"/>
      <c r="I64" s="3269"/>
      <c r="J64" s="3269"/>
      <c r="K64" s="3269"/>
      <c r="L64" s="3269"/>
      <c r="M64" s="3269"/>
      <c r="N64" s="3269"/>
      <c r="O64" s="3269"/>
      <c r="P64" s="3269"/>
      <c r="Q64" s="3269"/>
      <c r="R64" s="3269"/>
      <c r="S64" s="3269"/>
      <c r="T64" s="3269"/>
      <c r="U64" s="3269"/>
      <c r="V64" s="3269"/>
      <c r="W64" s="3269"/>
      <c r="X64" s="3269"/>
      <c r="Y64" s="3369"/>
      <c r="AE64" s="96"/>
    </row>
    <row r="65" spans="1:31" ht="15" hidden="1" customHeight="1">
      <c r="A65" s="3253"/>
      <c r="B65" s="3269"/>
      <c r="C65" s="3269"/>
      <c r="D65" s="3269"/>
      <c r="E65" s="3269"/>
      <c r="F65" s="3269"/>
      <c r="G65" s="3269"/>
      <c r="H65" s="3269"/>
      <c r="I65" s="3269"/>
      <c r="J65" s="3269"/>
      <c r="K65" s="3269"/>
      <c r="L65" s="3269"/>
      <c r="M65" s="3269"/>
      <c r="N65" s="3269"/>
      <c r="O65" s="3269"/>
      <c r="P65" s="3269"/>
      <c r="Q65" s="3269"/>
      <c r="R65" s="3269"/>
      <c r="S65" s="3269"/>
      <c r="T65" s="3269"/>
      <c r="U65" s="3269"/>
      <c r="V65" s="3269"/>
      <c r="W65" s="3269"/>
      <c r="X65" s="3269"/>
      <c r="Y65" s="3369"/>
      <c r="AE65" s="97"/>
    </row>
    <row r="66" spans="1:31" ht="15" hidden="1" customHeight="1">
      <c r="A66" s="3253"/>
      <c r="B66" s="3269"/>
      <c r="C66" s="3269"/>
      <c r="D66" s="3269"/>
      <c r="E66" s="3269"/>
      <c r="F66" s="3269"/>
      <c r="G66" s="3269"/>
      <c r="H66" s="3269"/>
      <c r="I66" s="3269"/>
      <c r="J66" s="3269"/>
      <c r="K66" s="3269"/>
      <c r="L66" s="3269"/>
      <c r="M66" s="3269"/>
      <c r="N66" s="3269"/>
      <c r="O66" s="3269"/>
      <c r="P66" s="3269"/>
      <c r="Q66" s="3269"/>
      <c r="R66" s="3269"/>
      <c r="S66" s="3269"/>
      <c r="T66" s="3269"/>
      <c r="U66" s="3269"/>
      <c r="V66" s="3269"/>
      <c r="W66" s="3269"/>
      <c r="X66" s="3269"/>
      <c r="Y66" s="3369"/>
      <c r="AE66" s="97"/>
    </row>
    <row r="67" spans="1:31" ht="15" hidden="1" customHeight="1">
      <c r="A67" s="3253"/>
      <c r="B67" s="3269"/>
      <c r="C67" s="3269"/>
      <c r="D67" s="3269"/>
      <c r="E67" s="3269"/>
      <c r="F67" s="3269"/>
      <c r="G67" s="3269"/>
      <c r="H67" s="3269"/>
      <c r="I67" s="3269"/>
      <c r="J67" s="3269"/>
      <c r="K67" s="3269"/>
      <c r="L67" s="3269"/>
      <c r="M67" s="3269"/>
      <c r="N67" s="3269"/>
      <c r="O67" s="3269"/>
      <c r="P67" s="3269"/>
      <c r="Q67" s="3269"/>
      <c r="R67" s="3269"/>
      <c r="S67" s="3269"/>
      <c r="T67" s="3269"/>
      <c r="U67" s="3269"/>
      <c r="V67" s="3269"/>
      <c r="W67" s="3269"/>
      <c r="X67" s="3269"/>
      <c r="Y67" s="3369"/>
      <c r="AE67" s="97"/>
    </row>
    <row r="68" spans="1:31" ht="15" hidden="1" customHeight="1">
      <c r="A68" s="3253"/>
      <c r="B68" s="3269"/>
      <c r="C68" s="3269"/>
      <c r="D68" s="3269"/>
      <c r="E68" s="3269"/>
      <c r="F68" s="3269"/>
      <c r="G68" s="3269"/>
      <c r="H68" s="3269"/>
      <c r="I68" s="3269"/>
      <c r="J68" s="3269"/>
      <c r="K68" s="3269"/>
      <c r="L68" s="3269"/>
      <c r="M68" s="3269"/>
      <c r="N68" s="3269"/>
      <c r="O68" s="3269"/>
      <c r="P68" s="3269"/>
      <c r="Q68" s="3269"/>
      <c r="R68" s="3269"/>
      <c r="S68" s="3269"/>
      <c r="T68" s="3269"/>
      <c r="U68" s="3269"/>
      <c r="V68" s="3269"/>
      <c r="W68" s="3269"/>
      <c r="X68" s="3269"/>
      <c r="Y68" s="3369"/>
      <c r="AE68" s="97"/>
    </row>
    <row r="69" spans="1:31" ht="15" hidden="1" customHeight="1">
      <c r="A69" s="3253"/>
      <c r="B69" s="3269"/>
      <c r="C69" s="3269"/>
      <c r="D69" s="3269"/>
      <c r="E69" s="3269"/>
      <c r="F69" s="3269"/>
      <c r="G69" s="3269"/>
      <c r="H69" s="3269"/>
      <c r="I69" s="3269"/>
      <c r="J69" s="3269"/>
      <c r="K69" s="3269"/>
      <c r="L69" s="3269"/>
      <c r="M69" s="3269"/>
      <c r="N69" s="3269"/>
      <c r="O69" s="3269"/>
      <c r="P69" s="3269"/>
      <c r="Q69" s="3269"/>
      <c r="R69" s="3269"/>
      <c r="S69" s="3269"/>
      <c r="T69" s="3269"/>
      <c r="U69" s="3269"/>
      <c r="V69" s="3269"/>
      <c r="W69" s="3269"/>
      <c r="X69" s="3269"/>
      <c r="Y69" s="3369"/>
      <c r="AE69" s="97"/>
    </row>
    <row r="70" spans="1:31" ht="15" hidden="1" customHeight="1">
      <c r="A70" s="3253"/>
      <c r="B70" s="3269"/>
      <c r="C70" s="3269"/>
      <c r="D70" s="3269"/>
      <c r="E70" s="3269"/>
      <c r="F70" s="3269"/>
      <c r="G70" s="3269"/>
      <c r="H70" s="3269"/>
      <c r="I70" s="3269"/>
      <c r="J70" s="3269"/>
      <c r="K70" s="3269"/>
      <c r="L70" s="3269"/>
      <c r="M70" s="3269"/>
      <c r="N70" s="3269"/>
      <c r="O70" s="3269"/>
      <c r="P70" s="3269"/>
      <c r="Q70" s="3269"/>
      <c r="R70" s="3269"/>
      <c r="S70" s="3269"/>
      <c r="T70" s="3269"/>
      <c r="U70" s="3269"/>
      <c r="V70" s="3269"/>
      <c r="W70" s="3269"/>
      <c r="X70" s="3269"/>
      <c r="Y70" s="3369"/>
      <c r="AE70" s="97"/>
    </row>
    <row r="71" spans="1:31" ht="15" hidden="1" customHeight="1">
      <c r="A71" s="3253"/>
      <c r="B71" s="3269"/>
      <c r="C71" s="3269"/>
      <c r="D71" s="3269"/>
      <c r="E71" s="3269"/>
      <c r="F71" s="3269"/>
      <c r="G71" s="3269"/>
      <c r="H71" s="3269"/>
      <c r="I71" s="3269"/>
      <c r="J71" s="3269"/>
      <c r="K71" s="3269"/>
      <c r="L71" s="3269"/>
      <c r="M71" s="3269"/>
      <c r="N71" s="3269"/>
      <c r="O71" s="3269"/>
      <c r="P71" s="3269"/>
      <c r="Q71" s="3269"/>
      <c r="R71" s="3269"/>
      <c r="S71" s="3269"/>
      <c r="T71" s="3269"/>
      <c r="U71" s="3269"/>
      <c r="V71" s="3269"/>
      <c r="W71" s="3269"/>
      <c r="X71" s="3269"/>
      <c r="Y71" s="3369"/>
      <c r="AE71" s="97"/>
    </row>
    <row r="72" spans="1:31" ht="15" hidden="1" customHeight="1">
      <c r="A72" s="3253"/>
      <c r="B72" s="3269"/>
      <c r="C72" s="3269"/>
      <c r="D72" s="3269"/>
      <c r="E72" s="3269"/>
      <c r="F72" s="3269"/>
      <c r="G72" s="3269"/>
      <c r="H72" s="3269"/>
      <c r="I72" s="3269"/>
      <c r="J72" s="3269"/>
      <c r="K72" s="3269"/>
      <c r="L72" s="3269"/>
      <c r="M72" s="3269"/>
      <c r="N72" s="3269"/>
      <c r="O72" s="3269"/>
      <c r="P72" s="3269"/>
      <c r="Q72" s="3269"/>
      <c r="R72" s="3269"/>
      <c r="S72" s="3269"/>
      <c r="T72" s="3269"/>
      <c r="U72" s="3269"/>
      <c r="V72" s="3269"/>
      <c r="W72" s="3269"/>
      <c r="X72" s="3269"/>
      <c r="Y72" s="3369"/>
      <c r="AE72" s="97"/>
    </row>
    <row r="73" spans="1:31" ht="15" hidden="1" customHeight="1">
      <c r="A73" s="3253"/>
      <c r="B73" s="3269"/>
      <c r="C73" s="3269"/>
      <c r="D73" s="3269"/>
      <c r="E73" s="3269"/>
      <c r="F73" s="3269"/>
      <c r="G73" s="3269"/>
      <c r="H73" s="3269"/>
      <c r="I73" s="3269"/>
      <c r="J73" s="3269"/>
      <c r="K73" s="3269"/>
      <c r="L73" s="3269"/>
      <c r="M73" s="3269"/>
      <c r="N73" s="3269"/>
      <c r="O73" s="3269"/>
      <c r="P73" s="3269"/>
      <c r="Q73" s="3269"/>
      <c r="R73" s="3269"/>
      <c r="S73" s="3269"/>
      <c r="T73" s="3269"/>
      <c r="U73" s="3269"/>
      <c r="V73" s="3269"/>
      <c r="W73" s="3269"/>
      <c r="X73" s="3269"/>
      <c r="Y73" s="3369"/>
      <c r="AE73" s="97"/>
    </row>
    <row r="74" spans="1:31" ht="15" hidden="1" customHeight="1">
      <c r="A74" s="3253"/>
      <c r="B74" s="3269"/>
      <c r="C74" s="3269"/>
      <c r="D74" s="3269"/>
      <c r="E74" s="3269"/>
      <c r="F74" s="3269"/>
      <c r="G74" s="3269"/>
      <c r="H74" s="3269"/>
      <c r="I74" s="3269"/>
      <c r="J74" s="3269"/>
      <c r="K74" s="3269"/>
      <c r="L74" s="3269"/>
      <c r="M74" s="3269"/>
      <c r="N74" s="3269"/>
      <c r="O74" s="3269"/>
      <c r="P74" s="3269"/>
      <c r="Q74" s="3269"/>
      <c r="R74" s="3269"/>
      <c r="S74" s="3269"/>
      <c r="T74" s="3269"/>
      <c r="U74" s="3269"/>
      <c r="V74" s="3269"/>
      <c r="W74" s="3269"/>
      <c r="X74" s="3269"/>
      <c r="Y74" s="3369"/>
      <c r="AE74" s="97"/>
    </row>
    <row r="75" spans="1:31" ht="15" hidden="1" customHeight="1">
      <c r="A75" s="3253"/>
      <c r="B75" s="3269"/>
      <c r="C75" s="3269"/>
      <c r="D75" s="3269"/>
      <c r="E75" s="3269"/>
      <c r="F75" s="3269"/>
      <c r="G75" s="3269"/>
      <c r="H75" s="3269"/>
      <c r="I75" s="3269"/>
      <c r="J75" s="3269"/>
      <c r="K75" s="3269"/>
      <c r="L75" s="3269"/>
      <c r="M75" s="3269"/>
      <c r="N75" s="3269"/>
      <c r="O75" s="3269"/>
      <c r="P75" s="3269"/>
      <c r="Q75" s="3269"/>
      <c r="R75" s="3269"/>
      <c r="S75" s="3269"/>
      <c r="T75" s="3269"/>
      <c r="U75" s="3269"/>
      <c r="V75" s="3269"/>
      <c r="W75" s="3269"/>
      <c r="X75" s="3269"/>
      <c r="Y75" s="3369"/>
      <c r="AE75" s="97"/>
    </row>
    <row r="76" spans="1:31" ht="15" hidden="1" customHeight="1">
      <c r="A76" s="3253"/>
      <c r="B76" s="3269"/>
      <c r="C76" s="3269"/>
      <c r="D76" s="3269"/>
      <c r="E76" s="3269"/>
      <c r="F76" s="3269"/>
      <c r="G76" s="3269"/>
      <c r="H76" s="3269"/>
      <c r="I76" s="3269"/>
      <c r="J76" s="3269"/>
      <c r="K76" s="3269"/>
      <c r="L76" s="3269"/>
      <c r="M76" s="3269"/>
      <c r="N76" s="3269"/>
      <c r="O76" s="3269"/>
      <c r="P76" s="3269"/>
      <c r="Q76" s="3269"/>
      <c r="R76" s="3269"/>
      <c r="S76" s="3269"/>
      <c r="T76" s="3269"/>
      <c r="U76" s="3269"/>
      <c r="V76" s="3269"/>
      <c r="W76" s="3269"/>
      <c r="X76" s="3269"/>
      <c r="Y76" s="3369"/>
      <c r="AE76" s="97"/>
    </row>
    <row r="77" spans="1:31" ht="15" hidden="1" customHeight="1">
      <c r="A77" s="3253"/>
      <c r="B77" s="3269"/>
      <c r="C77" s="3269"/>
      <c r="D77" s="3269"/>
      <c r="E77" s="3269"/>
      <c r="F77" s="3269"/>
      <c r="G77" s="3269"/>
      <c r="H77" s="3269"/>
      <c r="I77" s="3269"/>
      <c r="J77" s="3269"/>
      <c r="K77" s="3269"/>
      <c r="L77" s="3269"/>
      <c r="M77" s="3269"/>
      <c r="N77" s="3269"/>
      <c r="O77" s="3269"/>
      <c r="P77" s="3269"/>
      <c r="Q77" s="3269"/>
      <c r="R77" s="3269"/>
      <c r="S77" s="3269"/>
      <c r="T77" s="3269"/>
      <c r="U77" s="3269"/>
      <c r="V77" s="3269"/>
      <c r="W77" s="3269"/>
      <c r="X77" s="3269"/>
      <c r="Y77" s="3369"/>
      <c r="AE77" s="97"/>
    </row>
    <row r="78" spans="1:31" ht="15" hidden="1" customHeight="1">
      <c r="A78" s="3253"/>
      <c r="B78" s="3269"/>
      <c r="C78" s="3269"/>
      <c r="D78" s="3269"/>
      <c r="E78" s="3269"/>
      <c r="F78" s="3269"/>
      <c r="G78" s="3269"/>
      <c r="H78" s="3269"/>
      <c r="I78" s="3269"/>
      <c r="J78" s="3269"/>
      <c r="K78" s="3269"/>
      <c r="L78" s="3269"/>
      <c r="M78" s="3269"/>
      <c r="N78" s="3269"/>
      <c r="O78" s="3269"/>
      <c r="P78" s="3269"/>
      <c r="Q78" s="3269"/>
      <c r="R78" s="3269"/>
      <c r="S78" s="3269"/>
      <c r="T78" s="3269"/>
      <c r="U78" s="3269"/>
      <c r="V78" s="3269"/>
      <c r="W78" s="3269"/>
      <c r="X78" s="3269"/>
      <c r="Y78" s="3369"/>
      <c r="AE78" s="97"/>
    </row>
    <row r="79" spans="1:31" ht="15" hidden="1" customHeight="1">
      <c r="A79" s="3253"/>
      <c r="B79" s="3269"/>
      <c r="C79" s="3269"/>
      <c r="D79" s="3269"/>
      <c r="E79" s="3269"/>
      <c r="F79" s="3269"/>
      <c r="G79" s="3269"/>
      <c r="H79" s="3269"/>
      <c r="I79" s="3269"/>
      <c r="J79" s="3269"/>
      <c r="K79" s="3269"/>
      <c r="L79" s="3269"/>
      <c r="M79" s="3269"/>
      <c r="N79" s="3269"/>
      <c r="O79" s="3269"/>
      <c r="P79" s="3269"/>
      <c r="Q79" s="3269"/>
      <c r="R79" s="3269"/>
      <c r="S79" s="3269"/>
      <c r="T79" s="3269"/>
      <c r="U79" s="3269"/>
      <c r="V79" s="3269"/>
      <c r="W79" s="3269"/>
      <c r="X79" s="3269"/>
      <c r="Y79" s="3369"/>
      <c r="AE79" s="97"/>
    </row>
    <row r="80" spans="1:31" ht="15" hidden="1" customHeight="1">
      <c r="A80" s="3253"/>
      <c r="B80" s="3269"/>
      <c r="C80" s="3269"/>
      <c r="D80" s="3269"/>
      <c r="E80" s="3269"/>
      <c r="F80" s="3269"/>
      <c r="G80" s="3269"/>
      <c r="H80" s="3269"/>
      <c r="I80" s="3269"/>
      <c r="J80" s="3269"/>
      <c r="K80" s="3269"/>
      <c r="L80" s="3269"/>
      <c r="M80" s="3269"/>
      <c r="N80" s="3269"/>
      <c r="O80" s="3269"/>
      <c r="P80" s="3269"/>
      <c r="Q80" s="3269"/>
      <c r="R80" s="3269"/>
      <c r="S80" s="3269"/>
      <c r="T80" s="3269"/>
      <c r="U80" s="3269"/>
      <c r="V80" s="3269"/>
      <c r="W80" s="3269"/>
      <c r="X80" s="3269"/>
      <c r="Y80" s="3369"/>
      <c r="AE80" s="97"/>
    </row>
    <row r="81" spans="1:50" ht="15" hidden="1" customHeight="1">
      <c r="A81" s="3253"/>
      <c r="B81" s="3269"/>
      <c r="C81" s="3269"/>
      <c r="D81" s="3269"/>
      <c r="E81" s="3269"/>
      <c r="F81" s="3269"/>
      <c r="G81" s="3269"/>
      <c r="H81" s="3269"/>
      <c r="I81" s="3269"/>
      <c r="J81" s="3269"/>
      <c r="K81" s="3269"/>
      <c r="L81" s="3269"/>
      <c r="M81" s="3269"/>
      <c r="N81" s="3269"/>
      <c r="O81" s="3269"/>
      <c r="P81" s="3269"/>
      <c r="Q81" s="3269"/>
      <c r="R81" s="3269"/>
      <c r="S81" s="3269"/>
      <c r="T81" s="3269"/>
      <c r="U81" s="3269"/>
      <c r="V81" s="3269"/>
      <c r="W81" s="3269"/>
      <c r="X81" s="3269"/>
      <c r="Y81" s="3369"/>
      <c r="AE81" s="97"/>
    </row>
    <row r="82" spans="1:50" ht="15" hidden="1" customHeight="1">
      <c r="A82" s="3253"/>
      <c r="B82" s="3269"/>
      <c r="C82" s="3269"/>
      <c r="D82" s="3269"/>
      <c r="E82" s="3269"/>
      <c r="F82" s="3269"/>
      <c r="G82" s="3269"/>
      <c r="H82" s="3269"/>
      <c r="I82" s="3269"/>
      <c r="J82" s="3269"/>
      <c r="K82" s="3269"/>
      <c r="L82" s="3269"/>
      <c r="M82" s="3269"/>
      <c r="N82" s="3269"/>
      <c r="O82" s="3269"/>
      <c r="P82" s="3269"/>
      <c r="Q82" s="3269"/>
      <c r="R82" s="3269"/>
      <c r="S82" s="3269"/>
      <c r="T82" s="3269"/>
      <c r="U82" s="3269"/>
      <c r="V82" s="3269"/>
      <c r="W82" s="3269"/>
      <c r="X82" s="3269"/>
      <c r="Y82" s="3369"/>
      <c r="AE82" s="97"/>
    </row>
    <row r="83" spans="1:50" ht="15" hidden="1" customHeight="1">
      <c r="A83" s="3253"/>
      <c r="B83" s="3269"/>
      <c r="C83" s="3269"/>
      <c r="D83" s="3269"/>
      <c r="E83" s="3269"/>
      <c r="F83" s="3269"/>
      <c r="G83" s="3269"/>
      <c r="H83" s="3269"/>
      <c r="I83" s="3269"/>
      <c r="J83" s="3269"/>
      <c r="K83" s="3269"/>
      <c r="L83" s="3269"/>
      <c r="M83" s="3269"/>
      <c r="N83" s="3269"/>
      <c r="O83" s="3269"/>
      <c r="P83" s="3269"/>
      <c r="Q83" s="3269"/>
      <c r="R83" s="3269"/>
      <c r="S83" s="3269"/>
      <c r="T83" s="3269"/>
      <c r="U83" s="3269"/>
      <c r="V83" s="3269"/>
      <c r="W83" s="3269"/>
      <c r="X83" s="3269"/>
      <c r="Y83" s="3369"/>
      <c r="AE83" s="97"/>
    </row>
    <row r="84" spans="1:50" ht="15" hidden="1" customHeight="1">
      <c r="A84" s="3253"/>
      <c r="B84" s="3269"/>
      <c r="C84" s="3269"/>
      <c r="D84" s="3269"/>
      <c r="E84" s="3269"/>
      <c r="F84" s="3269"/>
      <c r="G84" s="3269"/>
      <c r="H84" s="3269"/>
      <c r="I84" s="3269"/>
      <c r="J84" s="3269"/>
      <c r="K84" s="3269"/>
      <c r="L84" s="3269"/>
      <c r="M84" s="3269"/>
      <c r="N84" s="3269"/>
      <c r="O84" s="3269"/>
      <c r="P84" s="3269"/>
      <c r="Q84" s="3269"/>
      <c r="R84" s="3269"/>
      <c r="S84" s="3269"/>
      <c r="T84" s="3269"/>
      <c r="U84" s="3269"/>
      <c r="V84" s="3269"/>
      <c r="W84" s="3269"/>
      <c r="X84" s="3269"/>
      <c r="Y84" s="3369"/>
      <c r="AE84" s="97"/>
    </row>
    <row r="85" spans="1:50" ht="15" hidden="1" customHeight="1">
      <c r="A85" s="3253"/>
      <c r="B85" s="3269"/>
      <c r="C85" s="3269"/>
      <c r="D85" s="3269"/>
      <c r="E85" s="3269"/>
      <c r="F85" s="3269"/>
      <c r="G85" s="3269"/>
      <c r="H85" s="3269"/>
      <c r="I85" s="3269"/>
      <c r="J85" s="3269"/>
      <c r="K85" s="3269"/>
      <c r="L85" s="3269"/>
      <c r="M85" s="3269"/>
      <c r="N85" s="3269"/>
      <c r="O85" s="3269"/>
      <c r="P85" s="3269"/>
      <c r="Q85" s="3269"/>
      <c r="R85" s="3269"/>
      <c r="S85" s="3269"/>
      <c r="T85" s="3269"/>
      <c r="U85" s="3269"/>
      <c r="V85" s="3269"/>
      <c r="W85" s="3269"/>
      <c r="X85" s="3269"/>
      <c r="Y85" s="3369"/>
      <c r="AE85" s="97"/>
    </row>
    <row r="86" spans="1:50" ht="15" hidden="1" customHeight="1">
      <c r="A86" s="3253"/>
      <c r="B86" s="3269"/>
      <c r="C86" s="3269"/>
      <c r="D86" s="3269"/>
      <c r="E86" s="3269"/>
      <c r="F86" s="3269"/>
      <c r="G86" s="3269"/>
      <c r="H86" s="3269"/>
      <c r="I86" s="3269"/>
      <c r="J86" s="3269"/>
      <c r="K86" s="3269"/>
      <c r="L86" s="3269"/>
      <c r="M86" s="3269"/>
      <c r="N86" s="3269"/>
      <c r="O86" s="3269"/>
      <c r="P86" s="3269"/>
      <c r="Q86" s="3269"/>
      <c r="R86" s="3269"/>
      <c r="S86" s="3269"/>
      <c r="T86" s="3269"/>
      <c r="U86" s="3269"/>
      <c r="V86" s="3269"/>
      <c r="W86" s="3269"/>
      <c r="X86" s="3269"/>
      <c r="Y86" s="3369"/>
      <c r="AE86" s="97"/>
    </row>
    <row r="87" spans="1:50" ht="15" hidden="1" customHeight="1">
      <c r="A87" s="3253"/>
      <c r="B87" s="3269"/>
      <c r="C87" s="3269"/>
      <c r="D87" s="3269"/>
      <c r="E87" s="3269"/>
      <c r="F87" s="3269"/>
      <c r="G87" s="3269"/>
      <c r="H87" s="3269"/>
      <c r="I87" s="3269"/>
      <c r="J87" s="3269"/>
      <c r="K87" s="3269"/>
      <c r="L87" s="3269"/>
      <c r="M87" s="3269"/>
      <c r="N87" s="3269"/>
      <c r="O87" s="3269"/>
      <c r="P87" s="3269"/>
      <c r="Q87" s="3269"/>
      <c r="R87" s="3269"/>
      <c r="S87" s="3269"/>
      <c r="T87" s="3269"/>
      <c r="U87" s="3269"/>
      <c r="V87" s="3269"/>
      <c r="W87" s="3269"/>
      <c r="X87" s="3269"/>
      <c r="Y87" s="3369"/>
      <c r="AE87" s="97"/>
    </row>
    <row r="88" spans="1:50" ht="15" hidden="1" customHeight="1">
      <c r="A88" s="3253"/>
      <c r="B88" s="3269"/>
      <c r="C88" s="3269"/>
      <c r="D88" s="3269"/>
      <c r="E88" s="3269"/>
      <c r="F88" s="3269"/>
      <c r="G88" s="3269"/>
      <c r="H88" s="3269"/>
      <c r="I88" s="3269"/>
      <c r="J88" s="3269"/>
      <c r="K88" s="3269"/>
      <c r="L88" s="3269"/>
      <c r="M88" s="3269"/>
      <c r="N88" s="3269"/>
      <c r="O88" s="3269"/>
      <c r="P88" s="3269"/>
      <c r="Q88" s="3269"/>
      <c r="R88" s="3269"/>
      <c r="S88" s="3269"/>
      <c r="T88" s="3269"/>
      <c r="U88" s="3269"/>
      <c r="V88" s="3269"/>
      <c r="W88" s="3269"/>
      <c r="X88" s="3269"/>
      <c r="Y88" s="3369"/>
      <c r="AE88" s="97"/>
    </row>
    <row r="89" spans="1:50" ht="15" hidden="1" customHeight="1">
      <c r="A89" s="3253"/>
      <c r="B89" s="3269"/>
      <c r="C89" s="3269"/>
      <c r="D89" s="3269"/>
      <c r="E89" s="3269"/>
      <c r="F89" s="3269"/>
      <c r="G89" s="3269"/>
      <c r="H89" s="3269"/>
      <c r="I89" s="3269"/>
      <c r="J89" s="3269"/>
      <c r="K89" s="3269"/>
      <c r="L89" s="3269"/>
      <c r="M89" s="3269"/>
      <c r="N89" s="3269"/>
      <c r="O89" s="3269"/>
      <c r="P89" s="3269"/>
      <c r="Q89" s="3269"/>
      <c r="R89" s="3269"/>
      <c r="S89" s="3269"/>
      <c r="T89" s="3269"/>
      <c r="U89" s="3269"/>
      <c r="V89" s="3269"/>
      <c r="W89" s="3269"/>
      <c r="X89" s="3269"/>
      <c r="Y89" s="3369"/>
      <c r="AE89" s="97"/>
    </row>
    <row r="90" spans="1:50" ht="15" hidden="1" customHeight="1">
      <c r="A90" s="3253"/>
      <c r="B90" s="3269"/>
      <c r="C90" s="3269"/>
      <c r="D90" s="3269"/>
      <c r="E90" s="3269"/>
      <c r="F90" s="3269"/>
      <c r="G90" s="3269"/>
      <c r="H90" s="3269"/>
      <c r="I90" s="3269"/>
      <c r="J90" s="3269"/>
      <c r="K90" s="3269"/>
      <c r="L90" s="3269"/>
      <c r="M90" s="3269"/>
      <c r="N90" s="3269"/>
      <c r="O90" s="3269"/>
      <c r="P90" s="3269"/>
      <c r="Q90" s="3269"/>
      <c r="R90" s="3269"/>
      <c r="S90" s="3269"/>
      <c r="T90" s="3269"/>
      <c r="U90" s="3269"/>
      <c r="V90" s="3269"/>
      <c r="W90" s="3269"/>
      <c r="X90" s="3269"/>
      <c r="Y90" s="3369"/>
      <c r="AE90" s="97"/>
      <c r="AU90" s="98" t="e">
        <f>#REF!</f>
        <v>#REF!</v>
      </c>
    </row>
    <row r="91" spans="1:50" ht="15" hidden="1" customHeight="1">
      <c r="A91" s="3253"/>
      <c r="B91" s="3269"/>
      <c r="C91" s="3269"/>
      <c r="D91" s="3269"/>
      <c r="E91" s="3269"/>
      <c r="F91" s="3269"/>
      <c r="G91" s="3269"/>
      <c r="H91" s="3269"/>
      <c r="I91" s="3269"/>
      <c r="J91" s="3269"/>
      <c r="K91" s="3269"/>
      <c r="L91" s="3269"/>
      <c r="M91" s="3269"/>
      <c r="N91" s="3269"/>
      <c r="O91" s="3269"/>
      <c r="P91" s="3269"/>
      <c r="Q91" s="3269"/>
      <c r="R91" s="3269"/>
      <c r="S91" s="3269"/>
      <c r="T91" s="3269"/>
      <c r="U91" s="3269"/>
      <c r="V91" s="3269"/>
      <c r="W91" s="3269"/>
      <c r="X91" s="3269"/>
      <c r="Y91" s="3369"/>
      <c r="AE91" s="97"/>
      <c r="AU91" s="98" t="e">
        <f>#REF!</f>
        <v>#REF!</v>
      </c>
    </row>
    <row r="92" spans="1:50" ht="15" hidden="1" customHeight="1">
      <c r="A92" s="3253"/>
      <c r="B92" s="3269"/>
      <c r="C92" s="3269"/>
      <c r="D92" s="3269"/>
      <c r="E92" s="3269"/>
      <c r="F92" s="3269"/>
      <c r="G92" s="3269"/>
      <c r="H92" s="3269"/>
      <c r="I92" s="3269"/>
      <c r="J92" s="3269"/>
      <c r="K92" s="3269"/>
      <c r="L92" s="3269"/>
      <c r="M92" s="3269"/>
      <c r="N92" s="3269"/>
      <c r="O92" s="3269"/>
      <c r="P92" s="3269"/>
      <c r="Q92" s="3269"/>
      <c r="R92" s="3269"/>
      <c r="S92" s="3269"/>
      <c r="T92" s="3269"/>
      <c r="U92" s="3269"/>
      <c r="V92" s="3269"/>
      <c r="W92" s="3269"/>
      <c r="X92" s="3269"/>
      <c r="Y92" s="3369"/>
      <c r="AE92" s="97"/>
      <c r="AU92" s="98" t="e">
        <f>#REF!</f>
        <v>#REF!</v>
      </c>
      <c r="AX92" s="98" t="e">
        <f>#REF!</f>
        <v>#REF!</v>
      </c>
    </row>
    <row r="93" spans="1:50" ht="15" hidden="1" customHeight="1">
      <c r="A93" s="3253"/>
      <c r="B93" s="3269"/>
      <c r="C93" s="3269"/>
      <c r="D93" s="3269"/>
      <c r="E93" s="3269"/>
      <c r="F93" s="3269"/>
      <c r="G93" s="3269"/>
      <c r="H93" s="3269"/>
      <c r="I93" s="3269"/>
      <c r="J93" s="3269"/>
      <c r="K93" s="3269"/>
      <c r="L93" s="3269"/>
      <c r="M93" s="3269"/>
      <c r="N93" s="3269"/>
      <c r="O93" s="3269"/>
      <c r="P93" s="3269"/>
      <c r="Q93" s="3269"/>
      <c r="R93" s="3269"/>
      <c r="S93" s="3269"/>
      <c r="T93" s="3269"/>
      <c r="U93" s="3269"/>
      <c r="V93" s="3269"/>
      <c r="W93" s="3269"/>
      <c r="X93" s="3269"/>
      <c r="Y93" s="3369"/>
      <c r="AE93" s="97"/>
      <c r="AU93" s="13" t="e">
        <f>AX92&amp;""&amp;AX93</f>
        <v>#REF!</v>
      </c>
      <c r="AX93" s="13" t="s">
        <v>244</v>
      </c>
    </row>
    <row r="94" spans="1:50" ht="15" hidden="1" customHeight="1">
      <c r="A94" s="3253"/>
      <c r="B94" s="3269"/>
      <c r="C94" s="3269"/>
      <c r="D94" s="3269"/>
      <c r="E94" s="3269"/>
      <c r="F94" s="3269"/>
      <c r="G94" s="3269"/>
      <c r="H94" s="3269"/>
      <c r="I94" s="3269"/>
      <c r="J94" s="3269"/>
      <c r="K94" s="3269"/>
      <c r="L94" s="3269"/>
      <c r="M94" s="3269"/>
      <c r="N94" s="3269"/>
      <c r="O94" s="3269"/>
      <c r="P94" s="3269"/>
      <c r="Q94" s="3269"/>
      <c r="R94" s="3269"/>
      <c r="S94" s="3269"/>
      <c r="T94" s="3269"/>
      <c r="U94" s="3269"/>
      <c r="V94" s="3269"/>
      <c r="W94" s="3269"/>
      <c r="X94" s="3269"/>
      <c r="Y94" s="3369"/>
      <c r="AE94" s="97"/>
      <c r="AU94" s="98" t="e">
        <f>#REF!</f>
        <v>#REF!</v>
      </c>
    </row>
    <row r="95" spans="1:50" ht="15" hidden="1" customHeight="1">
      <c r="A95" s="3253"/>
      <c r="B95" s="3269"/>
      <c r="C95" s="3269"/>
      <c r="D95" s="3269"/>
      <c r="E95" s="3269"/>
      <c r="F95" s="3269"/>
      <c r="G95" s="3269"/>
      <c r="H95" s="3269"/>
      <c r="I95" s="3269"/>
      <c r="J95" s="3269"/>
      <c r="K95" s="3269"/>
      <c r="L95" s="3269"/>
      <c r="M95" s="3269"/>
      <c r="N95" s="3269"/>
      <c r="O95" s="3269"/>
      <c r="P95" s="3269"/>
      <c r="Q95" s="3269"/>
      <c r="R95" s="3269"/>
      <c r="S95" s="3269"/>
      <c r="T95" s="3269"/>
      <c r="U95" s="3269"/>
      <c r="V95" s="3269"/>
      <c r="W95" s="3269"/>
      <c r="X95" s="3269"/>
      <c r="Y95" s="3369"/>
      <c r="AE95" s="97"/>
      <c r="AU95" s="98" t="e">
        <f>#REF!</f>
        <v>#REF!</v>
      </c>
    </row>
    <row r="96" spans="1:50" ht="15" hidden="1" customHeight="1">
      <c r="A96" s="3253"/>
      <c r="B96" s="3269"/>
      <c r="C96" s="3269"/>
      <c r="D96" s="3269"/>
      <c r="E96" s="3269"/>
      <c r="F96" s="3269"/>
      <c r="G96" s="3269"/>
      <c r="H96" s="3269"/>
      <c r="I96" s="3269"/>
      <c r="J96" s="3269"/>
      <c r="K96" s="3269"/>
      <c r="L96" s="3269"/>
      <c r="M96" s="3269"/>
      <c r="N96" s="3269"/>
      <c r="O96" s="3269"/>
      <c r="P96" s="3269"/>
      <c r="Q96" s="3269"/>
      <c r="R96" s="3269"/>
      <c r="S96" s="3269"/>
      <c r="T96" s="3269"/>
      <c r="U96" s="3269"/>
      <c r="V96" s="3269"/>
      <c r="W96" s="3269"/>
      <c r="X96" s="3269"/>
      <c r="Y96" s="3369"/>
      <c r="AE96" s="97"/>
      <c r="AU96" s="98" t="e">
        <f>#REF!</f>
        <v>#REF!</v>
      </c>
    </row>
    <row r="97" spans="1:47" ht="15" hidden="1" customHeight="1">
      <c r="A97" s="3253"/>
      <c r="B97" s="3269"/>
      <c r="C97" s="3269"/>
      <c r="D97" s="3269"/>
      <c r="E97" s="3269"/>
      <c r="F97" s="3269"/>
      <c r="G97" s="3269"/>
      <c r="H97" s="3269"/>
      <c r="I97" s="3269"/>
      <c r="J97" s="3269"/>
      <c r="K97" s="3269"/>
      <c r="L97" s="3269"/>
      <c r="M97" s="3269"/>
      <c r="N97" s="3269"/>
      <c r="O97" s="3269"/>
      <c r="P97" s="3269"/>
      <c r="Q97" s="3269"/>
      <c r="R97" s="3269"/>
      <c r="S97" s="3269"/>
      <c r="T97" s="3269"/>
      <c r="U97" s="3269"/>
      <c r="V97" s="3269"/>
      <c r="W97" s="3269"/>
      <c r="X97" s="3269"/>
      <c r="Y97" s="3369"/>
      <c r="AE97" s="97"/>
      <c r="AU97" s="98"/>
    </row>
    <row r="98" spans="1:47" ht="15" hidden="1" customHeight="1">
      <c r="A98" s="3253"/>
      <c r="B98" s="3269"/>
      <c r="C98" s="3269"/>
      <c r="D98" s="3269"/>
      <c r="E98" s="3269"/>
      <c r="F98" s="3269"/>
      <c r="G98" s="3269"/>
      <c r="H98" s="3269"/>
      <c r="I98" s="3269"/>
      <c r="J98" s="3269"/>
      <c r="K98" s="3269"/>
      <c r="L98" s="3269"/>
      <c r="M98" s="3269"/>
      <c r="N98" s="3269"/>
      <c r="O98" s="3269"/>
      <c r="P98" s="3269"/>
      <c r="Q98" s="3269"/>
      <c r="R98" s="3269"/>
      <c r="S98" s="3269"/>
      <c r="T98" s="3269"/>
      <c r="U98" s="3269"/>
      <c r="V98" s="3269"/>
      <c r="W98" s="3269"/>
      <c r="X98" s="3269"/>
      <c r="Y98" s="3369"/>
      <c r="AE98" s="96"/>
      <c r="AU98" s="98" t="e">
        <f>#REF!</f>
        <v>#REF!</v>
      </c>
    </row>
    <row r="99" spans="1:47" ht="15" hidden="1" customHeight="1">
      <c r="A99" s="3253"/>
      <c r="B99" s="3269"/>
      <c r="C99" s="3269"/>
      <c r="D99" s="3269"/>
      <c r="E99" s="3269"/>
      <c r="F99" s="3269"/>
      <c r="G99" s="3269"/>
      <c r="H99" s="3269"/>
      <c r="I99" s="3269"/>
      <c r="J99" s="3269"/>
      <c r="K99" s="3269"/>
      <c r="L99" s="3269"/>
      <c r="M99" s="3269"/>
      <c r="N99" s="3269"/>
      <c r="O99" s="3269"/>
      <c r="P99" s="3269"/>
      <c r="Q99" s="3269"/>
      <c r="R99" s="3269"/>
      <c r="S99" s="3269"/>
      <c r="T99" s="3269"/>
      <c r="U99" s="3269"/>
      <c r="V99" s="3269"/>
      <c r="W99" s="3269"/>
      <c r="X99" s="3269"/>
      <c r="Y99" s="3369"/>
      <c r="AE99" s="96"/>
    </row>
    <row r="100" spans="1:47" ht="15" hidden="1" customHeight="1">
      <c r="A100" s="3253"/>
      <c r="B100" s="3269"/>
      <c r="C100" s="3269"/>
      <c r="D100" s="3269"/>
      <c r="E100" s="3269"/>
      <c r="F100" s="3269"/>
      <c r="G100" s="3269"/>
      <c r="H100" s="3269"/>
      <c r="I100" s="3269"/>
      <c r="J100" s="3269"/>
      <c r="K100" s="3269"/>
      <c r="L100" s="3269"/>
      <c r="M100" s="3269"/>
      <c r="N100" s="3269"/>
      <c r="O100" s="3269"/>
      <c r="P100" s="3269"/>
      <c r="Q100" s="3269"/>
      <c r="R100" s="3269"/>
      <c r="S100" s="3269"/>
      <c r="T100" s="3269"/>
      <c r="U100" s="3269"/>
      <c r="V100" s="3269"/>
      <c r="W100" s="3269"/>
      <c r="X100" s="3269"/>
      <c r="Y100" s="3369"/>
      <c r="AE100" s="96"/>
    </row>
    <row r="101" spans="1:47" ht="15" hidden="1" customHeight="1">
      <c r="A101" s="3253"/>
      <c r="B101" s="3269"/>
      <c r="C101" s="3269"/>
      <c r="D101" s="3269"/>
      <c r="E101" s="3269"/>
      <c r="F101" s="3269"/>
      <c r="G101" s="3269"/>
      <c r="H101" s="3269"/>
      <c r="I101" s="3269"/>
      <c r="J101" s="3269"/>
      <c r="K101" s="3269"/>
      <c r="L101" s="3269"/>
      <c r="M101" s="3269"/>
      <c r="N101" s="3269"/>
      <c r="O101" s="3269"/>
      <c r="P101" s="3269"/>
      <c r="Q101" s="3269"/>
      <c r="R101" s="3269"/>
      <c r="S101" s="3269"/>
      <c r="T101" s="3269"/>
      <c r="U101" s="3269"/>
      <c r="V101" s="3269"/>
      <c r="W101" s="3269"/>
      <c r="X101" s="3269"/>
      <c r="Y101" s="3369"/>
      <c r="AE101" s="96"/>
    </row>
    <row r="102" spans="1:47" ht="15" hidden="1" customHeight="1">
      <c r="A102" s="3253"/>
      <c r="B102" s="3269"/>
      <c r="C102" s="3269"/>
      <c r="D102" s="3269"/>
      <c r="E102" s="3269"/>
      <c r="F102" s="3269"/>
      <c r="G102" s="3269"/>
      <c r="H102" s="3269"/>
      <c r="I102" s="3269"/>
      <c r="J102" s="3269"/>
      <c r="K102" s="3269"/>
      <c r="L102" s="3269"/>
      <c r="M102" s="3269"/>
      <c r="N102" s="3269"/>
      <c r="O102" s="3269"/>
      <c r="P102" s="3269"/>
      <c r="Q102" s="3269"/>
      <c r="R102" s="3269"/>
      <c r="S102" s="3269"/>
      <c r="T102" s="3269"/>
      <c r="U102" s="3269"/>
      <c r="V102" s="3269"/>
      <c r="W102" s="3269"/>
      <c r="X102" s="3269"/>
      <c r="Y102" s="3369"/>
      <c r="AE102" s="96"/>
    </row>
    <row r="103" spans="1:47" ht="15" hidden="1" customHeight="1">
      <c r="A103" s="3253"/>
      <c r="B103" s="3269"/>
      <c r="C103" s="3269"/>
      <c r="D103" s="3269"/>
      <c r="E103" s="3269"/>
      <c r="F103" s="3269"/>
      <c r="G103" s="3269"/>
      <c r="H103" s="3269"/>
      <c r="I103" s="3269"/>
      <c r="J103" s="3269"/>
      <c r="K103" s="3269"/>
      <c r="L103" s="3269"/>
      <c r="M103" s="3269"/>
      <c r="N103" s="3269"/>
      <c r="O103" s="3269"/>
      <c r="P103" s="3269"/>
      <c r="Q103" s="3269"/>
      <c r="R103" s="3269"/>
      <c r="S103" s="3269"/>
      <c r="T103" s="3269"/>
      <c r="U103" s="3269"/>
      <c r="V103" s="3269"/>
      <c r="W103" s="3269"/>
      <c r="X103" s="3269"/>
      <c r="Y103" s="3369"/>
      <c r="AE103" s="96"/>
    </row>
    <row r="104" spans="1:47" ht="15" hidden="1" customHeight="1">
      <c r="A104" s="3253"/>
      <c r="B104" s="3269"/>
      <c r="C104" s="3269"/>
      <c r="D104" s="3269"/>
      <c r="E104" s="3269"/>
      <c r="F104" s="3269"/>
      <c r="G104" s="3269"/>
      <c r="H104" s="3269"/>
      <c r="I104" s="3269"/>
      <c r="J104" s="3269"/>
      <c r="K104" s="3269"/>
      <c r="L104" s="3269"/>
      <c r="M104" s="3269"/>
      <c r="N104" s="3269"/>
      <c r="O104" s="3269"/>
      <c r="P104" s="3269"/>
      <c r="Q104" s="3269"/>
      <c r="R104" s="3269"/>
      <c r="S104" s="3269"/>
      <c r="T104" s="3269"/>
      <c r="U104" s="3269"/>
      <c r="V104" s="3269"/>
      <c r="W104" s="3269"/>
      <c r="X104" s="3269"/>
      <c r="Y104" s="3369"/>
      <c r="AE104" s="96"/>
    </row>
    <row r="105" spans="1:47" ht="15" hidden="1" customHeight="1">
      <c r="A105" s="3253"/>
      <c r="B105" s="3269"/>
      <c r="C105" s="3269"/>
      <c r="D105" s="3269"/>
      <c r="E105" s="3269"/>
      <c r="F105" s="3269"/>
      <c r="G105" s="3269"/>
      <c r="H105" s="3269"/>
      <c r="I105" s="3269"/>
      <c r="J105" s="3269"/>
      <c r="K105" s="3269"/>
      <c r="L105" s="3269"/>
      <c r="M105" s="3269"/>
      <c r="N105" s="3269"/>
      <c r="O105" s="3269"/>
      <c r="P105" s="3269"/>
      <c r="Q105" s="3269"/>
      <c r="R105" s="3269"/>
      <c r="S105" s="3269"/>
      <c r="T105" s="3269"/>
      <c r="U105" s="3269"/>
      <c r="V105" s="3269"/>
      <c r="W105" s="3269"/>
      <c r="X105" s="3269"/>
      <c r="Y105" s="3369"/>
      <c r="AE105" s="96"/>
    </row>
    <row r="106" spans="1:47" ht="15" hidden="1" customHeight="1">
      <c r="A106" s="3253"/>
      <c r="B106" s="3269"/>
      <c r="C106" s="3269"/>
      <c r="D106" s="3269"/>
      <c r="E106" s="3269"/>
      <c r="F106" s="3269"/>
      <c r="G106" s="3269"/>
      <c r="H106" s="3269"/>
      <c r="I106" s="3269"/>
      <c r="J106" s="3269"/>
      <c r="K106" s="3269"/>
      <c r="L106" s="3269"/>
      <c r="M106" s="3269"/>
      <c r="N106" s="3269"/>
      <c r="O106" s="3269"/>
      <c r="P106" s="3269"/>
      <c r="Q106" s="3269"/>
      <c r="R106" s="3269"/>
      <c r="S106" s="3269"/>
      <c r="T106" s="3269"/>
      <c r="U106" s="3269"/>
      <c r="V106" s="3269"/>
      <c r="W106" s="3269"/>
      <c r="X106" s="3269"/>
      <c r="Y106" s="3369"/>
      <c r="AE106" s="96"/>
    </row>
    <row r="107" spans="1:47" ht="15" hidden="1" customHeight="1">
      <c r="A107" s="3253"/>
      <c r="B107" s="3269"/>
      <c r="C107" s="3269"/>
      <c r="D107" s="3269"/>
      <c r="E107" s="3269"/>
      <c r="F107" s="3269"/>
      <c r="G107" s="3269"/>
      <c r="H107" s="3269"/>
      <c r="I107" s="3269"/>
      <c r="J107" s="3269"/>
      <c r="K107" s="3269"/>
      <c r="L107" s="3269"/>
      <c r="M107" s="3269"/>
      <c r="N107" s="3269"/>
      <c r="O107" s="3269"/>
      <c r="P107" s="3269"/>
      <c r="Q107" s="3269"/>
      <c r="R107" s="3269"/>
      <c r="S107" s="3269"/>
      <c r="T107" s="3269"/>
      <c r="U107" s="3269"/>
      <c r="V107" s="3269"/>
      <c r="W107" s="3269"/>
      <c r="X107" s="3269"/>
      <c r="Y107" s="3369"/>
      <c r="AE107" s="96"/>
    </row>
    <row r="108" spans="1:47" ht="15" hidden="1" customHeight="1">
      <c r="A108" s="3253"/>
      <c r="B108" s="3269"/>
      <c r="C108" s="3269"/>
      <c r="D108" s="3269"/>
      <c r="E108" s="3269"/>
      <c r="F108" s="3269"/>
      <c r="G108" s="3269"/>
      <c r="H108" s="3269"/>
      <c r="I108" s="3269"/>
      <c r="J108" s="3269"/>
      <c r="K108" s="3269"/>
      <c r="L108" s="3269"/>
      <c r="M108" s="3269"/>
      <c r="N108" s="3269"/>
      <c r="O108" s="3269"/>
      <c r="P108" s="3269"/>
      <c r="Q108" s="3269"/>
      <c r="R108" s="3269"/>
      <c r="S108" s="3269"/>
      <c r="T108" s="3269"/>
      <c r="U108" s="3269"/>
      <c r="V108" s="3269"/>
      <c r="W108" s="3269"/>
      <c r="X108" s="3269"/>
      <c r="Y108" s="3369"/>
      <c r="AE108" s="96"/>
    </row>
    <row r="109" spans="1:47" ht="15" hidden="1" customHeight="1">
      <c r="A109" s="3253"/>
      <c r="B109" s="3269"/>
      <c r="C109" s="3269"/>
      <c r="D109" s="3269"/>
      <c r="E109" s="3269"/>
      <c r="F109" s="3269"/>
      <c r="G109" s="3269"/>
      <c r="H109" s="3269"/>
      <c r="I109" s="3269"/>
      <c r="J109" s="3269"/>
      <c r="K109" s="3269"/>
      <c r="L109" s="3269"/>
      <c r="M109" s="3269"/>
      <c r="N109" s="3269"/>
      <c r="O109" s="3269"/>
      <c r="P109" s="3269"/>
      <c r="Q109" s="3269"/>
      <c r="R109" s="3269"/>
      <c r="S109" s="3269"/>
      <c r="T109" s="3269"/>
      <c r="U109" s="3269"/>
      <c r="V109" s="3269"/>
      <c r="W109" s="3269"/>
      <c r="X109" s="3269"/>
      <c r="Y109" s="3369"/>
      <c r="AE109" s="96"/>
    </row>
    <row r="110" spans="1:47" ht="15" hidden="1" customHeight="1">
      <c r="A110" s="3253"/>
      <c r="B110" s="3269"/>
      <c r="C110" s="3269"/>
      <c r="D110" s="3269"/>
      <c r="E110" s="3269"/>
      <c r="F110" s="3269"/>
      <c r="G110" s="3269"/>
      <c r="H110" s="3269"/>
      <c r="I110" s="3269"/>
      <c r="J110" s="3269"/>
      <c r="K110" s="3269"/>
      <c r="L110" s="3269"/>
      <c r="M110" s="3269"/>
      <c r="N110" s="3269"/>
      <c r="O110" s="3269"/>
      <c r="P110" s="3269"/>
      <c r="Q110" s="3269"/>
      <c r="R110" s="3269"/>
      <c r="S110" s="3269"/>
      <c r="T110" s="3269"/>
      <c r="U110" s="3269"/>
      <c r="V110" s="3269"/>
      <c r="W110" s="3269"/>
      <c r="X110" s="3269"/>
      <c r="Y110" s="3369"/>
      <c r="AE110" s="96"/>
    </row>
    <row r="111" spans="1:47" ht="15" hidden="1" customHeight="1">
      <c r="A111" s="3253"/>
      <c r="B111" s="3269"/>
      <c r="C111" s="3269"/>
      <c r="D111" s="3269"/>
      <c r="E111" s="3269"/>
      <c r="F111" s="3269"/>
      <c r="G111" s="3269"/>
      <c r="H111" s="3269"/>
      <c r="I111" s="3269"/>
      <c r="J111" s="3269"/>
      <c r="K111" s="3269"/>
      <c r="L111" s="3269"/>
      <c r="M111" s="3269"/>
      <c r="N111" s="3269"/>
      <c r="O111" s="3269"/>
      <c r="P111" s="3269"/>
      <c r="Q111" s="3269"/>
      <c r="R111" s="3269"/>
      <c r="S111" s="3269"/>
      <c r="T111" s="3269"/>
      <c r="U111" s="3269"/>
      <c r="V111" s="3269"/>
      <c r="W111" s="3269"/>
      <c r="X111" s="3269"/>
      <c r="Y111" s="3369"/>
      <c r="AE111" s="96"/>
    </row>
    <row r="112" spans="1:47" ht="15" hidden="1" customHeight="1">
      <c r="A112" s="3253"/>
      <c r="B112" s="3269"/>
      <c r="C112" s="3269"/>
      <c r="D112" s="3269"/>
      <c r="E112" s="3269"/>
      <c r="F112" s="3269"/>
      <c r="G112" s="3269"/>
      <c r="H112" s="3269"/>
      <c r="I112" s="3269"/>
      <c r="J112" s="3269"/>
      <c r="K112" s="3269"/>
      <c r="L112" s="3269"/>
      <c r="M112" s="3269"/>
      <c r="N112" s="3269"/>
      <c r="O112" s="3269"/>
      <c r="P112" s="3269"/>
      <c r="Q112" s="3269"/>
      <c r="R112" s="3269"/>
      <c r="S112" s="3269"/>
      <c r="T112" s="3269"/>
      <c r="U112" s="3269"/>
      <c r="V112" s="3269"/>
      <c r="W112" s="3269"/>
      <c r="X112" s="3269"/>
      <c r="Y112" s="3369"/>
      <c r="AE112" s="96"/>
    </row>
    <row r="113" spans="1:31" ht="15" hidden="1" customHeight="1">
      <c r="A113" s="3253"/>
      <c r="B113" s="3269"/>
      <c r="C113" s="3269"/>
      <c r="D113" s="3269"/>
      <c r="E113" s="3269"/>
      <c r="F113" s="3269"/>
      <c r="G113" s="3269"/>
      <c r="H113" s="3269"/>
      <c r="I113" s="3269"/>
      <c r="J113" s="3269"/>
      <c r="K113" s="3269"/>
      <c r="L113" s="3269"/>
      <c r="M113" s="3269"/>
      <c r="N113" s="3269"/>
      <c r="O113" s="3269"/>
      <c r="P113" s="3269"/>
      <c r="Q113" s="3269"/>
      <c r="R113" s="3269"/>
      <c r="S113" s="3269"/>
      <c r="T113" s="3269"/>
      <c r="U113" s="3269"/>
      <c r="V113" s="3269"/>
      <c r="W113" s="3269"/>
      <c r="X113" s="3269"/>
      <c r="Y113" s="3369"/>
      <c r="AE113" s="96"/>
    </row>
    <row r="114" spans="1:31" ht="15" hidden="1" customHeight="1">
      <c r="A114" s="3253"/>
      <c r="B114" s="3269"/>
      <c r="C114" s="3269"/>
      <c r="D114" s="3269"/>
      <c r="E114" s="3269"/>
      <c r="F114" s="3269"/>
      <c r="G114" s="3269"/>
      <c r="H114" s="3269"/>
      <c r="I114" s="3269"/>
      <c r="J114" s="3269"/>
      <c r="K114" s="3269"/>
      <c r="L114" s="3269"/>
      <c r="M114" s="3269"/>
      <c r="N114" s="3269"/>
      <c r="O114" s="3269"/>
      <c r="P114" s="3269"/>
      <c r="Q114" s="3269"/>
      <c r="R114" s="3269"/>
      <c r="S114" s="3269"/>
      <c r="T114" s="3269"/>
      <c r="U114" s="3269"/>
      <c r="V114" s="3269"/>
      <c r="W114" s="3269"/>
      <c r="X114" s="3269"/>
      <c r="Y114" s="3369"/>
      <c r="AE114" s="96"/>
    </row>
    <row r="115" spans="1:31" ht="15" hidden="1" customHeight="1">
      <c r="A115" s="3253"/>
      <c r="B115" s="3269"/>
      <c r="C115" s="3269"/>
      <c r="D115" s="3269"/>
      <c r="E115" s="3269"/>
      <c r="F115" s="3269"/>
      <c r="G115" s="3269"/>
      <c r="H115" s="3269"/>
      <c r="I115" s="3269"/>
      <c r="J115" s="3269"/>
      <c r="K115" s="3269"/>
      <c r="L115" s="3269"/>
      <c r="M115" s="3269"/>
      <c r="N115" s="3269"/>
      <c r="O115" s="3269"/>
      <c r="P115" s="3269"/>
      <c r="Q115" s="3269"/>
      <c r="R115" s="3269"/>
      <c r="S115" s="3269"/>
      <c r="T115" s="3269"/>
      <c r="U115" s="3269"/>
      <c r="V115" s="3269"/>
      <c r="W115" s="3269"/>
      <c r="X115" s="3269"/>
      <c r="Y115" s="3369"/>
      <c r="AE115" s="96"/>
    </row>
    <row r="116" spans="1:31" ht="15" hidden="1" customHeight="1">
      <c r="A116" s="3253"/>
      <c r="B116" s="3269"/>
      <c r="C116" s="3269"/>
      <c r="D116" s="3269"/>
      <c r="E116" s="3269"/>
      <c r="F116" s="3269"/>
      <c r="G116" s="3269"/>
      <c r="H116" s="3269"/>
      <c r="I116" s="3269"/>
      <c r="J116" s="3269"/>
      <c r="K116" s="3269"/>
      <c r="L116" s="3269"/>
      <c r="M116" s="3269"/>
      <c r="N116" s="3269"/>
      <c r="O116" s="3269"/>
      <c r="P116" s="3269"/>
      <c r="Q116" s="3269"/>
      <c r="R116" s="3269"/>
      <c r="S116" s="3269"/>
      <c r="T116" s="3269"/>
      <c r="U116" s="3269"/>
      <c r="V116" s="3269"/>
      <c r="W116" s="3269"/>
      <c r="X116" s="3269"/>
      <c r="Y116" s="3369"/>
      <c r="AE116" s="96"/>
    </row>
    <row r="117" spans="1:31" ht="15" hidden="1" customHeight="1">
      <c r="A117" s="3253"/>
      <c r="B117" s="3269"/>
      <c r="C117" s="3269"/>
      <c r="D117" s="3269"/>
      <c r="E117" s="3269"/>
      <c r="F117" s="3269"/>
      <c r="G117" s="3269"/>
      <c r="H117" s="3269"/>
      <c r="I117" s="3269"/>
      <c r="J117" s="3269"/>
      <c r="K117" s="3269"/>
      <c r="L117" s="3269"/>
      <c r="M117" s="3269"/>
      <c r="N117" s="3269"/>
      <c r="O117" s="3269"/>
      <c r="P117" s="3269"/>
      <c r="Q117" s="3269"/>
      <c r="R117" s="3269"/>
      <c r="S117" s="3269"/>
      <c r="T117" s="3269"/>
      <c r="U117" s="3269"/>
      <c r="V117" s="3269"/>
      <c r="W117" s="3269"/>
      <c r="X117" s="3269"/>
      <c r="Y117" s="3369"/>
      <c r="AE117" s="96"/>
    </row>
    <row r="118" spans="1:31" ht="15" hidden="1" customHeight="1">
      <c r="A118" s="3253"/>
      <c r="B118" s="3269"/>
      <c r="C118" s="3269"/>
      <c r="D118" s="3269"/>
      <c r="E118" s="3269"/>
      <c r="F118" s="3269"/>
      <c r="G118" s="3269"/>
      <c r="H118" s="3269"/>
      <c r="I118" s="3269"/>
      <c r="J118" s="3269"/>
      <c r="K118" s="3269"/>
      <c r="L118" s="3269"/>
      <c r="M118" s="3269"/>
      <c r="N118" s="3269"/>
      <c r="O118" s="3269"/>
      <c r="P118" s="3269"/>
      <c r="Q118" s="3269"/>
      <c r="R118" s="3269"/>
      <c r="S118" s="3269"/>
      <c r="T118" s="3269"/>
      <c r="U118" s="3269"/>
      <c r="V118" s="3269"/>
      <c r="W118" s="3269"/>
      <c r="X118" s="3269"/>
      <c r="Y118" s="3369"/>
      <c r="AE118" s="96"/>
    </row>
    <row r="119" spans="1:31" ht="15" hidden="1" customHeight="1">
      <c r="A119" s="3253"/>
      <c r="B119" s="3269"/>
      <c r="C119" s="3269"/>
      <c r="D119" s="3269"/>
      <c r="E119" s="3269"/>
      <c r="F119" s="3269"/>
      <c r="G119" s="3269"/>
      <c r="H119" s="3269"/>
      <c r="I119" s="3269"/>
      <c r="J119" s="3269"/>
      <c r="K119" s="3269"/>
      <c r="L119" s="3269"/>
      <c r="M119" s="3269"/>
      <c r="N119" s="3269"/>
      <c r="O119" s="3269"/>
      <c r="P119" s="3269"/>
      <c r="Q119" s="3269"/>
      <c r="R119" s="3269"/>
      <c r="S119" s="3269"/>
      <c r="T119" s="3269"/>
      <c r="U119" s="3269"/>
      <c r="V119" s="3269"/>
      <c r="W119" s="3269"/>
      <c r="X119" s="3269"/>
      <c r="Y119" s="3369"/>
    </row>
    <row r="120" spans="1:31" ht="15" hidden="1" customHeight="1">
      <c r="A120" s="3253"/>
      <c r="B120" s="3269"/>
      <c r="C120" s="3269"/>
      <c r="D120" s="3269"/>
      <c r="E120" s="3269"/>
      <c r="F120" s="3269"/>
      <c r="G120" s="3269"/>
      <c r="H120" s="3269"/>
      <c r="I120" s="3269"/>
      <c r="J120" s="3269"/>
      <c r="K120" s="3269"/>
      <c r="L120" s="3269"/>
      <c r="M120" s="3269"/>
      <c r="N120" s="3269"/>
      <c r="O120" s="3269"/>
      <c r="P120" s="3269"/>
      <c r="Q120" s="3269"/>
      <c r="R120" s="3269"/>
      <c r="S120" s="3269"/>
      <c r="T120" s="3269"/>
      <c r="U120" s="3269"/>
      <c r="V120" s="3269"/>
      <c r="W120" s="3269"/>
      <c r="X120" s="3269"/>
      <c r="Y120" s="3369"/>
    </row>
    <row r="121" spans="1:31" ht="15" hidden="1" customHeight="1">
      <c r="A121" s="3253"/>
      <c r="B121" s="3269"/>
      <c r="C121" s="3269"/>
      <c r="D121" s="3269"/>
      <c r="E121" s="3269"/>
      <c r="F121" s="3269"/>
      <c r="G121" s="3269"/>
      <c r="H121" s="3269"/>
      <c r="I121" s="3269"/>
      <c r="J121" s="3269"/>
      <c r="K121" s="3269"/>
      <c r="L121" s="3269"/>
      <c r="M121" s="3269"/>
      <c r="N121" s="3269"/>
      <c r="O121" s="3269"/>
      <c r="P121" s="3269"/>
      <c r="Q121" s="3269"/>
      <c r="R121" s="3269"/>
      <c r="S121" s="3269"/>
      <c r="T121" s="3269"/>
      <c r="U121" s="3269"/>
      <c r="V121" s="3269"/>
      <c r="W121" s="3269"/>
      <c r="X121" s="3269"/>
      <c r="Y121" s="3369"/>
    </row>
    <row r="122" spans="1:31" ht="15" hidden="1" customHeight="1">
      <c r="A122" s="3253"/>
      <c r="B122" s="3269"/>
      <c r="C122" s="3269"/>
      <c r="D122" s="3269"/>
      <c r="E122" s="3269"/>
      <c r="F122" s="3269"/>
      <c r="G122" s="3269"/>
      <c r="H122" s="3269"/>
      <c r="I122" s="3269"/>
      <c r="J122" s="3269"/>
      <c r="K122" s="3269"/>
      <c r="L122" s="3269"/>
      <c r="M122" s="3269"/>
      <c r="N122" s="3269"/>
      <c r="O122" s="3269"/>
      <c r="P122" s="3269"/>
      <c r="Q122" s="3269"/>
      <c r="R122" s="3269"/>
      <c r="S122" s="3269"/>
      <c r="T122" s="3269"/>
      <c r="U122" s="3269"/>
      <c r="V122" s="3269"/>
      <c r="W122" s="3269"/>
      <c r="X122" s="3269"/>
      <c r="Y122" s="3369"/>
    </row>
    <row r="123" spans="1:31" ht="15" hidden="1" customHeight="1">
      <c r="A123" s="3253"/>
      <c r="B123" s="3269"/>
      <c r="C123" s="3269"/>
      <c r="D123" s="3269"/>
      <c r="E123" s="3269"/>
      <c r="F123" s="3269"/>
      <c r="G123" s="3269"/>
      <c r="H123" s="3269"/>
      <c r="I123" s="3269"/>
      <c r="J123" s="3269"/>
      <c r="K123" s="3269"/>
      <c r="L123" s="3269"/>
      <c r="M123" s="3269"/>
      <c r="N123" s="3269"/>
      <c r="O123" s="3269"/>
      <c r="P123" s="3269"/>
      <c r="Q123" s="3269"/>
      <c r="R123" s="3269"/>
      <c r="S123" s="3269"/>
      <c r="T123" s="3269"/>
      <c r="U123" s="3269"/>
      <c r="V123" s="3269"/>
      <c r="W123" s="3269"/>
      <c r="X123" s="3269"/>
      <c r="Y123" s="3369"/>
    </row>
    <row r="124" spans="1:31" ht="15" hidden="1" customHeight="1">
      <c r="A124" s="3253"/>
      <c r="B124" s="3269"/>
      <c r="C124" s="3269"/>
      <c r="D124" s="3269"/>
      <c r="E124" s="3269"/>
      <c r="F124" s="3269"/>
      <c r="G124" s="3269"/>
      <c r="H124" s="3269"/>
      <c r="I124" s="3269"/>
      <c r="J124" s="3269"/>
      <c r="K124" s="3269"/>
      <c r="L124" s="3269"/>
      <c r="M124" s="3269"/>
      <c r="N124" s="3269"/>
      <c r="O124" s="3269"/>
      <c r="P124" s="3269"/>
      <c r="Q124" s="3269"/>
      <c r="R124" s="3269"/>
      <c r="S124" s="3269"/>
      <c r="T124" s="3269"/>
      <c r="U124" s="3269"/>
      <c r="V124" s="3269"/>
      <c r="W124" s="3269"/>
      <c r="X124" s="3269"/>
      <c r="Y124" s="3369"/>
    </row>
    <row r="125" spans="1:31" ht="15" hidden="1" customHeight="1">
      <c r="A125" s="3253"/>
      <c r="B125" s="3269"/>
      <c r="C125" s="3269"/>
      <c r="D125" s="3269"/>
      <c r="E125" s="3269"/>
      <c r="F125" s="3269"/>
      <c r="G125" s="3269"/>
      <c r="H125" s="3269"/>
      <c r="I125" s="3269"/>
      <c r="J125" s="3269"/>
      <c r="K125" s="3269"/>
      <c r="L125" s="3269"/>
      <c r="M125" s="3269"/>
      <c r="N125" s="3269"/>
      <c r="O125" s="3269"/>
      <c r="P125" s="3269"/>
      <c r="Q125" s="3269"/>
      <c r="R125" s="3269"/>
      <c r="S125" s="3269"/>
      <c r="T125" s="3269"/>
      <c r="U125" s="3269"/>
      <c r="V125" s="3269"/>
      <c r="W125" s="3269"/>
      <c r="X125" s="3269"/>
      <c r="Y125" s="3369"/>
    </row>
    <row r="126" spans="1:31" ht="15" hidden="1" customHeight="1">
      <c r="A126" s="3253"/>
      <c r="B126" s="3269"/>
      <c r="C126" s="3269"/>
      <c r="D126" s="3269"/>
      <c r="E126" s="3269"/>
      <c r="F126" s="3269"/>
      <c r="G126" s="3269"/>
      <c r="H126" s="3269"/>
      <c r="I126" s="3269"/>
      <c r="J126" s="3269"/>
      <c r="K126" s="3269"/>
      <c r="L126" s="3269"/>
      <c r="M126" s="3269"/>
      <c r="N126" s="3269"/>
      <c r="O126" s="3269"/>
      <c r="P126" s="3269"/>
      <c r="Q126" s="3269"/>
      <c r="R126" s="3269"/>
      <c r="S126" s="3269"/>
      <c r="T126" s="3269"/>
      <c r="U126" s="3269"/>
      <c r="V126" s="3269"/>
      <c r="W126" s="3269"/>
      <c r="X126" s="3269"/>
      <c r="Y126" s="3369"/>
    </row>
    <row r="127" spans="1:31" ht="15" hidden="1" customHeight="1">
      <c r="A127" s="3253"/>
      <c r="B127" s="3269"/>
      <c r="C127" s="3269"/>
      <c r="D127" s="3269"/>
      <c r="E127" s="3269"/>
      <c r="F127" s="3269"/>
      <c r="G127" s="3269"/>
      <c r="H127" s="3269"/>
      <c r="I127" s="3269"/>
      <c r="J127" s="3269"/>
      <c r="K127" s="3269"/>
      <c r="L127" s="3269"/>
      <c r="M127" s="3269"/>
      <c r="N127" s="3269"/>
      <c r="O127" s="3269"/>
      <c r="P127" s="3269"/>
      <c r="Q127" s="3269"/>
      <c r="R127" s="3269"/>
      <c r="S127" s="3269"/>
      <c r="T127" s="3269"/>
      <c r="U127" s="3269"/>
      <c r="V127" s="3269"/>
      <c r="W127" s="3269"/>
      <c r="X127" s="3269"/>
      <c r="Y127" s="3369"/>
    </row>
    <row r="128" spans="1:31" ht="15" hidden="1" customHeight="1">
      <c r="A128" s="3253"/>
      <c r="B128" s="3269"/>
      <c r="C128" s="3269"/>
      <c r="D128" s="3269"/>
      <c r="E128" s="3269"/>
      <c r="F128" s="3269"/>
      <c r="G128" s="3269"/>
      <c r="H128" s="3269"/>
      <c r="I128" s="3269"/>
      <c r="J128" s="3269"/>
      <c r="K128" s="3269"/>
      <c r="L128" s="3269"/>
      <c r="M128" s="3269"/>
      <c r="N128" s="3269"/>
      <c r="O128" s="3269"/>
      <c r="P128" s="3269"/>
      <c r="Q128" s="3269"/>
      <c r="R128" s="3269"/>
      <c r="S128" s="3269"/>
      <c r="T128" s="3269"/>
      <c r="U128" s="3269"/>
      <c r="V128" s="3269"/>
      <c r="W128" s="3269"/>
      <c r="X128" s="3269"/>
      <c r="Y128" s="3369"/>
    </row>
    <row r="129" spans="1:25" ht="15" hidden="1" customHeight="1">
      <c r="A129" s="3253"/>
      <c r="B129" s="3269"/>
      <c r="C129" s="3269"/>
      <c r="D129" s="3269"/>
      <c r="E129" s="3269"/>
      <c r="F129" s="3269"/>
      <c r="G129" s="3269"/>
      <c r="H129" s="3269"/>
      <c r="I129" s="3269"/>
      <c r="J129" s="3269"/>
      <c r="K129" s="3269"/>
      <c r="L129" s="3269"/>
      <c r="M129" s="3269"/>
      <c r="N129" s="3269"/>
      <c r="O129" s="3269"/>
      <c r="P129" s="3269"/>
      <c r="Q129" s="3269"/>
      <c r="R129" s="3269"/>
      <c r="S129" s="3269"/>
      <c r="T129" s="3269"/>
      <c r="U129" s="3269"/>
      <c r="V129" s="3269"/>
      <c r="W129" s="3269"/>
      <c r="X129" s="3269"/>
      <c r="Y129" s="3369"/>
    </row>
    <row r="130" spans="1:25" ht="15" hidden="1" customHeight="1">
      <c r="A130" s="3253"/>
      <c r="B130" s="3269"/>
      <c r="C130" s="3269"/>
      <c r="D130" s="3269"/>
      <c r="E130" s="3269"/>
      <c r="F130" s="3269"/>
      <c r="G130" s="3269"/>
      <c r="H130" s="3269"/>
      <c r="I130" s="3269"/>
      <c r="J130" s="3269"/>
      <c r="K130" s="3269"/>
      <c r="L130" s="3269"/>
      <c r="M130" s="3269"/>
      <c r="N130" s="3269"/>
      <c r="O130" s="3269"/>
      <c r="P130" s="3269"/>
      <c r="Q130" s="3269"/>
      <c r="R130" s="3269"/>
      <c r="S130" s="3269"/>
      <c r="T130" s="3269"/>
      <c r="U130" s="3269"/>
      <c r="V130" s="3269"/>
      <c r="W130" s="3269"/>
      <c r="X130" s="3269"/>
      <c r="Y130" s="3369"/>
    </row>
    <row r="131" spans="1:25" ht="15" hidden="1" customHeight="1">
      <c r="A131" s="3253"/>
      <c r="B131" s="3269"/>
      <c r="C131" s="3269"/>
      <c r="D131" s="3269"/>
      <c r="E131" s="3269"/>
      <c r="F131" s="3269"/>
      <c r="G131" s="3269"/>
      <c r="H131" s="3269"/>
      <c r="I131" s="3269"/>
      <c r="J131" s="3269"/>
      <c r="K131" s="3269"/>
      <c r="L131" s="3269"/>
      <c r="M131" s="3269"/>
      <c r="N131" s="3269"/>
      <c r="O131" s="3269"/>
      <c r="P131" s="3269"/>
      <c r="Q131" s="3269"/>
      <c r="R131" s="3269"/>
      <c r="S131" s="3269"/>
      <c r="T131" s="3269"/>
      <c r="U131" s="3269"/>
      <c r="V131" s="3269"/>
      <c r="W131" s="3269"/>
      <c r="X131" s="3269"/>
      <c r="Y131" s="3369"/>
    </row>
    <row r="132" spans="1:25" ht="15" hidden="1" customHeight="1">
      <c r="A132" s="3253"/>
      <c r="B132" s="3269"/>
      <c r="C132" s="3269"/>
      <c r="D132" s="3269"/>
      <c r="E132" s="3269"/>
      <c r="F132" s="3269"/>
      <c r="G132" s="3269"/>
      <c r="H132" s="3269"/>
      <c r="I132" s="3269"/>
      <c r="J132" s="3269"/>
      <c r="K132" s="3269"/>
      <c r="L132" s="3269"/>
      <c r="M132" s="3269"/>
      <c r="N132" s="3269"/>
      <c r="O132" s="3269"/>
      <c r="P132" s="3269"/>
      <c r="Q132" s="3269"/>
      <c r="R132" s="3269"/>
      <c r="S132" s="3269"/>
      <c r="T132" s="3269"/>
      <c r="U132" s="3269"/>
      <c r="V132" s="3269"/>
      <c r="W132" s="3269"/>
      <c r="X132" s="3269"/>
      <c r="Y132" s="3369"/>
    </row>
    <row r="133" spans="1:25" ht="15" hidden="1" customHeight="1">
      <c r="A133" s="3253"/>
      <c r="B133" s="3269"/>
      <c r="C133" s="3269"/>
      <c r="D133" s="3269"/>
      <c r="E133" s="3269"/>
      <c r="F133" s="3269"/>
      <c r="G133" s="3269"/>
      <c r="H133" s="3269"/>
      <c r="I133" s="3269"/>
      <c r="J133" s="3269"/>
      <c r="K133" s="3269"/>
      <c r="L133" s="3269"/>
      <c r="M133" s="3269"/>
      <c r="N133" s="3269"/>
      <c r="O133" s="3269"/>
      <c r="P133" s="3269"/>
      <c r="Q133" s="3269"/>
      <c r="R133" s="3269"/>
      <c r="S133" s="3269"/>
      <c r="T133" s="3269"/>
      <c r="U133" s="3269"/>
      <c r="V133" s="3269"/>
      <c r="W133" s="3269"/>
      <c r="X133" s="3269"/>
      <c r="Y133" s="3369"/>
    </row>
    <row r="134" spans="1:25" ht="15" hidden="1" customHeight="1">
      <c r="A134" s="3253"/>
      <c r="B134" s="3269"/>
      <c r="C134" s="3269"/>
      <c r="D134" s="3269"/>
      <c r="E134" s="3269"/>
      <c r="F134" s="3269"/>
      <c r="G134" s="3269"/>
      <c r="H134" s="3269"/>
      <c r="I134" s="3269"/>
      <c r="J134" s="3269"/>
      <c r="K134" s="3269"/>
      <c r="L134" s="3269"/>
      <c r="M134" s="3269"/>
      <c r="N134" s="3269"/>
      <c r="O134" s="3269"/>
      <c r="P134" s="3269"/>
      <c r="Q134" s="3269"/>
      <c r="R134" s="3269"/>
      <c r="S134" s="3269"/>
      <c r="T134" s="3269"/>
      <c r="U134" s="3269"/>
      <c r="V134" s="3269"/>
      <c r="W134" s="3269"/>
      <c r="X134" s="3269"/>
      <c r="Y134" s="3369"/>
    </row>
    <row r="135" spans="1:25" ht="15" hidden="1" customHeight="1">
      <c r="A135" s="3253"/>
      <c r="B135" s="3269"/>
      <c r="C135" s="3269"/>
      <c r="D135" s="3269"/>
      <c r="E135" s="3269"/>
      <c r="F135" s="3269"/>
      <c r="G135" s="3269"/>
      <c r="H135" s="3269"/>
      <c r="I135" s="3269"/>
      <c r="J135" s="3269"/>
      <c r="K135" s="3269"/>
      <c r="L135" s="3269"/>
      <c r="M135" s="3269"/>
      <c r="N135" s="3269"/>
      <c r="O135" s="3269"/>
      <c r="P135" s="3269"/>
      <c r="Q135" s="3269"/>
      <c r="R135" s="3269"/>
      <c r="S135" s="3269"/>
      <c r="T135" s="3269"/>
      <c r="U135" s="3269"/>
      <c r="V135" s="3269"/>
      <c r="W135" s="3269"/>
      <c r="X135" s="3269"/>
      <c r="Y135" s="3369"/>
    </row>
    <row r="136" spans="1:25" ht="15" hidden="1" customHeight="1">
      <c r="A136" s="3253"/>
      <c r="B136" s="3269"/>
      <c r="C136" s="3269"/>
      <c r="D136" s="3269"/>
      <c r="E136" s="3269"/>
      <c r="F136" s="3269"/>
      <c r="G136" s="3269"/>
      <c r="H136" s="3269"/>
      <c r="I136" s="3269"/>
      <c r="J136" s="3269"/>
      <c r="K136" s="3269"/>
      <c r="L136" s="3269"/>
      <c r="M136" s="3269"/>
      <c r="N136" s="3269"/>
      <c r="O136" s="3269"/>
      <c r="P136" s="3269"/>
      <c r="Q136" s="3269"/>
      <c r="R136" s="3269"/>
      <c r="S136" s="3269"/>
      <c r="T136" s="3269"/>
      <c r="U136" s="3269"/>
      <c r="V136" s="3269"/>
      <c r="W136" s="3269"/>
      <c r="X136" s="3269"/>
      <c r="Y136" s="3369"/>
    </row>
    <row r="137" spans="1:25" ht="15" hidden="1" customHeight="1">
      <c r="A137" s="3253"/>
      <c r="B137" s="3269"/>
      <c r="C137" s="3269"/>
      <c r="D137" s="3269"/>
      <c r="E137" s="3269"/>
      <c r="F137" s="3269"/>
      <c r="G137" s="3269"/>
      <c r="H137" s="3269"/>
      <c r="I137" s="3269"/>
      <c r="J137" s="3269"/>
      <c r="K137" s="3269"/>
      <c r="L137" s="3269"/>
      <c r="M137" s="3269"/>
      <c r="N137" s="3269"/>
      <c r="O137" s="3269"/>
      <c r="P137" s="3269"/>
      <c r="Q137" s="3269"/>
      <c r="R137" s="3269"/>
      <c r="S137" s="3269"/>
      <c r="T137" s="3269"/>
      <c r="U137" s="3269"/>
      <c r="V137" s="3269"/>
      <c r="W137" s="3269"/>
      <c r="X137" s="3269"/>
      <c r="Y137" s="3369"/>
    </row>
    <row r="138" spans="1:25" ht="15" hidden="1" customHeight="1">
      <c r="A138" s="3253"/>
      <c r="B138" s="3269"/>
      <c r="C138" s="3269"/>
      <c r="D138" s="3269"/>
      <c r="E138" s="3269"/>
      <c r="F138" s="3269"/>
      <c r="G138" s="3269"/>
      <c r="H138" s="3269"/>
      <c r="I138" s="3269"/>
      <c r="J138" s="3269"/>
      <c r="K138" s="3269"/>
      <c r="L138" s="3269"/>
      <c r="M138" s="3269"/>
      <c r="N138" s="3269"/>
      <c r="O138" s="3269"/>
      <c r="P138" s="3269"/>
      <c r="Q138" s="3269"/>
      <c r="R138" s="3269"/>
      <c r="S138" s="3269"/>
      <c r="T138" s="3269"/>
      <c r="U138" s="3269"/>
      <c r="V138" s="3269"/>
      <c r="W138" s="3269"/>
      <c r="X138" s="3269"/>
      <c r="Y138" s="3369"/>
    </row>
    <row r="139" spans="1:25" ht="15" hidden="1" customHeight="1">
      <c r="A139" s="3253"/>
      <c r="B139" s="3269"/>
      <c r="C139" s="3269"/>
      <c r="D139" s="3269"/>
      <c r="E139" s="3269"/>
      <c r="F139" s="3269"/>
      <c r="G139" s="3269"/>
      <c r="H139" s="3269"/>
      <c r="I139" s="3269"/>
      <c r="J139" s="3269"/>
      <c r="K139" s="3269"/>
      <c r="L139" s="3269"/>
      <c r="M139" s="3269"/>
      <c r="N139" s="3269"/>
      <c r="O139" s="3269"/>
      <c r="P139" s="3269"/>
      <c r="Q139" s="3269"/>
      <c r="R139" s="3269"/>
      <c r="S139" s="3269"/>
      <c r="T139" s="3269"/>
      <c r="U139" s="3269"/>
      <c r="V139" s="3269"/>
      <c r="W139" s="3269"/>
      <c r="X139" s="3269"/>
      <c r="Y139" s="3369"/>
    </row>
    <row r="140" spans="1:25" ht="15" hidden="1" customHeight="1">
      <c r="A140" s="3253"/>
      <c r="B140" s="3269"/>
      <c r="C140" s="3269"/>
      <c r="D140" s="3269"/>
      <c r="E140" s="3269"/>
      <c r="F140" s="3269"/>
      <c r="G140" s="3269"/>
      <c r="H140" s="3269"/>
      <c r="I140" s="3269"/>
      <c r="J140" s="3269"/>
      <c r="K140" s="3269"/>
      <c r="L140" s="3269"/>
      <c r="M140" s="3269"/>
      <c r="N140" s="3269"/>
      <c r="O140" s="3269"/>
      <c r="P140" s="3269"/>
      <c r="Q140" s="3269"/>
      <c r="R140" s="3269"/>
      <c r="S140" s="3269"/>
      <c r="T140" s="3269"/>
      <c r="U140" s="3269"/>
      <c r="V140" s="3269"/>
      <c r="W140" s="3269"/>
      <c r="X140" s="3269"/>
      <c r="Y140" s="3369"/>
    </row>
    <row r="141" spans="1:25" ht="15" hidden="1" customHeight="1">
      <c r="A141" s="3253"/>
      <c r="B141" s="3269"/>
      <c r="C141" s="3269"/>
      <c r="D141" s="3269"/>
      <c r="E141" s="3269"/>
      <c r="F141" s="3269"/>
      <c r="G141" s="3269"/>
      <c r="H141" s="3269"/>
      <c r="I141" s="3269"/>
      <c r="J141" s="3269"/>
      <c r="K141" s="3269"/>
      <c r="L141" s="3269"/>
      <c r="M141" s="3269"/>
      <c r="N141" s="3269"/>
      <c r="O141" s="3269"/>
      <c r="P141" s="3269"/>
      <c r="Q141" s="3269"/>
      <c r="R141" s="3269"/>
      <c r="S141" s="3269"/>
      <c r="T141" s="3269"/>
      <c r="U141" s="3269"/>
      <c r="V141" s="3269"/>
      <c r="W141" s="3269"/>
      <c r="X141" s="3269"/>
      <c r="Y141" s="3369"/>
    </row>
    <row r="142" spans="1:25" ht="15" hidden="1" customHeight="1">
      <c r="A142" s="3253"/>
      <c r="B142" s="3269"/>
      <c r="C142" s="3269"/>
      <c r="D142" s="3269"/>
      <c r="E142" s="3269"/>
      <c r="F142" s="3269"/>
      <c r="G142" s="3269"/>
      <c r="H142" s="3269"/>
      <c r="I142" s="3269"/>
      <c r="J142" s="3269"/>
      <c r="K142" s="3269"/>
      <c r="L142" s="3269"/>
      <c r="M142" s="3269"/>
      <c r="N142" s="3269"/>
      <c r="O142" s="3269"/>
      <c r="P142" s="3269"/>
      <c r="Q142" s="3269"/>
      <c r="R142" s="3269"/>
      <c r="S142" s="3269"/>
      <c r="T142" s="3269"/>
      <c r="U142" s="3269"/>
      <c r="V142" s="3269"/>
      <c r="W142" s="3269"/>
      <c r="X142" s="3269"/>
      <c r="Y142" s="3369"/>
    </row>
    <row r="143" spans="1:25" ht="15" hidden="1" customHeight="1">
      <c r="A143" s="3253"/>
      <c r="B143" s="3269"/>
      <c r="C143" s="3269"/>
      <c r="D143" s="3269"/>
      <c r="E143" s="3269"/>
      <c r="F143" s="3269"/>
      <c r="G143" s="3269"/>
      <c r="H143" s="3269"/>
      <c r="I143" s="3269"/>
      <c r="J143" s="3269"/>
      <c r="K143" s="3269"/>
      <c r="L143" s="3269"/>
      <c r="M143" s="3269"/>
      <c r="N143" s="3269"/>
      <c r="O143" s="3269"/>
      <c r="P143" s="3269"/>
      <c r="Q143" s="3269"/>
      <c r="R143" s="3269"/>
      <c r="S143" s="3269"/>
      <c r="T143" s="3269"/>
      <c r="U143" s="3269"/>
      <c r="V143" s="3269"/>
      <c r="W143" s="3269"/>
      <c r="X143" s="3269"/>
      <c r="Y143" s="3369"/>
    </row>
    <row r="144" spans="1:25" ht="15" hidden="1" customHeight="1">
      <c r="A144" s="3253"/>
      <c r="B144" s="3269"/>
      <c r="C144" s="3269"/>
      <c r="D144" s="3269"/>
      <c r="E144" s="3269"/>
      <c r="F144" s="3269"/>
      <c r="G144" s="3269"/>
      <c r="H144" s="3269"/>
      <c r="I144" s="3269"/>
      <c r="J144" s="3269"/>
      <c r="K144" s="3269"/>
      <c r="L144" s="3269"/>
      <c r="M144" s="3269"/>
      <c r="N144" s="3269"/>
      <c r="O144" s="3269"/>
      <c r="P144" s="3269"/>
      <c r="Q144" s="3269"/>
      <c r="R144" s="3269"/>
      <c r="S144" s="3269"/>
      <c r="T144" s="3269"/>
      <c r="U144" s="3269"/>
      <c r="V144" s="3269"/>
      <c r="W144" s="3269"/>
      <c r="X144" s="3269"/>
      <c r="Y144" s="3369"/>
    </row>
    <row r="145" spans="1:25" ht="15" hidden="1" customHeight="1">
      <c r="A145" s="3253"/>
      <c r="B145" s="3269"/>
      <c r="C145" s="3269"/>
      <c r="D145" s="3269"/>
      <c r="E145" s="3269"/>
      <c r="F145" s="3269"/>
      <c r="G145" s="3269"/>
      <c r="H145" s="3269"/>
      <c r="I145" s="3269"/>
      <c r="J145" s="3269"/>
      <c r="K145" s="3269"/>
      <c r="L145" s="3269"/>
      <c r="M145" s="3269"/>
      <c r="N145" s="3269"/>
      <c r="O145" s="3269"/>
      <c r="P145" s="3269"/>
      <c r="Q145" s="3269"/>
      <c r="R145" s="3269"/>
      <c r="S145" s="3269"/>
      <c r="T145" s="3269"/>
      <c r="U145" s="3269"/>
      <c r="V145" s="3269"/>
      <c r="W145" s="3269"/>
      <c r="X145" s="3269"/>
      <c r="Y145" s="3369"/>
    </row>
    <row r="146" spans="1:25" ht="15" hidden="1" customHeight="1">
      <c r="A146" s="3253"/>
      <c r="B146" s="3269"/>
      <c r="C146" s="3269"/>
      <c r="D146" s="3269"/>
      <c r="E146" s="3269"/>
      <c r="F146" s="3269"/>
      <c r="G146" s="3269"/>
      <c r="H146" s="3269"/>
      <c r="I146" s="3269"/>
      <c r="J146" s="3269"/>
      <c r="K146" s="3269"/>
      <c r="L146" s="3269"/>
      <c r="M146" s="3269"/>
      <c r="N146" s="3269"/>
      <c r="O146" s="3269"/>
      <c r="P146" s="3269"/>
      <c r="Q146" s="3269"/>
      <c r="R146" s="3269"/>
      <c r="S146" s="3269"/>
      <c r="T146" s="3269"/>
      <c r="U146" s="3269"/>
      <c r="V146" s="3269"/>
      <c r="W146" s="3269"/>
      <c r="X146" s="3269"/>
      <c r="Y146" s="3369"/>
    </row>
    <row r="147" spans="1:25" ht="15" hidden="1" customHeight="1">
      <c r="A147" s="3253"/>
      <c r="B147" s="3269"/>
      <c r="C147" s="3269"/>
      <c r="D147" s="3269"/>
      <c r="E147" s="3269"/>
      <c r="F147" s="3269"/>
      <c r="G147" s="3269"/>
      <c r="H147" s="3269"/>
      <c r="I147" s="3269"/>
      <c r="J147" s="3269"/>
      <c r="K147" s="3269"/>
      <c r="L147" s="3269"/>
      <c r="M147" s="3269"/>
      <c r="N147" s="3269"/>
      <c r="O147" s="3269"/>
      <c r="P147" s="3269"/>
      <c r="Q147" s="3269"/>
      <c r="R147" s="3269"/>
      <c r="S147" s="3269"/>
      <c r="T147" s="3269"/>
      <c r="U147" s="3269"/>
      <c r="V147" s="3269"/>
      <c r="W147" s="3269"/>
      <c r="X147" s="3269"/>
      <c r="Y147" s="3369"/>
    </row>
    <row r="148" spans="1:25" ht="15" hidden="1" customHeight="1">
      <c r="A148" s="3253"/>
      <c r="B148" s="3269"/>
      <c r="C148" s="3269"/>
      <c r="D148" s="3269"/>
      <c r="E148" s="3269"/>
      <c r="F148" s="3269"/>
      <c r="G148" s="3269"/>
      <c r="H148" s="3269"/>
      <c r="I148" s="3269"/>
      <c r="J148" s="3269"/>
      <c r="K148" s="3269"/>
      <c r="L148" s="3269"/>
      <c r="M148" s="3269"/>
      <c r="N148" s="3269"/>
      <c r="O148" s="3269"/>
      <c r="P148" s="3269"/>
      <c r="Q148" s="3269"/>
      <c r="R148" s="3269"/>
      <c r="S148" s="3269"/>
      <c r="T148" s="3269"/>
      <c r="U148" s="3269"/>
      <c r="V148" s="3269"/>
      <c r="W148" s="3269"/>
      <c r="X148" s="3269"/>
      <c r="Y148" s="3369"/>
    </row>
    <row r="149" spans="1:25" ht="15" hidden="1" customHeight="1">
      <c r="A149" s="3253"/>
      <c r="B149" s="3269"/>
      <c r="C149" s="3269"/>
      <c r="D149" s="3269"/>
      <c r="E149" s="3269"/>
      <c r="F149" s="3269"/>
      <c r="G149" s="3269"/>
      <c r="H149" s="3269"/>
      <c r="I149" s="3269"/>
      <c r="J149" s="3269"/>
      <c r="K149" s="3269"/>
      <c r="L149" s="3269"/>
      <c r="M149" s="3269"/>
      <c r="N149" s="3269"/>
      <c r="O149" s="3269"/>
      <c r="P149" s="3269"/>
      <c r="Q149" s="3269"/>
      <c r="R149" s="3269"/>
      <c r="S149" s="3269"/>
      <c r="T149" s="3269"/>
      <c r="U149" s="3269"/>
      <c r="V149" s="3269"/>
      <c r="W149" s="3269"/>
      <c r="X149" s="3269"/>
      <c r="Y149" s="3369"/>
    </row>
    <row r="150" spans="1:25" ht="15" hidden="1" customHeight="1">
      <c r="A150" s="3253"/>
      <c r="B150" s="3269"/>
      <c r="C150" s="3269"/>
      <c r="D150" s="3269"/>
      <c r="E150" s="3269"/>
      <c r="F150" s="3269"/>
      <c r="G150" s="3269"/>
      <c r="H150" s="3269"/>
      <c r="I150" s="3269"/>
      <c r="J150" s="3269"/>
      <c r="K150" s="3269"/>
      <c r="L150" s="3269"/>
      <c r="M150" s="3269"/>
      <c r="N150" s="3269"/>
      <c r="O150" s="3269"/>
      <c r="P150" s="3269"/>
      <c r="Q150" s="3269"/>
      <c r="R150" s="3269"/>
      <c r="S150" s="3269"/>
      <c r="T150" s="3269"/>
      <c r="U150" s="3269"/>
      <c r="V150" s="3269"/>
      <c r="W150" s="3269"/>
      <c r="X150" s="3269"/>
      <c r="Y150" s="3369"/>
    </row>
    <row r="151" spans="1:25" ht="15" hidden="1" customHeight="1">
      <c r="A151" s="3253"/>
      <c r="B151" s="3269"/>
      <c r="C151" s="3269"/>
      <c r="D151" s="3269"/>
      <c r="E151" s="3269"/>
      <c r="F151" s="3269"/>
      <c r="G151" s="3269"/>
      <c r="H151" s="3269"/>
      <c r="I151" s="3269"/>
      <c r="J151" s="3269"/>
      <c r="K151" s="3269"/>
      <c r="L151" s="3269"/>
      <c r="M151" s="3269"/>
      <c r="N151" s="3269"/>
      <c r="O151" s="3269"/>
      <c r="P151" s="3269"/>
      <c r="Q151" s="3269"/>
      <c r="R151" s="3269"/>
      <c r="S151" s="3269"/>
      <c r="T151" s="3269"/>
      <c r="U151" s="3269"/>
      <c r="V151" s="3269"/>
      <c r="W151" s="3269"/>
      <c r="X151" s="3269"/>
      <c r="Y151" s="3369"/>
    </row>
    <row r="152" spans="1:25" ht="15" hidden="1" customHeight="1">
      <c r="A152" s="3253"/>
      <c r="B152" s="3269"/>
      <c r="C152" s="3269"/>
      <c r="D152" s="3269"/>
      <c r="E152" s="3269"/>
      <c r="F152" s="3269"/>
      <c r="G152" s="3269"/>
      <c r="H152" s="3269"/>
      <c r="I152" s="3269"/>
      <c r="J152" s="3269"/>
      <c r="K152" s="3269"/>
      <c r="L152" s="3269"/>
      <c r="M152" s="3269"/>
      <c r="N152" s="3269"/>
      <c r="O152" s="3269"/>
      <c r="P152" s="3269"/>
      <c r="Q152" s="3269"/>
      <c r="R152" s="3269"/>
      <c r="S152" s="3269"/>
      <c r="T152" s="3269"/>
      <c r="U152" s="3269"/>
      <c r="V152" s="3269"/>
      <c r="W152" s="3269"/>
      <c r="X152" s="3269"/>
      <c r="Y152" s="3369"/>
    </row>
    <row r="153" spans="1:25" ht="15" hidden="1" customHeight="1">
      <c r="A153" s="3253"/>
      <c r="B153" s="3269"/>
      <c r="C153" s="3269"/>
      <c r="D153" s="3269"/>
      <c r="E153" s="3269"/>
      <c r="F153" s="3269"/>
      <c r="G153" s="3269"/>
      <c r="H153" s="3269"/>
      <c r="I153" s="3269"/>
      <c r="J153" s="3269"/>
      <c r="K153" s="3269"/>
      <c r="L153" s="3269"/>
      <c r="M153" s="3269"/>
      <c r="N153" s="3269"/>
      <c r="O153" s="3269"/>
      <c r="P153" s="3269"/>
      <c r="Q153" s="3269"/>
      <c r="R153" s="3269"/>
      <c r="S153" s="3269"/>
      <c r="T153" s="3269"/>
      <c r="U153" s="3269"/>
      <c r="V153" s="3269"/>
      <c r="W153" s="3269"/>
      <c r="X153" s="3269"/>
      <c r="Y153" s="3369"/>
    </row>
    <row r="154" spans="1:25" ht="15" hidden="1" customHeight="1">
      <c r="A154" s="3253"/>
      <c r="B154" s="3269"/>
      <c r="C154" s="3269"/>
      <c r="D154" s="3269"/>
      <c r="E154" s="3269"/>
      <c r="F154" s="3269"/>
      <c r="G154" s="3269"/>
      <c r="H154" s="3269"/>
      <c r="I154" s="3269"/>
      <c r="J154" s="3269"/>
      <c r="K154" s="3269"/>
      <c r="L154" s="3269"/>
      <c r="M154" s="3269"/>
      <c r="N154" s="3269"/>
      <c r="O154" s="3269"/>
      <c r="P154" s="3269"/>
      <c r="Q154" s="3269"/>
      <c r="R154" s="3269"/>
      <c r="S154" s="3269"/>
      <c r="T154" s="3269"/>
      <c r="U154" s="3269"/>
      <c r="V154" s="3269"/>
      <c r="W154" s="3269"/>
      <c r="X154" s="3269"/>
      <c r="Y154" s="3369"/>
    </row>
    <row r="155" spans="1:25" ht="15" hidden="1" customHeight="1">
      <c r="A155" s="3253"/>
      <c r="B155" s="3269"/>
      <c r="C155" s="3269"/>
      <c r="D155" s="3269"/>
      <c r="E155" s="3269"/>
      <c r="F155" s="3269"/>
      <c r="G155" s="3269"/>
      <c r="H155" s="3269"/>
      <c r="I155" s="3269"/>
      <c r="J155" s="3269"/>
      <c r="K155" s="3269"/>
      <c r="L155" s="3269"/>
      <c r="M155" s="3269"/>
      <c r="N155" s="3269"/>
      <c r="O155" s="3269"/>
      <c r="P155" s="3269"/>
      <c r="Q155" s="3269"/>
      <c r="R155" s="3269"/>
      <c r="S155" s="3269"/>
      <c r="T155" s="3269"/>
      <c r="U155" s="3269"/>
      <c r="V155" s="3269"/>
      <c r="W155" s="3269"/>
      <c r="X155" s="3269"/>
      <c r="Y155" s="3369"/>
    </row>
    <row r="156" spans="1:25" ht="15" hidden="1" customHeight="1">
      <c r="A156" s="3253"/>
      <c r="B156" s="3269"/>
      <c r="C156" s="3269"/>
      <c r="D156" s="3269"/>
      <c r="E156" s="3269"/>
      <c r="F156" s="3269"/>
      <c r="G156" s="3269"/>
      <c r="H156" s="3269"/>
      <c r="I156" s="3269"/>
      <c r="J156" s="3269"/>
      <c r="K156" s="3269"/>
      <c r="L156" s="3269"/>
      <c r="M156" s="3269"/>
      <c r="N156" s="3269"/>
      <c r="O156" s="3269"/>
      <c r="P156" s="3269"/>
      <c r="Q156" s="3269"/>
      <c r="R156" s="3269"/>
      <c r="S156" s="3269"/>
      <c r="T156" s="3269"/>
      <c r="U156" s="3269"/>
      <c r="V156" s="3269"/>
      <c r="W156" s="3269"/>
      <c r="X156" s="3269"/>
      <c r="Y156" s="3369"/>
    </row>
    <row r="157" spans="1:25" ht="15" hidden="1" customHeight="1">
      <c r="A157" s="3253"/>
      <c r="B157" s="3269"/>
      <c r="C157" s="3269"/>
      <c r="D157" s="3269"/>
      <c r="E157" s="3269"/>
      <c r="F157" s="3269"/>
      <c r="G157" s="3269"/>
      <c r="H157" s="3269"/>
      <c r="I157" s="3269"/>
      <c r="J157" s="3269"/>
      <c r="K157" s="3269"/>
      <c r="L157" s="3269"/>
      <c r="M157" s="3269"/>
      <c r="N157" s="3269"/>
      <c r="O157" s="3269"/>
      <c r="P157" s="3269"/>
      <c r="Q157" s="3269"/>
      <c r="R157" s="3269"/>
      <c r="S157" s="3269"/>
      <c r="T157" s="3269"/>
      <c r="U157" s="3269"/>
      <c r="V157" s="3269"/>
      <c r="W157" s="3269"/>
      <c r="X157" s="3269"/>
      <c r="Y157" s="3369"/>
    </row>
    <row r="158" spans="1:25" ht="15" hidden="1" customHeight="1">
      <c r="A158" s="3253"/>
      <c r="B158" s="3269"/>
      <c r="C158" s="3269"/>
      <c r="D158" s="3269"/>
      <c r="E158" s="3269"/>
      <c r="F158" s="3269"/>
      <c r="G158" s="3269"/>
      <c r="H158" s="3269"/>
      <c r="I158" s="3269"/>
      <c r="J158" s="3269"/>
      <c r="K158" s="3269"/>
      <c r="L158" s="3269"/>
      <c r="M158" s="3269"/>
      <c r="N158" s="3269"/>
      <c r="O158" s="3269"/>
      <c r="P158" s="3269"/>
      <c r="Q158" s="3269"/>
      <c r="R158" s="3269"/>
      <c r="S158" s="3269"/>
      <c r="T158" s="3269"/>
      <c r="U158" s="3269"/>
      <c r="V158" s="3269"/>
      <c r="W158" s="3269"/>
      <c r="X158" s="3269"/>
      <c r="Y158" s="3369"/>
    </row>
    <row r="159" spans="1:25" ht="15" hidden="1" customHeight="1">
      <c r="A159" s="3253"/>
      <c r="B159" s="3269"/>
      <c r="C159" s="3269"/>
      <c r="D159" s="3269"/>
      <c r="E159" s="3269"/>
      <c r="F159" s="3269"/>
      <c r="G159" s="3269"/>
      <c r="H159" s="3269"/>
      <c r="I159" s="3269"/>
      <c r="J159" s="3269"/>
      <c r="K159" s="3269"/>
      <c r="L159" s="3269"/>
      <c r="M159" s="3269"/>
      <c r="N159" s="3269"/>
      <c r="O159" s="3269"/>
      <c r="P159" s="3269"/>
      <c r="Q159" s="3269"/>
      <c r="R159" s="3269"/>
      <c r="S159" s="3269"/>
      <c r="T159" s="3269"/>
      <c r="U159" s="3269"/>
      <c r="V159" s="3269"/>
      <c r="W159" s="3269"/>
      <c r="X159" s="3269"/>
      <c r="Y159" s="3369"/>
    </row>
    <row r="160" spans="1:25" hidden="1">
      <c r="A160" s="3253"/>
      <c r="B160" s="3269"/>
      <c r="C160" s="3269"/>
      <c r="D160" s="3269"/>
      <c r="E160" s="3269"/>
      <c r="F160" s="3269"/>
      <c r="G160" s="3269"/>
      <c r="H160" s="3269"/>
      <c r="I160" s="3269"/>
      <c r="J160" s="3269"/>
      <c r="K160" s="3269"/>
      <c r="L160" s="3269"/>
      <c r="M160" s="3269"/>
      <c r="N160" s="3269"/>
      <c r="O160" s="3269"/>
      <c r="P160" s="3269"/>
      <c r="Q160" s="3269"/>
      <c r="R160" s="3269"/>
      <c r="S160" s="3269"/>
      <c r="T160" s="3269"/>
      <c r="U160" s="3269"/>
      <c r="V160" s="3269"/>
      <c r="W160" s="3269"/>
      <c r="X160" s="3269"/>
      <c r="Y160" s="3369"/>
    </row>
    <row r="161" spans="1:25" hidden="1">
      <c r="A161" s="3253"/>
      <c r="B161" s="3269"/>
      <c r="C161" s="3269"/>
      <c r="D161" s="3269"/>
      <c r="E161" s="3269"/>
      <c r="F161" s="3269"/>
      <c r="G161" s="3269"/>
      <c r="H161" s="3269"/>
      <c r="I161" s="3269"/>
      <c r="J161" s="3269"/>
      <c r="K161" s="3269"/>
      <c r="L161" s="3269"/>
      <c r="M161" s="3269"/>
      <c r="N161" s="3269"/>
      <c r="O161" s="3269"/>
      <c r="P161" s="3269"/>
      <c r="Q161" s="3269"/>
      <c r="R161" s="3269"/>
      <c r="S161" s="3269"/>
      <c r="T161" s="3269"/>
      <c r="U161" s="3269"/>
      <c r="V161" s="3269"/>
      <c r="W161" s="3269"/>
      <c r="X161" s="3269"/>
      <c r="Y161" s="3369"/>
    </row>
    <row r="162" spans="1:25" hidden="1">
      <c r="A162" s="3253"/>
      <c r="B162" s="3269"/>
      <c r="C162" s="3269"/>
      <c r="D162" s="3269"/>
      <c r="E162" s="3269"/>
      <c r="F162" s="3269"/>
      <c r="G162" s="3269"/>
      <c r="H162" s="3269"/>
      <c r="I162" s="3269"/>
      <c r="J162" s="3269"/>
      <c r="K162" s="3269"/>
      <c r="L162" s="3269"/>
      <c r="M162" s="3269"/>
      <c r="N162" s="3269"/>
      <c r="O162" s="3269"/>
      <c r="P162" s="3269"/>
      <c r="Q162" s="3269"/>
      <c r="R162" s="3269"/>
      <c r="S162" s="3269"/>
      <c r="T162" s="3269"/>
      <c r="U162" s="3269"/>
      <c r="V162" s="3269"/>
      <c r="W162" s="3269"/>
      <c r="X162" s="3269"/>
      <c r="Y162" s="3369"/>
    </row>
    <row r="163" spans="1:25" hidden="1">
      <c r="A163" s="3253"/>
      <c r="B163" s="3269"/>
      <c r="C163" s="3269"/>
      <c r="D163" s="3269"/>
      <c r="E163" s="3269"/>
      <c r="F163" s="3269"/>
      <c r="G163" s="3269"/>
      <c r="H163" s="3269"/>
      <c r="I163" s="3269"/>
      <c r="J163" s="3269"/>
      <c r="K163" s="3269"/>
      <c r="L163" s="3269"/>
      <c r="M163" s="3269"/>
      <c r="N163" s="3269"/>
      <c r="O163" s="3269"/>
      <c r="P163" s="3269"/>
      <c r="Q163" s="3269"/>
      <c r="R163" s="3269"/>
      <c r="S163" s="3269"/>
      <c r="T163" s="3269"/>
      <c r="U163" s="3269"/>
      <c r="V163" s="3269"/>
      <c r="W163" s="3269"/>
      <c r="X163" s="3269"/>
      <c r="Y163" s="3369"/>
    </row>
    <row r="164" spans="1:25" hidden="1">
      <c r="A164" s="3253"/>
      <c r="B164" s="3269"/>
      <c r="C164" s="3269"/>
      <c r="D164" s="3269"/>
      <c r="E164" s="3269"/>
      <c r="F164" s="3269"/>
      <c r="G164" s="3269"/>
      <c r="H164" s="3269"/>
      <c r="I164" s="3269"/>
      <c r="J164" s="3269"/>
      <c r="K164" s="3269"/>
      <c r="L164" s="3269"/>
      <c r="M164" s="3269"/>
      <c r="N164" s="3269"/>
      <c r="O164" s="3269"/>
      <c r="P164" s="3269"/>
      <c r="Q164" s="3269"/>
      <c r="R164" s="3269"/>
      <c r="S164" s="3269"/>
      <c r="T164" s="3269"/>
      <c r="U164" s="3269"/>
      <c r="V164" s="3269"/>
      <c r="W164" s="3269"/>
      <c r="X164" s="3269"/>
      <c r="Y164" s="3369"/>
    </row>
    <row r="165" spans="1:25" ht="18" hidden="1" customHeight="1">
      <c r="A165" s="3253"/>
      <c r="B165" s="3269"/>
      <c r="C165" s="3269"/>
      <c r="D165" s="3269"/>
      <c r="E165" s="3269"/>
      <c r="F165" s="3269"/>
      <c r="G165" s="3269"/>
      <c r="H165" s="3269"/>
      <c r="I165" s="3269"/>
      <c r="J165" s="3269"/>
      <c r="K165" s="3269"/>
      <c r="L165" s="3269"/>
      <c r="M165" s="3269"/>
      <c r="N165" s="3269"/>
      <c r="O165" s="3269"/>
      <c r="P165" s="3269"/>
      <c r="Q165" s="3269"/>
      <c r="R165" s="3269"/>
      <c r="S165" s="3269"/>
      <c r="T165" s="3269"/>
      <c r="U165" s="3269"/>
      <c r="V165" s="3269"/>
      <c r="W165" s="3269"/>
      <c r="X165" s="3269"/>
      <c r="Y165" s="3369"/>
    </row>
    <row r="166" spans="1:25" ht="18" hidden="1" customHeight="1">
      <c r="A166" s="3253"/>
      <c r="B166" s="3269"/>
      <c r="C166" s="3269"/>
      <c r="D166" s="3269"/>
      <c r="E166" s="3269"/>
      <c r="F166" s="3269"/>
      <c r="G166" s="3269"/>
      <c r="H166" s="3269"/>
      <c r="I166" s="3269"/>
      <c r="J166" s="3269"/>
      <c r="K166" s="3269"/>
      <c r="L166" s="3269"/>
      <c r="M166" s="3269"/>
      <c r="N166" s="3269"/>
      <c r="O166" s="3269"/>
      <c r="P166" s="3269"/>
      <c r="Q166" s="3269"/>
      <c r="R166" s="3269"/>
      <c r="S166" s="3269"/>
      <c r="T166" s="3269"/>
      <c r="U166" s="3269"/>
      <c r="V166" s="3269"/>
      <c r="W166" s="3269"/>
      <c r="X166" s="3269"/>
      <c r="Y166" s="3369"/>
    </row>
    <row r="167" spans="1:25" ht="18" hidden="1" customHeight="1" thickBot="1">
      <c r="A167" s="3254"/>
      <c r="B167" s="3270"/>
      <c r="C167" s="3270"/>
      <c r="D167" s="3270"/>
      <c r="E167" s="3270"/>
      <c r="F167" s="3270"/>
      <c r="G167" s="3270"/>
      <c r="H167" s="3270"/>
      <c r="I167" s="3270"/>
      <c r="J167" s="3270"/>
      <c r="K167" s="3270"/>
      <c r="L167" s="3270"/>
      <c r="M167" s="3270"/>
      <c r="N167" s="3270"/>
      <c r="O167" s="3270"/>
      <c r="P167" s="3270"/>
      <c r="Q167" s="3270"/>
      <c r="R167" s="3270"/>
      <c r="S167" s="3270"/>
      <c r="T167" s="3270"/>
      <c r="U167" s="3270"/>
      <c r="V167" s="3270"/>
      <c r="W167" s="3270"/>
      <c r="X167" s="3270"/>
      <c r="Y167" s="3370"/>
    </row>
    <row r="168" spans="1:25" ht="13.5" hidden="1" thickTop="1"/>
  </sheetData>
  <sheetProtection algorithmName="SHA-512" hashValue="hg2oGE1gePoxsgx5gTJmvJUz82ZCisHZQ7pVtIFwyO2HhGU9XTfZ8etSbwaaKtB2NLOIkZzmbyuwvUbclq7CGw==" saltValue="7/+53DdMYJeSu84qRWXEvQ==" spinCount="100000" sheet="1" formatColumns="0" formatRows="0" selectLockedCells="1" autoFilter="0"/>
  <protectedRanges>
    <protectedRange sqref="H24:H25 H27:H29 H31:H40" name="Range1_2"/>
    <protectedRange sqref="G24:G25 I24:L29 D25 D24:E24 G27:G29 D27:D29 B24:C30 E25:E29 F24:F29 B41:W41 M11:W12 D30:L30 M13:U30 B11:L23 B31:G40 I31:U40 V13:W40" name="Range1"/>
    <protectedRange sqref="B43:D43" name="Range3_2"/>
    <protectedRange sqref="H26" name="Range1_2_1"/>
    <protectedRange sqref="D26 I26:L26 O26:T26 G26" name="Range1_1"/>
  </protectedRanges>
  <autoFilter ref="Y7:Y41" xr:uid="{00000000-0009-0000-0000-00000A000000}"/>
  <customSheetViews>
    <customSheetView guid="{DDA22D69-94B5-45BC-9EE2-6055A845129B}" showAutoFilter="1" hiddenRows="1" hiddenColumns="1" topLeftCell="A25">
      <selection activeCell="J40" sqref="J40"/>
      <pageMargins left="1.299212598425197" right="0.51181102362204722" top="7.874015748031496E-2" bottom="0.19685039370078741" header="7.874015748031496E-2" footer="0"/>
      <pageSetup paperSize="9" scale="65" orientation="landscape" r:id="rId1"/>
      <autoFilter ref="Y7:Y38" xr:uid="{C8C44B7E-DB41-43E0-8A40-0C2CEB329191}"/>
    </customSheetView>
    <customSheetView guid="{1B7577DB-E3C4-4E68-B7CF-8F86FF7C5A82}" showAutoFilter="1" hiddenRows="1" hiddenColumns="1" topLeftCell="B35">
      <selection activeCell="M44" sqref="M44"/>
      <pageMargins left="1.1023622047244095" right="0.51181102362204722" top="0" bottom="0" header="0.19685039370078741" footer="0.11811023622047245"/>
      <pageSetup paperSize="9" scale="67" orientation="landscape" r:id="rId2"/>
      <autoFilter ref="Y7:Y40" xr:uid="{2B1C96A9-C345-4237-A43F-AED1B5EBD09D}"/>
    </customSheetView>
    <customSheetView guid="{2BE9587E-F957-49DF-9716-3F2B35B49DC1}" hiddenRows="1" hiddenColumns="1" topLeftCell="A14">
      <selection activeCell="C11" sqref="C11"/>
      <pageMargins left="0.21" right="0.1" top="0.5" bottom="0" header="0.3" footer="0.3"/>
      <pageSetup paperSize="9" scale="81" orientation="landscape" r:id="rId3"/>
    </customSheetView>
    <customSheetView guid="{60E5615C-64A2-4675-848A-970A515EAF91}" printArea="1" hiddenRows="1" hiddenColumns="1" topLeftCell="A31">
      <selection activeCell="I39" sqref="I39"/>
      <pageMargins left="0.21" right="0.1" top="0.5" bottom="0" header="0.3" footer="0.3"/>
      <pageSetup paperSize="9" scale="76" orientation="landscape" r:id="rId4"/>
    </customSheetView>
    <customSheetView guid="{E7B1C62B-1F1D-4A62-BD87-EE62D3A36B6C}" showAutoFilter="1" hiddenRows="1" hiddenColumns="1">
      <selection activeCell="J40" sqref="J40"/>
      <pageMargins left="1.299212598425197" right="0.51181102362204722" top="7.874015748031496E-2" bottom="0.19685039370078741" header="7.874015748031496E-2" footer="0"/>
      <pageSetup paperSize="9" scale="65" orientation="landscape" r:id="rId5"/>
      <autoFilter ref="Y7:Y38" xr:uid="{3513D35B-6528-4734-A468-81EB5CE3810C}"/>
    </customSheetView>
  </customSheetViews>
  <mergeCells count="20">
    <mergeCell ref="CI7:CL7"/>
    <mergeCell ref="B8:E8"/>
    <mergeCell ref="B7:X7"/>
    <mergeCell ref="F8:W8"/>
    <mergeCell ref="O43:Q43"/>
    <mergeCell ref="C10:D10"/>
    <mergeCell ref="AF19:AH19"/>
    <mergeCell ref="AH21:AJ21"/>
    <mergeCell ref="AH26:AJ26"/>
    <mergeCell ref="AH27:AJ27"/>
    <mergeCell ref="AH29:AJ29"/>
    <mergeCell ref="AH30:AJ30"/>
    <mergeCell ref="AH28:AJ28"/>
    <mergeCell ref="C5:E5"/>
    <mergeCell ref="F5:I5"/>
    <mergeCell ref="AH23:AJ23"/>
    <mergeCell ref="AH25:AJ25"/>
    <mergeCell ref="AH22:AJ22"/>
    <mergeCell ref="AH24:AJ24"/>
    <mergeCell ref="Y7:Y11"/>
  </mergeCells>
  <pageMargins left="1.299212598425197" right="0.51181102362204722" top="7.874015748031496E-2" bottom="0.19685039370078741" header="7.874015748031496E-2" footer="0"/>
  <pageSetup paperSize="9" scale="65" orientation="landscape" r:id="rId6"/>
  <ignoredErrors>
    <ignoredError sqref="C12:L23 W26 W31 W12:W25 W29 W27 W30 L11:N11 O27:S27 N12 M24 O25:S25 M13:V23 M26:V26 M25:N25 T25:V25 N24:V24 M12 O12:V12 M28:V35 M27:N27 T27:V27 M37:V40 N36:V36 G27:L27 D24 G24:L24 D25 G25:L25 D27 D29 G29:L29 C24 C30:L40 C29 E29:F29 C28:L28 C27 E27:F27 C26:L26 C25 E25:F25 E24:F24 B24:B40" unlockedFormula="1"/>
    <ignoredError sqref="AB36" formula="1"/>
    <ignoredError sqref="M36" formula="1" unlockedFormula="1"/>
  </ignoredErrors>
  <drawing r:id="rId7"/>
  <legacyDrawing r:id="rId8"/>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PQ1701"/>
  <sheetViews>
    <sheetView topLeftCell="FN6" zoomScaleNormal="100" workbookViewId="0">
      <selection activeCell="FS11" sqref="FS11"/>
    </sheetView>
  </sheetViews>
  <sheetFormatPr defaultRowHeight="27.95" customHeight="1"/>
  <cols>
    <col min="1" max="1" width="5.7109375" style="934" customWidth="1"/>
    <col min="2" max="2" width="6.85546875" style="935" customWidth="1"/>
    <col min="3" max="3" width="10.28515625" customWidth="1"/>
    <col min="4" max="6" width="15.7109375" customWidth="1"/>
    <col min="7" max="7" width="18.5703125" customWidth="1"/>
    <col min="8" max="9" width="15.7109375" customWidth="1"/>
    <col min="10" max="10" width="18.7109375" customWidth="1"/>
    <col min="11" max="11" width="18" customWidth="1"/>
    <col min="12" max="12" width="15.28515625" customWidth="1"/>
    <col min="13" max="13" width="18.28515625" customWidth="1"/>
    <col min="14" max="14" width="19.7109375" customWidth="1"/>
    <col min="15" max="15" width="14.28515625" customWidth="1"/>
    <col min="16" max="16" width="9.85546875" customWidth="1"/>
    <col min="17" max="17" width="15" customWidth="1"/>
    <col min="18" max="18" width="13.42578125" customWidth="1"/>
    <col min="19" max="19" width="12.7109375" customWidth="1"/>
    <col min="20" max="20" width="20.5703125" customWidth="1"/>
    <col min="21" max="21" width="17.42578125" customWidth="1"/>
    <col min="22" max="22" width="16" customWidth="1"/>
    <col min="23" max="23" width="15.28515625" customWidth="1"/>
    <col min="24" max="24" width="15.140625" customWidth="1"/>
    <col min="25" max="25" width="14.7109375" customWidth="1"/>
    <col min="26" max="26" width="16.42578125" customWidth="1"/>
    <col min="27" max="27" width="15" customWidth="1"/>
    <col min="28" max="28" width="21.28515625" customWidth="1"/>
    <col min="29" max="29" width="18" customWidth="1"/>
    <col min="30" max="30" width="13.85546875" customWidth="1"/>
    <col min="31" max="32" width="14.28515625" customWidth="1"/>
    <col min="33" max="33" width="13.140625" customWidth="1"/>
    <col min="34" max="34" width="15.85546875" customWidth="1"/>
    <col min="36" max="36" width="9.5703125" customWidth="1"/>
    <col min="37" max="37" width="18" customWidth="1"/>
    <col min="38" max="38" width="14.140625" customWidth="1"/>
    <col min="39" max="39" width="21.140625" customWidth="1"/>
    <col min="40" max="40" width="17.42578125" customWidth="1"/>
    <col min="41" max="41" width="14.140625" customWidth="1"/>
    <col min="42" max="42" width="15.28515625" customWidth="1"/>
    <col min="43" max="43" width="14" customWidth="1"/>
    <col min="44" max="44" width="11" customWidth="1"/>
    <col min="45" max="45" width="12.7109375" customWidth="1"/>
    <col min="46" max="46" width="12.140625" customWidth="1"/>
    <col min="47" max="47" width="12.5703125" customWidth="1"/>
    <col min="48" max="48" width="12.42578125" customWidth="1"/>
    <col min="49" max="49" width="12.7109375" customWidth="1"/>
    <col min="50" max="50" width="9.42578125" customWidth="1"/>
    <col min="51" max="51" width="13.28515625" customWidth="1"/>
    <col min="52" max="52" width="12.140625" customWidth="1"/>
    <col min="53" max="53" width="10.5703125" customWidth="1"/>
    <col min="54" max="54" width="9.85546875" customWidth="1"/>
    <col min="55" max="55" width="12.42578125" customWidth="1"/>
    <col min="56" max="56" width="15.7109375" customWidth="1"/>
    <col min="57" max="57" width="16.42578125" customWidth="1"/>
    <col min="58" max="58" width="18.42578125" customWidth="1"/>
    <col min="59" max="59" width="14.140625" customWidth="1"/>
    <col min="60" max="60" width="17.42578125" customWidth="1"/>
    <col min="61" max="61" width="13.28515625" customWidth="1"/>
    <col min="62" max="62" width="13" customWidth="1"/>
    <col min="63" max="63" width="14" customWidth="1"/>
    <col min="64" max="64" width="11.7109375" customWidth="1"/>
    <col min="65" max="65" width="17.85546875" customWidth="1"/>
    <col min="66" max="66" width="13.7109375" customWidth="1"/>
    <col min="67" max="67" width="13.85546875" customWidth="1"/>
    <col min="68" max="68" width="15.140625" customWidth="1"/>
    <col min="69" max="69" width="14.28515625" customWidth="1"/>
    <col min="70" max="70" width="13.140625" customWidth="1"/>
    <col min="71" max="71" width="13" customWidth="1"/>
    <col min="72" max="72" width="12.28515625" customWidth="1"/>
    <col min="73" max="73" width="16.28515625" customWidth="1"/>
    <col min="74" max="74" width="19" customWidth="1"/>
    <col min="75" max="75" width="14.140625" customWidth="1"/>
    <col min="76" max="76" width="13.85546875" customWidth="1"/>
    <col min="77" max="77" width="13.42578125" customWidth="1"/>
    <col min="78" max="78" width="16.85546875" customWidth="1"/>
    <col min="79" max="79" width="12.7109375" customWidth="1"/>
    <col min="80" max="80" width="12.85546875" customWidth="1"/>
    <col min="81" max="81" width="13.5703125" customWidth="1"/>
    <col min="82" max="82" width="12" customWidth="1"/>
    <col min="84" max="84" width="10.85546875" customWidth="1"/>
    <col min="85" max="85" width="23.140625" customWidth="1"/>
    <col min="86" max="86" width="12.85546875" customWidth="1"/>
    <col min="87" max="87" width="18.5703125" customWidth="1"/>
    <col min="88" max="88" width="12.28515625" customWidth="1"/>
    <col min="89" max="89" width="10.7109375" customWidth="1"/>
    <col min="90" max="90" width="17.7109375" customWidth="1"/>
    <col min="91" max="91" width="11.42578125" customWidth="1"/>
    <col min="92" max="92" width="10.7109375" customWidth="1"/>
    <col min="93" max="93" width="15.28515625" customWidth="1"/>
    <col min="94" max="94" width="18.5703125" customWidth="1"/>
    <col min="95" max="95" width="19.7109375" customWidth="1"/>
    <col min="96" max="96" width="22.140625" customWidth="1"/>
    <col min="97" max="97" width="17.28515625" customWidth="1"/>
    <col min="98" max="98" width="11.85546875" customWidth="1"/>
    <col min="99" max="99" width="12.7109375" customWidth="1"/>
    <col min="100" max="100" width="12" customWidth="1"/>
    <col min="101" max="101" width="14.28515625" customWidth="1"/>
    <col min="102" max="102" width="14.42578125" customWidth="1"/>
    <col min="103" max="103" width="11.85546875" customWidth="1"/>
    <col min="104" max="104" width="13" customWidth="1"/>
    <col min="105" max="106" width="11.7109375" customWidth="1"/>
    <col min="107" max="107" width="18.5703125" customWidth="1"/>
    <col min="108" max="109" width="13.42578125" customWidth="1"/>
    <col min="110" max="110" width="13.28515625" customWidth="1"/>
    <col min="111" max="111" width="14.140625" customWidth="1"/>
    <col min="112" max="112" width="11.85546875" customWidth="1"/>
    <col min="113" max="113" width="10.7109375" customWidth="1"/>
    <col min="114" max="114" width="14" customWidth="1"/>
    <col min="115" max="115" width="12.7109375" customWidth="1"/>
    <col min="116" max="116" width="13.5703125" customWidth="1"/>
    <col min="117" max="117" width="14.42578125" customWidth="1"/>
    <col min="118" max="118" width="12.140625" customWidth="1"/>
    <col min="119" max="119" width="11.140625" customWidth="1"/>
    <col min="120" max="120" width="10.140625" customWidth="1"/>
    <col min="121" max="121" width="11.140625" customWidth="1"/>
    <col min="122" max="122" width="16" customWidth="1"/>
    <col min="123" max="123" width="19.85546875" customWidth="1"/>
    <col min="124" max="124" width="14.5703125" customWidth="1"/>
    <col min="127" max="127" width="9.85546875" customWidth="1"/>
    <col min="128" max="128" width="11.140625" customWidth="1"/>
    <col min="129" max="129" width="39.85546875" customWidth="1"/>
    <col min="130" max="130" width="14" customWidth="1"/>
    <col min="131" max="131" width="14.140625" customWidth="1"/>
    <col min="132" max="132" width="11.5703125" customWidth="1"/>
    <col min="133" max="133" width="11" customWidth="1"/>
    <col min="136" max="136" width="10.85546875" customWidth="1"/>
    <col min="137" max="137" width="11.140625" customWidth="1"/>
    <col min="138" max="138" width="11.28515625" customWidth="1"/>
    <col min="139" max="139" width="13.7109375" customWidth="1"/>
    <col min="140" max="140" width="16.28515625" customWidth="1"/>
    <col min="141" max="141" width="13.7109375" customWidth="1"/>
    <col min="142" max="142" width="12.85546875" customWidth="1"/>
    <col min="143" max="143" width="11.85546875" customWidth="1"/>
    <col min="144" max="144" width="12" customWidth="1"/>
    <col min="145" max="145" width="13.5703125" customWidth="1"/>
    <col min="146" max="146" width="14.7109375" customWidth="1"/>
    <col min="147" max="147" width="14.28515625" customWidth="1"/>
    <col min="148" max="149" width="14.5703125" customWidth="1"/>
    <col min="150" max="150" width="14.85546875" customWidth="1"/>
    <col min="151" max="151" width="10.140625" customWidth="1"/>
    <col min="152" max="152" width="11.28515625" customWidth="1"/>
    <col min="154" max="154" width="10.7109375" customWidth="1"/>
    <col min="155" max="155" width="13" customWidth="1"/>
    <col min="156" max="156" width="10.5703125" customWidth="1"/>
    <col min="157" max="158" width="12.140625" customWidth="1"/>
    <col min="161" max="161" width="14.28515625" customWidth="1"/>
    <col min="162" max="162" width="10.85546875" customWidth="1"/>
    <col min="163" max="163" width="11.7109375" customWidth="1"/>
    <col min="164" max="164" width="11" customWidth="1"/>
    <col min="167" max="167" width="13.7109375" customWidth="1"/>
    <col min="168" max="168" width="10.28515625" customWidth="1"/>
    <col min="169" max="169" width="10" customWidth="1"/>
    <col min="170" max="170" width="11.7109375" customWidth="1"/>
    <col min="173" max="173" width="12.85546875" customWidth="1"/>
    <col min="174" max="174" width="10.42578125" customWidth="1"/>
    <col min="175" max="175" width="13.85546875" customWidth="1"/>
    <col min="176" max="178" width="10.140625" customWidth="1"/>
    <col min="180" max="180" width="10.42578125" customWidth="1"/>
    <col min="181" max="181" width="16.7109375" customWidth="1"/>
    <col min="182" max="182" width="11.7109375" customWidth="1"/>
    <col min="185" max="185" width="9.5703125" customWidth="1"/>
    <col min="186" max="186" width="17.28515625" customWidth="1"/>
    <col min="187" max="187" width="9.5703125" customWidth="1"/>
    <col min="194" max="194" width="21" customWidth="1"/>
    <col min="197" max="197" width="15.7109375" customWidth="1"/>
    <col min="198" max="198" width="15.5703125" customWidth="1"/>
    <col min="199" max="199" width="7" customWidth="1"/>
    <col min="200" max="203" width="14.42578125" customWidth="1"/>
    <col min="204" max="204" width="4.85546875" customWidth="1"/>
    <col min="205" max="205" width="21.7109375" customWidth="1"/>
    <col min="206" max="207" width="14.42578125" customWidth="1"/>
    <col min="208" max="208" width="15.42578125" customWidth="1"/>
    <col min="209" max="212" width="15.85546875" customWidth="1"/>
    <col min="213" max="218" width="14.42578125" customWidth="1"/>
    <col min="219" max="219" width="11.28515625" customWidth="1"/>
    <col min="220" max="220" width="11.140625" customWidth="1"/>
    <col min="221" max="226" width="14.42578125" customWidth="1"/>
    <col min="227" max="227" width="16.7109375" customWidth="1"/>
    <col min="228" max="228" width="13.28515625" customWidth="1"/>
    <col min="229" max="229" width="16.28515625" customWidth="1"/>
    <col min="230" max="232" width="14.42578125" customWidth="1"/>
    <col min="233" max="233" width="11.28515625" customWidth="1"/>
    <col min="234" max="234" width="12.28515625" customWidth="1"/>
    <col min="235" max="241" width="14.42578125" customWidth="1"/>
    <col min="242" max="242" width="12.42578125" customWidth="1"/>
    <col min="243" max="248" width="14.42578125" customWidth="1"/>
    <col min="249" max="249" width="11.5703125" customWidth="1"/>
    <col min="250" max="256" width="14.42578125" customWidth="1"/>
    <col min="257" max="257" width="15.28515625" customWidth="1"/>
    <col min="258" max="258" width="15.7109375" customWidth="1"/>
    <col min="259" max="272" width="14.42578125" customWidth="1"/>
    <col min="273" max="273" width="17.42578125" customWidth="1"/>
    <col min="274" max="274" width="15.7109375" customWidth="1"/>
    <col min="275" max="275" width="15" customWidth="1"/>
    <col min="276" max="276" width="14.42578125" customWidth="1"/>
    <col min="277" max="278" width="14.28515625" customWidth="1"/>
    <col min="280" max="280" width="12.5703125" customWidth="1"/>
    <col min="281" max="281" width="12.42578125" customWidth="1"/>
    <col min="282" max="282" width="10.7109375" customWidth="1"/>
    <col min="284" max="284" width="11.7109375" customWidth="1"/>
    <col min="285" max="285" width="8" customWidth="1"/>
    <col min="286" max="286" width="13.28515625" customWidth="1"/>
    <col min="287" max="287" width="14.42578125" customWidth="1"/>
    <col min="288" max="288" width="12.5703125" customWidth="1"/>
    <col min="289" max="289" width="16.28515625" customWidth="1"/>
    <col min="290" max="290" width="14.7109375" customWidth="1"/>
    <col min="291" max="291" width="17" customWidth="1"/>
    <col min="292" max="292" width="11.28515625" customWidth="1"/>
    <col min="293" max="294" width="10.7109375" customWidth="1"/>
    <col min="295" max="295" width="13.140625" customWidth="1"/>
    <col min="296" max="296" width="10.42578125" customWidth="1"/>
    <col min="297" max="297" width="10" customWidth="1"/>
    <col min="298" max="298" width="10.5703125" customWidth="1"/>
    <col min="299" max="299" width="10.28515625" customWidth="1"/>
    <col min="300" max="300" width="9.85546875" customWidth="1"/>
    <col min="302" max="302" width="9.7109375" customWidth="1"/>
    <col min="303" max="303" width="11.85546875" customWidth="1"/>
    <col min="304" max="304" width="20.140625" customWidth="1"/>
    <col min="305" max="305" width="10.5703125" customWidth="1"/>
    <col min="308" max="308" width="7.7109375" customWidth="1"/>
    <col min="309" max="309" width="10.7109375" customWidth="1"/>
    <col min="310" max="310" width="10.140625" customWidth="1"/>
    <col min="325" max="325" width="11.28515625" customWidth="1"/>
    <col min="326" max="326" width="21.42578125" customWidth="1"/>
    <col min="327" max="327" width="10.28515625" customWidth="1"/>
    <col min="348" max="348" width="10.42578125" customWidth="1"/>
    <col min="349" max="349" width="63.140625" customWidth="1"/>
    <col min="350" max="350" width="10.5703125" customWidth="1"/>
    <col min="353" max="353" width="10.85546875" bestFit="1" customWidth="1"/>
    <col min="354" max="354" width="80.140625" customWidth="1"/>
    <col min="355" max="355" width="16.5703125" customWidth="1"/>
    <col min="356" max="356" width="16.85546875" customWidth="1"/>
    <col min="357" max="357" width="13.140625" customWidth="1"/>
    <col min="358" max="358" width="13" customWidth="1"/>
    <col min="359" max="359" width="14" customWidth="1"/>
    <col min="365" max="365" width="20.42578125" customWidth="1"/>
    <col min="371" max="371" width="9.42578125" customWidth="1"/>
    <col min="373" max="373" width="12.5703125" customWidth="1"/>
    <col min="378" max="378" width="9.85546875" customWidth="1"/>
    <col min="379" max="379" width="11.5703125" customWidth="1"/>
    <col min="380" max="380" width="19.140625" customWidth="1"/>
    <col min="385" max="385" width="11.7109375" customWidth="1"/>
    <col min="386" max="386" width="14.85546875" customWidth="1"/>
    <col min="387" max="387" width="12" customWidth="1"/>
    <col min="390" max="390" width="25.42578125" customWidth="1"/>
    <col min="391" max="391" width="22.85546875" customWidth="1"/>
    <col min="392" max="392" width="18" customWidth="1"/>
    <col min="396" max="396" width="21.7109375" customWidth="1"/>
    <col min="399" max="399" width="17.28515625" customWidth="1"/>
    <col min="402" max="402" width="27.5703125" customWidth="1"/>
    <col min="403" max="403" width="17" customWidth="1"/>
  </cols>
  <sheetData>
    <row r="1" spans="1:433" ht="24.95" customHeight="1" thickBot="1">
      <c r="A1" s="123"/>
      <c r="B1" s="8"/>
      <c r="C1" s="682"/>
      <c r="D1" s="682"/>
      <c r="E1" s="682"/>
      <c r="F1" s="682"/>
      <c r="G1" s="682"/>
      <c r="H1" s="682"/>
      <c r="I1" s="682"/>
      <c r="J1" s="682"/>
      <c r="K1" s="682"/>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7"/>
      <c r="AW1" s="1"/>
      <c r="AX1" s="750"/>
      <c r="AY1" s="750"/>
      <c r="AZ1" s="750"/>
      <c r="BA1" s="750"/>
      <c r="BB1" s="750"/>
      <c r="BC1" s="750"/>
      <c r="BD1" s="750"/>
      <c r="BE1" s="750"/>
      <c r="BF1" s="750"/>
      <c r="BG1" s="750"/>
      <c r="BH1" s="1"/>
      <c r="BI1" s="1"/>
      <c r="BJ1" s="1"/>
      <c r="BK1" s="1"/>
      <c r="BL1" s="750"/>
      <c r="BM1" s="750"/>
      <c r="BN1" s="750"/>
      <c r="BO1" s="750"/>
      <c r="BP1" s="750"/>
      <c r="BQ1" s="750"/>
      <c r="BR1" s="750"/>
      <c r="BS1" s="750"/>
      <c r="BT1" s="750"/>
      <c r="BU1" s="750"/>
      <c r="BV1" s="750"/>
      <c r="BW1" s="750"/>
      <c r="BX1" s="1"/>
      <c r="BY1" s="1"/>
      <c r="BZ1" s="1"/>
      <c r="CA1" s="1"/>
      <c r="CB1" s="1"/>
      <c r="CC1" s="1"/>
      <c r="CD1" s="345"/>
      <c r="CE1" s="1"/>
      <c r="CF1" s="750"/>
      <c r="CG1" s="750"/>
      <c r="CH1" s="750"/>
      <c r="CI1" s="750"/>
      <c r="CJ1" s="750"/>
      <c r="CK1" s="750"/>
      <c r="CL1" s="750"/>
      <c r="CM1" s="750"/>
      <c r="CN1" s="750"/>
      <c r="CO1" s="750"/>
      <c r="CP1" s="750"/>
      <c r="CQ1" s="750"/>
      <c r="CR1" s="750"/>
      <c r="CS1" s="750"/>
      <c r="CT1" s="750"/>
      <c r="CU1" s="750"/>
      <c r="CV1" s="1"/>
      <c r="CW1" s="1"/>
      <c r="CX1" s="1"/>
      <c r="CY1" s="1"/>
      <c r="CZ1" s="1"/>
      <c r="DA1" s="1"/>
      <c r="DB1" s="1"/>
      <c r="DC1" s="1"/>
      <c r="DD1" s="1"/>
      <c r="DE1" s="345"/>
      <c r="DF1" s="1"/>
      <c r="DG1" s="1"/>
      <c r="DH1" s="1"/>
      <c r="DI1" s="750"/>
      <c r="DJ1" s="750"/>
      <c r="DK1" s="750"/>
      <c r="DL1" s="750"/>
      <c r="DM1" s="750"/>
      <c r="DN1" s="750"/>
      <c r="DO1" s="750"/>
      <c r="DP1" s="750"/>
      <c r="DQ1" s="750"/>
      <c r="DR1" s="750"/>
      <c r="DS1" s="750"/>
      <c r="DT1" s="750"/>
      <c r="DU1" s="1"/>
      <c r="DV1" s="1"/>
      <c r="DW1" s="1"/>
      <c r="DX1" s="1"/>
      <c r="DY1" s="1"/>
      <c r="DZ1" s="1"/>
      <c r="EA1" s="1"/>
      <c r="EB1" s="288"/>
      <c r="EC1" s="785"/>
      <c r="ED1" s="785"/>
      <c r="EE1" s="785"/>
      <c r="EF1" s="785"/>
      <c r="EG1" s="785"/>
      <c r="EH1" s="785"/>
      <c r="EI1" s="785"/>
      <c r="EJ1" s="785"/>
      <c r="EK1" s="785"/>
      <c r="EL1" s="785"/>
      <c r="EM1" s="785"/>
      <c r="EN1" s="765"/>
      <c r="EO1" s="785"/>
      <c r="EP1" s="785"/>
      <c r="EQ1" s="785"/>
      <c r="ER1" s="785"/>
      <c r="ES1" s="785"/>
      <c r="ET1" s="785"/>
      <c r="EU1" s="785"/>
      <c r="EV1" s="785"/>
      <c r="EW1" s="785"/>
      <c r="EX1" s="785"/>
      <c r="EY1" s="785"/>
      <c r="EZ1" s="785"/>
      <c r="FA1" s="785"/>
      <c r="FB1" s="785"/>
      <c r="FC1" s="785"/>
      <c r="FD1" s="785"/>
      <c r="FE1" s="785"/>
      <c r="FF1" s="785"/>
      <c r="FG1" s="785"/>
      <c r="FH1" s="785"/>
      <c r="FI1" s="785"/>
      <c r="FJ1" s="785"/>
      <c r="FK1" s="785"/>
      <c r="FL1" s="785"/>
      <c r="FM1" s="785"/>
      <c r="FN1" s="785"/>
      <c r="FO1" s="785"/>
      <c r="FP1" s="785"/>
      <c r="FQ1" s="785"/>
      <c r="FR1" s="785"/>
      <c r="FS1" s="785"/>
      <c r="FT1" s="785"/>
      <c r="FU1" s="785"/>
      <c r="FV1" s="785"/>
      <c r="FW1" s="785"/>
      <c r="FX1" s="802"/>
      <c r="FY1" s="802"/>
      <c r="FZ1" s="785"/>
      <c r="GA1" s="785"/>
      <c r="GB1" s="785"/>
      <c r="GC1" s="785"/>
      <c r="GD1" s="785"/>
      <c r="GE1" s="785"/>
      <c r="GF1" s="785"/>
      <c r="GG1" s="785"/>
      <c r="GH1" s="785"/>
      <c r="GI1" s="785"/>
      <c r="GJ1" s="785"/>
      <c r="GK1" s="785"/>
      <c r="GL1" s="785"/>
      <c r="GM1" s="785"/>
      <c r="GN1" s="785"/>
      <c r="GO1" s="785"/>
      <c r="GP1" s="785"/>
      <c r="GQ1" s="785"/>
      <c r="GR1" s="785"/>
      <c r="GS1" s="785"/>
      <c r="GT1" s="785"/>
      <c r="GU1" s="785"/>
      <c r="GV1" s="785"/>
      <c r="GW1" s="785"/>
      <c r="GX1" s="785"/>
      <c r="GY1" s="785"/>
      <c r="GZ1" s="785"/>
      <c r="HA1" s="785"/>
      <c r="HB1" s="785"/>
      <c r="HC1" s="785"/>
      <c r="HD1" s="785"/>
      <c r="HE1" s="785"/>
      <c r="HF1" s="785"/>
      <c r="HG1" s="785"/>
      <c r="HH1" s="785"/>
      <c r="HI1" s="785"/>
      <c r="HJ1" s="785"/>
      <c r="HK1" s="876"/>
      <c r="HL1" s="785"/>
      <c r="HM1" s="785"/>
      <c r="HN1" s="785"/>
      <c r="HO1" s="785"/>
      <c r="HP1" s="785"/>
      <c r="HQ1" s="785"/>
      <c r="HR1" s="785"/>
      <c r="HS1" s="785"/>
      <c r="HT1" s="785"/>
      <c r="HU1" s="785"/>
      <c r="HV1" s="785"/>
      <c r="HW1" s="785"/>
      <c r="HX1" s="785"/>
      <c r="HY1" s="1572"/>
      <c r="HZ1" s="785"/>
      <c r="IA1" s="785"/>
      <c r="IB1" s="785"/>
      <c r="IC1" s="785"/>
      <c r="ID1" s="785"/>
      <c r="IE1" s="785"/>
      <c r="IF1" s="785"/>
      <c r="IG1" s="785"/>
      <c r="IH1" s="785"/>
      <c r="II1" s="785"/>
      <c r="IJ1" s="785"/>
      <c r="IK1" s="785"/>
      <c r="IL1" s="785"/>
      <c r="IM1" s="785"/>
      <c r="IN1" s="785"/>
      <c r="IO1" s="1576"/>
      <c r="IP1" s="785"/>
      <c r="IQ1" s="785"/>
      <c r="IR1" s="785"/>
      <c r="IS1" s="785"/>
      <c r="IT1" s="785"/>
      <c r="IU1" s="785"/>
      <c r="IV1" s="785"/>
      <c r="IW1" s="785"/>
      <c r="IX1" s="785"/>
      <c r="IY1" s="785"/>
      <c r="IZ1" s="785"/>
      <c r="JA1" s="785"/>
      <c r="JB1" s="785"/>
      <c r="JC1" s="785"/>
      <c r="JD1" s="1464"/>
      <c r="JE1" s="785"/>
      <c r="JF1" s="785"/>
      <c r="JG1" s="785"/>
      <c r="JH1" s="785"/>
      <c r="JI1" s="785"/>
      <c r="JJ1" s="785"/>
      <c r="JK1" s="785"/>
      <c r="JL1" s="785"/>
      <c r="JM1" s="785"/>
      <c r="JN1" s="785"/>
      <c r="JO1" s="785"/>
      <c r="JP1" s="785"/>
      <c r="JQ1" s="785"/>
      <c r="JR1" s="785"/>
      <c r="JS1" s="863"/>
      <c r="JT1" s="785"/>
      <c r="JU1" s="785"/>
      <c r="JV1" s="785"/>
      <c r="JW1" s="785"/>
      <c r="JX1" s="785"/>
      <c r="JY1" s="785"/>
      <c r="JZ1" s="785"/>
      <c r="KA1" s="874"/>
      <c r="KB1" s="874"/>
      <c r="KC1" s="842"/>
      <c r="KD1" s="842"/>
      <c r="KE1" s="842"/>
      <c r="KF1" s="842"/>
      <c r="KG1" s="842"/>
      <c r="KH1" s="842"/>
      <c r="KI1" s="842"/>
      <c r="KJ1" s="842"/>
      <c r="KK1" s="842"/>
      <c r="KL1" s="842"/>
      <c r="KM1" s="842"/>
      <c r="KN1" s="842"/>
      <c r="KO1" s="842"/>
      <c r="KP1" s="842"/>
      <c r="KQ1" s="842"/>
      <c r="KR1" s="842"/>
      <c r="KS1" s="842"/>
      <c r="KT1" s="842"/>
      <c r="KU1" s="842"/>
      <c r="KV1" s="842"/>
      <c r="KW1" s="842"/>
      <c r="KX1" s="842"/>
      <c r="KY1" s="842"/>
      <c r="KZ1" s="842"/>
      <c r="LA1" s="842"/>
      <c r="LB1" s="842"/>
      <c r="LC1" s="842"/>
      <c r="LD1" s="842"/>
      <c r="LE1" s="842"/>
      <c r="LF1" s="842"/>
      <c r="LG1" s="842"/>
      <c r="LH1" s="842"/>
      <c r="LI1" s="842"/>
      <c r="LJ1" s="842"/>
      <c r="LK1" s="842"/>
      <c r="LL1" s="842"/>
      <c r="LM1" s="842"/>
      <c r="LN1" s="842"/>
      <c r="LO1" s="842"/>
      <c r="LP1" s="842"/>
      <c r="LQ1" s="842"/>
      <c r="LR1" s="842"/>
      <c r="LS1" s="842"/>
      <c r="LT1" s="842"/>
      <c r="LU1" s="842"/>
      <c r="LV1" s="842"/>
      <c r="LW1" s="842"/>
      <c r="LX1" s="842"/>
      <c r="LY1" s="842"/>
      <c r="LZ1" s="842"/>
      <c r="MA1" s="842"/>
      <c r="MB1" s="842"/>
      <c r="MC1" s="842"/>
      <c r="MD1" s="842"/>
      <c r="ME1" s="842"/>
      <c r="MF1" s="842"/>
      <c r="MG1" s="842"/>
      <c r="MH1" s="842"/>
      <c r="MI1" s="842"/>
      <c r="MJ1" s="842"/>
      <c r="MK1" s="842"/>
      <c r="ML1" s="842"/>
      <c r="MM1" s="842"/>
      <c r="MN1" s="842"/>
      <c r="MO1" s="842"/>
      <c r="MP1" s="842"/>
      <c r="MQ1" s="842"/>
      <c r="MR1" s="842"/>
      <c r="MS1" s="842"/>
      <c r="MT1" s="842"/>
      <c r="MU1" s="842"/>
      <c r="MV1" s="842"/>
      <c r="MW1" s="842"/>
      <c r="MX1" s="842"/>
      <c r="MY1" s="842"/>
      <c r="MZ1" s="842"/>
      <c r="NA1" s="842"/>
      <c r="NB1" s="842"/>
      <c r="NC1" s="842"/>
      <c r="ND1" s="842"/>
      <c r="NE1" s="842"/>
      <c r="NF1" s="842"/>
      <c r="NG1" s="1699"/>
      <c r="NH1" s="1699"/>
      <c r="NI1" s="1699"/>
      <c r="NJ1" s="1699"/>
      <c r="NK1" s="1699"/>
      <c r="NL1" s="1699"/>
      <c r="NM1" s="1699"/>
      <c r="NN1" s="1699"/>
      <c r="NO1" s="1699"/>
      <c r="NP1" s="1699"/>
      <c r="NQ1" s="1699"/>
      <c r="NR1" s="1699"/>
      <c r="NS1" s="1699"/>
      <c r="NT1" s="1699"/>
      <c r="NU1" s="1699"/>
      <c r="NV1" s="1699"/>
      <c r="NW1" s="1699"/>
      <c r="NX1" s="1699"/>
      <c r="NY1" s="1699"/>
      <c r="NZ1" s="1699"/>
      <c r="OA1" s="1699"/>
      <c r="OB1" s="1699"/>
      <c r="OC1" s="1699"/>
      <c r="OD1" s="1699"/>
      <c r="OE1" s="1699"/>
      <c r="OF1" s="1699"/>
      <c r="OG1" s="1699"/>
      <c r="OH1" s="1699"/>
      <c r="OI1" s="1699"/>
      <c r="OJ1" s="1699"/>
      <c r="OK1" s="1699"/>
      <c r="OL1" s="1699"/>
      <c r="OM1" s="1699"/>
      <c r="ON1" s="1699"/>
      <c r="OO1" s="1699"/>
      <c r="OP1" s="842"/>
      <c r="OQ1" s="842"/>
      <c r="OR1" s="842"/>
      <c r="OS1" s="842"/>
      <c r="OT1" s="842"/>
      <c r="OU1" s="842"/>
      <c r="OV1" s="842"/>
      <c r="OW1" s="842"/>
      <c r="OX1" s="842"/>
      <c r="OY1" s="842"/>
      <c r="OZ1" s="842"/>
      <c r="PA1" s="842"/>
      <c r="PB1" s="842"/>
      <c r="PC1" s="842"/>
      <c r="PD1" s="842"/>
      <c r="PE1" s="842"/>
      <c r="PF1" s="842"/>
      <c r="PG1" s="842"/>
      <c r="PH1" s="842"/>
      <c r="PI1" s="842"/>
      <c r="PJ1" s="842"/>
      <c r="PK1" s="842"/>
      <c r="PL1" s="842"/>
      <c r="PM1" s="842"/>
      <c r="PN1" s="842"/>
      <c r="PO1" s="842"/>
      <c r="PP1" s="842"/>
      <c r="PQ1" s="842"/>
    </row>
    <row r="2" spans="1:433" ht="30" customHeight="1" thickBot="1">
      <c r="A2" s="123"/>
      <c r="B2" s="8"/>
      <c r="C2" s="683"/>
      <c r="D2" s="683"/>
      <c r="E2" s="683"/>
      <c r="F2" s="683"/>
      <c r="G2" s="683"/>
      <c r="H2" s="683"/>
      <c r="I2" s="683"/>
      <c r="J2" s="683"/>
      <c r="K2" s="683"/>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7"/>
      <c r="AW2" s="288"/>
      <c r="AX2" s="5271" t="s">
        <v>1678</v>
      </c>
      <c r="AY2" s="5365"/>
      <c r="AZ2" s="5365"/>
      <c r="BA2" s="5365"/>
      <c r="BB2" s="5365"/>
      <c r="BC2" s="5365"/>
      <c r="BD2" s="5365"/>
      <c r="BE2" s="5366"/>
      <c r="BF2" s="2120" t="str">
        <f>LOOKUP(BG2,$AA$14:$AA$19,$AB$14:$AB$19)</f>
        <v>Rs.68900-205500</v>
      </c>
      <c r="BG2" s="730">
        <v>2</v>
      </c>
      <c r="BH2" s="288"/>
      <c r="BI2" s="1"/>
      <c r="BJ2" s="288"/>
      <c r="BK2" s="288"/>
      <c r="BL2" s="2151"/>
      <c r="BM2" s="5383" t="s">
        <v>842</v>
      </c>
      <c r="BN2" s="5383"/>
      <c r="BO2" s="5383"/>
      <c r="BP2" s="5383"/>
      <c r="BQ2" s="5383"/>
      <c r="BR2" s="5383"/>
      <c r="BS2" s="5383"/>
      <c r="BT2" s="5383"/>
      <c r="BU2" s="5384"/>
      <c r="BV2" s="2161" t="str">
        <f>LOOKUP(BW2,$AE$14:$AE$15,$AG$14:$AG$15)</f>
        <v>No</v>
      </c>
      <c r="BW2" s="705">
        <v>1</v>
      </c>
      <c r="BX2" s="288"/>
      <c r="BY2" s="288"/>
      <c r="BZ2" s="288"/>
      <c r="CA2" s="288"/>
      <c r="CB2" s="288"/>
      <c r="CC2" s="288"/>
      <c r="CD2" s="345"/>
      <c r="CE2" s="288"/>
      <c r="CF2" s="751"/>
      <c r="CG2" s="5561" t="s">
        <v>1410</v>
      </c>
      <c r="CH2" s="5562"/>
      <c r="CI2" s="5562"/>
      <c r="CJ2" s="5562"/>
      <c r="CK2" s="5562"/>
      <c r="CL2" s="5562"/>
      <c r="CM2" s="5562"/>
      <c r="CN2" s="5562"/>
      <c r="CO2" s="5562"/>
      <c r="CP2" s="5562"/>
      <c r="CQ2" s="5563"/>
      <c r="CR2" s="2193" t="str">
        <f>LOOKUP(CS2,$AE$14:$AE$15,$AG$14:$AG$15)</f>
        <v>No</v>
      </c>
      <c r="CS2" s="2193">
        <v>1</v>
      </c>
      <c r="CT2" s="751"/>
      <c r="CU2" s="751"/>
      <c r="CV2" s="288"/>
      <c r="CW2" s="288"/>
      <c r="CX2" s="288"/>
      <c r="CY2" s="288"/>
      <c r="CZ2" s="288"/>
      <c r="DA2" s="288"/>
      <c r="DB2" s="288"/>
      <c r="DC2" s="288"/>
      <c r="DD2" s="288"/>
      <c r="DE2" s="345"/>
      <c r="DF2" s="288"/>
      <c r="DG2" s="288"/>
      <c r="DH2" s="288"/>
      <c r="DI2" s="751"/>
      <c r="DJ2" s="5391" t="s">
        <v>877</v>
      </c>
      <c r="DK2" s="5391"/>
      <c r="DL2" s="5391"/>
      <c r="DM2" s="5391"/>
      <c r="DN2" s="5391"/>
      <c r="DO2" s="5391"/>
      <c r="DP2" s="5391"/>
      <c r="DQ2" s="5391"/>
      <c r="DR2" s="5391"/>
      <c r="DS2" s="705" t="str">
        <f>LOOKUP(DT2,$AE$14:$AE$15,$AG$14:$AG$15)</f>
        <v>No</v>
      </c>
      <c r="DT2" s="730">
        <v>1</v>
      </c>
      <c r="DU2" s="288"/>
      <c r="DV2" s="288"/>
      <c r="DW2" s="288"/>
      <c r="DX2" s="288"/>
      <c r="DY2" s="288"/>
      <c r="DZ2" s="288"/>
      <c r="EA2" s="288"/>
      <c r="EB2" s="288"/>
      <c r="EC2" s="786"/>
      <c r="ED2" s="5409" t="s">
        <v>1600</v>
      </c>
      <c r="EE2" s="5410"/>
      <c r="EF2" s="5410"/>
      <c r="EG2" s="5410"/>
      <c r="EH2" s="5410"/>
      <c r="EI2" s="5410"/>
      <c r="EJ2" s="790">
        <f>LOOKUP(EK2,$AJ$22:$AJ$27,$AK$22:$AK$27)</f>
        <v>0.09</v>
      </c>
      <c r="EK2" s="705">
        <v>2</v>
      </c>
      <c r="EL2" s="786"/>
      <c r="EM2" s="786"/>
      <c r="EN2" s="765"/>
      <c r="EO2" s="786"/>
      <c r="EP2" s="786"/>
      <c r="EQ2" s="5409" t="s">
        <v>898</v>
      </c>
      <c r="ER2" s="5410"/>
      <c r="ES2" s="5410"/>
      <c r="ET2" s="5410"/>
      <c r="EU2" s="5410"/>
      <c r="EV2" s="730">
        <f>'Data Sheet-II'!Y71</f>
        <v>650</v>
      </c>
      <c r="EW2" s="786"/>
      <c r="EX2" s="786"/>
      <c r="EY2" s="5402" t="s">
        <v>398</v>
      </c>
      <c r="EZ2" s="5402"/>
      <c r="FA2" s="5402"/>
      <c r="FB2" s="5402"/>
      <c r="FC2" s="786"/>
      <c r="FD2" s="786"/>
      <c r="FE2" s="5402" t="s">
        <v>906</v>
      </c>
      <c r="FF2" s="5402"/>
      <c r="FG2" s="5402"/>
      <c r="FH2" s="5402"/>
      <c r="FI2" s="786"/>
      <c r="FJ2" s="786"/>
      <c r="FK2" s="5402" t="s">
        <v>910</v>
      </c>
      <c r="FL2" s="5402"/>
      <c r="FM2" s="5402"/>
      <c r="FN2" s="5402"/>
      <c r="FO2" s="786"/>
      <c r="FP2" s="786"/>
      <c r="FQ2" s="5402" t="s">
        <v>915</v>
      </c>
      <c r="FR2" s="5402"/>
      <c r="FS2" s="5402"/>
      <c r="FT2" s="5402"/>
      <c r="FU2" s="786"/>
      <c r="FV2" s="786"/>
      <c r="FW2" s="786"/>
      <c r="FX2" s="5417" t="s">
        <v>919</v>
      </c>
      <c r="FY2" s="5417"/>
      <c r="FZ2" s="705"/>
      <c r="GA2" s="786"/>
      <c r="GB2" s="786"/>
      <c r="GC2" s="5427" t="s">
        <v>922</v>
      </c>
      <c r="GD2" s="5428"/>
      <c r="GE2" s="5429"/>
      <c r="GF2" s="786"/>
      <c r="GG2" s="786"/>
      <c r="GH2" s="1462"/>
      <c r="GI2" s="5416" t="s">
        <v>1432</v>
      </c>
      <c r="GJ2" s="5417"/>
      <c r="GK2" s="705"/>
      <c r="GL2" s="1462"/>
      <c r="GM2" s="1462"/>
      <c r="GN2" s="1462"/>
      <c r="GO2" s="1462"/>
      <c r="GP2" s="1462"/>
      <c r="GQ2" s="1462"/>
      <c r="GR2" s="1113"/>
      <c r="GS2" s="5382"/>
      <c r="GT2" s="5382"/>
      <c r="GU2" s="5382"/>
      <c r="GV2" s="5382"/>
      <c r="GW2" s="5382"/>
      <c r="GX2" s="5382"/>
      <c r="GY2" s="5382"/>
      <c r="GZ2" s="5382"/>
      <c r="HA2" s="5382"/>
      <c r="HB2" s="5382"/>
      <c r="HC2" s="5382"/>
      <c r="HD2" s="5382"/>
      <c r="HE2" s="5382"/>
      <c r="HF2" s="1462"/>
      <c r="HG2" s="1462"/>
      <c r="HH2" s="1462"/>
      <c r="HI2" s="1462"/>
      <c r="HJ2" s="1462"/>
      <c r="HK2" s="1563"/>
      <c r="HL2" s="1462"/>
      <c r="HM2" s="5442"/>
      <c r="HN2" s="5442"/>
      <c r="HO2" s="5442"/>
      <c r="HP2" s="5442"/>
      <c r="HQ2" s="5442"/>
      <c r="HR2" s="5442"/>
      <c r="HS2" s="5442"/>
      <c r="HT2" s="5442"/>
      <c r="HU2" s="5442"/>
      <c r="HV2" s="1462"/>
      <c r="HW2" s="1462"/>
      <c r="HX2" s="1462"/>
      <c r="HY2" s="1571"/>
      <c r="HZ2" s="1462"/>
      <c r="IA2" s="1462"/>
      <c r="IB2" s="5382"/>
      <c r="IC2" s="5382"/>
      <c r="ID2" s="5382"/>
      <c r="IE2" s="5382"/>
      <c r="IF2" s="5382"/>
      <c r="IG2" s="5382"/>
      <c r="IH2" s="5382"/>
      <c r="II2" s="1462"/>
      <c r="IJ2" s="1462"/>
      <c r="IK2" s="1462"/>
      <c r="IL2" s="1462"/>
      <c r="IM2" s="1462"/>
      <c r="IN2" s="1462"/>
      <c r="IO2" s="1581"/>
      <c r="IP2" s="1589"/>
      <c r="IQ2" s="1589"/>
      <c r="IR2" s="5593" t="s">
        <v>1183</v>
      </c>
      <c r="IS2" s="5594"/>
      <c r="IT2" s="5594"/>
      <c r="IU2" s="5594"/>
      <c r="IV2" s="5594"/>
      <c r="IW2" s="5594"/>
      <c r="IX2" s="5594"/>
      <c r="IY2" s="5594"/>
      <c r="IZ2" s="5595"/>
      <c r="JA2" s="1586"/>
      <c r="JB2" s="1586"/>
      <c r="JC2" s="1586"/>
      <c r="JD2" s="1465"/>
      <c r="JE2" s="1462"/>
      <c r="JF2" s="1462"/>
      <c r="JG2" s="5382" t="s">
        <v>993</v>
      </c>
      <c r="JH2" s="5382"/>
      <c r="JI2" s="5382"/>
      <c r="JJ2" s="5382"/>
      <c r="JK2" s="5382"/>
      <c r="JL2" s="5382"/>
      <c r="JM2" s="5382"/>
      <c r="JN2" s="1113"/>
      <c r="JO2" s="1113"/>
      <c r="JP2" s="1113"/>
      <c r="JQ2" s="786"/>
      <c r="JR2" s="786"/>
      <c r="JS2" s="863"/>
      <c r="JT2" s="786"/>
      <c r="JU2" s="882"/>
      <c r="JV2" s="883"/>
      <c r="JW2" s="883"/>
      <c r="JX2" s="5461" t="s">
        <v>947</v>
      </c>
      <c r="JY2" s="5461"/>
      <c r="JZ2" s="5461"/>
      <c r="KA2" s="5461"/>
      <c r="KB2" s="5461"/>
      <c r="KC2" s="862" t="str">
        <f>LOOKUP(KD2,$AA$14:$AA$19,$AB$14:$AB$19)</f>
        <v>Rs.57700-182400</v>
      </c>
      <c r="KD2" s="886">
        <v>1</v>
      </c>
      <c r="KE2" s="841"/>
      <c r="KF2" s="841"/>
      <c r="KG2" s="841"/>
      <c r="KH2" s="751"/>
      <c r="KI2" s="5391" t="s">
        <v>971</v>
      </c>
      <c r="KJ2" s="5391"/>
      <c r="KK2" s="5391"/>
      <c r="KL2" s="5391"/>
      <c r="KM2" s="5391"/>
      <c r="KN2" s="5391"/>
      <c r="KO2" s="5391"/>
      <c r="KP2" s="5391"/>
      <c r="KQ2" s="5391"/>
      <c r="KR2" s="705" t="str">
        <f>LOOKUP(KS2,$AE$14:$AE$15,$AG$14:$AG$15)</f>
        <v>No</v>
      </c>
      <c r="KS2" s="891">
        <v>1</v>
      </c>
      <c r="KT2" s="841"/>
      <c r="KU2" s="841"/>
      <c r="KV2" s="841"/>
      <c r="KW2" s="841"/>
      <c r="KX2" s="841"/>
      <c r="KY2" s="841"/>
      <c r="KZ2" s="841"/>
      <c r="LA2" s="841"/>
      <c r="LB2" s="841"/>
      <c r="LC2" s="5447" t="s">
        <v>973</v>
      </c>
      <c r="LD2" s="5448"/>
      <c r="LE2" s="5448"/>
      <c r="LF2" s="5448"/>
      <c r="LG2" s="5448"/>
      <c r="LH2" s="5448"/>
      <c r="LI2" s="5448"/>
      <c r="LJ2" s="5448"/>
      <c r="LK2" s="5448"/>
      <c r="LL2" s="5448"/>
      <c r="LM2" s="5449"/>
      <c r="LN2" s="919" t="str">
        <f>LOOKUP(LO2,$AE$14:$AE$15,$AG$14:$AG$15)</f>
        <v>No</v>
      </c>
      <c r="LO2" s="886">
        <v>1</v>
      </c>
      <c r="LP2" s="841"/>
      <c r="LQ2" s="841"/>
      <c r="LR2" s="841"/>
      <c r="LS2" s="841"/>
      <c r="LT2" s="841"/>
      <c r="LU2" s="841"/>
      <c r="LV2" s="841"/>
      <c r="LW2" s="841"/>
      <c r="LX2" s="841"/>
      <c r="LY2" s="841"/>
      <c r="LZ2" s="841"/>
      <c r="MA2" s="841"/>
      <c r="MB2" s="841"/>
      <c r="MC2" s="841"/>
      <c r="MD2" s="841"/>
      <c r="ME2" s="841"/>
      <c r="MF2" s="841"/>
      <c r="MG2" s="841"/>
      <c r="MH2" s="841"/>
      <c r="MI2" s="841"/>
      <c r="MJ2" s="841"/>
      <c r="MK2" s="841"/>
      <c r="ML2" s="841"/>
      <c r="MM2" s="841"/>
      <c r="MN2" s="841"/>
      <c r="MO2" s="841"/>
      <c r="MP2" s="1128"/>
      <c r="MQ2" s="841"/>
      <c r="MR2" s="841"/>
      <c r="MS2" s="841"/>
      <c r="MT2" s="841"/>
      <c r="MU2" s="841"/>
      <c r="MV2" s="841"/>
      <c r="MW2" s="841"/>
      <c r="MX2" s="5435" t="s">
        <v>1532</v>
      </c>
      <c r="MY2" s="5436"/>
      <c r="MZ2" s="5436"/>
      <c r="NA2" s="5436"/>
      <c r="NB2" s="5436"/>
      <c r="NC2" s="5437"/>
      <c r="ND2" s="841"/>
      <c r="NE2" s="841"/>
      <c r="NF2" s="841"/>
      <c r="NG2" s="5711" t="s">
        <v>1269</v>
      </c>
      <c r="NH2" s="5712"/>
      <c r="NI2" s="5712"/>
      <c r="NJ2" s="5712"/>
      <c r="NK2" s="5712"/>
      <c r="NL2" s="5712"/>
      <c r="NM2" s="5712"/>
      <c r="NN2" s="5712"/>
      <c r="NO2" s="5712"/>
      <c r="NP2" s="1706"/>
      <c r="NQ2" s="1687"/>
      <c r="NR2" s="1687"/>
      <c r="NS2" s="1687"/>
      <c r="NT2" s="1687"/>
      <c r="NU2" s="5705" t="s">
        <v>1274</v>
      </c>
      <c r="NV2" s="5706"/>
      <c r="NW2" s="5706"/>
      <c r="NX2" s="5706"/>
      <c r="NY2" s="5706"/>
      <c r="NZ2" s="5706"/>
      <c r="OA2" s="5706"/>
      <c r="OB2" s="1713">
        <f>OB4</f>
        <v>0</v>
      </c>
      <c r="OC2" s="841"/>
      <c r="OD2" s="841"/>
      <c r="OE2" s="841"/>
      <c r="OF2" s="5705" t="s">
        <v>1277</v>
      </c>
      <c r="OG2" s="5706"/>
      <c r="OH2" s="5706"/>
      <c r="OI2" s="5706"/>
      <c r="OJ2" s="5706"/>
      <c r="OK2" s="5706"/>
      <c r="OL2" s="5706"/>
      <c r="OM2" s="1716">
        <f>MIN(OM4,OM5)</f>
        <v>0</v>
      </c>
      <c r="ON2" s="841"/>
      <c r="OO2" s="841"/>
      <c r="OP2" s="841"/>
      <c r="OQ2" s="841"/>
      <c r="OR2" s="841"/>
      <c r="OS2" s="841"/>
      <c r="OT2" s="841"/>
      <c r="OU2" s="841"/>
      <c r="OV2" s="841"/>
      <c r="OW2" s="841"/>
      <c r="OX2" s="841"/>
      <c r="OY2" s="841"/>
      <c r="OZ2" s="841"/>
      <c r="PA2" s="841"/>
      <c r="PB2" s="841"/>
      <c r="PC2" s="841"/>
      <c r="PD2" s="841"/>
      <c r="PE2" s="841"/>
      <c r="PF2" s="841"/>
      <c r="PG2" s="841"/>
      <c r="PH2" s="841"/>
      <c r="PI2" s="841"/>
      <c r="PJ2" s="841"/>
      <c r="PK2" s="841"/>
      <c r="PL2" s="841"/>
      <c r="PM2" s="841"/>
      <c r="PN2" s="841"/>
      <c r="PO2" s="841"/>
      <c r="PP2" s="841"/>
      <c r="PQ2" s="841"/>
    </row>
    <row r="3" spans="1:433" ht="31.5" customHeight="1" thickBot="1">
      <c r="A3" s="123"/>
      <c r="B3" s="8"/>
      <c r="C3" s="681"/>
      <c r="D3" s="681"/>
      <c r="E3" s="681"/>
      <c r="F3" s="681"/>
      <c r="G3" s="681"/>
      <c r="H3" s="681"/>
      <c r="I3" s="681"/>
      <c r="J3" s="681"/>
      <c r="K3" s="681"/>
      <c r="L3" s="345"/>
      <c r="M3" s="345"/>
      <c r="N3" s="345"/>
      <c r="O3" s="345"/>
      <c r="P3" s="345"/>
      <c r="Q3" s="345"/>
      <c r="R3" s="345"/>
      <c r="S3" s="345"/>
      <c r="T3" s="345"/>
      <c r="U3" s="345"/>
      <c r="V3" s="345"/>
      <c r="W3" s="345"/>
      <c r="X3" s="345"/>
      <c r="Y3" s="345"/>
      <c r="Z3" s="345"/>
      <c r="AA3" s="345"/>
      <c r="AB3" s="345"/>
      <c r="AC3" s="345"/>
      <c r="AD3" s="345"/>
      <c r="AE3" s="345"/>
      <c r="AF3" s="345"/>
      <c r="AG3" s="345"/>
      <c r="AH3" s="345"/>
      <c r="AI3" s="345"/>
      <c r="AJ3" s="345"/>
      <c r="AK3" s="345"/>
      <c r="AL3" s="345"/>
      <c r="AM3" s="345"/>
      <c r="AN3" s="345"/>
      <c r="AO3" s="345"/>
      <c r="AP3" s="345"/>
      <c r="AQ3" s="345"/>
      <c r="AR3" s="345"/>
      <c r="AS3" s="345"/>
      <c r="AT3" s="345"/>
      <c r="AU3" s="345"/>
      <c r="AV3" s="7"/>
      <c r="AW3" s="345"/>
      <c r="AX3" s="5265" t="s">
        <v>836</v>
      </c>
      <c r="AY3" s="5367"/>
      <c r="AZ3" s="5367"/>
      <c r="BA3" s="5367"/>
      <c r="BB3" s="5367"/>
      <c r="BC3" s="5367"/>
      <c r="BD3" s="5367"/>
      <c r="BE3" s="5368"/>
      <c r="BF3" s="2121">
        <f>VLOOKUP(BG3,$AA$14:$AC$19,3)</f>
        <v>11</v>
      </c>
      <c r="BG3" s="624">
        <f>BG2</f>
        <v>2</v>
      </c>
      <c r="BH3" s="345"/>
      <c r="BI3" s="1"/>
      <c r="BJ3" s="345"/>
      <c r="BK3" s="345"/>
      <c r="BL3" s="2152"/>
      <c r="BM3" s="5266" t="s">
        <v>843</v>
      </c>
      <c r="BN3" s="5367"/>
      <c r="BO3" s="5367"/>
      <c r="BP3" s="5367"/>
      <c r="BQ3" s="5367"/>
      <c r="BR3" s="5367"/>
      <c r="BS3" s="5367"/>
      <c r="BT3" s="5367"/>
      <c r="BU3" s="5385"/>
      <c r="BV3" s="2162" t="str">
        <f>LOOKUP(BW3,$AO$14:$AO$15,$AP$14:$AP$15)</f>
        <v>Ph.D</v>
      </c>
      <c r="BW3" s="706">
        <v>2</v>
      </c>
      <c r="BX3" s="345"/>
      <c r="BY3" s="345"/>
      <c r="BZ3" s="345"/>
      <c r="CA3" s="345"/>
      <c r="CB3" s="345"/>
      <c r="CC3" s="345"/>
      <c r="CD3" s="345"/>
      <c r="CE3" s="345"/>
      <c r="CF3" s="588"/>
      <c r="CG3" s="5564" t="s">
        <v>966</v>
      </c>
      <c r="CH3" s="5392"/>
      <c r="CI3" s="5392"/>
      <c r="CJ3" s="5392"/>
      <c r="CK3" s="5392"/>
      <c r="CL3" s="5392"/>
      <c r="CM3" s="5392"/>
      <c r="CN3" s="5392"/>
      <c r="CO3" s="5392"/>
      <c r="CP3" s="5392"/>
      <c r="CQ3" s="5565"/>
      <c r="CR3" s="2179" t="str">
        <f>LOOKUP(CS3,$AA$14:$AA$19,$AB$14:$AB$19)</f>
        <v>Rs.68900-205500</v>
      </c>
      <c r="CS3" s="2194">
        <v>2</v>
      </c>
      <c r="CT3" s="588"/>
      <c r="CU3" s="588"/>
      <c r="CV3" s="345"/>
      <c r="CW3" s="345"/>
      <c r="CX3" s="345"/>
      <c r="CY3" s="345"/>
      <c r="CZ3" s="345"/>
      <c r="DA3" s="345"/>
      <c r="DB3" s="345"/>
      <c r="DC3" s="345"/>
      <c r="DD3" s="345"/>
      <c r="DE3" s="345"/>
      <c r="DF3" s="345"/>
      <c r="DG3" s="345"/>
      <c r="DH3" s="345"/>
      <c r="DI3" s="588"/>
      <c r="DJ3" s="5392" t="s">
        <v>843</v>
      </c>
      <c r="DK3" s="5392"/>
      <c r="DL3" s="5392"/>
      <c r="DM3" s="5392"/>
      <c r="DN3" s="5392"/>
      <c r="DO3" s="5392"/>
      <c r="DP3" s="5392"/>
      <c r="DQ3" s="5392"/>
      <c r="DR3" s="5392"/>
      <c r="DS3" s="706" t="str">
        <f>LOOKUP(DT3,$AO$14:$AO$15,$AP$14:$AP$15)</f>
        <v>Ph.D</v>
      </c>
      <c r="DT3" s="706">
        <v>2</v>
      </c>
      <c r="DU3" s="345"/>
      <c r="DV3" s="345"/>
      <c r="DW3" s="345"/>
      <c r="DX3" s="345"/>
      <c r="DY3" s="345"/>
      <c r="DZ3" s="345"/>
      <c r="EA3" s="345"/>
      <c r="EB3" s="288"/>
      <c r="EC3" s="787"/>
      <c r="ED3" s="5411" t="s">
        <v>976</v>
      </c>
      <c r="EE3" s="5392"/>
      <c r="EF3" s="5392"/>
      <c r="EG3" s="5392"/>
      <c r="EH3" s="5392"/>
      <c r="EI3" s="5392"/>
      <c r="EJ3" s="706" t="str">
        <f>LOOKUP(EK3,$AE$14:$AE$15,$AG$14:$AG$15)</f>
        <v>No</v>
      </c>
      <c r="EK3" s="706">
        <v>1</v>
      </c>
      <c r="EL3" s="787"/>
      <c r="EM3" s="787"/>
      <c r="EN3" s="765"/>
      <c r="EO3" s="787"/>
      <c r="EP3" s="787"/>
      <c r="EQ3" s="5411" t="s">
        <v>902</v>
      </c>
      <c r="ER3" s="5392"/>
      <c r="ES3" s="5392"/>
      <c r="ET3" s="5392"/>
      <c r="EU3" s="5392"/>
      <c r="EV3" s="730">
        <f>'Data Sheet-II'!Y69</f>
        <v>0</v>
      </c>
      <c r="EW3" s="787"/>
      <c r="EX3" s="787"/>
      <c r="EY3" s="5403" t="s">
        <v>912</v>
      </c>
      <c r="EZ3" s="5403"/>
      <c r="FA3" s="5403"/>
      <c r="FB3" s="799">
        <f>'Data Sheet-II'!M50</f>
        <v>6000</v>
      </c>
      <c r="FC3" s="787"/>
      <c r="FD3" s="787"/>
      <c r="FE3" s="5403" t="s">
        <v>907</v>
      </c>
      <c r="FF3" s="5403"/>
      <c r="FG3" s="5403"/>
      <c r="FH3" s="799">
        <f>'Data Sheet-II'!M52</f>
        <v>5000</v>
      </c>
      <c r="FI3" s="787"/>
      <c r="FJ3" s="787"/>
      <c r="FK3" s="5403" t="s">
        <v>911</v>
      </c>
      <c r="FL3" s="5403"/>
      <c r="FM3" s="5403"/>
      <c r="FN3" s="799">
        <f>'Data Sheet-II'!M54</f>
        <v>120</v>
      </c>
      <c r="FO3" s="787"/>
      <c r="FP3" s="787"/>
      <c r="FQ3" s="5403" t="s">
        <v>916</v>
      </c>
      <c r="FR3" s="5403"/>
      <c r="FS3" s="5403"/>
      <c r="FT3" s="799">
        <f>'Data Sheet-II'!M56</f>
        <v>200</v>
      </c>
      <c r="FU3" s="787"/>
      <c r="FV3" s="787"/>
      <c r="FW3" s="787"/>
      <c r="FX3" s="2318" t="s">
        <v>401</v>
      </c>
      <c r="FY3" s="2318">
        <f>VLOOKUP(FZ3,$FX$12:$FZ$19,3)</f>
        <v>50</v>
      </c>
      <c r="FZ3" s="624">
        <v>3</v>
      </c>
      <c r="GA3" s="787"/>
      <c r="GB3" s="787"/>
      <c r="GC3" s="805"/>
      <c r="GD3" s="806" t="str">
        <f>LOOKUP(GE3,$GC$12:$GC$13,$GD$12:$GD$13)</f>
        <v>Pensionable</v>
      </c>
      <c r="GE3" s="804">
        <v>1</v>
      </c>
      <c r="GF3" s="787"/>
      <c r="GG3" s="787"/>
      <c r="GH3" s="1461"/>
      <c r="GI3" s="2320" t="s">
        <v>1431</v>
      </c>
      <c r="GJ3" s="2318">
        <f>VLOOKUP(GK3,$FX$29:$FZ$31,3)</f>
        <v>300</v>
      </c>
      <c r="GK3" s="624">
        <v>2</v>
      </c>
      <c r="GL3" s="787"/>
      <c r="GM3" s="787"/>
      <c r="GN3" s="787"/>
      <c r="GO3" s="892"/>
      <c r="GP3" s="892"/>
      <c r="GQ3" s="892"/>
      <c r="GR3" s="892"/>
      <c r="GS3" s="5411"/>
      <c r="GT3" s="5392"/>
      <c r="GU3" s="5392"/>
      <c r="GV3" s="5392"/>
      <c r="GW3" s="5392"/>
      <c r="GX3" s="5392"/>
      <c r="GY3" s="5392"/>
      <c r="GZ3" s="892"/>
      <c r="HA3" s="892"/>
      <c r="HB3" s="892"/>
      <c r="HC3" s="892"/>
      <c r="HD3" s="892"/>
      <c r="HE3" s="892"/>
      <c r="HF3" s="1461"/>
      <c r="HG3" s="787"/>
      <c r="HH3" s="787"/>
      <c r="HI3" s="787"/>
      <c r="HJ3" s="787"/>
      <c r="HK3" s="876"/>
      <c r="HL3" s="3012"/>
      <c r="HM3" s="3012"/>
      <c r="HN3" s="3012"/>
      <c r="HO3" s="3012"/>
      <c r="HP3" s="3012"/>
      <c r="HQ3" s="3012"/>
      <c r="HR3" s="3012"/>
      <c r="HS3" s="887"/>
      <c r="HT3" s="624"/>
      <c r="HU3" s="787"/>
      <c r="HV3" s="787"/>
      <c r="HW3" s="787"/>
      <c r="HX3" s="787"/>
      <c r="HY3" s="1572"/>
      <c r="HZ3" s="5074"/>
      <c r="IA3" s="5074"/>
      <c r="IB3" s="5074"/>
      <c r="IC3" s="5074"/>
      <c r="ID3" s="5074"/>
      <c r="IE3" s="5074"/>
      <c r="IF3" s="5074"/>
      <c r="IG3" s="887"/>
      <c r="IH3" s="624"/>
      <c r="II3" s="787"/>
      <c r="IJ3" s="787"/>
      <c r="IK3" s="787"/>
      <c r="IL3" s="787"/>
      <c r="IM3" s="787"/>
      <c r="IN3" s="787"/>
      <c r="IO3" s="1576"/>
      <c r="IP3" s="1590"/>
      <c r="IQ3" s="1590"/>
      <c r="IR3" s="5596"/>
      <c r="IS3" s="5597"/>
      <c r="IT3" s="5597"/>
      <c r="IU3" s="5597"/>
      <c r="IV3" s="5597"/>
      <c r="IW3" s="5597"/>
      <c r="IX3" s="5597"/>
      <c r="IY3" s="5597"/>
      <c r="IZ3" s="5598"/>
      <c r="JA3" s="1586"/>
      <c r="JB3" s="1586"/>
      <c r="JC3" s="1586"/>
      <c r="JD3" s="1464"/>
      <c r="JE3" s="787"/>
      <c r="JF3" s="892"/>
      <c r="JG3" s="5463" t="s">
        <v>1168</v>
      </c>
      <c r="JH3" s="5463"/>
      <c r="JI3" s="5463"/>
      <c r="JJ3" s="5463"/>
      <c r="JK3" s="5463"/>
      <c r="JL3" s="5463"/>
      <c r="JM3" s="1112" t="str">
        <f>LOOKUP(JN3,$AE$14:$AE$15,$AG$14:$AG$15)</f>
        <v>No</v>
      </c>
      <c r="JN3" s="887">
        <v>1</v>
      </c>
      <c r="JO3" s="892"/>
      <c r="JP3" s="892"/>
      <c r="JQ3" s="624"/>
      <c r="JR3" s="624"/>
      <c r="JS3" s="863"/>
      <c r="JT3" s="787"/>
      <c r="JU3" s="884"/>
      <c r="JV3" s="884"/>
      <c r="JW3" s="884"/>
      <c r="JX3" s="5367" t="s">
        <v>836</v>
      </c>
      <c r="JY3" s="5367"/>
      <c r="JZ3" s="5367"/>
      <c r="KA3" s="5367"/>
      <c r="KB3" s="5367"/>
      <c r="KC3" s="624">
        <f>VLOOKUP(KD3,$AA$14:$AC$19,3)</f>
        <v>10</v>
      </c>
      <c r="KD3" s="887">
        <f>KD2</f>
        <v>1</v>
      </c>
      <c r="KE3" s="840"/>
      <c r="KF3" s="840"/>
      <c r="KG3" s="840"/>
      <c r="KH3" s="588"/>
      <c r="KI3" s="5392" t="s">
        <v>843</v>
      </c>
      <c r="KJ3" s="5392"/>
      <c r="KK3" s="5392"/>
      <c r="KL3" s="5392"/>
      <c r="KM3" s="5392"/>
      <c r="KN3" s="5392"/>
      <c r="KO3" s="5392"/>
      <c r="KP3" s="5392"/>
      <c r="KQ3" s="5392"/>
      <c r="KR3" s="706" t="str">
        <f>LOOKUP(KS3,$AO$14:$AO$15,$AP$14:$AP$15)</f>
        <v>Ph.D</v>
      </c>
      <c r="KS3" s="892">
        <v>2</v>
      </c>
      <c r="KT3" s="840"/>
      <c r="KU3" s="840"/>
      <c r="KV3" s="840"/>
      <c r="KW3" s="840"/>
      <c r="KX3" s="840"/>
      <c r="KY3" s="840"/>
      <c r="KZ3" s="840"/>
      <c r="LA3" s="840"/>
      <c r="LB3" s="840"/>
      <c r="LC3" s="5411" t="s">
        <v>952</v>
      </c>
      <c r="LD3" s="5392"/>
      <c r="LE3" s="5392"/>
      <c r="LF3" s="5392"/>
      <c r="LG3" s="5392"/>
      <c r="LH3" s="5392"/>
      <c r="LI3" s="5392"/>
      <c r="LJ3" s="5392"/>
      <c r="LK3" s="5392"/>
      <c r="LL3" s="5392"/>
      <c r="LM3" s="5392"/>
      <c r="LN3" s="920" t="str">
        <f>LOOKUP(LO3,$AA$14:$AA$19,$AB$14:$AB$19)</f>
        <v>Rs.57700-182400</v>
      </c>
      <c r="LO3" s="887">
        <v>1</v>
      </c>
      <c r="LP3" s="840"/>
      <c r="LQ3" s="840"/>
      <c r="LR3" s="840"/>
      <c r="LS3" s="840"/>
      <c r="LT3" s="840"/>
      <c r="LU3" s="840"/>
      <c r="LV3" s="840"/>
      <c r="LW3" s="840"/>
      <c r="LX3" s="840"/>
      <c r="LY3" s="840"/>
      <c r="LZ3" s="840"/>
      <c r="MA3" s="840"/>
      <c r="MB3" s="840"/>
      <c r="MC3" s="840"/>
      <c r="MD3" s="840"/>
      <c r="ME3" s="840"/>
      <c r="MF3" s="840"/>
      <c r="MG3" s="840"/>
      <c r="MH3" s="840"/>
      <c r="MI3" s="840"/>
      <c r="MJ3" s="840"/>
      <c r="MK3" s="840"/>
      <c r="ML3" s="840"/>
      <c r="MM3" s="840"/>
      <c r="MN3" s="840"/>
      <c r="MO3" s="840"/>
      <c r="MP3" s="2564" t="s">
        <v>626</v>
      </c>
      <c r="MQ3" s="2565"/>
      <c r="MR3" s="887"/>
      <c r="MS3" s="840"/>
      <c r="MT3" s="840"/>
      <c r="MU3" s="840"/>
      <c r="MV3" s="840"/>
      <c r="MW3" s="840"/>
      <c r="MX3" s="5438" t="str">
        <f>LOOKUP(ND3,$MW$29:$MW$38,$MX$29:$MX$38)</f>
        <v>Income from Profession</v>
      </c>
      <c r="MY3" s="5439"/>
      <c r="MZ3" s="5439"/>
      <c r="NA3" s="5439"/>
      <c r="NB3" s="5439"/>
      <c r="NC3" s="5440"/>
      <c r="ND3" s="2507">
        <v>9</v>
      </c>
      <c r="NE3" s="840"/>
      <c r="NF3" s="840"/>
      <c r="NG3" s="5710" t="s">
        <v>1263</v>
      </c>
      <c r="NH3" s="5710"/>
      <c r="NI3" s="5710"/>
      <c r="NJ3" s="5710"/>
      <c r="NK3" s="5710"/>
      <c r="NL3" s="5710"/>
      <c r="NM3" s="5710"/>
      <c r="NN3" s="5710"/>
      <c r="NO3" s="5710"/>
      <c r="NP3" s="1700" t="str">
        <f>LOOKUP(NQ3,$NI$19:$NI$21,$NJ$19:$NJ$21)</f>
        <v>Select</v>
      </c>
      <c r="NQ3" s="1689">
        <v>1</v>
      </c>
      <c r="NR3" s="1686"/>
      <c r="NS3" s="1686"/>
      <c r="NT3" s="1686"/>
      <c r="NU3" s="5713" t="s">
        <v>1273</v>
      </c>
      <c r="NV3" s="5710"/>
      <c r="NW3" s="5710"/>
      <c r="NX3" s="5710"/>
      <c r="NY3" s="5710"/>
      <c r="NZ3" s="5710"/>
      <c r="OA3" s="5710"/>
      <c r="OB3" s="1710">
        <v>1</v>
      </c>
      <c r="OC3" s="840"/>
      <c r="OD3" s="840"/>
      <c r="OE3" s="840"/>
      <c r="OF3" s="5707" t="s">
        <v>1278</v>
      </c>
      <c r="OG3" s="5707"/>
      <c r="OH3" s="5707"/>
      <c r="OI3" s="5707"/>
      <c r="OJ3" s="5707"/>
      <c r="OK3" s="5707"/>
      <c r="OL3" s="5707"/>
      <c r="OM3" s="1129">
        <v>1</v>
      </c>
      <c r="ON3" s="840"/>
      <c r="OO3" s="840"/>
      <c r="OP3" s="840"/>
      <c r="OQ3" s="840"/>
      <c r="OR3" s="840"/>
      <c r="OS3" s="840"/>
      <c r="OT3" s="840"/>
      <c r="OU3" s="840"/>
      <c r="OV3" s="840"/>
      <c r="OW3" s="840"/>
      <c r="OX3" s="840"/>
      <c r="OY3" s="840"/>
      <c r="OZ3" s="840"/>
      <c r="PA3" s="840"/>
      <c r="PB3" s="840"/>
      <c r="PC3" s="840"/>
      <c r="PD3" s="840"/>
      <c r="PE3" s="840"/>
      <c r="PF3" s="840"/>
      <c r="PG3" s="840"/>
      <c r="PH3" s="840"/>
      <c r="PI3" s="840"/>
      <c r="PJ3" s="840"/>
      <c r="PK3" s="840"/>
      <c r="PL3" s="840"/>
      <c r="PM3" s="840"/>
      <c r="PN3" s="840"/>
      <c r="PO3" s="840"/>
      <c r="PP3" s="840"/>
      <c r="PQ3" s="840"/>
    </row>
    <row r="4" spans="1:433" ht="39.75" customHeight="1" thickBot="1">
      <c r="A4" s="123"/>
      <c r="B4" s="8"/>
      <c r="C4" s="686"/>
      <c r="D4" s="686"/>
      <c r="E4" s="686"/>
      <c r="F4" s="686"/>
      <c r="G4" s="686"/>
      <c r="H4" s="686"/>
      <c r="I4" s="686"/>
      <c r="J4" s="686"/>
      <c r="K4" s="686"/>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7"/>
      <c r="AW4" s="3"/>
      <c r="AX4" s="5276" t="s">
        <v>1739</v>
      </c>
      <c r="AY4" s="5260"/>
      <c r="AZ4" s="5260"/>
      <c r="BA4" s="5260"/>
      <c r="BB4" s="5260"/>
      <c r="BC4" s="5260"/>
      <c r="BD4" s="5260"/>
      <c r="BE4" s="5361"/>
      <c r="BF4" s="2387">
        <f>LOOKUP(BG4,AA39:AA78,AB39:AB78)</f>
        <v>82300</v>
      </c>
      <c r="BG4" s="745">
        <v>7</v>
      </c>
      <c r="BH4" s="3"/>
      <c r="BI4" s="1"/>
      <c r="BJ4" s="3"/>
      <c r="BK4" s="3"/>
      <c r="BL4" s="2153"/>
      <c r="BM4" s="5260" t="s">
        <v>844</v>
      </c>
      <c r="BN4" s="5260"/>
      <c r="BO4" s="5260"/>
      <c r="BP4" s="5260"/>
      <c r="BQ4" s="5260"/>
      <c r="BR4" s="5260"/>
      <c r="BS4" s="5260"/>
      <c r="BT4" s="5260"/>
      <c r="BU4" s="5386"/>
      <c r="BV4" s="2387">
        <f>LOOKUP(BW4,$AO$14:$AO$15,$AQ$14:$AQ$15)</f>
        <v>3</v>
      </c>
      <c r="BW4" s="619">
        <f>BW3</f>
        <v>2</v>
      </c>
      <c r="BX4" s="3"/>
      <c r="BY4" s="3"/>
      <c r="BZ4" s="3"/>
      <c r="CA4" s="3"/>
      <c r="CB4" s="3"/>
      <c r="CC4" s="3"/>
      <c r="CD4" s="345"/>
      <c r="CE4" s="3"/>
      <c r="CF4" s="752"/>
      <c r="CG4" s="5566" t="s">
        <v>872</v>
      </c>
      <c r="CH4" s="5260"/>
      <c r="CI4" s="5260"/>
      <c r="CJ4" s="5260"/>
      <c r="CK4" s="5260"/>
      <c r="CL4" s="5260"/>
      <c r="CM4" s="5260"/>
      <c r="CN4" s="5260"/>
      <c r="CO4" s="5260"/>
      <c r="CP4" s="5260"/>
      <c r="CQ4" s="5567"/>
      <c r="CR4" s="2195">
        <f>VLOOKUP(CS4,$AA$14:$AC$19,3)</f>
        <v>11</v>
      </c>
      <c r="CS4" s="2195">
        <f>CS3</f>
        <v>2</v>
      </c>
      <c r="CT4" s="627"/>
      <c r="CU4" s="627"/>
      <c r="CV4" s="3"/>
      <c r="CW4" s="3"/>
      <c r="CX4" s="3"/>
      <c r="CY4" s="3"/>
      <c r="CZ4" s="3"/>
      <c r="DA4" s="3"/>
      <c r="DB4" s="3"/>
      <c r="DC4" s="3"/>
      <c r="DD4" s="3"/>
      <c r="DE4" s="345"/>
      <c r="DF4" s="3"/>
      <c r="DG4" s="3"/>
      <c r="DH4" s="3"/>
      <c r="DI4" s="752"/>
      <c r="DJ4" s="5393" t="s">
        <v>844</v>
      </c>
      <c r="DK4" s="5393"/>
      <c r="DL4" s="5393"/>
      <c r="DM4" s="5393"/>
      <c r="DN4" s="5393"/>
      <c r="DO4" s="5393"/>
      <c r="DP4" s="5393"/>
      <c r="DQ4" s="5393"/>
      <c r="DR4" s="5393"/>
      <c r="DS4" s="745">
        <f>LOOKUP(DT4,$AO$14:$AO$15,$AQ$14:$AQ$15)</f>
        <v>3</v>
      </c>
      <c r="DT4" s="745">
        <f>DT3</f>
        <v>2</v>
      </c>
      <c r="DU4" s="3"/>
      <c r="DV4" s="3"/>
      <c r="DW4" s="3"/>
      <c r="DX4" s="3"/>
      <c r="DY4" s="3"/>
      <c r="DZ4" s="3"/>
      <c r="EA4" s="3"/>
      <c r="EB4" s="288"/>
      <c r="EC4" s="703"/>
      <c r="ED4" s="5412" t="s">
        <v>977</v>
      </c>
      <c r="EE4" s="5393"/>
      <c r="EF4" s="5393"/>
      <c r="EG4" s="5393"/>
      <c r="EH4" s="5393"/>
      <c r="EI4" s="5393"/>
      <c r="EJ4" s="792">
        <f>LOOKUP(EK4,$AJ$22:$AJ$27,$AK$22:$AK$27)</f>
        <v>0.27</v>
      </c>
      <c r="EK4" s="619">
        <v>6</v>
      </c>
      <c r="EL4" s="619"/>
      <c r="EM4" s="627"/>
      <c r="EN4" s="765"/>
      <c r="EO4" s="703"/>
      <c r="EP4" s="703"/>
      <c r="EQ4" s="5412" t="s">
        <v>900</v>
      </c>
      <c r="ER4" s="5393"/>
      <c r="ES4" s="5393"/>
      <c r="ET4" s="5393"/>
      <c r="EU4" s="5393"/>
      <c r="EV4" s="730">
        <f>'Data Sheet-II'!Y72</f>
        <v>0</v>
      </c>
      <c r="EW4" s="703"/>
      <c r="EX4" s="627"/>
      <c r="EY4" s="5404" t="s">
        <v>904</v>
      </c>
      <c r="EZ4" s="5404"/>
      <c r="FA4" s="5405"/>
      <c r="FB4" s="714" t="str">
        <f>LOOKUP(FC4,$AE$14:$AE$15,$AG$14:$AG$15)</f>
        <v>No</v>
      </c>
      <c r="FC4" s="619">
        <v>1</v>
      </c>
      <c r="FD4" s="703"/>
      <c r="FE4" s="5404" t="s">
        <v>908</v>
      </c>
      <c r="FF4" s="5404"/>
      <c r="FG4" s="5405"/>
      <c r="FH4" s="714" t="str">
        <f>LOOKUP(FI4,$AE$14:$AE$15,$AG$14:$AG$15)</f>
        <v>No</v>
      </c>
      <c r="FI4" s="619">
        <v>1</v>
      </c>
      <c r="FJ4" s="703"/>
      <c r="FK4" s="5404" t="s">
        <v>913</v>
      </c>
      <c r="FL4" s="5404"/>
      <c r="FM4" s="5405"/>
      <c r="FN4" s="800" t="str">
        <f>LOOKUP(FO4,$AE$14:$AE$15,$AG$14:$AG$15)</f>
        <v>No</v>
      </c>
      <c r="FO4" s="619">
        <v>1</v>
      </c>
      <c r="FP4" s="703"/>
      <c r="FQ4" s="5404" t="s">
        <v>917</v>
      </c>
      <c r="FR4" s="5404"/>
      <c r="FS4" s="5405"/>
      <c r="FT4" s="800" t="str">
        <f>LOOKUP(FU4,$AE$14:$AE$15,$AG$14:$AG$15)</f>
        <v>No</v>
      </c>
      <c r="FU4" s="619">
        <v>1</v>
      </c>
      <c r="FV4" s="619"/>
      <c r="FW4" s="703"/>
      <c r="FX4" s="5418">
        <v>44621</v>
      </c>
      <c r="FY4" s="5418"/>
      <c r="FZ4" s="703"/>
      <c r="GA4" s="703"/>
      <c r="GB4" s="703"/>
      <c r="GC4" s="703"/>
      <c r="GD4" s="703"/>
      <c r="GE4" s="703"/>
      <c r="GF4" s="703"/>
      <c r="GG4" s="703"/>
      <c r="GH4" s="703"/>
      <c r="GI4" s="5415">
        <v>45748</v>
      </c>
      <c r="GJ4" s="5415"/>
      <c r="GK4" s="703"/>
      <c r="GL4" s="703"/>
      <c r="GM4" s="703"/>
      <c r="GN4" s="703"/>
      <c r="GO4" s="703"/>
      <c r="GP4" s="703"/>
      <c r="GQ4" s="703"/>
      <c r="GR4" s="703"/>
      <c r="GS4" s="5430"/>
      <c r="GT4" s="5430"/>
      <c r="GU4" s="5430"/>
      <c r="GV4" s="5430"/>
      <c r="GW4" s="5430"/>
      <c r="GX4" s="5430"/>
      <c r="GY4" s="5430"/>
      <c r="GZ4" s="1645"/>
      <c r="HA4" s="1639"/>
      <c r="HB4" s="1639"/>
      <c r="HC4" s="1639"/>
      <c r="HD4" s="1639"/>
      <c r="HE4" s="703"/>
      <c r="HF4" s="1644"/>
      <c r="HG4" s="1459"/>
      <c r="HH4" s="1459"/>
      <c r="HI4" s="1459"/>
      <c r="HJ4" s="1460"/>
      <c r="HK4" s="876"/>
      <c r="HL4" s="703"/>
      <c r="HM4" s="703"/>
      <c r="HN4" s="703"/>
      <c r="HO4" s="703"/>
      <c r="HP4" s="703"/>
      <c r="HQ4" s="703"/>
      <c r="HR4" s="703"/>
      <c r="HS4" s="3001"/>
      <c r="HT4" s="3001"/>
      <c r="HU4" s="3001"/>
      <c r="HV4" s="3001"/>
      <c r="HW4" s="703"/>
      <c r="HX4" s="703"/>
      <c r="HY4" s="1572"/>
      <c r="HZ4" s="1466"/>
      <c r="IA4" s="1460"/>
      <c r="IB4" s="1460"/>
      <c r="IC4" s="1460"/>
      <c r="ID4" s="1460"/>
      <c r="IE4" s="1460"/>
      <c r="IF4" s="3000"/>
      <c r="IG4" s="3001"/>
      <c r="IH4" s="3001"/>
      <c r="II4" s="3001"/>
      <c r="IJ4" s="3001"/>
      <c r="IK4" s="3001"/>
      <c r="IL4" s="3001"/>
      <c r="IM4" s="1569"/>
      <c r="IN4" s="1569"/>
      <c r="IO4" s="1585"/>
      <c r="IP4" s="5589" t="s">
        <v>1184</v>
      </c>
      <c r="IQ4" s="5590"/>
      <c r="IR4" s="5590"/>
      <c r="IS4" s="5590"/>
      <c r="IT4" s="5590"/>
      <c r="IU4" s="5590"/>
      <c r="IV4" s="5591"/>
      <c r="IW4" s="1588" t="str">
        <f>LOOKUP(IX4,$AE$14:$AE$15,$AG$14:$AG$15)</f>
        <v>No</v>
      </c>
      <c r="IX4" s="1588">
        <v>1</v>
      </c>
      <c r="IY4" s="1587"/>
      <c r="IZ4" s="1587"/>
      <c r="JA4" s="1587"/>
      <c r="JB4" s="1587"/>
      <c r="JC4" s="1568"/>
      <c r="JD4" s="1464"/>
      <c r="JE4" s="1466"/>
      <c r="JF4" s="703"/>
      <c r="JG4" s="703"/>
      <c r="JH4" s="703"/>
      <c r="JI4" s="703"/>
      <c r="JJ4" s="703"/>
      <c r="JK4" s="703"/>
      <c r="JL4" s="703"/>
      <c r="JM4" s="703"/>
      <c r="JN4" s="703"/>
      <c r="JO4" s="703"/>
      <c r="JP4" s="703"/>
      <c r="JQ4" s="703"/>
      <c r="JR4" s="703"/>
      <c r="JS4" s="863"/>
      <c r="JT4" s="703"/>
      <c r="JU4" s="885"/>
      <c r="JV4" s="627"/>
      <c r="JW4" s="627"/>
      <c r="JX4" s="5412" t="s">
        <v>948</v>
      </c>
      <c r="JY4" s="5412"/>
      <c r="JZ4" s="5412"/>
      <c r="KA4" s="5412"/>
      <c r="KB4" s="5412"/>
      <c r="KC4" s="890">
        <f>LOOKUP(KD4,$GK$39:$GK$78,$GL$39:$GL$78)</f>
        <v>79800</v>
      </c>
      <c r="KD4" s="890">
        <v>12</v>
      </c>
      <c r="KE4" s="875"/>
      <c r="KF4" s="875"/>
      <c r="KG4" s="875"/>
      <c r="KH4" s="752"/>
      <c r="KI4" s="5393" t="s">
        <v>844</v>
      </c>
      <c r="KJ4" s="5393"/>
      <c r="KK4" s="5393"/>
      <c r="KL4" s="5393"/>
      <c r="KM4" s="5393"/>
      <c r="KN4" s="5393"/>
      <c r="KO4" s="5393"/>
      <c r="KP4" s="5393"/>
      <c r="KQ4" s="5393"/>
      <c r="KR4" s="745">
        <f>LOOKUP(KS4,$AO$14:$AO$15,$AQ$14:$AQ$15)</f>
        <v>3</v>
      </c>
      <c r="KS4" s="889">
        <f>KS3</f>
        <v>2</v>
      </c>
      <c r="KT4" s="875"/>
      <c r="KU4" s="875"/>
      <c r="KV4" s="875"/>
      <c r="KW4" s="875"/>
      <c r="KX4" s="875"/>
      <c r="KY4" s="875"/>
      <c r="KZ4" s="875"/>
      <c r="LA4" s="875"/>
      <c r="LB4" s="875"/>
      <c r="LC4" s="5393" t="s">
        <v>824</v>
      </c>
      <c r="LD4" s="5393"/>
      <c r="LE4" s="5393"/>
      <c r="LF4" s="5393"/>
      <c r="LG4" s="5393"/>
      <c r="LH4" s="5393"/>
      <c r="LI4" s="5393"/>
      <c r="LJ4" s="5393"/>
      <c r="LK4" s="5393"/>
      <c r="LL4" s="5393"/>
      <c r="LM4" s="5393"/>
      <c r="LN4" s="921">
        <f>VLOOKUP(LO4,$AA$14:$AC$19,3)</f>
        <v>10</v>
      </c>
      <c r="LO4" s="890">
        <f>LO3</f>
        <v>1</v>
      </c>
      <c r="LP4" s="875"/>
      <c r="LQ4" s="875"/>
      <c r="LR4" s="875"/>
      <c r="LS4" s="875"/>
      <c r="LT4" s="875"/>
      <c r="LU4" s="875"/>
      <c r="LV4" s="875"/>
      <c r="LW4" s="831"/>
      <c r="LX4" s="831"/>
      <c r="LY4" s="831"/>
      <c r="LZ4" s="831"/>
      <c r="MA4" s="831"/>
      <c r="MB4" s="831"/>
      <c r="MC4" s="831"/>
      <c r="MD4" s="831"/>
      <c r="ME4" s="831"/>
      <c r="MF4" s="831"/>
      <c r="MG4" s="831"/>
      <c r="MH4" s="831"/>
      <c r="MI4" s="831"/>
      <c r="MJ4" s="831"/>
      <c r="MK4" s="831"/>
      <c r="ML4" s="831"/>
      <c r="MM4" s="831"/>
      <c r="MN4" s="831"/>
      <c r="MO4" s="831"/>
      <c r="MP4" s="2561" t="s">
        <v>627</v>
      </c>
      <c r="MQ4" s="2566">
        <f>'Data Sheet-III '!X15</f>
        <v>0</v>
      </c>
      <c r="MR4" s="954"/>
      <c r="MS4" s="831"/>
      <c r="MT4" s="831"/>
      <c r="MU4" s="831"/>
      <c r="MV4" s="831"/>
      <c r="MW4" s="831"/>
      <c r="MX4" s="5438" t="str">
        <f>LOOKUP(ND4,$MW$29:$MW$38,$MX$29:$MX$38)</f>
        <v>Interest from Deposit (Bank/Post Office/Cooperative Society)</v>
      </c>
      <c r="MY4" s="5439"/>
      <c r="MZ4" s="5439"/>
      <c r="NA4" s="5439"/>
      <c r="NB4" s="5439"/>
      <c r="NC4" s="5440"/>
      <c r="ND4" s="857">
        <v>2</v>
      </c>
      <c r="NE4" s="831"/>
      <c r="NF4" s="831"/>
      <c r="NG4" s="5671" t="str">
        <f>IF(NQ3=1,"",VLOOKUP(NQ4,$NH$29:$NM$35,2))</f>
        <v/>
      </c>
      <c r="NH4" s="5671"/>
      <c r="NI4" s="5671"/>
      <c r="NJ4" s="5671"/>
      <c r="NK4" s="5671"/>
      <c r="NL4" s="5671"/>
      <c r="NM4" s="5671"/>
      <c r="NN4" s="5671"/>
      <c r="NO4" s="5671"/>
      <c r="NP4" s="1701">
        <f>IF($NQ$3=1,0,IF(AND($NQ$3=2,SUM(NP5:NP6)&gt;=25000),25000,IF(AND($NQ$3=3,SUM(NP5:NP7)&gt;=50000),50000,SUM(NP5:NP7))))</f>
        <v>0</v>
      </c>
      <c r="NQ4" s="1690" t="str">
        <f>IF($NQ$3=1,"",IF($NQ$3=2,NH29,NH32))</f>
        <v/>
      </c>
      <c r="NR4" s="831"/>
      <c r="NS4" s="831"/>
      <c r="NT4" s="831"/>
      <c r="NU4" s="5714" t="str">
        <f>IF(OB3=1,"",VLOOKUP(OB3,$NW$9:$NZ$11,2))</f>
        <v/>
      </c>
      <c r="NV4" s="5715"/>
      <c r="NW4" s="5715"/>
      <c r="NX4" s="5715"/>
      <c r="NY4" s="5715"/>
      <c r="NZ4" s="5715"/>
      <c r="OA4" s="5715"/>
      <c r="OB4" s="1714">
        <f>LOOKUP(OB3,$NW$9:$NW$11,OA9:OA11)</f>
        <v>0</v>
      </c>
      <c r="OC4" s="831"/>
      <c r="OD4" s="831"/>
      <c r="OE4" s="831"/>
      <c r="OF4" s="5254" t="str">
        <f>IF(OM3=1,"",VLOOKUP(OM3,$OG$9:$OJ$11,2))</f>
        <v/>
      </c>
      <c r="OG4" s="5254"/>
      <c r="OH4" s="5254"/>
      <c r="OI4" s="5254"/>
      <c r="OJ4" s="5254"/>
      <c r="OK4" s="5254"/>
      <c r="OL4" s="5254"/>
      <c r="OM4" s="954">
        <f>VLOOKUP(OM3,$OG$9:$OK$11,5)</f>
        <v>0</v>
      </c>
      <c r="ON4" s="831"/>
      <c r="OO4" s="831"/>
      <c r="OP4" s="831"/>
      <c r="OQ4" s="831"/>
      <c r="OR4" s="831"/>
      <c r="OS4" s="831"/>
      <c r="OT4" s="831"/>
      <c r="OU4" s="831"/>
      <c r="OV4" s="831"/>
      <c r="OW4" s="831"/>
      <c r="OX4" s="831"/>
      <c r="OY4" s="831"/>
      <c r="OZ4" s="831"/>
      <c r="PA4" s="831"/>
      <c r="PB4" s="831"/>
      <c r="PC4" s="831"/>
      <c r="PD4" s="831"/>
      <c r="PE4" s="831"/>
      <c r="PF4" s="831"/>
      <c r="PG4" s="831"/>
      <c r="PH4" s="831"/>
      <c r="PI4" s="831"/>
      <c r="PJ4" s="831"/>
      <c r="PK4" s="831"/>
      <c r="PL4" s="831"/>
      <c r="PM4" s="831"/>
      <c r="PN4" s="831"/>
      <c r="PO4" s="831"/>
      <c r="PP4" s="831"/>
      <c r="PQ4" s="831"/>
    </row>
    <row r="5" spans="1:433" ht="36" customHeight="1" thickBot="1">
      <c r="A5" s="123"/>
      <c r="B5" s="8"/>
      <c r="C5" s="685"/>
      <c r="D5" s="685"/>
      <c r="E5" s="685"/>
      <c r="F5" s="685"/>
      <c r="G5" s="685"/>
      <c r="H5" s="685"/>
      <c r="I5" s="685"/>
      <c r="J5" s="685"/>
      <c r="K5" s="685"/>
      <c r="L5" s="287"/>
      <c r="M5" s="287"/>
      <c r="N5" s="287"/>
      <c r="O5" s="287"/>
      <c r="P5" s="287"/>
      <c r="Q5" s="287"/>
      <c r="R5" s="287"/>
      <c r="S5" s="287"/>
      <c r="T5" s="287"/>
      <c r="U5" s="287"/>
      <c r="V5" s="287"/>
      <c r="W5" s="287"/>
      <c r="X5" s="287"/>
      <c r="Y5" s="287"/>
      <c r="Z5" s="287"/>
      <c r="AA5" s="287"/>
      <c r="AB5" s="287"/>
      <c r="AC5" s="287"/>
      <c r="AD5" s="287"/>
      <c r="AE5" s="287"/>
      <c r="AF5" s="287"/>
      <c r="AG5" s="287"/>
      <c r="AH5" s="287"/>
      <c r="AI5" s="287"/>
      <c r="AJ5" s="287"/>
      <c r="AK5" s="287"/>
      <c r="AL5" s="287"/>
      <c r="AM5" s="287"/>
      <c r="AN5" s="287"/>
      <c r="AO5" s="287"/>
      <c r="AP5" s="287"/>
      <c r="AQ5" s="287"/>
      <c r="AR5" s="287"/>
      <c r="AS5" s="287"/>
      <c r="AT5" s="287"/>
      <c r="AU5" s="287"/>
      <c r="AV5" s="7"/>
      <c r="AW5" s="287"/>
      <c r="AX5" s="5355" t="s">
        <v>837</v>
      </c>
      <c r="AY5" s="5356"/>
      <c r="AZ5" s="5356"/>
      <c r="BA5" s="5356"/>
      <c r="BB5" s="5356"/>
      <c r="BC5" s="5356"/>
      <c r="BD5" s="5356"/>
      <c r="BE5" s="5357"/>
      <c r="BF5" s="2127" t="str">
        <f>LOOKUP(BG5,$AE$14:$AE$15,$AG$14:$AG$15)</f>
        <v>Yes</v>
      </c>
      <c r="BG5" s="761">
        <v>2</v>
      </c>
      <c r="BH5" s="287"/>
      <c r="BI5" s="1"/>
      <c r="BJ5" s="287"/>
      <c r="BK5" s="287"/>
      <c r="BL5" s="2154"/>
      <c r="BM5" s="5213"/>
      <c r="BN5" s="5213"/>
      <c r="BO5" s="5213"/>
      <c r="BP5" s="5213"/>
      <c r="BQ5" s="5213"/>
      <c r="BR5" s="5213"/>
      <c r="BS5" s="5213"/>
      <c r="BT5" s="5213"/>
      <c r="BU5" s="5399"/>
      <c r="BV5" s="2127" t="s">
        <v>845</v>
      </c>
      <c r="BW5" s="761" t="s">
        <v>182</v>
      </c>
      <c r="BX5" s="287"/>
      <c r="BY5" s="287"/>
      <c r="BZ5" s="287"/>
      <c r="CA5" s="287"/>
      <c r="CB5" s="287"/>
      <c r="CC5" s="287"/>
      <c r="CD5" s="345"/>
      <c r="CE5" s="287"/>
      <c r="CF5" s="753"/>
      <c r="CG5" s="5397" t="s">
        <v>869</v>
      </c>
      <c r="CH5" s="5398"/>
      <c r="CI5" s="5398"/>
      <c r="CJ5" s="5398"/>
      <c r="CK5" s="5398"/>
      <c r="CL5" s="5398"/>
      <c r="CM5" s="5398"/>
      <c r="CN5" s="5398"/>
      <c r="CO5" s="5398"/>
      <c r="CP5" s="5398"/>
      <c r="CQ5" s="2165">
        <v>21</v>
      </c>
      <c r="CR5" s="2231">
        <f>LOOKUP(CS5,$E$558:$E$643,$F$558:$F$643)</f>
        <v>45413</v>
      </c>
      <c r="CS5" s="2196">
        <v>65</v>
      </c>
      <c r="CT5" s="753"/>
      <c r="CU5" s="753"/>
      <c r="CV5" s="287"/>
      <c r="CW5" s="287"/>
      <c r="CX5" s="287"/>
      <c r="CY5" s="287"/>
      <c r="CZ5" s="287"/>
      <c r="DA5" s="287"/>
      <c r="DB5" s="287"/>
      <c r="DC5" s="287"/>
      <c r="DD5" s="287"/>
      <c r="DE5" s="345"/>
      <c r="DF5" s="287"/>
      <c r="DG5" s="287"/>
      <c r="DH5" s="287"/>
      <c r="DI5" s="753"/>
      <c r="DJ5" s="5390"/>
      <c r="DK5" s="5390"/>
      <c r="DL5" s="5390"/>
      <c r="DM5" s="5390"/>
      <c r="DN5" s="5390"/>
      <c r="DO5" s="5390"/>
      <c r="DP5" s="5390"/>
      <c r="DQ5" s="5390"/>
      <c r="DR5" s="5390"/>
      <c r="DS5" s="849" t="s">
        <v>845</v>
      </c>
      <c r="DT5" s="849" t="s">
        <v>182</v>
      </c>
      <c r="DU5" s="849"/>
      <c r="DV5" s="849"/>
      <c r="DW5" s="849"/>
      <c r="DX5" s="287"/>
      <c r="DY5" s="287"/>
      <c r="DZ5" s="287"/>
      <c r="EA5" s="287"/>
      <c r="EB5" s="288"/>
      <c r="EC5" s="788"/>
      <c r="ED5" s="791"/>
      <c r="EE5" s="791"/>
      <c r="EF5" s="791"/>
      <c r="EG5" s="791"/>
      <c r="EH5" s="791"/>
      <c r="EI5" s="791"/>
      <c r="EJ5" s="761" t="s">
        <v>893</v>
      </c>
      <c r="EK5" s="770" t="s">
        <v>182</v>
      </c>
      <c r="EL5" s="788"/>
      <c r="EM5" s="788"/>
      <c r="EN5" s="765"/>
      <c r="EO5" s="788"/>
      <c r="EP5" s="788"/>
      <c r="EQ5" s="5579" t="s">
        <v>899</v>
      </c>
      <c r="ER5" s="5213"/>
      <c r="ES5" s="5213"/>
      <c r="ET5" s="5213"/>
      <c r="EU5" s="5213"/>
      <c r="EV5" s="730">
        <f>'Data Sheet-II'!Y73</f>
        <v>0</v>
      </c>
      <c r="EW5" s="788"/>
      <c r="EX5" s="788"/>
      <c r="EY5" s="5580" t="s">
        <v>182</v>
      </c>
      <c r="EZ5" s="5581"/>
      <c r="FA5" s="5582"/>
      <c r="FB5" s="850">
        <f>LOOKUP(FC5,$BC$47:$BC$58,$BD$47:$BD$58)</f>
        <v>45717</v>
      </c>
      <c r="FC5" s="848">
        <v>1</v>
      </c>
      <c r="FD5" s="851"/>
      <c r="FE5" s="5406" t="s">
        <v>182</v>
      </c>
      <c r="FF5" s="5406"/>
      <c r="FG5" s="5406"/>
      <c r="FH5" s="850">
        <f>LOOKUP(FI5,$BC$47:$BC$58,$BD$47:$BD$58)</f>
        <v>45809</v>
      </c>
      <c r="FI5" s="848">
        <v>4</v>
      </c>
      <c r="FJ5" s="851"/>
      <c r="FK5" s="5406" t="s">
        <v>182</v>
      </c>
      <c r="FL5" s="5406"/>
      <c r="FM5" s="5406"/>
      <c r="FN5" s="850">
        <f>LOOKUP(FO5,$BC$47:$BC$58,$BD$47:$BD$58)</f>
        <v>45992</v>
      </c>
      <c r="FO5" s="848">
        <v>10</v>
      </c>
      <c r="FP5" s="851"/>
      <c r="FQ5" s="5406" t="s">
        <v>182</v>
      </c>
      <c r="FR5" s="5406"/>
      <c r="FS5" s="5406"/>
      <c r="FT5" s="850">
        <f>LOOKUP(FU5,$BC$47:$BC$58,$BD$47:$BD$58)</f>
        <v>45931</v>
      </c>
      <c r="FU5" s="848">
        <v>8</v>
      </c>
      <c r="FV5" s="848"/>
      <c r="FW5" s="851"/>
      <c r="FX5" s="5431" t="s">
        <v>403</v>
      </c>
      <c r="FY5" s="5431"/>
      <c r="FZ5" s="770"/>
      <c r="GA5" s="788"/>
      <c r="GB5" s="788"/>
      <c r="GC5" s="5432" t="s">
        <v>923</v>
      </c>
      <c r="GD5" s="5433"/>
      <c r="GE5" s="5434"/>
      <c r="GF5" s="788"/>
      <c r="GG5" s="788"/>
      <c r="GH5" s="788"/>
      <c r="GI5" s="5425" t="s">
        <v>1719</v>
      </c>
      <c r="GJ5" s="5425"/>
      <c r="GK5" s="788"/>
      <c r="GL5" s="788"/>
      <c r="GM5" s="788"/>
      <c r="GN5" s="788"/>
      <c r="GO5" s="1452"/>
      <c r="GP5" s="1452"/>
      <c r="GQ5" s="848"/>
      <c r="GR5" s="848"/>
      <c r="GS5" s="1453"/>
      <c r="GT5" s="1453"/>
      <c r="GU5" s="1453"/>
      <c r="GV5" s="1453"/>
      <c r="GW5" s="1453"/>
      <c r="GX5" s="1453"/>
      <c r="GY5" s="1453"/>
      <c r="GZ5" s="1452"/>
      <c r="HA5" s="1452"/>
      <c r="HB5" s="848"/>
      <c r="HC5" s="1452"/>
      <c r="HD5" s="1452"/>
      <c r="HE5" s="848"/>
      <c r="HF5" s="1463"/>
      <c r="HG5" s="1463"/>
      <c r="HH5" s="1463"/>
      <c r="HI5" s="1463"/>
      <c r="HJ5" s="1463"/>
      <c r="HK5" s="876"/>
      <c r="HL5" s="3004"/>
      <c r="HM5" s="3004"/>
      <c r="HN5" s="3004"/>
      <c r="HO5" s="3004"/>
      <c r="HP5" s="3004"/>
      <c r="HQ5" s="3004"/>
      <c r="HR5" s="3004"/>
      <c r="HS5" s="1570"/>
      <c r="HT5" s="1570"/>
      <c r="HU5" s="1570"/>
      <c r="HV5" s="1570"/>
      <c r="HW5" s="788"/>
      <c r="HX5" s="788"/>
      <c r="HY5" s="1572"/>
      <c r="HZ5" s="3004"/>
      <c r="IA5" s="3004"/>
      <c r="IB5" s="3004"/>
      <c r="IC5" s="3004"/>
      <c r="ID5" s="3004"/>
      <c r="IE5" s="3004"/>
      <c r="IF5" s="3004"/>
      <c r="IG5" s="3004"/>
      <c r="IH5" s="3004"/>
      <c r="II5" s="3004"/>
      <c r="IJ5" s="3004"/>
      <c r="IK5" s="3004"/>
      <c r="IL5" s="1570"/>
      <c r="IM5" s="1570"/>
      <c r="IN5" s="1570"/>
      <c r="IO5" s="1576"/>
      <c r="IP5" s="876"/>
      <c r="IQ5" s="876"/>
      <c r="IR5" s="876"/>
      <c r="IS5" s="876"/>
      <c r="IT5" s="876"/>
      <c r="IU5" s="876"/>
      <c r="IV5" s="876"/>
      <c r="IW5" s="915"/>
      <c r="IX5" s="915">
        <v>11</v>
      </c>
      <c r="IY5" s="915"/>
      <c r="IZ5" s="915">
        <v>65</v>
      </c>
      <c r="JA5" s="876"/>
      <c r="JB5" s="876"/>
      <c r="JC5" s="876"/>
      <c r="JD5" s="1464"/>
      <c r="JE5" s="1463"/>
      <c r="JF5" s="1452"/>
      <c r="JG5" s="1453"/>
      <c r="JH5" s="1453"/>
      <c r="JI5" s="1453"/>
      <c r="JJ5" s="1453"/>
      <c r="JK5" s="1453"/>
      <c r="JL5" s="1453"/>
      <c r="JM5" s="848"/>
      <c r="JN5" s="848"/>
      <c r="JO5" s="848"/>
      <c r="JP5" s="848"/>
      <c r="JQ5" s="848"/>
      <c r="JR5" s="788"/>
      <c r="JS5" s="863"/>
      <c r="JT5" s="788"/>
      <c r="JU5" s="788"/>
      <c r="JV5" s="788"/>
      <c r="JW5" s="788"/>
      <c r="JX5" s="788"/>
      <c r="JY5" s="788"/>
      <c r="JZ5" s="788"/>
      <c r="KA5" s="788"/>
      <c r="KB5" s="876"/>
      <c r="KC5" s="877"/>
      <c r="KD5" s="877"/>
      <c r="KE5" s="877"/>
      <c r="KF5" s="877"/>
      <c r="KG5" s="877"/>
      <c r="KH5" s="753"/>
      <c r="KI5" s="5213"/>
      <c r="KJ5" s="5213"/>
      <c r="KK5" s="5213"/>
      <c r="KL5" s="5213"/>
      <c r="KM5" s="5213"/>
      <c r="KN5" s="5213"/>
      <c r="KO5" s="5213"/>
      <c r="KP5" s="5213"/>
      <c r="KQ5" s="5213"/>
      <c r="KR5" s="848" t="s">
        <v>845</v>
      </c>
      <c r="KS5" s="848" t="s">
        <v>182</v>
      </c>
      <c r="KT5" s="877"/>
      <c r="KU5" s="877"/>
      <c r="KV5" s="877"/>
      <c r="KW5" s="877"/>
      <c r="KX5" s="877"/>
      <c r="KY5" s="877"/>
      <c r="KZ5" s="877"/>
      <c r="LA5" s="877"/>
      <c r="LB5" s="877"/>
      <c r="LC5" s="5450" t="s">
        <v>866</v>
      </c>
      <c r="LD5" s="5450"/>
      <c r="LE5" s="5450"/>
      <c r="LF5" s="5450"/>
      <c r="LG5" s="5450"/>
      <c r="LH5" s="5450"/>
      <c r="LI5" s="5450"/>
      <c r="LJ5" s="5450"/>
      <c r="LK5" s="5450"/>
      <c r="LL5" s="5450"/>
      <c r="LM5" s="5450"/>
      <c r="LN5" s="922" t="str">
        <f>LOOKUP(LO5,$AA$23:$AA$28,$AB$23:$AB$28)</f>
        <v>Level-10 to Level-11</v>
      </c>
      <c r="LO5" s="915">
        <v>2</v>
      </c>
      <c r="LP5" s="877"/>
      <c r="LQ5" s="877"/>
      <c r="LR5" s="877"/>
      <c r="LS5" s="877"/>
      <c r="LT5" s="877"/>
      <c r="LU5" s="877"/>
      <c r="LV5" s="877"/>
      <c r="LW5" s="877"/>
      <c r="LX5" s="877"/>
      <c r="LY5" s="877"/>
      <c r="LZ5" s="877"/>
      <c r="MA5" s="877"/>
      <c r="MB5" s="877"/>
      <c r="MC5" s="877"/>
      <c r="MD5" s="877"/>
      <c r="ME5" s="877"/>
      <c r="MF5" s="877"/>
      <c r="MG5" s="877"/>
      <c r="MH5" s="877"/>
      <c r="MI5" s="877"/>
      <c r="MJ5" s="877"/>
      <c r="MK5" s="877"/>
      <c r="ML5" s="877"/>
      <c r="MM5" s="877"/>
      <c r="MN5" s="877"/>
      <c r="MO5" s="877"/>
      <c r="MP5" s="2562" t="s">
        <v>1262</v>
      </c>
      <c r="MQ5" s="2566">
        <f>'Data Sheet-III '!X20</f>
        <v>0</v>
      </c>
      <c r="MR5" s="915"/>
      <c r="MS5" s="877"/>
      <c r="MT5" s="877"/>
      <c r="MU5" s="877"/>
      <c r="MV5" s="877"/>
      <c r="MW5" s="877"/>
      <c r="MX5" s="5438" t="str">
        <f>LOOKUP(ND5,$MW$29:$MW$38,$MX$29:$MX$38)</f>
        <v>Interest from Income Tax Refund</v>
      </c>
      <c r="MY5" s="5439"/>
      <c r="MZ5" s="5439"/>
      <c r="NA5" s="5439"/>
      <c r="NB5" s="5439"/>
      <c r="NC5" s="5440"/>
      <c r="ND5" s="915">
        <v>3</v>
      </c>
      <c r="NE5" s="877"/>
      <c r="NF5" s="877"/>
      <c r="NG5" s="5689" t="str">
        <f>IF(NQ3=1,"",VLOOKUP(NQ5,$NH$29:$NM$35,2))</f>
        <v/>
      </c>
      <c r="NH5" s="5689"/>
      <c r="NI5" s="5689"/>
      <c r="NJ5" s="5689"/>
      <c r="NK5" s="5689"/>
      <c r="NL5" s="5689"/>
      <c r="NM5" s="5689"/>
      <c r="NN5" s="5689"/>
      <c r="NO5" s="5689"/>
      <c r="NP5" s="1693">
        <f>'Data Sheet-III '!O21</f>
        <v>0</v>
      </c>
      <c r="NQ5" s="1691" t="str">
        <f>IF($NQ$3=1,"",IF($NQ$3=2,NH30,NH33))</f>
        <v/>
      </c>
      <c r="NR5" s="877"/>
      <c r="NS5" s="877"/>
      <c r="NT5" s="877"/>
      <c r="NU5" s="5686" t="s">
        <v>1276</v>
      </c>
      <c r="NV5" s="5686"/>
      <c r="NW5" s="5686"/>
      <c r="NX5" s="5686"/>
      <c r="NY5" s="5686"/>
      <c r="NZ5" s="5686"/>
      <c r="OA5" s="5686"/>
      <c r="OB5" s="1715">
        <f>OB7</f>
        <v>0</v>
      </c>
      <c r="OC5" s="877"/>
      <c r="OD5" s="877"/>
      <c r="OE5" s="877"/>
      <c r="OF5" s="5708" t="s">
        <v>1281</v>
      </c>
      <c r="OG5" s="5708"/>
      <c r="OH5" s="5708"/>
      <c r="OI5" s="5708"/>
      <c r="OJ5" s="5708"/>
      <c r="OK5" s="5708"/>
      <c r="OL5" s="5708"/>
      <c r="OM5" s="915">
        <f>'Data Sheet-III '!O40</f>
        <v>0</v>
      </c>
      <c r="ON5" s="877"/>
      <c r="OO5" s="877"/>
      <c r="OP5" s="877"/>
      <c r="OQ5" s="877"/>
      <c r="OR5" s="877"/>
      <c r="OS5" s="877"/>
      <c r="OT5" s="877"/>
      <c r="OU5" s="877"/>
      <c r="OV5" s="877"/>
      <c r="OW5" s="877"/>
      <c r="OX5" s="877"/>
      <c r="OY5" s="877"/>
      <c r="OZ5" s="877"/>
      <c r="PA5" s="877"/>
      <c r="PB5" s="877"/>
      <c r="PC5" s="877"/>
      <c r="PD5" s="877"/>
      <c r="PE5" s="877"/>
      <c r="PF5" s="877"/>
      <c r="PG5" s="877"/>
      <c r="PH5" s="877"/>
      <c r="PI5" s="877"/>
      <c r="PJ5" s="877"/>
      <c r="PK5" s="877"/>
      <c r="PL5" s="877"/>
      <c r="PM5" s="877"/>
      <c r="PN5" s="877"/>
      <c r="PO5" s="877"/>
      <c r="PP5" s="877"/>
      <c r="PQ5" s="877"/>
    </row>
    <row r="6" spans="1:433" ht="29.25" customHeight="1">
      <c r="A6" s="123"/>
      <c r="B6" s="8"/>
      <c r="C6" s="687"/>
      <c r="D6" s="687"/>
      <c r="E6" s="687"/>
      <c r="F6" s="687"/>
      <c r="G6" s="687"/>
      <c r="H6" s="687"/>
      <c r="I6" s="687"/>
      <c r="J6" s="687"/>
      <c r="K6" s="687"/>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7"/>
      <c r="AW6" s="8"/>
      <c r="AX6" s="5358" t="s">
        <v>838</v>
      </c>
      <c r="AY6" s="5359"/>
      <c r="AZ6" s="5359"/>
      <c r="BA6" s="5359"/>
      <c r="BB6" s="5359"/>
      <c r="BC6" s="5359"/>
      <c r="BD6" s="5359"/>
      <c r="BE6" s="5360"/>
      <c r="BF6" s="2123">
        <f>LOOKUP(BG6,$BC$47:$BC$58,$BD$47:$BD$58)</f>
        <v>46023</v>
      </c>
      <c r="BG6" s="652">
        <v>11</v>
      </c>
      <c r="BH6" s="8"/>
      <c r="BI6" s="1"/>
      <c r="BJ6" s="8"/>
      <c r="BK6" s="8"/>
      <c r="BL6" s="2155"/>
      <c r="BM6" s="5400" t="str">
        <f>CONCATENATE("Select the Date of Acquiring of"," ", BV3," "," Qualification")</f>
        <v>Select the Date of Acquiring of Ph.D  Qualification</v>
      </c>
      <c r="BN6" s="5359"/>
      <c r="BO6" s="5359"/>
      <c r="BP6" s="5359"/>
      <c r="BQ6" s="5359"/>
      <c r="BR6" s="5359"/>
      <c r="BS6" s="5359"/>
      <c r="BT6" s="5359"/>
      <c r="BU6" s="5360"/>
      <c r="BV6" s="2163">
        <v>6</v>
      </c>
      <c r="BW6" s="699">
        <f>LOOKUP(BX6,$F$1602:$F$1687,$G$1602:$G$1687)</f>
        <v>45901</v>
      </c>
      <c r="BX6" s="3035">
        <v>81</v>
      </c>
      <c r="BY6" s="8"/>
      <c r="BZ6" s="8"/>
      <c r="CA6" s="8"/>
      <c r="CB6" s="8"/>
      <c r="CC6" s="8"/>
      <c r="CD6" s="345"/>
      <c r="CE6" s="8"/>
      <c r="CF6" s="754"/>
      <c r="CG6" s="5394"/>
      <c r="CH6" s="5395"/>
      <c r="CI6" s="5395"/>
      <c r="CJ6" s="5395"/>
      <c r="CK6" s="5395"/>
      <c r="CL6" s="5395"/>
      <c r="CM6" s="5395"/>
      <c r="CN6" s="5395"/>
      <c r="CO6" s="5395"/>
      <c r="CP6" s="5395"/>
      <c r="CQ6" s="5396"/>
      <c r="CR6" s="2232"/>
      <c r="CS6" s="2233"/>
      <c r="CT6" s="2234"/>
      <c r="CU6" s="2235"/>
      <c r="CV6" s="8"/>
      <c r="CW6" s="8"/>
      <c r="CX6" s="8"/>
      <c r="CY6" s="8"/>
      <c r="CZ6" s="8"/>
      <c r="DA6" s="8"/>
      <c r="DB6" s="8"/>
      <c r="DC6" s="8"/>
      <c r="DD6" s="8"/>
      <c r="DE6" s="345"/>
      <c r="DF6" s="8"/>
      <c r="DG6" s="8"/>
      <c r="DH6" s="8"/>
      <c r="DI6" s="754"/>
      <c r="DJ6" s="5359" t="str">
        <f>CONCATENATE("Select the Date of Acquiring of"," ", DS3," "," Qualification")</f>
        <v>Select the Date of Acquiring of Ph.D  Qualification</v>
      </c>
      <c r="DK6" s="5359"/>
      <c r="DL6" s="5359"/>
      <c r="DM6" s="5359"/>
      <c r="DN6" s="5359"/>
      <c r="DO6" s="5359"/>
      <c r="DP6" s="5359"/>
      <c r="DQ6" s="5359"/>
      <c r="DR6" s="5359"/>
      <c r="DS6" s="652">
        <v>1</v>
      </c>
      <c r="DT6" s="699">
        <f>LOOKUP(DU6,$U$1602:$U$1687,$V$1602:$V$1687)</f>
        <v>45717</v>
      </c>
      <c r="DU6" s="652">
        <v>75</v>
      </c>
      <c r="DV6" s="8"/>
      <c r="DW6" s="8"/>
      <c r="DX6" s="8"/>
      <c r="DY6" s="8"/>
      <c r="DZ6" s="8"/>
      <c r="EA6" s="8"/>
      <c r="EB6" s="288"/>
      <c r="EC6" s="789"/>
      <c r="ED6" s="789"/>
      <c r="EE6" s="789"/>
      <c r="EF6" s="789"/>
      <c r="EG6" s="789"/>
      <c r="EH6" s="789"/>
      <c r="EI6" s="789"/>
      <c r="EJ6" s="652">
        <v>6</v>
      </c>
      <c r="EK6" s="699">
        <f>LOOKUP(EL6,$I$108:$I$119,$J$108:$J$119)</f>
        <v>45931</v>
      </c>
      <c r="EL6" s="652">
        <v>8</v>
      </c>
      <c r="EM6" s="789"/>
      <c r="EN6" s="765"/>
      <c r="EO6" s="789"/>
      <c r="EP6" s="789"/>
      <c r="EQ6" s="5578" t="s">
        <v>901</v>
      </c>
      <c r="ER6" s="5451"/>
      <c r="ES6" s="5451"/>
      <c r="ET6" s="5451"/>
      <c r="EU6" s="5451"/>
      <c r="EV6" s="730">
        <f>'Data Sheet-II'!Y70</f>
        <v>0</v>
      </c>
      <c r="EW6" s="789"/>
      <c r="EX6" s="789"/>
      <c r="EY6" s="5583" t="s">
        <v>905</v>
      </c>
      <c r="EZ6" s="5584"/>
      <c r="FA6" s="5585"/>
      <c r="FB6" s="801">
        <f>'Data Sheet-II'!M51</f>
        <v>0</v>
      </c>
      <c r="FC6" s="789"/>
      <c r="FD6" s="789"/>
      <c r="FE6" s="5407" t="s">
        <v>909</v>
      </c>
      <c r="FF6" s="5407"/>
      <c r="FG6" s="5407"/>
      <c r="FH6" s="801">
        <f>'Data Sheet-II'!M53</f>
        <v>0</v>
      </c>
      <c r="FI6" s="789"/>
      <c r="FJ6" s="789"/>
      <c r="FK6" s="5407" t="s">
        <v>914</v>
      </c>
      <c r="FL6" s="5407"/>
      <c r="FM6" s="5407"/>
      <c r="FN6" s="801">
        <f>'Data Sheet-II'!M55</f>
        <v>0</v>
      </c>
      <c r="FO6" s="789"/>
      <c r="FP6" s="789"/>
      <c r="FQ6" s="5407" t="s">
        <v>918</v>
      </c>
      <c r="FR6" s="5407"/>
      <c r="FS6" s="5407"/>
      <c r="FT6" s="801">
        <f>'Data Sheet-II'!M57</f>
        <v>0</v>
      </c>
      <c r="FU6" s="789"/>
      <c r="FV6" s="789"/>
      <c r="FW6" s="789"/>
      <c r="FX6" s="803" t="s">
        <v>404</v>
      </c>
      <c r="FY6" s="803">
        <f>VLOOKUP(FZ6,$FX$12:$FZ$19,3)</f>
        <v>200</v>
      </c>
      <c r="FZ6" s="762">
        <v>6</v>
      </c>
      <c r="GA6" s="789"/>
      <c r="GB6" s="789"/>
      <c r="GC6" s="807"/>
      <c r="GD6" s="808" t="str">
        <f>LOOKUP(GE6,GC15:GC16,GD15:GD16)</f>
        <v>Rented House</v>
      </c>
      <c r="GE6" s="801">
        <v>1</v>
      </c>
      <c r="GF6" s="789"/>
      <c r="GG6" s="789"/>
      <c r="GH6" s="789"/>
      <c r="GI6" s="5426" t="str">
        <f>LOOKUP(GK6,$GC$25:$GC$26,$GD$25:$GD$26)</f>
        <v>Non-Metro</v>
      </c>
      <c r="GJ6" s="5426"/>
      <c r="GK6" s="652">
        <v>2</v>
      </c>
      <c r="GL6" s="789"/>
      <c r="GM6" s="789"/>
      <c r="GN6" s="789"/>
      <c r="GO6" s="652"/>
      <c r="GP6" s="652"/>
      <c r="GQ6" s="652"/>
      <c r="GR6" s="652"/>
      <c r="GS6" s="5400"/>
      <c r="GT6" s="5359"/>
      <c r="GU6" s="5359"/>
      <c r="GV6" s="5359"/>
      <c r="GW6" s="5359"/>
      <c r="GX6" s="5359"/>
      <c r="GY6" s="5359"/>
      <c r="GZ6" s="652"/>
      <c r="HA6" s="652"/>
      <c r="HB6" s="652"/>
      <c r="HC6" s="652"/>
      <c r="HD6" s="652"/>
      <c r="HE6" s="652"/>
      <c r="HF6" s="789"/>
      <c r="HG6" s="789"/>
      <c r="HH6" s="789"/>
      <c r="HI6" s="789"/>
      <c r="HJ6" s="789"/>
      <c r="HK6" s="876"/>
      <c r="HL6" s="789"/>
      <c r="HM6" s="789"/>
      <c r="HN6" s="789"/>
      <c r="HO6" s="789"/>
      <c r="HP6" s="789"/>
      <c r="HQ6" s="789"/>
      <c r="HR6" s="789"/>
      <c r="HS6" s="789"/>
      <c r="HT6" s="789"/>
      <c r="HU6" s="789"/>
      <c r="HV6" s="789"/>
      <c r="HW6" s="789"/>
      <c r="HX6" s="789"/>
      <c r="HY6" s="1572"/>
      <c r="HZ6" s="789"/>
      <c r="IA6" s="789"/>
      <c r="IB6" s="789"/>
      <c r="IC6" s="789"/>
      <c r="ID6" s="789"/>
      <c r="IE6" s="789"/>
      <c r="IF6" s="789"/>
      <c r="IG6" s="789"/>
      <c r="IH6" s="789"/>
      <c r="II6" s="789"/>
      <c r="IJ6" s="789"/>
      <c r="IK6" s="789"/>
      <c r="IL6" s="789"/>
      <c r="IM6" s="789"/>
      <c r="IN6" s="789"/>
      <c r="IO6" s="1577"/>
      <c r="IP6" s="5592" t="s">
        <v>1185</v>
      </c>
      <c r="IQ6" s="5592"/>
      <c r="IR6" s="5592"/>
      <c r="IS6" s="5592"/>
      <c r="IT6" s="5592"/>
      <c r="IU6" s="5592"/>
      <c r="IV6" s="5592"/>
      <c r="IW6" s="1591" t="s">
        <v>1181</v>
      </c>
      <c r="IX6" s="1592">
        <f>VLOOKUP(IX5,$HL$102:$HM$175,2)</f>
        <v>42675</v>
      </c>
      <c r="IY6" s="1593" t="s">
        <v>1182</v>
      </c>
      <c r="IZ6" s="1592">
        <f>VLOOKUP(IZ5,$HL$102:$HM$175,2)</f>
        <v>44317</v>
      </c>
      <c r="JA6" s="1577"/>
      <c r="JB6" s="1577"/>
      <c r="JC6" s="1577"/>
      <c r="JD6" s="1464"/>
      <c r="JE6" s="789"/>
      <c r="JF6" s="5459" t="s">
        <v>1169</v>
      </c>
      <c r="JG6" s="5459"/>
      <c r="JH6" s="5459"/>
      <c r="JI6" s="5459"/>
      <c r="JJ6" s="5459"/>
      <c r="JK6" s="5459"/>
      <c r="JL6" s="5459"/>
      <c r="JM6" s="1489">
        <f>LOOKUP(JM7,$JQ$14:$JQ$109,$JR$14:$JR$109)</f>
        <v>41821</v>
      </c>
      <c r="JN6" s="1488" t="s">
        <v>308</v>
      </c>
      <c r="JO6" s="1489">
        <f>LOOKUP(JO7,$JQ$14:$JQ$109,$JR$14:$JR$109)</f>
        <v>44317</v>
      </c>
      <c r="JP6" s="652"/>
      <c r="JQ6" s="652"/>
      <c r="JR6" s="789"/>
      <c r="JS6" s="863"/>
      <c r="JT6" s="789"/>
      <c r="JU6" s="789"/>
      <c r="JV6" s="789"/>
      <c r="JW6" s="789"/>
      <c r="JX6" s="789"/>
      <c r="JY6" s="789"/>
      <c r="JZ6" s="789"/>
      <c r="KA6" s="789"/>
      <c r="KB6" s="878"/>
      <c r="KC6" s="879"/>
      <c r="KD6" s="879"/>
      <c r="KE6" s="879"/>
      <c r="KF6" s="879"/>
      <c r="KG6" s="879"/>
      <c r="KH6" s="754"/>
      <c r="KI6" s="5359" t="str">
        <f>CONCATENATE("Select the Date of Acquiring of"," ", KR3," "," Qualification")</f>
        <v>Select the Date of Acquiring of Ph.D  Qualification</v>
      </c>
      <c r="KJ6" s="5359"/>
      <c r="KK6" s="5359"/>
      <c r="KL6" s="5359"/>
      <c r="KM6" s="5359"/>
      <c r="KN6" s="5359"/>
      <c r="KO6" s="5359"/>
      <c r="KP6" s="5359"/>
      <c r="KQ6" s="5359"/>
      <c r="KR6" s="895">
        <v>16</v>
      </c>
      <c r="KS6" s="897">
        <f>LOOKUP(KT6,$JY$47:$JY$52,$JZ$47:$JZ$52)</f>
        <v>43678</v>
      </c>
      <c r="KT6" s="896">
        <v>2</v>
      </c>
      <c r="KU6" s="879"/>
      <c r="KV6" s="879"/>
      <c r="KW6" s="879"/>
      <c r="KX6" s="879"/>
      <c r="KY6" s="879"/>
      <c r="KZ6" s="879"/>
      <c r="LA6" s="879"/>
      <c r="LB6" s="879"/>
      <c r="LC6" s="5451" t="s">
        <v>867</v>
      </c>
      <c r="LD6" s="5451"/>
      <c r="LE6" s="5451"/>
      <c r="LF6" s="5451"/>
      <c r="LG6" s="5451"/>
      <c r="LH6" s="5451"/>
      <c r="LI6" s="5451"/>
      <c r="LJ6" s="5451"/>
      <c r="LK6" s="5451"/>
      <c r="LL6" s="5451"/>
      <c r="LM6" s="5451"/>
      <c r="LN6" s="923" t="str">
        <f>LOOKUP(LO6,$AA$14:$AA$19,$AB$14:$AB$19)</f>
        <v>Rs.68900-205500</v>
      </c>
      <c r="LO6" s="896">
        <f>LO5</f>
        <v>2</v>
      </c>
      <c r="LP6" s="879"/>
      <c r="LQ6" s="879"/>
      <c r="LR6" s="879"/>
      <c r="LS6" s="879"/>
      <c r="LT6" s="879"/>
      <c r="LU6" s="879"/>
      <c r="LV6" s="879"/>
      <c r="LW6" s="879"/>
      <c r="LX6" s="879"/>
      <c r="LY6" s="879"/>
      <c r="LZ6" s="879"/>
      <c r="MA6" s="879"/>
      <c r="MB6" s="879"/>
      <c r="MC6" s="879"/>
      <c r="MD6" s="879"/>
      <c r="ME6" s="879"/>
      <c r="MF6" s="879"/>
      <c r="MG6" s="879"/>
      <c r="MH6" s="879"/>
      <c r="MI6" s="879"/>
      <c r="MJ6" s="879"/>
      <c r="MK6" s="879"/>
      <c r="ML6" s="879"/>
      <c r="MM6" s="879"/>
      <c r="MN6" s="879"/>
      <c r="MO6" s="879"/>
      <c r="MP6" s="2563" t="s">
        <v>799</v>
      </c>
      <c r="MQ6" s="2566">
        <f>'Data Sheet-III '!X21</f>
        <v>0</v>
      </c>
      <c r="MR6" s="896"/>
      <c r="MS6" s="879"/>
      <c r="MT6" s="879"/>
      <c r="MU6" s="879"/>
      <c r="MV6" s="879"/>
      <c r="MW6" s="879"/>
      <c r="MX6" s="879"/>
      <c r="MY6" s="879"/>
      <c r="MZ6" s="879"/>
      <c r="NA6" s="879"/>
      <c r="NB6" s="879"/>
      <c r="NC6" s="879"/>
      <c r="ND6" s="879"/>
      <c r="NE6" s="879"/>
      <c r="NF6" s="879"/>
      <c r="NG6" s="5690" t="str">
        <f>IF(NQ3=1,"",VLOOKUP(NQ6,$NH$29:$NM$35,2))</f>
        <v/>
      </c>
      <c r="NH6" s="5690"/>
      <c r="NI6" s="5690"/>
      <c r="NJ6" s="5690"/>
      <c r="NK6" s="5690"/>
      <c r="NL6" s="5690"/>
      <c r="NM6" s="5690"/>
      <c r="NN6" s="5690"/>
      <c r="NO6" s="5690"/>
      <c r="NP6" s="1704">
        <f>'Data Sheet-III '!O22</f>
        <v>0</v>
      </c>
      <c r="NQ6" s="1695" t="str">
        <f>IF($NQ$3=1,"",IF($NQ$3=2,NH31,NH34))</f>
        <v/>
      </c>
      <c r="NR6" s="879"/>
      <c r="NS6" s="879"/>
      <c r="NT6" s="879"/>
      <c r="NU6" s="5687" t="s">
        <v>1275</v>
      </c>
      <c r="NV6" s="5687"/>
      <c r="NW6" s="5687"/>
      <c r="NX6" s="5687"/>
      <c r="NY6" s="5687"/>
      <c r="NZ6" s="5687"/>
      <c r="OA6" s="5687"/>
      <c r="OB6" s="1711">
        <v>1</v>
      </c>
      <c r="OC6" s="879"/>
      <c r="OD6" s="879"/>
      <c r="OE6" s="879"/>
      <c r="OF6" s="879"/>
      <c r="OG6" s="879"/>
      <c r="OH6" s="879"/>
      <c r="OI6" s="879"/>
      <c r="OJ6" s="879"/>
      <c r="OK6" s="879"/>
      <c r="OL6" s="879"/>
      <c r="OM6" s="879"/>
      <c r="ON6" s="879"/>
      <c r="OO6" s="879"/>
      <c r="OP6" s="879"/>
      <c r="OQ6" s="879"/>
      <c r="OR6" s="879"/>
      <c r="OS6" s="879"/>
      <c r="OT6" s="879"/>
      <c r="OU6" s="879"/>
      <c r="OV6" s="879"/>
      <c r="OW6" s="879"/>
      <c r="OX6" s="879"/>
      <c r="OY6" s="879"/>
      <c r="OZ6" s="879"/>
      <c r="PA6" s="879"/>
      <c r="PB6" s="879"/>
      <c r="PC6" s="879"/>
      <c r="PD6" s="879"/>
      <c r="PE6" s="879"/>
      <c r="PF6" s="879"/>
      <c r="PG6" s="879"/>
      <c r="PH6" s="879"/>
      <c r="PI6" s="879"/>
      <c r="PJ6" s="879"/>
      <c r="PK6" s="879"/>
      <c r="PL6" s="879"/>
      <c r="PM6" s="879"/>
      <c r="PN6" s="879"/>
      <c r="PO6" s="879"/>
      <c r="PP6" s="879"/>
      <c r="PQ6" s="879"/>
    </row>
    <row r="7" spans="1:433" ht="38.25" customHeight="1">
      <c r="A7" s="123"/>
      <c r="B7" s="8"/>
      <c r="C7" s="682"/>
      <c r="D7" s="682"/>
      <c r="E7" s="682"/>
      <c r="F7" s="682"/>
      <c r="G7" s="682"/>
      <c r="H7" s="682"/>
      <c r="I7" s="682"/>
      <c r="J7" s="682"/>
      <c r="K7" s="682"/>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7"/>
      <c r="AW7" s="1"/>
      <c r="AX7" s="5369" t="s">
        <v>826</v>
      </c>
      <c r="AY7" s="5370"/>
      <c r="AZ7" s="5370"/>
      <c r="BA7" s="5370"/>
      <c r="BB7" s="5370"/>
      <c r="BC7" s="5370"/>
      <c r="BD7" s="5370"/>
      <c r="BE7" s="5371"/>
      <c r="BF7" s="2128">
        <f>LOOKUP(BG7,$AA$39:$AA$78,$AB$39:$AB$78)</f>
        <v>84800</v>
      </c>
      <c r="BG7" s="626">
        <f>SUM(BG4+1)</f>
        <v>8</v>
      </c>
      <c r="BH7" s="1"/>
      <c r="BI7" s="1"/>
      <c r="BJ7" s="1"/>
      <c r="BK7" s="1"/>
      <c r="BL7" s="2156"/>
      <c r="BM7" s="2157"/>
      <c r="BN7" s="5462" t="str">
        <f>CONCATENATE("Select Your UGC-2016 Pay Scale as on  the Date of Acquiring of"," ", BV3," "," Qualification")</f>
        <v>Select Your UGC-2016 Pay Scale as on  the Date of Acquiring of Ph.D  Qualification</v>
      </c>
      <c r="BO7" s="5257"/>
      <c r="BP7" s="5257"/>
      <c r="BQ7" s="5257"/>
      <c r="BR7" s="5257"/>
      <c r="BS7" s="5257"/>
      <c r="BT7" s="5257"/>
      <c r="BU7" s="2158">
        <f>BW6</f>
        <v>45901</v>
      </c>
      <c r="BV7" s="2164" t="str">
        <f>LOOKUP(BW7,$AA$14:$AA$19,$AB$14:$AB$19)</f>
        <v>Rs.68900-205500</v>
      </c>
      <c r="BW7" s="626">
        <v>2</v>
      </c>
      <c r="BX7" s="707"/>
      <c r="BY7" s="1"/>
      <c r="BZ7" s="1"/>
      <c r="CA7" s="1"/>
      <c r="CB7" s="1"/>
      <c r="CC7" s="1"/>
      <c r="CD7" s="345"/>
      <c r="CE7" s="1"/>
      <c r="CF7" s="750"/>
      <c r="CG7" s="5556" t="s">
        <v>1411</v>
      </c>
      <c r="CH7" s="5557"/>
      <c r="CI7" s="5557"/>
      <c r="CJ7" s="5557"/>
      <c r="CK7" s="5557"/>
      <c r="CL7" s="5557"/>
      <c r="CM7" s="5557"/>
      <c r="CN7" s="5557"/>
      <c r="CO7" s="5557"/>
      <c r="CP7" s="5557"/>
      <c r="CQ7" s="5558"/>
      <c r="CR7" s="2223">
        <f>LOOKUP(CS7,$CF$39:$CF$78,$CG$39:$CG$78)</f>
        <v>98300</v>
      </c>
      <c r="CS7" s="2230">
        <v>13</v>
      </c>
      <c r="CT7" s="2211"/>
      <c r="CU7" s="750"/>
      <c r="CV7" s="1"/>
      <c r="CW7" s="1"/>
      <c r="CX7" s="1"/>
      <c r="CY7" s="1"/>
      <c r="CZ7" s="1"/>
      <c r="DA7" s="1"/>
      <c r="DB7" s="1"/>
      <c r="DC7" s="1"/>
      <c r="DD7" s="1"/>
      <c r="DE7" s="345"/>
      <c r="DF7" s="1"/>
      <c r="DG7" s="1"/>
      <c r="DH7" s="1"/>
      <c r="DI7" s="750"/>
      <c r="DJ7" s="5257" t="str">
        <f>CONCATENATE(" UGC-2016 Pay Scale as on  the Date of Acquiring of"," ", DS3," "," Qualification")</f>
        <v xml:space="preserve"> UGC-2016 Pay Scale as on  the Date of Acquiring of Ph.D  Qualification</v>
      </c>
      <c r="DK7" s="5257"/>
      <c r="DL7" s="5257"/>
      <c r="DM7" s="5257"/>
      <c r="DN7" s="5257"/>
      <c r="DO7" s="5257"/>
      <c r="DP7" s="5257"/>
      <c r="DQ7" s="5257"/>
      <c r="DR7" s="757">
        <f>DT6</f>
        <v>45717</v>
      </c>
      <c r="DS7" s="626" t="str">
        <f>LOOKUP(DT7,$AA$14:$AA$19,$AB$14:$AB$19)</f>
        <v>Rs.79800-211500</v>
      </c>
      <c r="DT7" s="2211">
        <f>CS9</f>
        <v>3</v>
      </c>
      <c r="DU7" s="1"/>
      <c r="DV7" s="1"/>
      <c r="DW7" s="1"/>
      <c r="DX7" s="1"/>
      <c r="DY7" s="1"/>
      <c r="DZ7" s="1"/>
      <c r="EA7" s="1"/>
      <c r="EB7" s="288"/>
      <c r="EC7" s="785"/>
      <c r="ED7" s="5413"/>
      <c r="EE7" s="5413"/>
      <c r="EF7" s="5413"/>
      <c r="EG7" s="5413"/>
      <c r="EH7" s="5413"/>
      <c r="EI7" s="5413"/>
      <c r="EJ7" s="757"/>
      <c r="EK7" s="626"/>
      <c r="EL7" s="785"/>
      <c r="EM7" s="785"/>
      <c r="EN7" s="765"/>
      <c r="EO7" s="785"/>
      <c r="EP7" s="785"/>
      <c r="EQ7" s="5257" t="s">
        <v>903</v>
      </c>
      <c r="ER7" s="5257"/>
      <c r="ES7" s="5257"/>
      <c r="ET7" s="5257"/>
      <c r="EU7" s="5257"/>
      <c r="EV7" s="730" t="str">
        <f>LOOKUP(EW7,EP13:EP14,EQ13:EQ14)</f>
        <v>Select</v>
      </c>
      <c r="EW7" s="586">
        <v>1</v>
      </c>
      <c r="EX7" s="785"/>
      <c r="EY7" s="785"/>
      <c r="EZ7" s="785"/>
      <c r="FA7" s="785"/>
      <c r="FB7" s="785"/>
      <c r="FC7" s="785"/>
      <c r="FD7" s="785"/>
      <c r="FE7" s="785"/>
      <c r="FF7" s="785"/>
      <c r="FG7" s="785"/>
      <c r="FH7" s="785"/>
      <c r="FI7" s="785"/>
      <c r="FJ7" s="785"/>
      <c r="FK7" s="785"/>
      <c r="FL7" s="785"/>
      <c r="FM7" s="785"/>
      <c r="FN7" s="785"/>
      <c r="FO7" s="785"/>
      <c r="FP7" s="785"/>
      <c r="FQ7" s="785"/>
      <c r="FR7" s="785"/>
      <c r="FS7" s="785"/>
      <c r="FT7" s="785"/>
      <c r="FU7" s="874"/>
      <c r="FV7" s="874"/>
      <c r="FW7" s="874"/>
      <c r="FX7" s="5419">
        <v>44896</v>
      </c>
      <c r="FY7" s="5419"/>
      <c r="FZ7" s="874"/>
      <c r="GA7" s="874"/>
      <c r="GB7" s="874"/>
      <c r="GC7" s="874"/>
      <c r="GD7" s="785"/>
      <c r="GE7" s="785"/>
      <c r="GF7" s="785"/>
      <c r="GG7" s="785"/>
      <c r="GH7" s="785"/>
      <c r="GI7" s="785"/>
      <c r="GJ7" s="785"/>
      <c r="GK7" s="785"/>
      <c r="GL7" s="785"/>
      <c r="GM7" s="785"/>
      <c r="GN7" s="785"/>
      <c r="GO7" s="785"/>
      <c r="GP7" s="785"/>
      <c r="GQ7" s="785"/>
      <c r="GR7" s="785"/>
      <c r="GS7" s="785"/>
      <c r="GT7" s="785"/>
      <c r="GU7" s="785"/>
      <c r="GV7" s="785"/>
      <c r="GW7" s="785"/>
      <c r="GX7" s="785"/>
      <c r="GY7" s="785"/>
      <c r="GZ7" s="1646"/>
      <c r="HA7" s="1646"/>
      <c r="HB7" s="1647"/>
      <c r="HC7" s="1648"/>
      <c r="HD7" s="1649"/>
      <c r="HE7" s="903"/>
      <c r="HF7" s="785"/>
      <c r="HG7" s="785"/>
      <c r="HH7" s="785"/>
      <c r="HI7" s="785"/>
      <c r="HJ7" s="785"/>
      <c r="HK7" s="876"/>
      <c r="HL7" s="785"/>
      <c r="HM7" s="785"/>
      <c r="HN7" s="785"/>
      <c r="HO7" s="785"/>
      <c r="HP7" s="785"/>
      <c r="HQ7" s="785"/>
      <c r="HR7" s="785"/>
      <c r="HS7" s="785"/>
      <c r="HT7" s="785"/>
      <c r="HU7" s="785"/>
      <c r="HV7" s="785"/>
      <c r="HW7" s="785"/>
      <c r="HX7" s="785"/>
      <c r="HY7" s="1572"/>
      <c r="HZ7" s="3005"/>
      <c r="IA7" s="3005"/>
      <c r="IB7" s="3005"/>
      <c r="IC7" s="3005"/>
      <c r="ID7" s="3005"/>
      <c r="IE7" s="3005"/>
      <c r="IF7" s="3005"/>
      <c r="IG7" s="902"/>
      <c r="IH7" s="902"/>
      <c r="II7" s="902"/>
      <c r="IJ7" s="1578"/>
      <c r="IK7" s="1578"/>
      <c r="IL7" s="1578"/>
      <c r="IM7" s="1578"/>
      <c r="IN7" s="1578"/>
      <c r="IO7" s="1582"/>
      <c r="IP7" s="903"/>
      <c r="IQ7" s="903"/>
      <c r="IR7" s="903"/>
      <c r="IS7" s="903"/>
      <c r="IT7" s="903"/>
      <c r="IU7" s="903"/>
      <c r="IV7" s="903"/>
      <c r="IW7" s="1594" t="s">
        <v>1186</v>
      </c>
      <c r="IX7" s="1594" t="s">
        <v>794</v>
      </c>
      <c r="IY7" s="1579" t="str">
        <f>IF($GE$3=1,"GPF","CSS")</f>
        <v>GPF</v>
      </c>
      <c r="IZ7" s="903"/>
      <c r="JA7" s="903"/>
      <c r="JB7" s="903"/>
      <c r="JC7" s="903"/>
      <c r="JD7" s="1464"/>
      <c r="JE7" s="785"/>
      <c r="JF7" s="785"/>
      <c r="JG7" s="785"/>
      <c r="JH7" s="785"/>
      <c r="JI7" s="785"/>
      <c r="JJ7" s="785"/>
      <c r="JK7" s="785"/>
      <c r="JL7" s="1469"/>
      <c r="JM7" s="1470">
        <v>5</v>
      </c>
      <c r="JN7" s="1470"/>
      <c r="JO7" s="1470">
        <v>87</v>
      </c>
      <c r="JP7" s="1472"/>
      <c r="JQ7" s="1472"/>
      <c r="JR7" s="785"/>
      <c r="JS7" s="863"/>
      <c r="JT7" s="785"/>
      <c r="JU7" s="785"/>
      <c r="JV7" s="785"/>
      <c r="JW7" s="785"/>
      <c r="JX7" s="785"/>
      <c r="JY7" s="785"/>
      <c r="JZ7" s="785"/>
      <c r="KA7" s="874"/>
      <c r="KB7" s="874"/>
      <c r="KC7" s="842"/>
      <c r="KD7" s="842"/>
      <c r="KE7" s="842"/>
      <c r="KF7" s="842"/>
      <c r="KG7" s="842"/>
      <c r="KH7" s="900"/>
      <c r="KI7" s="5462" t="str">
        <f>CONCATENATE("Select Your UGC-2016 Pay Scale as on  the Date of Acquiring of"," ", KR3," "," Qualification")</f>
        <v>Select Your UGC-2016 Pay Scale as on  the Date of Acquiring of Ph.D  Qualification</v>
      </c>
      <c r="KJ7" s="5257"/>
      <c r="KK7" s="5257"/>
      <c r="KL7" s="5257"/>
      <c r="KM7" s="5257"/>
      <c r="KN7" s="5257"/>
      <c r="KO7" s="5257"/>
      <c r="KP7" s="5257"/>
      <c r="KQ7" s="901">
        <f>KS6</f>
        <v>43678</v>
      </c>
      <c r="KR7" s="902" t="str">
        <f>LOOKUP(KS7,$AA$14:$AA$19,$AB$14:$AB$19)</f>
        <v>Rs.57700-182400</v>
      </c>
      <c r="KS7" s="898">
        <v>1</v>
      </c>
      <c r="KT7" s="903"/>
      <c r="KU7" s="842"/>
      <c r="KV7" s="842"/>
      <c r="KW7" s="842"/>
      <c r="KX7" s="842"/>
      <c r="KY7" s="842"/>
      <c r="KZ7" s="842"/>
      <c r="LA7" s="842"/>
      <c r="LB7" s="842"/>
      <c r="LC7" s="5460" t="s">
        <v>824</v>
      </c>
      <c r="LD7" s="5460"/>
      <c r="LE7" s="5460"/>
      <c r="LF7" s="5460"/>
      <c r="LG7" s="5460"/>
      <c r="LH7" s="5460"/>
      <c r="LI7" s="5460"/>
      <c r="LJ7" s="5460"/>
      <c r="LK7" s="5460"/>
      <c r="LL7" s="5460"/>
      <c r="LM7" s="5460"/>
      <c r="LN7" s="924">
        <f>VLOOKUP(LO7,$AA$14:$AC$19,3)</f>
        <v>11</v>
      </c>
      <c r="LO7" s="898">
        <f>LO6</f>
        <v>2</v>
      </c>
      <c r="LP7" s="842"/>
      <c r="LQ7" s="842"/>
      <c r="LR7" s="842"/>
      <c r="LS7" s="842"/>
      <c r="LT7" s="842"/>
      <c r="LU7" s="842"/>
      <c r="LV7" s="842"/>
      <c r="LW7" s="842"/>
      <c r="LX7" s="842"/>
      <c r="LY7" s="842"/>
      <c r="LZ7" s="842"/>
      <c r="MA7" s="842"/>
      <c r="MB7" s="842"/>
      <c r="MC7" s="842"/>
      <c r="MD7" s="842"/>
      <c r="ME7" s="842"/>
      <c r="MF7" s="842"/>
      <c r="MG7" s="842"/>
      <c r="MH7" s="842"/>
      <c r="MI7" s="842"/>
      <c r="MJ7" s="842"/>
      <c r="MK7" s="842"/>
      <c r="ML7" s="842"/>
      <c r="MM7" s="842"/>
      <c r="MN7" s="842"/>
      <c r="MO7" s="842"/>
      <c r="MP7" s="842"/>
      <c r="MQ7" s="842"/>
      <c r="MR7" s="842"/>
      <c r="MS7" s="842"/>
      <c r="MT7" s="842"/>
      <c r="MU7" s="842"/>
      <c r="MV7" s="842"/>
      <c r="MW7" s="842"/>
      <c r="MX7" s="842"/>
      <c r="MY7" s="842"/>
      <c r="MZ7" s="842"/>
      <c r="NA7" s="842"/>
      <c r="NB7" s="842"/>
      <c r="NC7" s="842"/>
      <c r="ND7" s="842"/>
      <c r="NE7" s="842"/>
      <c r="NF7" s="842"/>
      <c r="NG7" s="5709" t="str">
        <f>IFERROR(VLOOKUP(NQ7,$NH$29:$NM$35,2),"")</f>
        <v/>
      </c>
      <c r="NH7" s="5709"/>
      <c r="NI7" s="5709"/>
      <c r="NJ7" s="5709"/>
      <c r="NK7" s="5709"/>
      <c r="NL7" s="5709"/>
      <c r="NM7" s="5709"/>
      <c r="NN7" s="5709"/>
      <c r="NO7" s="5709"/>
      <c r="NP7" s="1705">
        <f>'Data Sheet-III '!O23</f>
        <v>0</v>
      </c>
      <c r="NQ7" s="1697" t="str">
        <f>IF(OR($NQ$3=1,$NQ$3=2),"",NH35)</f>
        <v/>
      </c>
      <c r="NR7" s="842"/>
      <c r="NS7" s="842"/>
      <c r="NT7" s="842"/>
      <c r="NU7" s="5688" t="str">
        <f>IF(OB6=1,"",VLOOKUP(OB6,$NW$34:$NZ$36,2))</f>
        <v/>
      </c>
      <c r="NV7" s="5688"/>
      <c r="NW7" s="5688"/>
      <c r="NX7" s="5688"/>
      <c r="NY7" s="5688"/>
      <c r="NZ7" s="5688"/>
      <c r="OA7" s="5688"/>
      <c r="OB7" s="1712">
        <f>LOOKUP(OB6,NW34:NW36,OA34:OA36)</f>
        <v>0</v>
      </c>
      <c r="OC7" s="842"/>
      <c r="OD7" s="842"/>
      <c r="OE7" s="842"/>
      <c r="OF7" s="842"/>
      <c r="OG7" s="842"/>
      <c r="OH7" s="842"/>
      <c r="OI7" s="842"/>
      <c r="OJ7" s="842"/>
      <c r="OK7" s="842"/>
      <c r="OL7" s="842"/>
      <c r="OM7" s="842"/>
      <c r="ON7" s="842"/>
      <c r="OO7" s="842"/>
      <c r="OP7" s="842"/>
      <c r="OQ7" s="842"/>
      <c r="OR7" s="842"/>
      <c r="OS7" s="842"/>
      <c r="OT7" s="842"/>
      <c r="OU7" s="842"/>
      <c r="OV7" s="842"/>
      <c r="OW7" s="842"/>
      <c r="OX7" s="842"/>
      <c r="OY7" s="842"/>
      <c r="OZ7" s="842"/>
      <c r="PA7" s="842"/>
      <c r="PB7" s="842"/>
      <c r="PC7" s="842"/>
      <c r="PD7" s="842"/>
      <c r="PE7" s="842"/>
      <c r="PF7" s="842"/>
      <c r="PG7" s="842"/>
      <c r="PH7" s="842"/>
      <c r="PI7" s="842"/>
      <c r="PJ7" s="842"/>
      <c r="PK7" s="842"/>
      <c r="PL7" s="842"/>
      <c r="PM7" s="842"/>
      <c r="PN7" s="842"/>
      <c r="PO7" s="842"/>
      <c r="PP7" s="842"/>
      <c r="PQ7" s="842"/>
    </row>
    <row r="8" spans="1:433" ht="39" customHeight="1">
      <c r="A8" s="123"/>
      <c r="B8" s="8"/>
      <c r="C8" s="688"/>
      <c r="D8" s="688"/>
      <c r="E8" s="688"/>
      <c r="F8" s="688"/>
      <c r="G8" s="688"/>
      <c r="H8" s="688"/>
      <c r="I8" s="688"/>
      <c r="J8" s="688"/>
      <c r="K8" s="688"/>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7"/>
      <c r="AW8" s="46"/>
      <c r="AX8" s="5372" t="s">
        <v>839</v>
      </c>
      <c r="AY8" s="5373"/>
      <c r="AZ8" s="5373"/>
      <c r="BA8" s="5373"/>
      <c r="BB8" s="5373"/>
      <c r="BC8" s="5373"/>
      <c r="BD8" s="5373"/>
      <c r="BE8" s="5374"/>
      <c r="BF8" s="2124" t="str">
        <f>LOOKUP(BG8,$AE$14:$AE$15,$AG$14:$AG$15)</f>
        <v>No</v>
      </c>
      <c r="BG8" s="700">
        <v>1</v>
      </c>
      <c r="BH8" s="46"/>
      <c r="BI8" s="1"/>
      <c r="BJ8" s="46"/>
      <c r="BK8" s="46"/>
      <c r="BL8" s="2159"/>
      <c r="BM8" s="5401" t="s">
        <v>846</v>
      </c>
      <c r="BN8" s="5401"/>
      <c r="BO8" s="5401"/>
      <c r="BP8" s="5401"/>
      <c r="BQ8" s="5401"/>
      <c r="BR8" s="5401"/>
      <c r="BS8" s="5401"/>
      <c r="BT8" s="5401"/>
      <c r="BU8" s="5560"/>
      <c r="BV8" s="2124">
        <f>VLOOKUP(BW8,$AA$14:$AC$19,3)</f>
        <v>11</v>
      </c>
      <c r="BW8" s="700">
        <f>BW7</f>
        <v>2</v>
      </c>
      <c r="BX8" s="46"/>
      <c r="BY8" s="46"/>
      <c r="BZ8" s="46"/>
      <c r="CA8" s="46"/>
      <c r="CB8" s="46"/>
      <c r="CC8" s="46"/>
      <c r="CD8" s="345"/>
      <c r="CE8" s="46"/>
      <c r="CF8" s="755"/>
      <c r="CG8" s="5387" t="s">
        <v>1405</v>
      </c>
      <c r="CH8" s="5388"/>
      <c r="CI8" s="5388"/>
      <c r="CJ8" s="5388"/>
      <c r="CK8" s="5388"/>
      <c r="CL8" s="5388"/>
      <c r="CM8" s="5388"/>
      <c r="CN8" s="5388"/>
      <c r="CO8" s="5388"/>
      <c r="CP8" s="5388"/>
      <c r="CQ8" s="5389"/>
      <c r="CR8" s="2224">
        <f>CM97</f>
        <v>45658</v>
      </c>
      <c r="CS8" s="2202"/>
      <c r="CT8" s="847"/>
      <c r="CU8" s="755"/>
      <c r="CV8" s="46"/>
      <c r="CW8" s="46"/>
      <c r="CX8" s="46"/>
      <c r="CY8" s="46"/>
      <c r="CZ8" s="46"/>
      <c r="DA8" s="46"/>
      <c r="DB8" s="46"/>
      <c r="DC8" s="46"/>
      <c r="DD8" s="46"/>
      <c r="DE8" s="345"/>
      <c r="DF8" s="46"/>
      <c r="DG8" s="46"/>
      <c r="DH8" s="46"/>
      <c r="DI8" s="755"/>
      <c r="DJ8" s="5401" t="s">
        <v>846</v>
      </c>
      <c r="DK8" s="5401"/>
      <c r="DL8" s="5401"/>
      <c r="DM8" s="5401"/>
      <c r="DN8" s="5401"/>
      <c r="DO8" s="5401"/>
      <c r="DP8" s="5401"/>
      <c r="DQ8" s="5401"/>
      <c r="DR8" s="5401"/>
      <c r="DS8" s="1115">
        <f>VLOOKUP(DT8,$AA$14:$AC$19,3)</f>
        <v>12</v>
      </c>
      <c r="DT8" s="700">
        <f>DT7</f>
        <v>3</v>
      </c>
      <c r="DU8" s="46"/>
      <c r="DV8" s="46"/>
      <c r="DW8" s="46"/>
      <c r="DX8" s="46"/>
      <c r="DY8" s="46"/>
      <c r="DZ8" s="46"/>
      <c r="EA8" s="46"/>
      <c r="EB8" s="288"/>
      <c r="EC8" s="763"/>
      <c r="ED8" s="763"/>
      <c r="EE8" s="763"/>
      <c r="EF8" s="763"/>
      <c r="EG8" s="763"/>
      <c r="EH8" s="5401"/>
      <c r="EI8" s="5401"/>
      <c r="EJ8" s="794"/>
      <c r="EK8" s="1917"/>
      <c r="EL8" s="1918"/>
      <c r="EM8" s="763"/>
      <c r="EN8" s="765"/>
      <c r="EO8" s="763"/>
      <c r="EP8" s="763"/>
      <c r="EQ8" s="3747"/>
      <c r="ER8" s="5408" t="s">
        <v>1744</v>
      </c>
      <c r="ES8" s="5408"/>
      <c r="ET8" s="5408"/>
      <c r="EU8" s="5408"/>
      <c r="EV8" s="730"/>
      <c r="EW8" s="700"/>
      <c r="EX8" s="763"/>
      <c r="EY8" s="763"/>
      <c r="EZ8" s="763"/>
      <c r="FA8" s="763"/>
      <c r="FB8" s="763"/>
      <c r="FC8" s="763"/>
      <c r="FD8" s="763"/>
      <c r="FE8" s="763"/>
      <c r="FF8" s="763"/>
      <c r="FG8" s="763"/>
      <c r="FH8" s="763"/>
      <c r="FI8" s="763"/>
      <c r="FJ8" s="763"/>
      <c r="FK8" s="763"/>
      <c r="FL8" s="763"/>
      <c r="FM8" s="763"/>
      <c r="FN8" s="763"/>
      <c r="FO8" s="763"/>
      <c r="FP8" s="763"/>
      <c r="FQ8" s="1115" t="str">
        <f>LOOKUP(FR8,$GH$12:$GH$15,$GI$12:$GI$15)</f>
        <v>Sri.</v>
      </c>
      <c r="FR8" s="700">
        <v>1</v>
      </c>
      <c r="FS8" s="763"/>
      <c r="FT8" s="763"/>
      <c r="FU8" s="763"/>
      <c r="FV8" s="763"/>
      <c r="FW8" s="763"/>
      <c r="FX8" s="5424" t="s">
        <v>920</v>
      </c>
      <c r="FY8" s="5424"/>
      <c r="FZ8" s="764"/>
      <c r="GA8" s="763"/>
      <c r="GB8" s="763"/>
      <c r="GC8" s="5421"/>
      <c r="GD8" s="5422"/>
      <c r="GE8" s="5423"/>
      <c r="GF8" s="763"/>
      <c r="GG8" s="763"/>
      <c r="GH8" s="763"/>
      <c r="GI8" s="763"/>
      <c r="GJ8" s="763"/>
      <c r="GK8" s="763"/>
      <c r="GL8" s="763"/>
      <c r="GM8" s="763"/>
      <c r="GN8" s="763"/>
      <c r="GO8" s="763"/>
      <c r="GP8" s="763"/>
      <c r="GQ8" s="763"/>
      <c r="GR8" s="763"/>
      <c r="GS8" s="5420"/>
      <c r="GT8" s="5420"/>
      <c r="GU8" s="5420"/>
      <c r="GV8" s="5420"/>
      <c r="GW8" s="5420"/>
      <c r="GX8" s="5420"/>
      <c r="GY8" s="5420"/>
      <c r="GZ8" s="1115"/>
      <c r="HA8" s="1115"/>
      <c r="HB8" s="1115"/>
      <c r="HC8" s="1115"/>
      <c r="HD8" s="1115"/>
      <c r="HE8" s="763"/>
      <c r="HF8" s="763"/>
      <c r="HG8" s="763"/>
      <c r="HH8" s="763"/>
      <c r="HI8" s="763"/>
      <c r="HJ8" s="763"/>
      <c r="HK8" s="876"/>
      <c r="HL8" s="763"/>
      <c r="HM8" s="763"/>
      <c r="HN8" s="763"/>
      <c r="HO8" s="763"/>
      <c r="HP8" s="763"/>
      <c r="HQ8" s="763"/>
      <c r="HR8" s="763"/>
      <c r="HS8" s="3002"/>
      <c r="HT8" s="3002"/>
      <c r="HU8" s="908"/>
      <c r="HV8" s="763"/>
      <c r="HW8" s="763"/>
      <c r="HX8" s="763"/>
      <c r="HY8" s="1572"/>
      <c r="HZ8" s="763"/>
      <c r="IA8" s="763"/>
      <c r="IB8" s="763"/>
      <c r="IC8" s="763"/>
      <c r="ID8" s="763"/>
      <c r="IE8" s="845"/>
      <c r="IF8" s="845"/>
      <c r="IG8" s="3002"/>
      <c r="IH8" s="3002"/>
      <c r="II8" s="908"/>
      <c r="IJ8" s="845"/>
      <c r="IK8" s="845"/>
      <c r="IL8" s="845"/>
      <c r="IM8" s="845"/>
      <c r="IN8" s="845"/>
      <c r="IO8" s="1576"/>
      <c r="IP8" s="5599" t="str">
        <f>CONCATENATE("Previous Financial Years  Pay Fixation(Both Fitment &amp; 7th CPC) Arrears  for the Period From","  ",   IX22," ",  "To", "  ",  JA22)</f>
        <v>Previous Financial Years  Pay Fixation(Both Fitment &amp; 7th CPC) Arrears  for the Period From  Nov-16 To  Jun-19</v>
      </c>
      <c r="IQ8" s="5599"/>
      <c r="IR8" s="5599"/>
      <c r="IS8" s="5599"/>
      <c r="IT8" s="5599"/>
      <c r="IU8" s="5599"/>
      <c r="IV8" s="5600"/>
      <c r="IW8" s="1580">
        <f>IF($IX$4=2,'Data Sheet-II'!X173,0)</f>
        <v>0</v>
      </c>
      <c r="IX8" s="1580">
        <f>IF($IX$4=2,'Data Sheet-II'!Z173,0)</f>
        <v>0</v>
      </c>
      <c r="IY8" s="1580">
        <f>IF($IX$4=2,'Data Sheet-II'!AB173,0)</f>
        <v>0</v>
      </c>
      <c r="IZ8" s="845"/>
      <c r="JA8" s="845"/>
      <c r="JB8" s="845"/>
      <c r="JC8" s="845"/>
      <c r="JD8" s="1464"/>
      <c r="JE8" s="763"/>
      <c r="JF8" s="763"/>
      <c r="JG8" s="763"/>
      <c r="JH8" s="763"/>
      <c r="JI8" s="763"/>
      <c r="JJ8" s="763"/>
      <c r="JK8" s="763"/>
      <c r="JL8" s="1476"/>
      <c r="JM8" s="1486" t="s">
        <v>1170</v>
      </c>
      <c r="JN8" s="1486" t="s">
        <v>794</v>
      </c>
      <c r="JO8" s="1487" t="str">
        <f>IF($GE$3=1,"","CPS")</f>
        <v/>
      </c>
      <c r="JP8" s="845"/>
      <c r="JQ8" s="845"/>
      <c r="JR8" s="763"/>
      <c r="JS8" s="863"/>
      <c r="JT8" s="763"/>
      <c r="JU8" s="763"/>
      <c r="JV8" s="763"/>
      <c r="JW8" s="763"/>
      <c r="JX8" s="763"/>
      <c r="JY8" s="763"/>
      <c r="JZ8" s="845"/>
      <c r="KA8" s="763"/>
      <c r="KB8" s="845"/>
      <c r="KC8" s="880"/>
      <c r="KD8" s="880"/>
      <c r="KE8" s="880"/>
      <c r="KF8" s="880"/>
      <c r="KG8" s="880"/>
      <c r="KH8" s="904"/>
      <c r="KI8" s="5452" t="s">
        <v>846</v>
      </c>
      <c r="KJ8" s="5452"/>
      <c r="KK8" s="5452"/>
      <c r="KL8" s="5452"/>
      <c r="KM8" s="5452"/>
      <c r="KN8" s="5452"/>
      <c r="KO8" s="5452"/>
      <c r="KP8" s="5452"/>
      <c r="KQ8" s="5452"/>
      <c r="KR8" s="908">
        <f>VLOOKUP(KS8,$AA$14:$AC$19,3)</f>
        <v>10</v>
      </c>
      <c r="KS8" s="899">
        <f>KS7</f>
        <v>1</v>
      </c>
      <c r="KT8" s="880"/>
      <c r="KU8" s="880"/>
      <c r="KV8" s="880"/>
      <c r="KW8" s="880"/>
      <c r="KX8" s="880"/>
      <c r="KY8" s="880"/>
      <c r="KZ8" s="880"/>
      <c r="LA8" s="880"/>
      <c r="LB8" s="880"/>
      <c r="LC8" s="763"/>
      <c r="LD8" s="763"/>
      <c r="LE8" s="763"/>
      <c r="LF8" s="763"/>
      <c r="LG8" s="763"/>
      <c r="LH8" s="763"/>
      <c r="LI8" s="763"/>
      <c r="LJ8" s="763"/>
      <c r="LK8" s="763"/>
      <c r="LL8" s="845"/>
      <c r="LM8" s="846"/>
      <c r="LN8" s="916" t="s">
        <v>623</v>
      </c>
      <c r="LO8" s="916" t="s">
        <v>182</v>
      </c>
      <c r="LP8" s="880"/>
      <c r="LQ8" s="880"/>
      <c r="LR8" s="880"/>
      <c r="LS8" s="880"/>
      <c r="LT8" s="880"/>
      <c r="LU8" s="880"/>
      <c r="LV8" s="880"/>
      <c r="LW8" s="880"/>
      <c r="LX8" s="880"/>
      <c r="LY8" s="880"/>
      <c r="LZ8" s="880"/>
      <c r="MA8" s="880"/>
      <c r="MP8" s="9"/>
      <c r="NG8" s="5670" t="s">
        <v>1270</v>
      </c>
      <c r="NH8" s="5670"/>
      <c r="NI8" s="5670"/>
      <c r="NJ8" s="5670"/>
      <c r="NK8" s="5670"/>
      <c r="NL8" s="5670"/>
      <c r="NM8" s="5670"/>
      <c r="NN8" s="5670"/>
      <c r="NO8" s="5670"/>
      <c r="NP8" s="1696" t="str">
        <f>LOOKUP(NQ8,$NI$19:$NI$21,$NJ$19:$NJ$21)</f>
        <v>No</v>
      </c>
      <c r="NQ8" s="1698">
        <v>2</v>
      </c>
    </row>
    <row r="9" spans="1:433" ht="38.25" customHeight="1">
      <c r="A9" s="123"/>
      <c r="B9" s="8"/>
      <c r="C9" s="685"/>
      <c r="D9" s="685"/>
      <c r="E9" s="685"/>
      <c r="F9" s="685"/>
      <c r="G9" s="685"/>
      <c r="H9" s="685"/>
      <c r="I9" s="685"/>
      <c r="J9" s="685"/>
      <c r="K9" s="685"/>
      <c r="L9" s="287"/>
      <c r="M9" s="287"/>
      <c r="N9" s="287"/>
      <c r="O9" s="287"/>
      <c r="P9" s="287"/>
      <c r="Q9" s="287"/>
      <c r="R9" s="287"/>
      <c r="S9" s="287"/>
      <c r="T9" s="287"/>
      <c r="U9" s="287"/>
      <c r="V9" s="287"/>
      <c r="W9" s="287"/>
      <c r="X9" s="287"/>
      <c r="Y9" s="287"/>
      <c r="Z9" s="287"/>
      <c r="AA9" s="287"/>
      <c r="AB9" s="287"/>
      <c r="AC9" s="287"/>
      <c r="AD9" s="287"/>
      <c r="AE9" s="287"/>
      <c r="AF9" s="287"/>
      <c r="AG9" s="287"/>
      <c r="AH9" s="287"/>
      <c r="AI9" s="287"/>
      <c r="AJ9" s="287"/>
      <c r="AK9" s="287"/>
      <c r="AL9" s="287"/>
      <c r="AM9" s="287"/>
      <c r="AN9" s="287"/>
      <c r="AO9" s="287"/>
      <c r="AP9" s="287"/>
      <c r="AQ9" s="287"/>
      <c r="AR9" s="287"/>
      <c r="AS9" s="287"/>
      <c r="AT9" s="287"/>
      <c r="AU9" s="287"/>
      <c r="AV9" s="7"/>
      <c r="AW9" s="287"/>
      <c r="AX9" s="5375" t="s">
        <v>840</v>
      </c>
      <c r="AY9" s="5376"/>
      <c r="AZ9" s="5376"/>
      <c r="BA9" s="5376"/>
      <c r="BB9" s="5376"/>
      <c r="BC9" s="5376"/>
      <c r="BD9" s="5376"/>
      <c r="BE9" s="5377"/>
      <c r="BF9" s="2125">
        <f>LOOKUP(BG9,$BC$47:$BC$58,$BD$47:$BD$58)</f>
        <v>45870</v>
      </c>
      <c r="BG9" s="742">
        <v>6</v>
      </c>
      <c r="BH9" s="287"/>
      <c r="BI9" s="1"/>
      <c r="BJ9" s="287"/>
      <c r="BK9" s="287"/>
      <c r="BL9" s="2154"/>
      <c r="BM9" s="5759" t="str">
        <f>CONCATENATE("Select Basic Pay as on the Date of Aquiring of","  ", BV3," "," Qualification")</f>
        <v>Select Basic Pay as on the Date of Aquiring of  Ph.D  Qualification</v>
      </c>
      <c r="BN9" s="5759"/>
      <c r="BO9" s="5759"/>
      <c r="BP9" s="5759"/>
      <c r="BQ9" s="5759"/>
      <c r="BR9" s="5759"/>
      <c r="BS9" s="5759"/>
      <c r="BT9" s="5759"/>
      <c r="BU9" s="2160">
        <f>BW6</f>
        <v>45901</v>
      </c>
      <c r="BV9" s="2165">
        <f>LOOKUP(BW9,$F$1376:$F$1415,$G$1376:$G$1415)</f>
        <v>98300</v>
      </c>
      <c r="BW9" s="848">
        <v>13</v>
      </c>
      <c r="BX9" s="287"/>
      <c r="BY9" s="287"/>
      <c r="BZ9" s="287"/>
      <c r="CA9" s="287"/>
      <c r="CB9" s="287"/>
      <c r="CC9" s="287"/>
      <c r="CD9" s="345"/>
      <c r="CE9" s="287"/>
      <c r="CF9" s="753"/>
      <c r="CG9" s="5397" t="s">
        <v>967</v>
      </c>
      <c r="CH9" s="5376"/>
      <c r="CI9" s="5376"/>
      <c r="CJ9" s="5376"/>
      <c r="CK9" s="5376"/>
      <c r="CL9" s="5376"/>
      <c r="CM9" s="5376"/>
      <c r="CN9" s="5376"/>
      <c r="CO9" s="5376"/>
      <c r="CP9" s="5376"/>
      <c r="CQ9" s="5576"/>
      <c r="CR9" s="2225" t="str">
        <f>LOOKUP(CS9,$AA$23:$AA$28,$AB$23:$AB$28)</f>
        <v>Level-11 to Level-12</v>
      </c>
      <c r="CS9" s="2229">
        <v>3</v>
      </c>
      <c r="CT9" s="2197"/>
      <c r="CU9" s="753"/>
      <c r="CV9" s="287"/>
      <c r="CW9" s="287"/>
      <c r="CX9" s="287"/>
      <c r="CY9" s="287"/>
      <c r="CZ9" s="287"/>
      <c r="DA9" s="287"/>
      <c r="DB9" s="287"/>
      <c r="DC9" s="287"/>
      <c r="DD9" s="287"/>
      <c r="DE9" s="345"/>
      <c r="DF9" s="287"/>
      <c r="DG9" s="287"/>
      <c r="DH9" s="287"/>
      <c r="DI9" s="5376" t="str">
        <f>CONCATENATE("Select Basic Pay as on the Date of Aquiring of","  ", DS3," "," Qualification")</f>
        <v>Select Basic Pay as on the Date of Aquiring of  Ph.D  Qualification</v>
      </c>
      <c r="DJ9" s="5376"/>
      <c r="DK9" s="5376"/>
      <c r="DL9" s="5376"/>
      <c r="DM9" s="5376"/>
      <c r="DN9" s="5376"/>
      <c r="DO9" s="5376"/>
      <c r="DP9" s="5376"/>
      <c r="DQ9" s="5376"/>
      <c r="DR9" s="758">
        <f>DT6</f>
        <v>45717</v>
      </c>
      <c r="DS9" s="3044">
        <f ca="1">LOOKUP(DT9,$J$1376:$J$1415,$K$1376:$K$1416)</f>
        <v>101100</v>
      </c>
      <c r="DT9" s="3043">
        <v>9</v>
      </c>
      <c r="DU9" s="287"/>
      <c r="DV9" s="287"/>
      <c r="DW9" s="287"/>
      <c r="DX9" s="287"/>
      <c r="DY9" s="287"/>
      <c r="DZ9" s="287"/>
      <c r="EA9" s="287"/>
      <c r="EB9" s="288"/>
      <c r="EC9" s="788"/>
      <c r="ED9" s="788"/>
      <c r="EE9" s="788"/>
      <c r="EF9" s="788"/>
      <c r="EG9" s="788"/>
      <c r="EH9" s="788"/>
      <c r="EI9" s="788"/>
      <c r="EJ9" s="788"/>
      <c r="EK9" s="788"/>
      <c r="EL9" s="788"/>
      <c r="EM9" s="788"/>
      <c r="EN9" s="765"/>
      <c r="EO9" s="788"/>
      <c r="EP9" s="788"/>
      <c r="EQ9" s="3746"/>
      <c r="ER9" s="3749">
        <v>1</v>
      </c>
      <c r="ES9" s="3749" t="str">
        <f>LOOKUP(ER9,$AE$14:$AE$15,$AG$14:$AG$15)</f>
        <v>No</v>
      </c>
      <c r="ET9" s="3749">
        <f>'Data Sheet-II'!Y74</f>
        <v>0</v>
      </c>
      <c r="EU9" s="3748">
        <f>LOOKUP(EV9,$BC$47:$BC$58,$BD$47:$BD$58)</f>
        <v>45870</v>
      </c>
      <c r="EV9" s="730">
        <v>6</v>
      </c>
      <c r="EW9" s="761"/>
      <c r="EX9" s="788"/>
      <c r="EY9" s="788"/>
      <c r="EZ9" s="788"/>
      <c r="FA9" s="788"/>
      <c r="FB9" s="788"/>
      <c r="FC9" s="788"/>
      <c r="FD9" s="788"/>
      <c r="FE9" s="788"/>
      <c r="FF9" s="788"/>
      <c r="FG9" s="788"/>
      <c r="FH9" s="788"/>
      <c r="FI9" s="788"/>
      <c r="FJ9" s="788"/>
      <c r="FK9" s="788"/>
      <c r="FL9" s="788"/>
      <c r="FM9" s="788"/>
      <c r="FN9" s="788"/>
      <c r="FO9" s="788"/>
      <c r="FP9" s="788"/>
      <c r="FQ9" s="1114" t="str">
        <f>LOOKUP(FR8,$GH$12:$GH$15,$GI$12:$GI$15)</f>
        <v>Sri.</v>
      </c>
      <c r="FR9" s="770">
        <v>4</v>
      </c>
      <c r="FS9" s="788"/>
      <c r="FT9" s="788"/>
      <c r="FU9" s="788"/>
      <c r="FV9" s="788"/>
      <c r="FW9" s="788"/>
      <c r="FX9" s="2314" t="s">
        <v>921</v>
      </c>
      <c r="FY9" s="2314">
        <f>VLOOKUP(FZ9,$FX$21:$FZ$23,3)</f>
        <v>0</v>
      </c>
      <c r="FZ9" s="761">
        <v>1</v>
      </c>
      <c r="GA9" s="788"/>
      <c r="GB9" s="788"/>
      <c r="GC9" s="809"/>
      <c r="GD9" s="810" t="str">
        <f>LOOKUP(GE9,$GC$18:$GC$20,$GD$18:$GD$20)</f>
        <v>Let Out</v>
      </c>
      <c r="GE9" s="811">
        <v>2</v>
      </c>
      <c r="GF9" s="788"/>
      <c r="GG9" s="788"/>
      <c r="GH9" s="5441"/>
      <c r="GI9" s="5441"/>
      <c r="GJ9" s="5441"/>
      <c r="GK9" s="5441"/>
      <c r="GL9" s="5441"/>
      <c r="GM9" s="5441"/>
      <c r="GN9" s="5441"/>
      <c r="GO9" s="788"/>
      <c r="GP9" s="788"/>
      <c r="GQ9" s="788"/>
      <c r="GR9" s="788"/>
      <c r="GS9" s="788"/>
      <c r="GT9" s="788"/>
      <c r="GU9" s="788"/>
      <c r="GV9" s="788"/>
      <c r="GW9" s="788"/>
      <c r="GX9" s="788"/>
      <c r="GY9" s="788"/>
      <c r="GZ9" s="788"/>
      <c r="HA9" s="788"/>
      <c r="HB9" s="788"/>
      <c r="HC9" s="788"/>
      <c r="HD9" s="788"/>
      <c r="HE9" s="788"/>
      <c r="HF9" s="788"/>
      <c r="HG9" s="788"/>
      <c r="HH9" s="788"/>
      <c r="HI9" s="788"/>
      <c r="HJ9" s="788"/>
      <c r="HK9" s="876"/>
      <c r="HL9" s="3013"/>
      <c r="HM9" s="3013"/>
      <c r="HN9" s="3013"/>
      <c r="HO9" s="3013"/>
      <c r="HP9" s="3013"/>
      <c r="HQ9" s="3013"/>
      <c r="HR9" s="3013"/>
      <c r="HS9" s="1587"/>
      <c r="HT9" s="1587"/>
      <c r="HU9" s="1587"/>
      <c r="HV9" s="1568"/>
      <c r="HW9" s="1568"/>
      <c r="HX9" s="1568"/>
      <c r="HY9" s="1575"/>
      <c r="HZ9" s="5588"/>
      <c r="IA9" s="5588"/>
      <c r="IB9" s="5588"/>
      <c r="IC9" s="5588"/>
      <c r="ID9" s="5588"/>
      <c r="IE9" s="5588"/>
      <c r="IF9" s="5588"/>
      <c r="IG9" s="1587"/>
      <c r="IH9" s="1587"/>
      <c r="II9" s="1587"/>
      <c r="IJ9" s="1568"/>
      <c r="IK9" s="1568"/>
      <c r="IL9" s="1568"/>
      <c r="IM9" s="1568"/>
      <c r="IN9" s="1568"/>
      <c r="IO9" s="1577"/>
      <c r="IP9" s="1562"/>
      <c r="IQ9" s="1562"/>
      <c r="IR9" s="1562"/>
      <c r="IS9" s="1562"/>
      <c r="IT9" s="1562"/>
      <c r="IU9" s="1562"/>
      <c r="IV9" s="1562"/>
      <c r="IW9" s="1597" t="s">
        <v>1186</v>
      </c>
      <c r="IX9" s="1597" t="s">
        <v>794</v>
      </c>
      <c r="IY9" s="1473" t="str">
        <f>IF($GE$3=1,"","CPS")</f>
        <v/>
      </c>
      <c r="IZ9" s="1562"/>
      <c r="JA9" s="1568"/>
      <c r="JB9" s="1568"/>
      <c r="JC9" s="1568"/>
      <c r="JD9" s="1464"/>
      <c r="JE9" s="788"/>
      <c r="JF9" s="5464" t="str">
        <f>CONCATENATE("Previous Financial Year  Pay fixation Arrears on Account of Preponement of  Date of  Award of CAS for the Period From","  ",   JG22," ",  "To", "  ",  JJ22)</f>
        <v>Previous Financial Year  Pay fixation Arrears on Account of Preponement of  Date of  Award of CAS for the Period From  Jul-14 To  Feb-21</v>
      </c>
      <c r="JG9" s="5464"/>
      <c r="JH9" s="5464"/>
      <c r="JI9" s="5464"/>
      <c r="JJ9" s="5464"/>
      <c r="JK9" s="5464"/>
      <c r="JL9" s="5465"/>
      <c r="JM9" s="1471">
        <f>'Data Sheet-II'!X182</f>
        <v>0</v>
      </c>
      <c r="JN9" s="1471">
        <f>'Data Sheet-II'!Z182</f>
        <v>0</v>
      </c>
      <c r="JO9" s="1471">
        <f>'Data Sheet-II'!AB182</f>
        <v>0</v>
      </c>
      <c r="JP9" s="876"/>
      <c r="JQ9" s="876"/>
      <c r="JR9" s="788"/>
      <c r="JS9" s="863"/>
      <c r="JT9" s="788"/>
      <c r="JU9" s="788"/>
      <c r="JV9" s="788"/>
      <c r="JW9" s="788"/>
      <c r="JX9" s="788"/>
      <c r="JY9" s="788"/>
      <c r="JZ9" s="788"/>
      <c r="KA9" s="876"/>
      <c r="KB9" s="876"/>
      <c r="KC9" s="877"/>
      <c r="KD9" s="877"/>
      <c r="KE9" s="877"/>
      <c r="KF9" s="877"/>
      <c r="KG9" s="877"/>
      <c r="KH9" s="753"/>
      <c r="KI9" s="753"/>
      <c r="KJ9" s="753"/>
      <c r="KK9" s="905"/>
      <c r="KL9" s="753"/>
      <c r="KM9" s="5457" t="s">
        <v>847</v>
      </c>
      <c r="KN9" s="5457"/>
      <c r="KO9" s="5457"/>
      <c r="KP9" s="5457"/>
      <c r="KQ9" s="906">
        <f>KS6</f>
        <v>43678</v>
      </c>
      <c r="KR9" s="907">
        <f>LOOKUP(KQ9,$JZ$47:$JZ$52,$KA$47:$KA$52)</f>
        <v>79800</v>
      </c>
      <c r="KS9" s="893"/>
      <c r="KT9" s="877"/>
      <c r="KU9" s="877"/>
      <c r="KV9" s="877"/>
      <c r="KW9" s="877"/>
      <c r="KX9" s="877"/>
      <c r="KY9" s="877"/>
      <c r="KZ9" s="877"/>
      <c r="LA9" s="877"/>
      <c r="LB9" s="877"/>
      <c r="LC9" s="5453" t="s">
        <v>869</v>
      </c>
      <c r="LD9" s="5453"/>
      <c r="LE9" s="5453"/>
      <c r="LF9" s="5453"/>
      <c r="LG9" s="5453"/>
      <c r="LH9" s="5453"/>
      <c r="LI9" s="5453"/>
      <c r="LJ9" s="5453"/>
      <c r="LK9" s="5453"/>
      <c r="LL9" s="5453"/>
      <c r="LM9" s="5453"/>
      <c r="LN9" s="925">
        <v>19</v>
      </c>
      <c r="LO9" s="917">
        <f>LOOKUP(LP9,$JY$47:$JY$52,$JZ$47:$JZ$52)</f>
        <v>43678</v>
      </c>
      <c r="LP9" s="915">
        <v>2</v>
      </c>
      <c r="LQ9" s="918"/>
      <c r="LR9" s="877"/>
      <c r="LS9" s="877"/>
      <c r="LT9" s="877"/>
      <c r="LU9" s="877"/>
      <c r="LV9" s="877"/>
      <c r="LW9" s="877"/>
      <c r="LX9" s="877"/>
      <c r="LY9" s="877"/>
      <c r="LZ9" s="877"/>
      <c r="MA9" s="877"/>
      <c r="NG9" s="5671" t="str">
        <f>IF(NQ8=1,"",VLOOKUP(NQ9,$NH$37:$NM$43,2))</f>
        <v>Parents</v>
      </c>
      <c r="NH9" s="5671"/>
      <c r="NI9" s="5671"/>
      <c r="NJ9" s="5671"/>
      <c r="NK9" s="5671"/>
      <c r="NL9" s="5671"/>
      <c r="NM9" s="5671"/>
      <c r="NN9" s="5671"/>
      <c r="NO9" s="5671"/>
      <c r="NP9" s="1701">
        <f>IF(NQ8=1,0,IF(AND($NQ$8=2,SUM(NP10:NP11)&gt;=25000),25000,IF(AND($NQ$8=3,SUM(NP10:NP12)&gt;=50000),50000,SUM(NP10:NP12))))</f>
        <v>0</v>
      </c>
      <c r="NQ9" s="1690">
        <f>IF($NQ$8=1,"",IF($NQ$8=2,NH37,NH40))</f>
        <v>1</v>
      </c>
      <c r="NW9" s="1688">
        <v>1</v>
      </c>
      <c r="NX9" s="5651" t="s">
        <v>407</v>
      </c>
      <c r="NY9" s="5652"/>
      <c r="NZ9" s="5653"/>
      <c r="OA9" s="1708">
        <v>0</v>
      </c>
      <c r="OB9" s="1709"/>
      <c r="OG9" s="1688">
        <v>1</v>
      </c>
      <c r="OH9" s="5651" t="s">
        <v>407</v>
      </c>
      <c r="OI9" s="5652"/>
      <c r="OJ9" s="5653"/>
      <c r="OK9" s="1708">
        <v>0</v>
      </c>
    </row>
    <row r="10" spans="1:433" ht="37.5" customHeight="1">
      <c r="A10" s="123"/>
      <c r="B10" s="8"/>
      <c r="C10" s="684"/>
      <c r="D10" s="684"/>
      <c r="E10" s="684"/>
      <c r="F10" s="684"/>
      <c r="G10" s="684"/>
      <c r="H10" s="684"/>
      <c r="I10" s="684"/>
      <c r="J10" s="684"/>
      <c r="K10" s="684"/>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5378" t="s">
        <v>841</v>
      </c>
      <c r="AY10" s="5379"/>
      <c r="AZ10" s="5379"/>
      <c r="BA10" s="5379"/>
      <c r="BB10" s="5379"/>
      <c r="BC10" s="5379"/>
      <c r="BD10" s="5379"/>
      <c r="BE10" s="5380"/>
      <c r="BF10" s="2126">
        <f>LOOKUP(BG10,$BC$47:$BC$58,$BD$47:$BD$58)</f>
        <v>45901</v>
      </c>
      <c r="BG10" s="771">
        <f>SUM(BG9+1)</f>
        <v>7</v>
      </c>
      <c r="BH10" s="7"/>
      <c r="BI10" s="1"/>
      <c r="BJ10" s="7"/>
      <c r="BK10" s="7"/>
      <c r="BL10" s="5763" t="str">
        <f>CONCATENATE("Select the Date of Next AGI in the Existing Academic Level","-",BV8)</f>
        <v>Select the Date of Next AGI in the Existing Academic Level-11</v>
      </c>
      <c r="BM10" s="5764"/>
      <c r="BN10" s="5764"/>
      <c r="BO10" s="5764"/>
      <c r="BP10" s="5764"/>
      <c r="BQ10" s="5764"/>
      <c r="BR10" s="5764"/>
      <c r="BS10" s="5764"/>
      <c r="BT10" s="5764"/>
      <c r="BU10" s="5765"/>
      <c r="BV10" s="3030">
        <f>J1433</f>
        <v>46023</v>
      </c>
      <c r="BW10" s="3027"/>
      <c r="BX10" s="7"/>
      <c r="BY10" s="7"/>
      <c r="BZ10" s="7"/>
      <c r="CA10" s="7"/>
      <c r="CB10" s="7"/>
      <c r="CC10" s="7"/>
      <c r="CD10" s="345"/>
      <c r="CE10" s="7"/>
      <c r="CF10" s="756"/>
      <c r="CG10" s="5531" t="s">
        <v>1406</v>
      </c>
      <c r="CH10" s="5532"/>
      <c r="CI10" s="5532"/>
      <c r="CJ10" s="5532"/>
      <c r="CK10" s="5532"/>
      <c r="CL10" s="5532"/>
      <c r="CM10" s="5532"/>
      <c r="CN10" s="5532"/>
      <c r="CO10" s="5532"/>
      <c r="CP10" s="5532"/>
      <c r="CQ10" s="5533"/>
      <c r="CR10" s="2226" t="str">
        <f>LOOKUP(CS10,$AA$14:$AA$19,$AB$14:$AB$19)</f>
        <v>Rs.79800-211500</v>
      </c>
      <c r="CS10" s="3019">
        <f>CS9</f>
        <v>3</v>
      </c>
      <c r="CT10" s="2199"/>
      <c r="CU10" s="756"/>
      <c r="CV10" s="7"/>
      <c r="CW10" s="7"/>
      <c r="CX10" s="7"/>
      <c r="CY10" s="7"/>
      <c r="CZ10" s="7"/>
      <c r="DA10" s="7"/>
      <c r="DB10" s="7"/>
      <c r="DC10" s="7"/>
      <c r="DD10" s="7"/>
      <c r="DE10" s="345"/>
      <c r="DF10" s="7"/>
      <c r="DG10" s="7"/>
      <c r="DH10" s="7"/>
      <c r="DI10" s="5752" t="str">
        <f>CONCATENATE("Select the Date of Next AGI in the Existing Academic Level","-",DS8)</f>
        <v>Select the Date of Next AGI in the Existing Academic Level-12</v>
      </c>
      <c r="DJ10" s="5752"/>
      <c r="DK10" s="5752"/>
      <c r="DL10" s="5752"/>
      <c r="DM10" s="5752"/>
      <c r="DN10" s="5752"/>
      <c r="DO10" s="5752"/>
      <c r="DP10" s="5752"/>
      <c r="DQ10" s="5752"/>
      <c r="DR10" s="5752"/>
      <c r="DS10" s="3045">
        <f>Z1433</f>
        <v>46023</v>
      </c>
      <c r="DT10" s="625"/>
      <c r="DU10" s="7"/>
      <c r="DV10" s="7"/>
      <c r="DW10" s="7"/>
      <c r="DX10" s="7"/>
      <c r="DY10" s="7"/>
      <c r="DZ10" s="7"/>
      <c r="EA10" s="7"/>
      <c r="EB10" s="288"/>
      <c r="EC10" s="765"/>
      <c r="ED10" s="765"/>
      <c r="EE10" s="765"/>
      <c r="EF10" s="765"/>
      <c r="EG10" s="765"/>
      <c r="EH10" s="765"/>
      <c r="EI10" s="765"/>
      <c r="EJ10" s="765"/>
      <c r="EK10" s="765"/>
      <c r="EL10" s="765"/>
      <c r="EM10" s="765"/>
      <c r="EN10" s="765"/>
      <c r="EO10" s="765"/>
      <c r="EP10" s="765"/>
      <c r="EQ10" s="765"/>
      <c r="ER10" s="765"/>
      <c r="ES10" s="765"/>
      <c r="ET10" s="765"/>
      <c r="EU10" s="765"/>
      <c r="EV10" s="786"/>
      <c r="EW10" s="765"/>
      <c r="EX10" s="765"/>
      <c r="EY10" s="765"/>
      <c r="EZ10" s="765"/>
      <c r="FA10" s="765"/>
      <c r="FB10" s="765"/>
      <c r="FC10" s="765"/>
      <c r="FD10" s="765"/>
      <c r="FE10" s="765"/>
      <c r="FF10" s="765"/>
      <c r="FG10" s="765"/>
      <c r="FH10" s="765"/>
      <c r="FI10" s="765"/>
      <c r="FJ10" s="765"/>
      <c r="FK10" s="765"/>
      <c r="FL10" s="765"/>
      <c r="FM10" s="765"/>
      <c r="FN10" s="765"/>
      <c r="FO10" s="765"/>
      <c r="FP10" s="765"/>
      <c r="FQ10" s="765"/>
      <c r="FR10" s="765"/>
      <c r="FS10" s="765"/>
      <c r="FT10" s="765"/>
      <c r="FU10" s="765"/>
      <c r="FV10" s="765"/>
      <c r="FW10" s="881"/>
      <c r="FX10" s="5414">
        <v>45901</v>
      </c>
      <c r="FY10" s="5414"/>
      <c r="FZ10" s="881"/>
      <c r="GA10" s="881"/>
      <c r="GB10" s="765"/>
      <c r="GC10" s="765"/>
      <c r="GD10" s="765"/>
      <c r="GE10" s="765"/>
      <c r="GF10" s="765"/>
      <c r="GG10" s="765"/>
      <c r="GH10" s="765"/>
      <c r="GI10" s="765"/>
      <c r="GJ10" s="765"/>
      <c r="GK10" s="765"/>
      <c r="GL10" s="765"/>
      <c r="GM10" s="765"/>
      <c r="GN10" s="765"/>
      <c r="GO10" s="765"/>
      <c r="GP10" s="765"/>
      <c r="GQ10" s="765"/>
      <c r="GR10" s="765"/>
      <c r="GS10" s="765"/>
      <c r="GT10" s="765"/>
      <c r="GU10" s="765"/>
      <c r="GV10" s="765"/>
      <c r="GW10" s="765"/>
      <c r="GX10" s="765"/>
      <c r="GY10" s="765"/>
      <c r="GZ10" s="765"/>
      <c r="HA10" s="765"/>
      <c r="HB10" s="765"/>
      <c r="HC10" s="765"/>
      <c r="HD10" s="765"/>
      <c r="HE10" s="765"/>
      <c r="HF10" s="765"/>
      <c r="HG10" s="765"/>
      <c r="HH10" s="765"/>
      <c r="HI10" s="765"/>
      <c r="HJ10" s="765"/>
      <c r="HK10" s="876"/>
      <c r="HL10" s="874"/>
      <c r="HM10" s="874"/>
      <c r="HN10" s="874"/>
      <c r="HO10" s="874"/>
      <c r="HP10" s="874"/>
      <c r="HQ10" s="874"/>
      <c r="HR10" s="874"/>
      <c r="HS10" s="1599"/>
      <c r="HT10" s="1599"/>
      <c r="HU10" s="1599"/>
      <c r="HV10" s="1599"/>
      <c r="HW10" s="1599"/>
      <c r="HX10" s="874"/>
      <c r="HY10" s="1572"/>
      <c r="HZ10" s="881"/>
      <c r="IA10" s="881"/>
      <c r="IB10" s="881"/>
      <c r="IC10" s="881"/>
      <c r="ID10" s="881"/>
      <c r="IE10" s="881"/>
      <c r="IF10" s="881"/>
      <c r="IG10" s="3007"/>
      <c r="IH10" s="3007"/>
      <c r="II10" s="3007"/>
      <c r="IJ10" s="3007"/>
      <c r="IK10" s="3007"/>
      <c r="IL10" s="3007"/>
      <c r="IM10" s="3007"/>
      <c r="IN10" s="3007"/>
      <c r="IO10" s="1576"/>
      <c r="IP10" s="5601" t="str">
        <f>IF(IV26="","",CONCATENATE("Previous Financial Years Pay Fixation (Both Fitment &amp; 7th CPC) Arrears  for the Period From","  ",IX29," ","To","  ",JA29))</f>
        <v>Previous Financial Years Pay Fixation (Both Fitment &amp; 7th CPC) Arrears  for the Period From  Jul-19 To  Feb-21</v>
      </c>
      <c r="IQ10" s="5601"/>
      <c r="IR10" s="5601"/>
      <c r="IS10" s="5601"/>
      <c r="IT10" s="5601"/>
      <c r="IU10" s="5601"/>
      <c r="IV10" s="5602"/>
      <c r="IW10" s="1595">
        <f>IF(IX4=2,'Data Sheet-II'!X175,0)</f>
        <v>0</v>
      </c>
      <c r="IX10" s="1595">
        <f>IF(IX4=2,'Data Sheet-II'!Z175,0)</f>
        <v>0</v>
      </c>
      <c r="IY10" s="1595">
        <f>IF(AND($GE$3=2,$IX$4=2),'Data Sheet-II'!AB175,0)</f>
        <v>0</v>
      </c>
      <c r="IZ10" s="1596"/>
      <c r="JA10" s="1596"/>
      <c r="JB10" s="1596"/>
      <c r="JC10" s="765"/>
      <c r="JD10" s="1464"/>
      <c r="JE10" s="765"/>
      <c r="JF10" s="765"/>
      <c r="JG10" s="765"/>
      <c r="JH10" s="765"/>
      <c r="JI10" s="765"/>
      <c r="JJ10" s="765"/>
      <c r="JK10" s="765"/>
      <c r="JL10" s="765"/>
      <c r="JM10" s="1479" t="s">
        <v>521</v>
      </c>
      <c r="JN10" s="1479" t="s">
        <v>188</v>
      </c>
      <c r="JO10" s="1479" t="s">
        <v>189</v>
      </c>
      <c r="JP10" s="1480" t="s">
        <v>22</v>
      </c>
      <c r="JQ10" s="1480" t="str">
        <f>IF($GE$3=1,"","CPS")</f>
        <v/>
      </c>
      <c r="JR10" s="765"/>
      <c r="JS10" s="863"/>
      <c r="JT10" s="765"/>
      <c r="JU10" s="765"/>
      <c r="JV10" s="765"/>
      <c r="JW10" s="765"/>
      <c r="JX10" s="765"/>
      <c r="JY10" s="765"/>
      <c r="JZ10" s="765"/>
      <c r="KA10" s="881"/>
      <c r="KB10" s="881"/>
      <c r="KC10" s="864"/>
      <c r="KD10" s="864"/>
      <c r="KE10" s="864"/>
      <c r="KF10" s="864"/>
      <c r="KG10" s="864"/>
      <c r="KH10" s="5458" t="str">
        <f>CONCATENATE("After Sanction of Incentive Increments for"," ", KR3," ","Qualification"," ,","The Payas on"," ",KW15," "," will be fixed  at")</f>
        <v>After Sanction of Incentive Increments for Ph.D Qualification ,The Payas on 16-Aug-19  will be fixed  at</v>
      </c>
      <c r="KI10" s="5458"/>
      <c r="KJ10" s="5458"/>
      <c r="KK10" s="5458"/>
      <c r="KL10" s="5458"/>
      <c r="KM10" s="5458"/>
      <c r="KN10" s="5458"/>
      <c r="KO10" s="5458"/>
      <c r="KP10" s="5458"/>
      <c r="KQ10" s="909">
        <f>KS6</f>
        <v>43678</v>
      </c>
      <c r="KR10" s="912">
        <f>KR21</f>
        <v>87200</v>
      </c>
      <c r="KS10" s="894"/>
      <c r="KT10" s="864"/>
      <c r="KU10" s="864"/>
      <c r="KV10" s="864"/>
      <c r="KW10" s="864"/>
      <c r="KX10" s="864"/>
      <c r="KY10" s="864"/>
      <c r="KZ10" s="864"/>
      <c r="LA10" s="864"/>
      <c r="LB10" s="864"/>
      <c r="LC10" s="5466" t="s">
        <v>868</v>
      </c>
      <c r="LD10" s="5466"/>
      <c r="LE10" s="5466"/>
      <c r="LF10" s="5466"/>
      <c r="LG10" s="5466"/>
      <c r="LH10" s="5466"/>
      <c r="LI10" s="5466"/>
      <c r="LJ10" s="5466"/>
      <c r="LK10" s="5466"/>
      <c r="LL10" s="5466"/>
      <c r="LM10" s="927">
        <f>LO9</f>
        <v>43678</v>
      </c>
      <c r="LN10" s="928">
        <f>LOOKUP(LM10,$JZ$47:$JZ$52,$KD$47:$KD$52)</f>
        <v>79800</v>
      </c>
      <c r="LO10" s="864"/>
      <c r="LP10" s="864"/>
      <c r="LQ10" s="864"/>
      <c r="LR10" s="864"/>
      <c r="LS10" s="864"/>
      <c r="LT10" s="864"/>
      <c r="LU10" s="864"/>
      <c r="LV10" s="864"/>
      <c r="LW10" s="864"/>
      <c r="LX10" s="864"/>
      <c r="LY10" s="864"/>
      <c r="LZ10" s="864"/>
      <c r="MA10" s="864"/>
      <c r="NG10" s="5674" t="str">
        <f>IF(NQ8=1,"",VLOOKUP(NQ10,$NH$37:$NM$43,2))</f>
        <v>Health Insurance</v>
      </c>
      <c r="NH10" s="5674"/>
      <c r="NI10" s="5674"/>
      <c r="NJ10" s="5674"/>
      <c r="NK10" s="5674"/>
      <c r="NL10" s="5674"/>
      <c r="NM10" s="5674"/>
      <c r="NN10" s="5674"/>
      <c r="NO10" s="5674"/>
      <c r="NP10" s="1693">
        <f>'Data Sheet-III '!O26</f>
        <v>0</v>
      </c>
      <c r="NQ10" s="1691">
        <f>IF($NQ$8=1,"",IF($NQ$3=2,NH38,NH41))</f>
        <v>5</v>
      </c>
      <c r="NW10" s="1688">
        <v>2</v>
      </c>
      <c r="NX10" s="5651" t="s">
        <v>1271</v>
      </c>
      <c r="NY10" s="5652"/>
      <c r="NZ10" s="5653"/>
      <c r="OA10" s="1708">
        <v>75000</v>
      </c>
      <c r="OB10" s="1709"/>
      <c r="OG10" s="1688">
        <v>2</v>
      </c>
      <c r="OH10" s="5651" t="s">
        <v>1279</v>
      </c>
      <c r="OI10" s="5652"/>
      <c r="OJ10" s="5653"/>
      <c r="OK10" s="1708">
        <v>40000</v>
      </c>
    </row>
    <row r="11" spans="1:433" ht="30" customHeight="1">
      <c r="A11" s="123"/>
      <c r="B11" s="8"/>
      <c r="C11" s="678"/>
      <c r="D11" s="678"/>
      <c r="E11" s="678"/>
      <c r="F11" s="678"/>
      <c r="G11" s="678"/>
      <c r="H11" s="678"/>
      <c r="I11" s="678"/>
      <c r="J11" s="678"/>
      <c r="K11" s="678"/>
      <c r="AE11">
        <v>2</v>
      </c>
      <c r="AV11" s="7"/>
      <c r="BI11" s="1"/>
      <c r="BL11" s="5559" t="str">
        <f>CONCATENATE("After Sanction of Incentive Increments for"," ", BV3," ","Qualification"," .","The Pay will be fixed as on")</f>
        <v>After Sanction of Incentive Increments for Ph.D Qualification .The Pay will be fixed as on</v>
      </c>
      <c r="BM11" s="5559"/>
      <c r="BN11" s="5559"/>
      <c r="BO11" s="5559"/>
      <c r="BP11" s="5559"/>
      <c r="BQ11" s="5559"/>
      <c r="BR11" s="5559"/>
      <c r="BS11" s="5559"/>
      <c r="BT11" s="5559"/>
      <c r="BU11" s="759">
        <f>BW6</f>
        <v>45901</v>
      </c>
      <c r="BV11" s="724">
        <f>BV27</f>
        <v>104200</v>
      </c>
      <c r="BW11" s="766"/>
      <c r="BY11" s="710" t="s">
        <v>848</v>
      </c>
      <c r="BZ11" s="711" t="s">
        <v>849</v>
      </c>
      <c r="CA11" s="710" t="s">
        <v>850</v>
      </c>
      <c r="CD11" s="345"/>
      <c r="CE11" s="1699"/>
      <c r="CF11" s="2181"/>
      <c r="CG11" s="5534" t="s">
        <v>1407</v>
      </c>
      <c r="CH11" s="5535"/>
      <c r="CI11" s="5535"/>
      <c r="CJ11" s="5535"/>
      <c r="CK11" s="5535"/>
      <c r="CL11" s="5535"/>
      <c r="CM11" s="5535"/>
      <c r="CN11" s="5535"/>
      <c r="CO11" s="5535"/>
      <c r="CP11" s="5535"/>
      <c r="CQ11" s="5536"/>
      <c r="CR11" s="2227">
        <f>LOOKUP(CS11,$AA$14:$AA$19,$AC$14:$AC$19)</f>
        <v>12</v>
      </c>
      <c r="CS11" s="2203">
        <f>CS9</f>
        <v>3</v>
      </c>
      <c r="CT11" s="2198"/>
      <c r="CU11" s="2181"/>
      <c r="CV11" s="2182"/>
      <c r="CW11" s="2183"/>
      <c r="CX11" s="2182"/>
      <c r="CY11" s="1699"/>
      <c r="CZ11" s="1699"/>
      <c r="DA11" s="1699"/>
      <c r="DB11" s="2184"/>
      <c r="DC11" s="2184"/>
      <c r="DD11" s="1699"/>
      <c r="DE11" s="345"/>
      <c r="DI11" s="5542" t="str">
        <f>CONCATENATE("After Sanction of Incentive Increments for"," ", DS3," ","Qualification"," .","The Pay will be fixed as on")</f>
        <v>After Sanction of Incentive Increments for Ph.D Qualification .The Pay will be fixed as on</v>
      </c>
      <c r="DJ11" s="5543"/>
      <c r="DK11" s="5543"/>
      <c r="DL11" s="5543"/>
      <c r="DM11" s="5543"/>
      <c r="DN11" s="5543"/>
      <c r="DO11" s="5543"/>
      <c r="DP11" s="5543"/>
      <c r="DQ11" s="5544"/>
      <c r="DR11" s="759">
        <f>DT6</f>
        <v>45717</v>
      </c>
      <c r="DS11" s="724">
        <f ca="1">DS28</f>
        <v>107200</v>
      </c>
      <c r="DT11" s="766"/>
      <c r="DW11" s="732" t="s">
        <v>848</v>
      </c>
      <c r="DX11" s="733" t="s">
        <v>849</v>
      </c>
      <c r="DY11" s="732" t="s">
        <v>850</v>
      </c>
      <c r="EB11" s="288"/>
      <c r="EN11" s="7"/>
      <c r="HK11" s="877"/>
      <c r="HL11" s="3014"/>
      <c r="HM11" s="3014"/>
      <c r="HN11" s="3014"/>
      <c r="HO11" s="3014"/>
      <c r="HP11" s="3014"/>
      <c r="HQ11" s="3014"/>
      <c r="HR11" s="3014"/>
      <c r="HS11" s="3015"/>
      <c r="HT11" s="3015"/>
      <c r="HU11" s="3015"/>
      <c r="HV11" s="3016"/>
      <c r="HW11" s="3015"/>
      <c r="HX11" s="1523"/>
      <c r="HY11" s="843"/>
      <c r="HZ11" s="3006"/>
      <c r="IA11" s="3006"/>
      <c r="IB11" s="3006"/>
      <c r="IC11" s="3006"/>
      <c r="ID11" s="3006"/>
      <c r="IE11" s="3006"/>
      <c r="IF11" s="3006"/>
      <c r="IG11" s="2999"/>
      <c r="IH11" s="2999"/>
      <c r="II11" s="2999"/>
      <c r="IJ11" s="3003"/>
      <c r="IK11" s="2999"/>
      <c r="IL11" s="1600"/>
      <c r="IM11" s="1600"/>
      <c r="IN11" s="1600"/>
      <c r="IO11" s="834"/>
      <c r="IP11" s="874"/>
      <c r="IQ11" s="874"/>
      <c r="IR11" s="874"/>
      <c r="IS11" s="874"/>
      <c r="IT11" s="874"/>
      <c r="IU11" s="874"/>
      <c r="IV11" s="874"/>
      <c r="IW11" s="1480" t="s">
        <v>521</v>
      </c>
      <c r="IX11" s="1479" t="s">
        <v>188</v>
      </c>
      <c r="IY11" s="1479" t="s">
        <v>189</v>
      </c>
      <c r="IZ11" s="1480" t="s">
        <v>22</v>
      </c>
      <c r="JA11" s="1480" t="str">
        <f>IF($GE$3=1,"","CPS")</f>
        <v/>
      </c>
      <c r="JB11" s="1599"/>
      <c r="JC11" s="842"/>
      <c r="JD11" s="1457"/>
      <c r="JE11" s="941"/>
      <c r="JF11" s="5604" t="str">
        <f>IF(JG16="","",IF(JG16=$JI$16,CONCATENATE("Current Financial Year Pay fixation Arrears on Account of Preponement of Date of Award of CAS   for the Month of "," ",JG28),CONCATENATE("Current Financial Year Pay fixation Arrears on Account of Preponement of Date of Award of CAS for the Period from"," ",JG28," ","To"," ",JJ28)))</f>
        <v>Current Financial Year Pay fixation Arrears on Account of Preponement of Date of Award of CAS for the Period from Mar-21 To May-21</v>
      </c>
      <c r="JG11" s="5604"/>
      <c r="JH11" s="5604"/>
      <c r="JI11" s="5604"/>
      <c r="JJ11" s="5604"/>
      <c r="JK11" s="5604"/>
      <c r="JL11" s="5605"/>
      <c r="JM11" s="1477">
        <f>'Data Sheet-II'!X184</f>
        <v>0</v>
      </c>
      <c r="JN11" s="1477">
        <f>'Data Sheet-II'!Y184</f>
        <v>0</v>
      </c>
      <c r="JO11" s="1477">
        <f>'Data Sheet-II'!Z184</f>
        <v>0</v>
      </c>
      <c r="JP11" s="1477">
        <f>'Data Sheet-II'!AA184</f>
        <v>0</v>
      </c>
      <c r="JQ11" s="1477">
        <f>'Data Sheet-II'!AB184</f>
        <v>0</v>
      </c>
      <c r="JR11" s="1478"/>
      <c r="JS11" s="831"/>
      <c r="KV11" s="710" t="s">
        <v>848</v>
      </c>
      <c r="KW11" s="711" t="s">
        <v>849</v>
      </c>
      <c r="KX11" s="710" t="s">
        <v>850</v>
      </c>
      <c r="LC11" s="5665" t="s">
        <v>974</v>
      </c>
      <c r="LD11" s="5666"/>
      <c r="LE11" s="5666"/>
      <c r="LF11" s="5666"/>
      <c r="LG11" s="5666"/>
      <c r="LH11" s="5666"/>
      <c r="LI11" s="5666"/>
      <c r="LJ11" s="5666"/>
      <c r="LK11" s="5666"/>
      <c r="LL11" s="5667"/>
      <c r="LM11" s="926">
        <f>LO9</f>
        <v>43678</v>
      </c>
      <c r="LN11" s="933">
        <f>LN19</f>
        <v>82300</v>
      </c>
      <c r="LS11" s="929" t="s">
        <v>848</v>
      </c>
      <c r="LT11" s="930" t="s">
        <v>849</v>
      </c>
      <c r="LU11" s="929" t="s">
        <v>850</v>
      </c>
      <c r="MA11" s="834"/>
      <c r="NG11" s="5675" t="str">
        <f>IF(NQ8=1,"",VLOOKUP(NQ11,$NH$37:$NM$43,2))</f>
        <v>Preventive Health Check Up</v>
      </c>
      <c r="NH11" s="5675"/>
      <c r="NI11" s="5675"/>
      <c r="NJ11" s="5675"/>
      <c r="NK11" s="5675"/>
      <c r="NL11" s="5675"/>
      <c r="NM11" s="5675"/>
      <c r="NN11" s="5675"/>
      <c r="NO11" s="5675"/>
      <c r="NP11" s="1702">
        <f>'Data Sheet-III '!O27</f>
        <v>0</v>
      </c>
      <c r="NQ11" s="1703">
        <f>IF($NQ$8=1,"",IF($NQ$3=2,NH39,NH42))</f>
        <v>6</v>
      </c>
      <c r="NW11" s="1688">
        <v>3</v>
      </c>
      <c r="NX11" s="5651" t="s">
        <v>1272</v>
      </c>
      <c r="NY11" s="5652"/>
      <c r="NZ11" s="5653"/>
      <c r="OA11" s="1708">
        <v>125000</v>
      </c>
      <c r="OB11" s="1709"/>
      <c r="OG11" s="1688">
        <v>3</v>
      </c>
      <c r="OH11" s="5651" t="s">
        <v>1280</v>
      </c>
      <c r="OI11" s="5652"/>
      <c r="OJ11" s="5653"/>
      <c r="OK11" s="1708">
        <v>100000</v>
      </c>
    </row>
    <row r="12" spans="1:433" ht="33" customHeight="1">
      <c r="A12" s="123"/>
      <c r="B12" s="8"/>
      <c r="C12" s="678"/>
      <c r="D12" s="678"/>
      <c r="E12" s="678"/>
      <c r="F12" s="678"/>
      <c r="G12" s="678"/>
      <c r="H12" s="678"/>
      <c r="I12" s="678"/>
      <c r="J12" s="678"/>
      <c r="K12" s="678"/>
      <c r="AV12" s="7"/>
      <c r="BI12" s="1"/>
      <c r="BL12" s="5468" t="str">
        <f>CONCATENATE("You have claimed "," ",BV3," "," Incentive Increments Arrears upto the Month")</f>
        <v>You have claimed  Ph.D  Incentive Increments Arrears upto the Month</v>
      </c>
      <c r="BM12" s="5469"/>
      <c r="BN12" s="5469"/>
      <c r="BO12" s="5469"/>
      <c r="BP12" s="5469"/>
      <c r="BQ12" s="5469"/>
      <c r="BR12" s="5469"/>
      <c r="BS12" s="5469"/>
      <c r="BT12" s="5470"/>
      <c r="BU12" s="759">
        <f>LOOKUP(BV12,$BC$47:$BC$58,$BD$47:$BD$58)</f>
        <v>45839</v>
      </c>
      <c r="BV12" s="587">
        <v>5</v>
      </c>
      <c r="BW12" s="766"/>
      <c r="BY12" s="3028">
        <f>BV6</f>
        <v>6</v>
      </c>
      <c r="BZ12" s="3029">
        <f>MONTH(BW6)</f>
        <v>9</v>
      </c>
      <c r="CA12" s="3029" t="str">
        <f>RIGHT(YEAR(BW6),2)</f>
        <v>25</v>
      </c>
      <c r="CD12" s="345"/>
      <c r="CE12" s="1295"/>
      <c r="CF12" s="2185"/>
      <c r="CG12" s="5549" t="s">
        <v>1408</v>
      </c>
      <c r="CH12" s="5550"/>
      <c r="CI12" s="5550"/>
      <c r="CJ12" s="5550"/>
      <c r="CK12" s="5550"/>
      <c r="CL12" s="5550"/>
      <c r="CM12" s="5550"/>
      <c r="CN12" s="5550"/>
      <c r="CO12" s="5550"/>
      <c r="CP12" s="5550"/>
      <c r="CQ12" s="5551"/>
      <c r="CR12" s="2228" t="str">
        <f>LOOKUP(CS12,$F$14:$F$15,$G$14:$G$15)</f>
        <v>Date of Promotion</v>
      </c>
      <c r="CS12" s="2252">
        <v>1</v>
      </c>
      <c r="CT12" s="2222"/>
      <c r="CU12" s="2185"/>
      <c r="CV12" s="2186"/>
      <c r="CW12" s="2187"/>
      <c r="CX12" s="2187"/>
      <c r="CY12" s="1295"/>
      <c r="CZ12" s="1295"/>
      <c r="DA12" s="1295"/>
      <c r="DB12" s="2188"/>
      <c r="DC12" s="2189"/>
      <c r="DD12" s="1295"/>
      <c r="DE12" s="345"/>
      <c r="DI12" s="5537" t="str">
        <f>CONCATENATE("You have claimed "," ",DS3," "," Incentive Increments Arrears upto the Month")</f>
        <v>You have claimed  Ph.D  Incentive Increments Arrears upto the Month</v>
      </c>
      <c r="DJ12" s="5538"/>
      <c r="DK12" s="5538"/>
      <c r="DL12" s="5538"/>
      <c r="DM12" s="5538"/>
      <c r="DN12" s="5538"/>
      <c r="DO12" s="5538"/>
      <c r="DP12" s="5538"/>
      <c r="DQ12" s="5539"/>
      <c r="DR12" s="759">
        <f>LOOKUP(DS12,$BC$47:$BC$58,$BD$47:$BD$58)</f>
        <v>45839</v>
      </c>
      <c r="DS12" s="587">
        <v>5</v>
      </c>
      <c r="DW12" s="732">
        <f>DS6</f>
        <v>1</v>
      </c>
      <c r="DX12" s="734">
        <f>MONTH(DT6)</f>
        <v>3</v>
      </c>
      <c r="DY12" s="734" t="str">
        <f>RIGHT(YEAR(DT6),2)</f>
        <v>25</v>
      </c>
      <c r="EB12" s="288"/>
      <c r="EG12" s="587" t="s">
        <v>182</v>
      </c>
      <c r="EH12" s="708" t="s">
        <v>226</v>
      </c>
      <c r="EI12" s="587" t="s">
        <v>894</v>
      </c>
      <c r="EJ12" s="630"/>
      <c r="EK12" s="796" t="s">
        <v>897</v>
      </c>
      <c r="EL12" s="796" t="s">
        <v>805</v>
      </c>
      <c r="EN12" s="7"/>
      <c r="EP12" s="5467" t="s">
        <v>399</v>
      </c>
      <c r="EQ12" s="5329"/>
      <c r="FX12" s="2315">
        <v>1</v>
      </c>
      <c r="FY12" s="2316" t="s">
        <v>407</v>
      </c>
      <c r="FZ12" s="2316">
        <v>0</v>
      </c>
      <c r="GC12" s="294">
        <v>1</v>
      </c>
      <c r="GD12" s="289" t="s">
        <v>408</v>
      </c>
      <c r="GH12" s="295">
        <v>1</v>
      </c>
      <c r="GI12" s="295" t="s">
        <v>10</v>
      </c>
      <c r="GK12" s="296">
        <v>1</v>
      </c>
      <c r="GL12" s="297" t="s">
        <v>410</v>
      </c>
      <c r="GV12" s="1475"/>
      <c r="GW12" s="5603"/>
      <c r="GX12" s="5603"/>
      <c r="GY12" s="5603"/>
      <c r="GZ12" s="1482"/>
      <c r="HA12" s="1458"/>
      <c r="HB12" s="1482"/>
      <c r="HD12" s="1560"/>
      <c r="HE12" s="3008"/>
      <c r="HF12" s="1560"/>
      <c r="HH12" s="3008"/>
      <c r="HI12" s="1560"/>
      <c r="HJ12" s="1560"/>
      <c r="HK12" s="1564"/>
      <c r="HL12" s="1560"/>
      <c r="HM12" s="1560"/>
      <c r="HN12" s="1560"/>
      <c r="HO12" s="1560"/>
      <c r="HP12" s="1560"/>
      <c r="HQ12" s="1560"/>
      <c r="HR12" s="1560"/>
      <c r="HS12" s="1560"/>
      <c r="HT12" s="1560"/>
      <c r="HU12" s="1560"/>
      <c r="HV12" s="1560"/>
      <c r="HW12" s="1560"/>
      <c r="HX12" s="1560"/>
      <c r="HY12" s="1573"/>
      <c r="HZ12" s="1560"/>
      <c r="IA12" s="1560"/>
      <c r="IB12" s="1560"/>
      <c r="IC12" s="1560"/>
      <c r="ID12" s="1560"/>
      <c r="IE12" s="1560"/>
      <c r="IF12" s="1560"/>
      <c r="IG12" s="1560"/>
      <c r="IH12" s="1560"/>
      <c r="II12" s="1560"/>
      <c r="IJ12" s="1560"/>
      <c r="IK12" s="1560"/>
      <c r="IL12" s="1560"/>
      <c r="IM12" s="1560"/>
      <c r="IN12" s="1560"/>
      <c r="IO12" s="1583"/>
      <c r="IP12" s="5586" t="str">
        <f>IF(IV34="","",CONCATENATE("Current Financial Year  Pay Fixation (Both Fitment &amp; 7th CPC)  Arrears   for the Period From","  ",   IX37," ",  "To", "  ",  JA37))</f>
        <v>Current Financial Year  Pay Fixation (Both Fitment &amp; 7th CPC)  Arrears   for the Period From  Mar-21 To  May-21</v>
      </c>
      <c r="IQ12" s="5586"/>
      <c r="IR12" s="5586"/>
      <c r="IS12" s="5586"/>
      <c r="IT12" s="5586"/>
      <c r="IU12" s="5586"/>
      <c r="IV12" s="5587"/>
      <c r="IW12" s="1473">
        <f>IF($IX$4=2,'Data Sheet-II'!X177,0)</f>
        <v>0</v>
      </c>
      <c r="IX12" s="1473">
        <f>IF($IX$4=2,'Data Sheet-II'!Y177,0)</f>
        <v>0</v>
      </c>
      <c r="IY12" s="1473">
        <f>IF($IX$4=2,'Data Sheet-II'!Z177,0)</f>
        <v>0</v>
      </c>
      <c r="IZ12" s="1473">
        <f>IF($IX$4=2,'Data Sheet-II'!AA177,0)</f>
        <v>0</v>
      </c>
      <c r="JA12" s="1473">
        <f>IF(AND($GE$3=2,$IX$4=2),'Data Sheet-II'!AB177,0)</f>
        <v>0</v>
      </c>
      <c r="JB12" s="1600"/>
      <c r="JC12" s="941"/>
      <c r="JD12" s="1457"/>
      <c r="JN12" s="856"/>
      <c r="JO12" s="1475"/>
      <c r="JP12" s="1475"/>
      <c r="JQ12" s="1475"/>
      <c r="JR12" s="1475"/>
      <c r="JS12" s="831"/>
      <c r="KH12" s="5337" t="s">
        <v>883</v>
      </c>
      <c r="KI12" s="5337"/>
      <c r="KJ12" s="5337"/>
      <c r="KK12" s="5337"/>
      <c r="KL12" s="5337"/>
      <c r="KM12" s="5337"/>
      <c r="KN12" s="5337"/>
      <c r="KO12" s="5337"/>
      <c r="KP12" s="5337"/>
      <c r="KQ12" s="5337"/>
      <c r="KR12" s="587" t="str">
        <f>KR3</f>
        <v>Ph.D</v>
      </c>
      <c r="KS12" s="766"/>
      <c r="KV12" s="710">
        <f>KR6</f>
        <v>16</v>
      </c>
      <c r="KW12" s="662">
        <f>MONTH(KS6)</f>
        <v>8</v>
      </c>
      <c r="KX12" s="662" t="str">
        <f>RIGHT(YEAR(KS6),2)</f>
        <v>19</v>
      </c>
      <c r="LS12" s="929">
        <f>LN9</f>
        <v>19</v>
      </c>
      <c r="LT12" s="931">
        <f>MONTH(LO9)</f>
        <v>8</v>
      </c>
      <c r="LU12" s="931" t="str">
        <f>RIGHT(YEAR(LO9),2)</f>
        <v>19</v>
      </c>
      <c r="MA12" s="834"/>
      <c r="NG12" s="5676" t="str">
        <f>IFERROR(VLOOKUP(NQ12,$NH$37:$NM$43,2),"")</f>
        <v/>
      </c>
      <c r="NH12" s="5676"/>
      <c r="NI12" s="5676"/>
      <c r="NJ12" s="5676"/>
      <c r="NK12" s="5676"/>
      <c r="NL12" s="5676"/>
      <c r="NM12" s="5676"/>
      <c r="NN12" s="5676"/>
      <c r="NO12" s="5676"/>
      <c r="NP12" s="1694">
        <f>'Data Sheet-III '!O28</f>
        <v>0</v>
      </c>
      <c r="NQ12" s="1692" t="str">
        <f>IF(OR($NQ$8=1,$NQ$8=2),"",NH43)</f>
        <v/>
      </c>
    </row>
    <row r="13" spans="1:433" ht="36.75" customHeight="1">
      <c r="A13" s="123"/>
      <c r="B13" s="8"/>
      <c r="C13" s="678"/>
      <c r="D13" s="678"/>
      <c r="E13" s="678"/>
      <c r="F13" s="678"/>
      <c r="G13" s="678"/>
      <c r="H13" s="678"/>
      <c r="I13" s="678"/>
      <c r="J13" s="678"/>
      <c r="K13" s="678"/>
      <c r="AA13" s="852" t="s">
        <v>176</v>
      </c>
      <c r="AB13" s="853" t="s">
        <v>829</v>
      </c>
      <c r="AC13" s="852" t="s">
        <v>824</v>
      </c>
      <c r="AD13" s="689"/>
      <c r="AE13" s="690"/>
      <c r="AF13" s="690"/>
      <c r="AO13" s="714" t="s">
        <v>176</v>
      </c>
      <c r="AP13" s="714" t="s">
        <v>857</v>
      </c>
      <c r="AQ13" s="715" t="s">
        <v>844</v>
      </c>
      <c r="AR13" s="6"/>
      <c r="AS13" s="6"/>
      <c r="AV13" s="7"/>
      <c r="BI13" s="1"/>
      <c r="BL13" s="5537" t="s">
        <v>841</v>
      </c>
      <c r="BM13" s="5538"/>
      <c r="BN13" s="5538"/>
      <c r="BO13" s="5538"/>
      <c r="BP13" s="5538"/>
      <c r="BQ13" s="5538"/>
      <c r="BR13" s="5538"/>
      <c r="BS13" s="5538"/>
      <c r="BT13" s="5539"/>
      <c r="BU13" s="759">
        <f>LOOKUP(BV13,$BC$47:$BC$58,$BD$47:$BD$58)</f>
        <v>45870</v>
      </c>
      <c r="BV13" s="587">
        <f>SUM(BV12+1)</f>
        <v>6</v>
      </c>
      <c r="BW13" s="766"/>
      <c r="BY13" s="3028">
        <f>BY12</f>
        <v>6</v>
      </c>
      <c r="BZ13" s="3028" t="str">
        <f>LOOKUP(BZ12,$AE$21:$AE$32,$AG$21:$AG$32)</f>
        <v>Sep</v>
      </c>
      <c r="CA13" s="3028" t="str">
        <f>CA12</f>
        <v>25</v>
      </c>
      <c r="CD13" s="345"/>
      <c r="CE13" s="833"/>
      <c r="CF13" s="2180"/>
      <c r="CG13" s="5546" t="s">
        <v>968</v>
      </c>
      <c r="CH13" s="5547"/>
      <c r="CI13" s="5547"/>
      <c r="CJ13" s="5547"/>
      <c r="CK13" s="5547"/>
      <c r="CL13" s="5547"/>
      <c r="CM13" s="5547"/>
      <c r="CN13" s="5547"/>
      <c r="CO13" s="5547"/>
      <c r="CP13" s="5547"/>
      <c r="CQ13" s="5548"/>
      <c r="CR13" s="2286">
        <f>CI103</f>
        <v>45658</v>
      </c>
      <c r="CS13" s="2204"/>
      <c r="CT13" s="2200"/>
      <c r="CU13" s="2180"/>
      <c r="CV13" s="2190"/>
      <c r="CW13" s="2190"/>
      <c r="CX13" s="2190"/>
      <c r="CY13" s="833"/>
      <c r="CZ13" s="833"/>
      <c r="DA13" s="833"/>
      <c r="DB13" s="2191"/>
      <c r="DC13" s="2192"/>
      <c r="DD13" s="833"/>
      <c r="DE13" s="345"/>
      <c r="DI13" s="5537" t="s">
        <v>841</v>
      </c>
      <c r="DJ13" s="5538"/>
      <c r="DK13" s="5538"/>
      <c r="DL13" s="5538"/>
      <c r="DM13" s="5538"/>
      <c r="DN13" s="5538"/>
      <c r="DO13" s="5538"/>
      <c r="DP13" s="5538"/>
      <c r="DQ13" s="5539"/>
      <c r="DR13" s="759">
        <f>LOOKUP(DS13,$BC$47:$BC$58,$BD$47:$BD$58)</f>
        <v>45870</v>
      </c>
      <c r="DS13" s="587">
        <f>SUM(DS12+1)</f>
        <v>6</v>
      </c>
      <c r="DW13" s="732">
        <f>DW12</f>
        <v>1</v>
      </c>
      <c r="DX13" s="732" t="str">
        <f>LOOKUP(DX12,$AE$21:$AE$32,$AG$21:$AG$32)</f>
        <v>Mar</v>
      </c>
      <c r="DY13" s="732" t="str">
        <f>DY12</f>
        <v>25</v>
      </c>
      <c r="EB13" s="288"/>
      <c r="EG13" s="760">
        <f>EK6</f>
        <v>45931</v>
      </c>
      <c r="EH13" s="744">
        <f>LOOKUP(EG13,$BD$47:$BD$60,$BI$47:$BI$60)</f>
        <v>82300</v>
      </c>
      <c r="EI13" s="793">
        <f>EJ2</f>
        <v>0.09</v>
      </c>
      <c r="EJ13" s="587">
        <f>ROUND($EH$13*EI13,0)</f>
        <v>7407</v>
      </c>
      <c r="EK13" s="630">
        <f>SUM(EJ6-1)</f>
        <v>5</v>
      </c>
      <c r="EL13" s="630">
        <f>ROUND(EJ13*EK13/$EG$14,0)</f>
        <v>1195</v>
      </c>
      <c r="EN13" s="7"/>
      <c r="EP13" s="587">
        <v>1</v>
      </c>
      <c r="EQ13" s="708" t="s">
        <v>407</v>
      </c>
      <c r="ES13" s="3750"/>
      <c r="ET13" s="5577"/>
      <c r="EU13" s="5577"/>
      <c r="FX13" s="2315">
        <v>2</v>
      </c>
      <c r="FY13" s="2316">
        <v>20</v>
      </c>
      <c r="FZ13" s="2316">
        <v>20</v>
      </c>
      <c r="GC13" s="294">
        <v>2</v>
      </c>
      <c r="GD13" s="289" t="s">
        <v>413</v>
      </c>
      <c r="GH13" s="295">
        <v>2</v>
      </c>
      <c r="GI13" s="295" t="s">
        <v>11</v>
      </c>
      <c r="GK13" s="296">
        <v>2</v>
      </c>
      <c r="GL13" s="297" t="s">
        <v>415</v>
      </c>
      <c r="HD13" s="1560"/>
      <c r="HE13" s="1561"/>
      <c r="HF13" s="1561"/>
      <c r="HH13" s="1561"/>
      <c r="HI13" s="1561"/>
      <c r="HJ13" s="1561"/>
      <c r="HK13" s="1565"/>
      <c r="HL13" s="1561"/>
      <c r="HM13" s="1561"/>
      <c r="HN13" s="1561"/>
      <c r="HO13" s="1561"/>
      <c r="HP13" s="1561"/>
      <c r="HQ13" s="1561"/>
      <c r="HR13" s="1561"/>
      <c r="HS13" s="1561"/>
      <c r="HT13" s="1561"/>
      <c r="HU13" s="1561"/>
      <c r="HV13" s="1561"/>
      <c r="HW13" s="1561"/>
      <c r="HX13" s="1561"/>
      <c r="HY13" s="1574"/>
      <c r="HZ13" s="1561"/>
      <c r="IA13" s="1561"/>
      <c r="IB13" s="1561"/>
      <c r="IC13" s="1561"/>
      <c r="ID13" s="1561"/>
      <c r="IE13" s="1561"/>
      <c r="IF13" s="1561"/>
      <c r="IG13" s="1561"/>
      <c r="IH13" s="1561"/>
      <c r="II13" s="1561"/>
      <c r="IJ13" s="1561"/>
      <c r="IK13" s="1561"/>
      <c r="IL13" s="1561"/>
      <c r="IM13" s="1561"/>
      <c r="IN13" s="1561"/>
      <c r="IO13" s="1584"/>
      <c r="IP13" s="1561"/>
      <c r="IQ13" s="1561"/>
      <c r="IR13" s="1561"/>
      <c r="IS13" s="1561"/>
      <c r="IT13" s="1561"/>
      <c r="IU13" s="1561"/>
      <c r="IV13" s="1561"/>
      <c r="IW13" s="1561"/>
      <c r="IX13" s="1561"/>
      <c r="IY13" s="1561"/>
      <c r="IZ13" s="1561"/>
      <c r="JA13" s="1561"/>
      <c r="JB13" s="1561"/>
      <c r="JD13" s="1457"/>
      <c r="JG13" s="1481"/>
      <c r="JH13" s="1481"/>
      <c r="JI13" s="1481"/>
      <c r="JJ13" s="1490"/>
      <c r="JK13" s="856"/>
      <c r="JL13" s="1490"/>
      <c r="JN13" s="1477" t="s">
        <v>176</v>
      </c>
      <c r="JO13" s="1477" t="s">
        <v>182</v>
      </c>
      <c r="JP13" s="1475"/>
      <c r="JQ13" s="1484" t="s">
        <v>176</v>
      </c>
      <c r="JR13" s="1484" t="s">
        <v>182</v>
      </c>
      <c r="JS13" s="831"/>
      <c r="KH13" s="5454" t="s">
        <v>949</v>
      </c>
      <c r="KI13" s="5455"/>
      <c r="KJ13" s="5455"/>
      <c r="KK13" s="5455"/>
      <c r="KL13" s="5455"/>
      <c r="KM13" s="5455"/>
      <c r="KN13" s="5455"/>
      <c r="KO13" s="5455"/>
      <c r="KP13" s="5455"/>
      <c r="KQ13" s="5456"/>
      <c r="KR13" s="628" t="str">
        <f>KW15</f>
        <v>16-Aug-19</v>
      </c>
      <c r="KS13" s="766"/>
      <c r="KV13" s="710">
        <f>KV12</f>
        <v>16</v>
      </c>
      <c r="KW13" s="710" t="str">
        <f>LOOKUP(KW12,$AE$21:$AE$32,$AG$21:$AG$32)</f>
        <v>Aug</v>
      </c>
      <c r="KX13" s="710" t="str">
        <f>KX12</f>
        <v>19</v>
      </c>
      <c r="LE13" s="766"/>
      <c r="LF13" s="5673" t="s">
        <v>870</v>
      </c>
      <c r="LG13" s="5673"/>
      <c r="LH13" s="5673"/>
      <c r="LI13" s="5673"/>
      <c r="LJ13" s="5673"/>
      <c r="LK13" s="5673"/>
      <c r="LL13" s="5673"/>
      <c r="LM13" s="5673"/>
      <c r="LN13" s="5673"/>
      <c r="LS13" s="929">
        <f>LS12</f>
        <v>19</v>
      </c>
      <c r="LT13" s="929" t="str">
        <f>LOOKUP(LT12,$AE$21:$AE$32,$AG$21:$AG$32)</f>
        <v>Aug</v>
      </c>
      <c r="LU13" s="929" t="str">
        <f>LU12</f>
        <v>19</v>
      </c>
      <c r="MA13" s="834"/>
      <c r="NG13" s="5677" t="s">
        <v>1282</v>
      </c>
      <c r="NH13" s="5677"/>
      <c r="NI13" s="5677"/>
      <c r="NJ13" s="5677"/>
      <c r="NK13" s="5677"/>
      <c r="NL13" s="5677"/>
      <c r="NM13" s="5677"/>
      <c r="NN13" s="5677"/>
      <c r="NO13" s="5677"/>
      <c r="NP13" s="1707">
        <f>SUM(NP4+NP9)</f>
        <v>0</v>
      </c>
      <c r="NQ13" s="831"/>
    </row>
    <row r="14" spans="1:433" ht="30" customHeight="1" thickBot="1">
      <c r="A14" s="123"/>
      <c r="B14" s="8"/>
      <c r="C14" s="678"/>
      <c r="D14" s="678"/>
      <c r="E14" s="678"/>
      <c r="F14" s="1718">
        <v>1</v>
      </c>
      <c r="G14" s="5238" t="s">
        <v>1414</v>
      </c>
      <c r="H14" s="5238"/>
      <c r="I14" s="678"/>
      <c r="J14" s="678"/>
      <c r="K14" s="678"/>
      <c r="AA14" s="827">
        <v>1</v>
      </c>
      <c r="AB14" s="827" t="s">
        <v>830</v>
      </c>
      <c r="AC14" s="827">
        <v>10</v>
      </c>
      <c r="AD14" s="691"/>
      <c r="AE14" s="630">
        <v>1</v>
      </c>
      <c r="AF14" s="3184"/>
      <c r="AG14" s="630" t="s">
        <v>405</v>
      </c>
      <c r="AH14" s="720"/>
      <c r="AI14" s="632"/>
      <c r="AJ14" s="632"/>
      <c r="AK14" s="632"/>
      <c r="AL14" s="632"/>
      <c r="AO14" s="712">
        <v>1</v>
      </c>
      <c r="AP14" s="713" t="s">
        <v>406</v>
      </c>
      <c r="AQ14" s="633">
        <v>1</v>
      </c>
      <c r="AR14" s="713" t="s">
        <v>39</v>
      </c>
      <c r="AS14" s="716" t="str">
        <f>CONCATENATE(AR14,"(","0","1",")",)</f>
        <v>One(01)</v>
      </c>
      <c r="AV14" s="7"/>
      <c r="BI14" s="1"/>
      <c r="BL14" s="5541"/>
      <c r="BM14" s="5541"/>
      <c r="BN14" s="5541"/>
      <c r="BO14" s="5541"/>
      <c r="BP14" s="5541"/>
      <c r="BQ14" s="5541"/>
      <c r="BR14" s="5541"/>
      <c r="BS14" s="5541"/>
      <c r="BT14" s="5541"/>
      <c r="BU14" s="3042"/>
      <c r="BV14" s="2142"/>
      <c r="BW14" s="632"/>
      <c r="CD14" s="345"/>
      <c r="CE14" s="1839"/>
      <c r="CF14" s="2236"/>
      <c r="CG14" s="5552" t="s">
        <v>1416</v>
      </c>
      <c r="CH14" s="5553"/>
      <c r="CI14" s="5553"/>
      <c r="CJ14" s="5553"/>
      <c r="CK14" s="5553"/>
      <c r="CL14" s="5553"/>
      <c r="CM14" s="5553"/>
      <c r="CN14" s="5553"/>
      <c r="CO14" s="5553"/>
      <c r="CP14" s="5553"/>
      <c r="CQ14" s="5553"/>
      <c r="CR14" s="2246">
        <f>LOOKUP(CS14,$BC$47:$BC$58,$BD$47:$BD$58)</f>
        <v>45778</v>
      </c>
      <c r="CS14" s="2245">
        <v>3</v>
      </c>
      <c r="CT14" s="2248"/>
      <c r="CU14" s="2236"/>
      <c r="CV14" s="1839"/>
      <c r="CW14" s="1839"/>
      <c r="CX14" s="1839"/>
      <c r="CY14" s="1839"/>
      <c r="CZ14" s="1839"/>
      <c r="DA14" s="1839"/>
      <c r="DB14" s="2217" t="s">
        <v>848</v>
      </c>
      <c r="DC14" s="2218" t="s">
        <v>849</v>
      </c>
      <c r="DD14" s="2217" t="s">
        <v>850</v>
      </c>
      <c r="DE14" s="345"/>
      <c r="DI14" s="3042"/>
      <c r="DJ14" s="3042"/>
      <c r="DK14" s="3042"/>
      <c r="DL14" s="3042"/>
      <c r="DM14" s="3042"/>
      <c r="DN14" s="3042"/>
      <c r="DO14" s="3042"/>
      <c r="DP14" s="3042"/>
      <c r="DQ14" s="3042"/>
      <c r="DR14" s="3042"/>
      <c r="DS14" s="2142"/>
      <c r="DT14" s="632"/>
      <c r="EB14" s="288"/>
      <c r="EG14" s="795">
        <f>LOOKUP(EG13,$AX$47:$AX$60,$AY$47:$AY$60)</f>
        <v>31</v>
      </c>
      <c r="EH14" s="631"/>
      <c r="EI14" s="749">
        <f>EJ4</f>
        <v>0.27</v>
      </c>
      <c r="EJ14" s="587">
        <f>ROUND($EH$13*EI14,0)</f>
        <v>22221</v>
      </c>
      <c r="EK14" s="630">
        <f>SUM($EG$14-EJ6+1)</f>
        <v>26</v>
      </c>
      <c r="EL14" s="630">
        <f>ROUND(EJ14*EK14/$EG$14,0)</f>
        <v>18637</v>
      </c>
      <c r="EN14" s="7"/>
      <c r="EP14" s="587">
        <v>2</v>
      </c>
      <c r="EQ14" s="708" t="s">
        <v>658</v>
      </c>
      <c r="ES14" s="3750"/>
      <c r="ET14" s="5577"/>
      <c r="EU14" s="5577"/>
      <c r="FX14" s="2315">
        <v>3</v>
      </c>
      <c r="FY14" s="2316">
        <v>50</v>
      </c>
      <c r="FZ14" s="2317">
        <v>50</v>
      </c>
      <c r="GH14" s="295">
        <v>3</v>
      </c>
      <c r="GI14" s="295" t="s">
        <v>12</v>
      </c>
      <c r="GZ14" s="1482"/>
      <c r="HB14" s="1482"/>
      <c r="HD14" s="1560"/>
      <c r="HE14" s="1560"/>
      <c r="HF14" s="1560"/>
      <c r="HH14" s="1560"/>
      <c r="HI14" s="1560"/>
      <c r="HJ14" s="1560"/>
      <c r="HK14" s="1564"/>
      <c r="HL14" s="1560"/>
      <c r="HM14" s="2326"/>
      <c r="HN14" s="1560"/>
      <c r="HO14" s="1560"/>
      <c r="HP14" s="1560"/>
      <c r="HQ14" s="1560"/>
      <c r="HR14" s="1560"/>
      <c r="HS14" s="1560"/>
      <c r="HT14" s="1560"/>
      <c r="HU14" s="1560"/>
      <c r="HV14" s="1560"/>
      <c r="HW14" s="1560"/>
      <c r="HX14" s="1560"/>
      <c r="HY14" s="1573"/>
      <c r="HZ14" s="1560"/>
      <c r="IA14" s="1560"/>
      <c r="IB14" s="1560"/>
      <c r="IC14" s="1560"/>
      <c r="ID14" s="1560"/>
      <c r="IE14" s="1560"/>
      <c r="IF14" s="1560"/>
      <c r="IG14" s="1560"/>
      <c r="IH14" s="1560"/>
      <c r="II14" s="1560"/>
      <c r="IJ14" s="1560"/>
      <c r="IK14" s="1560"/>
      <c r="IL14" s="1560"/>
      <c r="IM14" s="1560"/>
      <c r="IN14" s="1560"/>
      <c r="IO14" s="1583"/>
      <c r="IP14" s="1560"/>
      <c r="IQ14" s="1560"/>
      <c r="IR14" s="1560"/>
      <c r="IS14" s="1560"/>
      <c r="IT14" s="1560"/>
      <c r="IU14" s="1560"/>
      <c r="IV14" s="1560"/>
      <c r="IW14" s="1560"/>
      <c r="IX14" s="1560"/>
      <c r="IY14" s="1560"/>
      <c r="IZ14" s="1560"/>
      <c r="JA14" s="1560"/>
      <c r="JB14" s="1560"/>
      <c r="JD14" s="1457"/>
      <c r="JF14" s="856">
        <v>1</v>
      </c>
      <c r="JG14" s="1493">
        <f>MIN($JO$14:$JO$97)</f>
        <v>41821</v>
      </c>
      <c r="JH14" s="1494"/>
      <c r="JI14" s="1493">
        <f>MAX($JO$14:$JO$97)</f>
        <v>44228</v>
      </c>
      <c r="JN14" s="1621">
        <v>1</v>
      </c>
      <c r="JO14" s="1622" t="str">
        <f>IF(AND($JM$6&lt;=JR14,JR14&lt;=$JO$6),JR14,"")</f>
        <v/>
      </c>
      <c r="JP14" s="1475"/>
      <c r="JQ14" s="1139">
        <v>1</v>
      </c>
      <c r="JR14" s="1483">
        <v>41699</v>
      </c>
      <c r="JS14" s="831"/>
      <c r="KH14" s="5339" t="s">
        <v>851</v>
      </c>
      <c r="KI14" s="5339"/>
      <c r="KJ14" s="5339"/>
      <c r="KK14" s="5339"/>
      <c r="KL14" s="5339"/>
      <c r="KM14" s="5339"/>
      <c r="KN14" s="5339"/>
      <c r="KO14" s="5339"/>
      <c r="KP14" s="5339"/>
      <c r="KQ14" s="629" t="str">
        <f>KR13</f>
        <v>16-Aug-19</v>
      </c>
      <c r="KR14" s="630">
        <f>KR9</f>
        <v>79800</v>
      </c>
      <c r="KS14" s="766"/>
      <c r="LE14" s="766"/>
      <c r="LF14" s="587" t="s">
        <v>176</v>
      </c>
      <c r="LG14" s="5672" t="s">
        <v>871</v>
      </c>
      <c r="LH14" s="5672"/>
      <c r="LI14" s="5672"/>
      <c r="LJ14" s="5672"/>
      <c r="LK14" s="5672"/>
      <c r="LL14" s="5672"/>
      <c r="LM14" s="5672"/>
      <c r="LN14" s="708"/>
      <c r="MA14" s="834"/>
    </row>
    <row r="15" spans="1:433" ht="24.95" customHeight="1" thickBot="1">
      <c r="A15" s="123"/>
      <c r="B15" s="8"/>
      <c r="C15" s="679"/>
      <c r="D15" s="678"/>
      <c r="E15" s="678"/>
      <c r="F15" s="1718">
        <v>2</v>
      </c>
      <c r="G15" s="5239" t="s">
        <v>1415</v>
      </c>
      <c r="H15" s="5239"/>
      <c r="I15" s="678"/>
      <c r="J15" s="678"/>
      <c r="K15" s="678"/>
      <c r="AA15" s="827">
        <v>2</v>
      </c>
      <c r="AB15" s="827" t="s">
        <v>831</v>
      </c>
      <c r="AC15" s="827">
        <v>11</v>
      </c>
      <c r="AD15" s="691"/>
      <c r="AE15" s="630">
        <v>2</v>
      </c>
      <c r="AF15" s="3184"/>
      <c r="AG15" s="630" t="s">
        <v>411</v>
      </c>
      <c r="AH15" s="720"/>
      <c r="AI15" s="632"/>
      <c r="AJ15" s="632"/>
      <c r="AK15" s="632"/>
      <c r="AL15" s="632"/>
      <c r="AO15" s="712">
        <v>2</v>
      </c>
      <c r="AP15" s="713" t="s">
        <v>412</v>
      </c>
      <c r="AQ15" s="633">
        <v>3</v>
      </c>
      <c r="AR15" s="717" t="s">
        <v>45</v>
      </c>
      <c r="AS15" s="716" t="str">
        <f>CONCATENATE(AR15,"(","0","3",")",)</f>
        <v>Three(03)</v>
      </c>
      <c r="AV15" s="7"/>
      <c r="BI15" s="1"/>
      <c r="BL15" s="5545"/>
      <c r="BM15" s="5545"/>
      <c r="BN15" s="5545"/>
      <c r="BO15" s="5545"/>
      <c r="BP15" s="5545"/>
      <c r="BQ15" s="5545"/>
      <c r="BR15" s="5545"/>
      <c r="BS15" s="5545"/>
      <c r="BT15" s="5545"/>
      <c r="BU15" s="632"/>
      <c r="BV15" s="632"/>
      <c r="BW15" s="766"/>
      <c r="BZ15" s="2247" t="str">
        <f>CONCATENATE(BY13,"-",BZ13,"-",CA13)</f>
        <v>6-Sep-25</v>
      </c>
      <c r="CD15" s="345"/>
      <c r="CE15" s="834"/>
      <c r="CF15" s="2250">
        <f>SUM(CS14+1)</f>
        <v>4</v>
      </c>
      <c r="CG15" s="5554" t="str">
        <f>CONCATENATE("Select the Basic Pay as on", "  ",  DC24, " in the Academic Level","-",CR11)</f>
        <v>Select the Basic Pay as on  Jun-25 in the Academic Level-12</v>
      </c>
      <c r="CH15" s="5555"/>
      <c r="CI15" s="5555"/>
      <c r="CJ15" s="5555"/>
      <c r="CK15" s="5555"/>
      <c r="CL15" s="5555"/>
      <c r="CM15" s="5555"/>
      <c r="CN15" s="5555"/>
      <c r="CO15" s="5555"/>
      <c r="CP15" s="5555"/>
      <c r="CQ15" s="2251">
        <f>LOOKUP(CF15,$BC$47:$BC$58,$BD$47:$BD$58)</f>
        <v>45809</v>
      </c>
      <c r="CR15" s="2244">
        <f>LOOKUP(CS15,$CK$39:$CK$78,$CL$39:$CL$78)</f>
        <v>104100</v>
      </c>
      <c r="CS15" s="2239">
        <v>10</v>
      </c>
      <c r="CT15" s="2235"/>
      <c r="CU15" s="2235"/>
      <c r="CV15" s="834"/>
      <c r="CW15" s="2237"/>
      <c r="CX15" s="834"/>
      <c r="CY15" s="834"/>
      <c r="CZ15" s="834"/>
      <c r="DA15" s="834"/>
      <c r="DB15" s="2217">
        <f>CQ5</f>
        <v>21</v>
      </c>
      <c r="DC15" s="2219">
        <f>MONTH(CR5)</f>
        <v>5</v>
      </c>
      <c r="DD15" s="2219" t="str">
        <f>RIGHT(YEAR(CR5),2)</f>
        <v>24</v>
      </c>
      <c r="DE15" s="345"/>
      <c r="DI15" s="729"/>
      <c r="DJ15" s="729"/>
      <c r="DK15" s="729"/>
      <c r="DL15" s="729"/>
      <c r="DM15" s="729"/>
      <c r="DN15" s="729"/>
      <c r="DO15" s="729"/>
      <c r="DP15" s="729"/>
      <c r="DQ15" s="729"/>
      <c r="DR15" s="632"/>
      <c r="DS15" s="632"/>
      <c r="DX15" s="731" t="str">
        <f>CONCATENATE(DW13,"-",DX13,"-",DY13)</f>
        <v>1-Mar-25</v>
      </c>
      <c r="EB15" s="288"/>
      <c r="EL15" s="587">
        <f>SUM(EL13:EL14)</f>
        <v>19832</v>
      </c>
      <c r="EN15" s="7"/>
      <c r="FX15" s="2315">
        <v>4</v>
      </c>
      <c r="FY15" s="2316">
        <v>100</v>
      </c>
      <c r="FZ15" s="2316">
        <v>100</v>
      </c>
      <c r="GC15" s="294">
        <v>1</v>
      </c>
      <c r="GD15" s="289" t="s">
        <v>409</v>
      </c>
      <c r="GH15" s="295">
        <v>4</v>
      </c>
      <c r="GI15" s="295" t="s">
        <v>13</v>
      </c>
      <c r="GK15" t="s">
        <v>416</v>
      </c>
      <c r="HE15" s="1490"/>
      <c r="HH15" s="1490"/>
      <c r="HK15" s="877"/>
      <c r="HM15" s="2354"/>
      <c r="HN15" s="3010"/>
      <c r="HO15" s="957"/>
      <c r="HP15" s="3010"/>
      <c r="HS15" s="3008"/>
      <c r="HT15" s="1560"/>
      <c r="HV15" s="3008"/>
      <c r="HW15" s="1560"/>
      <c r="HY15" s="843"/>
      <c r="IO15" s="834"/>
      <c r="JD15" s="1457"/>
      <c r="JF15" s="1468"/>
      <c r="JG15" s="1468"/>
      <c r="JH15" s="1468"/>
      <c r="JI15" s="1468"/>
      <c r="JN15" s="1621">
        <v>2</v>
      </c>
      <c r="JO15" s="1622" t="str">
        <f t="shared" ref="JO15:JO78" si="0">IF(AND($JM$6&lt;=JR15,JR15&lt;=$JO$6),JR15,"")</f>
        <v/>
      </c>
      <c r="JP15" s="1475"/>
      <c r="JQ15" s="1139">
        <v>2</v>
      </c>
      <c r="JR15" s="1483">
        <v>41730</v>
      </c>
      <c r="JS15" s="831"/>
      <c r="KH15" s="5342" t="s">
        <v>852</v>
      </c>
      <c r="KI15" s="5342"/>
      <c r="KJ15" s="5342"/>
      <c r="KK15" s="5342"/>
      <c r="KL15" s="5342"/>
      <c r="KM15" s="5342"/>
      <c r="KN15" s="5342"/>
      <c r="KO15" s="5342"/>
      <c r="KP15" s="5342"/>
      <c r="KQ15" s="629" t="str">
        <f>KR13</f>
        <v>16-Aug-19</v>
      </c>
      <c r="KR15" s="911" t="str">
        <f>LOOKUP(KS15,$AA$14:$AA$19,$AB$14:$AB$19)</f>
        <v>Rs.57700-182400</v>
      </c>
      <c r="KS15" s="692">
        <f>KS7</f>
        <v>1</v>
      </c>
      <c r="KW15" s="709" t="str">
        <f>CONCATENATE(KV13,"-",KW13,"-",KX13)</f>
        <v>16-Aug-19</v>
      </c>
      <c r="LE15" s="766"/>
      <c r="LF15" s="587">
        <v>1</v>
      </c>
      <c r="LG15" s="5672" t="s">
        <v>847</v>
      </c>
      <c r="LH15" s="5672"/>
      <c r="LI15" s="5672"/>
      <c r="LJ15" s="5672"/>
      <c r="LK15" s="5672"/>
      <c r="LL15" s="5672"/>
      <c r="LM15" s="628">
        <f>LM10</f>
        <v>43678</v>
      </c>
      <c r="LN15" s="587">
        <f>LN10</f>
        <v>79800</v>
      </c>
      <c r="LT15" s="932" t="str">
        <f>CONCATENATE(LS13,"-",LT13,"-",LU13)</f>
        <v>19-Aug-19</v>
      </c>
      <c r="MA15" s="834"/>
      <c r="MI15" s="5443" t="s">
        <v>417</v>
      </c>
      <c r="MJ15" s="5443"/>
      <c r="MK15" s="5443"/>
      <c r="ML15" s="5443"/>
      <c r="MN15" s="5444" t="s">
        <v>418</v>
      </c>
      <c r="MO15" s="5445"/>
      <c r="MP15" s="5445"/>
      <c r="MQ15" s="5446"/>
      <c r="NV15" s="5691" t="s">
        <v>675</v>
      </c>
      <c r="NW15" s="5691"/>
      <c r="NX15" s="5691"/>
      <c r="NY15" s="5691"/>
      <c r="NZ15" s="5691"/>
      <c r="OA15" s="569" t="str">
        <f>LOOKUP(OB15,$GC$18:$GC$20,$GD$18:$GD$20)</f>
        <v>Self Occupied</v>
      </c>
      <c r="OB15" s="1135">
        <v>1</v>
      </c>
    </row>
    <row r="16" spans="1:433" ht="24.95" customHeight="1">
      <c r="A16" s="123"/>
      <c r="B16" s="8"/>
      <c r="C16" s="679"/>
      <c r="D16" s="678"/>
      <c r="E16" s="678"/>
      <c r="F16" s="678"/>
      <c r="G16" s="678"/>
      <c r="H16" s="678"/>
      <c r="I16" s="678"/>
      <c r="J16" s="678"/>
      <c r="K16" s="678"/>
      <c r="AA16" s="827">
        <v>3</v>
      </c>
      <c r="AB16" s="827" t="s">
        <v>832</v>
      </c>
      <c r="AC16" s="827">
        <v>12</v>
      </c>
      <c r="AD16" s="691"/>
      <c r="AE16" s="692"/>
      <c r="AF16" s="692"/>
      <c r="AV16" s="7"/>
      <c r="BI16" s="1"/>
      <c r="BL16" s="766"/>
      <c r="BM16" s="766"/>
      <c r="BN16" s="766"/>
      <c r="BO16" s="766"/>
      <c r="BP16" s="766"/>
      <c r="BQ16" s="766"/>
      <c r="BR16" s="766"/>
      <c r="BS16" s="766"/>
      <c r="BT16" s="766"/>
      <c r="BU16" s="766"/>
      <c r="BV16" s="766"/>
      <c r="BW16" s="766"/>
      <c r="CD16" s="345"/>
      <c r="CE16" s="841"/>
      <c r="CF16" s="2238"/>
      <c r="CG16" s="2240"/>
      <c r="CH16" s="2241"/>
      <c r="CI16" s="2241"/>
      <c r="CJ16" s="2241"/>
      <c r="CK16" s="2241"/>
      <c r="CL16" s="2241"/>
      <c r="CM16" s="2241"/>
      <c r="CN16" s="2241"/>
      <c r="CO16" s="2241"/>
      <c r="CP16" s="2241"/>
      <c r="CQ16" s="2242"/>
      <c r="CR16" s="2287"/>
      <c r="CS16" s="2243"/>
      <c r="CT16" s="2238"/>
      <c r="CU16" s="2238"/>
      <c r="CV16" s="841"/>
      <c r="CW16" s="841"/>
      <c r="CX16" s="841"/>
      <c r="CY16" s="841"/>
      <c r="CZ16" s="841"/>
      <c r="DA16" s="841"/>
      <c r="DB16" s="2217">
        <f>DB15</f>
        <v>21</v>
      </c>
      <c r="DC16" s="2217" t="str">
        <f>LOOKUP(DC15,$AE$21:$AE$32,$AG$21:$AG$32)</f>
        <v>May</v>
      </c>
      <c r="DD16" s="2217" t="str">
        <f>DD15</f>
        <v>24</v>
      </c>
      <c r="DE16" s="345"/>
      <c r="EB16" s="288"/>
      <c r="EN16" s="7"/>
      <c r="FX16" s="2315">
        <v>5</v>
      </c>
      <c r="FY16" s="2316">
        <v>150</v>
      </c>
      <c r="FZ16" s="2316">
        <v>150</v>
      </c>
      <c r="GC16" s="294">
        <v>2</v>
      </c>
      <c r="GD16" s="293" t="s">
        <v>414</v>
      </c>
      <c r="GZ16" s="1482"/>
      <c r="HB16" s="1482"/>
      <c r="HK16" s="877"/>
      <c r="HM16" s="2326"/>
      <c r="HN16" s="1468"/>
      <c r="HO16" s="1468"/>
      <c r="HP16" s="1468"/>
      <c r="HS16" s="1561"/>
      <c r="HT16" s="1561"/>
      <c r="HV16" s="1561"/>
      <c r="HW16" s="1561"/>
      <c r="HY16" s="843"/>
      <c r="IO16" s="834"/>
      <c r="JD16" s="1457"/>
      <c r="JF16" s="955">
        <v>2</v>
      </c>
      <c r="JG16" s="1491">
        <f>IF(MIN($JO$98:$JO$109)=0,"",MIN($JO$98:$JO$109))</f>
        <v>44256</v>
      </c>
      <c r="JH16" s="1492"/>
      <c r="JI16" s="1491">
        <f>IF(MAX($JO$98:$JO$109)=0,"",MAX($JO$98:$JO$109))</f>
        <v>44317</v>
      </c>
      <c r="JJ16" s="1482"/>
      <c r="JL16" s="1482"/>
      <c r="JN16" s="1621">
        <v>3</v>
      </c>
      <c r="JO16" s="1622" t="str">
        <f t="shared" si="0"/>
        <v/>
      </c>
      <c r="JP16" s="1475"/>
      <c r="JQ16" s="1139">
        <v>3</v>
      </c>
      <c r="JR16" s="1483">
        <v>41760</v>
      </c>
      <c r="JS16" s="831"/>
      <c r="KH16" s="5342" t="s">
        <v>880</v>
      </c>
      <c r="KI16" s="5342"/>
      <c r="KJ16" s="5342"/>
      <c r="KK16" s="5342"/>
      <c r="KL16" s="5342"/>
      <c r="KM16" s="5342"/>
      <c r="KN16" s="5342"/>
      <c r="KO16" s="5342"/>
      <c r="KP16" s="5342"/>
      <c r="KQ16" s="5342"/>
      <c r="KR16" s="911">
        <f>VLOOKUP(KS16,$AA$14:$AC$19,3)</f>
        <v>10</v>
      </c>
      <c r="KS16" s="692">
        <f>KS15</f>
        <v>1</v>
      </c>
      <c r="LE16" s="630">
        <f>LO4</f>
        <v>1</v>
      </c>
      <c r="LF16" s="587">
        <v>2</v>
      </c>
      <c r="LG16" s="5672" t="s">
        <v>872</v>
      </c>
      <c r="LH16" s="5672"/>
      <c r="LI16" s="5672"/>
      <c r="LJ16" s="5672"/>
      <c r="LK16" s="5672"/>
      <c r="LL16" s="5672"/>
      <c r="LM16" s="5672"/>
      <c r="LN16" s="587">
        <f>LN4</f>
        <v>10</v>
      </c>
      <c r="MA16" s="834"/>
      <c r="MI16" s="1143">
        <v>1</v>
      </c>
      <c r="MJ16" s="1144" t="str">
        <f t="shared" ref="MJ16:ML18" si="1">MJ28</f>
        <v>80C</v>
      </c>
      <c r="MK16" s="1145" t="str">
        <f t="shared" si="1"/>
        <v>Tuition Fee for Children</v>
      </c>
      <c r="ML16" s="1146">
        <f t="shared" si="1"/>
        <v>150000</v>
      </c>
      <c r="MM16" s="128">
        <v>1</v>
      </c>
      <c r="MN16" s="658">
        <v>1</v>
      </c>
      <c r="MO16" s="659" t="str">
        <f>MO48</f>
        <v>24(b)</v>
      </c>
      <c r="MP16" s="660" t="str">
        <f>MP48</f>
        <v xml:space="preserve">Interest of Housing Loan </v>
      </c>
      <c r="MQ16" s="661">
        <f>MQ48</f>
        <v>200000</v>
      </c>
      <c r="NV16" s="5704" t="s">
        <v>676</v>
      </c>
      <c r="NW16" s="5704"/>
      <c r="NX16" s="5704"/>
      <c r="NY16" s="5704"/>
      <c r="NZ16" s="5704"/>
      <c r="OA16" s="5701">
        <f>IF(OR($OB$15=2,$OB$15=3),OA23,OA20)</f>
        <v>0</v>
      </c>
      <c r="OB16" s="5702"/>
    </row>
    <row r="17" spans="1:392" ht="24.95" customHeight="1">
      <c r="A17" s="123"/>
      <c r="B17" s="8"/>
      <c r="C17" s="679"/>
      <c r="D17" s="678"/>
      <c r="E17" s="678"/>
      <c r="F17" s="678"/>
      <c r="G17" s="678"/>
      <c r="H17" s="678"/>
      <c r="I17" s="678"/>
      <c r="J17" s="678"/>
      <c r="K17" s="678"/>
      <c r="AA17" s="827">
        <v>4</v>
      </c>
      <c r="AB17" s="827" t="s">
        <v>833</v>
      </c>
      <c r="AC17" s="827" t="s">
        <v>825</v>
      </c>
      <c r="AD17" s="691"/>
      <c r="AE17" s="587" t="s">
        <v>405</v>
      </c>
      <c r="AF17" s="3185"/>
      <c r="AG17" s="587">
        <v>1</v>
      </c>
      <c r="AV17" s="7"/>
      <c r="BI17" s="1"/>
      <c r="BL17" s="766"/>
      <c r="BM17" s="766"/>
      <c r="BN17" s="766"/>
      <c r="BO17" s="766"/>
      <c r="BP17" s="766"/>
      <c r="BQ17" s="766"/>
      <c r="BR17" s="766"/>
      <c r="BS17" s="766"/>
      <c r="BT17" s="766"/>
      <c r="BU17" s="766"/>
      <c r="BV17" s="766"/>
      <c r="BW17" s="766"/>
      <c r="CD17" s="345"/>
      <c r="CF17" s="766"/>
      <c r="CG17" s="766"/>
      <c r="CH17" s="766"/>
      <c r="CI17" s="766"/>
      <c r="CJ17" s="766"/>
      <c r="CK17" s="766"/>
      <c r="CL17" s="766"/>
      <c r="CM17" s="766"/>
      <c r="CN17" s="766"/>
      <c r="CO17" s="766"/>
      <c r="CP17" s="766"/>
      <c r="CQ17" s="766"/>
      <c r="CR17" s="766"/>
      <c r="CS17" s="766"/>
      <c r="CT17" s="766"/>
      <c r="CU17" s="766"/>
      <c r="DE17" s="345"/>
      <c r="EB17" s="288"/>
      <c r="EN17" s="7"/>
      <c r="FX17" s="2315">
        <v>6</v>
      </c>
      <c r="FY17" s="2316">
        <v>200</v>
      </c>
      <c r="FZ17" s="2316">
        <v>200</v>
      </c>
      <c r="HK17" s="877"/>
      <c r="HM17" s="2354"/>
      <c r="HN17" s="1485"/>
      <c r="HO17" s="1458"/>
      <c r="HP17" s="1485"/>
      <c r="HS17" s="1560"/>
      <c r="HT17" s="1560"/>
      <c r="HV17" s="1560"/>
      <c r="HW17" s="1560"/>
      <c r="HY17" s="843"/>
      <c r="IO17" s="834"/>
      <c r="JD17" s="1457"/>
      <c r="JN17" s="1621">
        <v>4</v>
      </c>
      <c r="JO17" s="1622" t="str">
        <f t="shared" si="0"/>
        <v/>
      </c>
      <c r="JP17" s="1475"/>
      <c r="JQ17" s="1139">
        <v>4</v>
      </c>
      <c r="JR17" s="1483">
        <v>41791</v>
      </c>
      <c r="JS17" s="831"/>
      <c r="KH17" s="5338" t="s">
        <v>950</v>
      </c>
      <c r="KI17" s="5339"/>
      <c r="KJ17" s="5339"/>
      <c r="KK17" s="5339"/>
      <c r="KL17" s="5339"/>
      <c r="KM17" s="5339"/>
      <c r="KN17" s="5339"/>
      <c r="KO17" s="5339"/>
      <c r="KP17" s="5339"/>
      <c r="KQ17" s="5339"/>
      <c r="KR17" s="587">
        <v>57700</v>
      </c>
      <c r="KS17" s="766"/>
      <c r="LE17" s="630">
        <f>LO7</f>
        <v>2</v>
      </c>
      <c r="LF17" s="587">
        <v>3</v>
      </c>
      <c r="LG17" s="5672" t="s">
        <v>873</v>
      </c>
      <c r="LH17" s="5672"/>
      <c r="LI17" s="5672"/>
      <c r="LJ17" s="5672"/>
      <c r="LK17" s="5672"/>
      <c r="LL17" s="5672"/>
      <c r="LM17" s="5672"/>
      <c r="LN17" s="587">
        <f>LN7</f>
        <v>11</v>
      </c>
      <c r="MA17" s="834"/>
      <c r="MI17" s="1143">
        <v>1</v>
      </c>
      <c r="MJ17" s="1144" t="str">
        <f t="shared" si="1"/>
        <v>80C</v>
      </c>
      <c r="MK17" s="1145" t="str">
        <f t="shared" si="1"/>
        <v>Principle Amount of Home Loan installments</v>
      </c>
      <c r="ML17" s="1146">
        <f t="shared" si="1"/>
        <v>150000</v>
      </c>
      <c r="MM17" s="128">
        <v>2</v>
      </c>
      <c r="MN17" s="654">
        <v>1</v>
      </c>
      <c r="MO17" s="662" t="str">
        <f t="shared" ref="MO17:MQ19" si="2">MO49</f>
        <v>80EE</v>
      </c>
      <c r="MP17" s="663" t="str">
        <f t="shared" si="2"/>
        <v xml:space="preserve"> Interest on loan taken for residential house property</v>
      </c>
      <c r="MQ17" s="664">
        <f t="shared" si="2"/>
        <v>50000</v>
      </c>
      <c r="NV17" s="5678" t="s">
        <v>677</v>
      </c>
      <c r="NW17" s="5679"/>
      <c r="NX17" s="5679"/>
      <c r="NY17" s="5679"/>
      <c r="NZ17" s="5679"/>
      <c r="OA17" s="5679"/>
      <c r="OB17" s="5680"/>
    </row>
    <row r="18" spans="1:392" ht="24.95" customHeight="1">
      <c r="A18" s="123"/>
      <c r="B18" s="8"/>
      <c r="C18" s="649"/>
      <c r="AA18" s="827">
        <v>5</v>
      </c>
      <c r="AB18" s="827" t="s">
        <v>834</v>
      </c>
      <c r="AC18" s="827">
        <v>14</v>
      </c>
      <c r="AD18" s="691"/>
      <c r="AE18" s="587" t="s">
        <v>411</v>
      </c>
      <c r="AF18" s="3185"/>
      <c r="AG18" s="587">
        <v>2</v>
      </c>
      <c r="AV18" s="7"/>
      <c r="BI18" s="1"/>
      <c r="BL18" s="5337" t="s">
        <v>883</v>
      </c>
      <c r="BM18" s="5337"/>
      <c r="BN18" s="5337"/>
      <c r="BO18" s="5337"/>
      <c r="BP18" s="5337"/>
      <c r="BQ18" s="5337"/>
      <c r="BR18" s="5337"/>
      <c r="BS18" s="5337"/>
      <c r="BT18" s="5337"/>
      <c r="BU18" s="5337"/>
      <c r="BV18" s="587" t="str">
        <f>BV3</f>
        <v>Ph.D</v>
      </c>
      <c r="BW18" s="766"/>
      <c r="CD18" s="345"/>
      <c r="CF18" s="766"/>
      <c r="CG18" s="766"/>
      <c r="CH18" s="766"/>
      <c r="CI18" s="766"/>
      <c r="CJ18" s="766"/>
      <c r="CK18" s="766"/>
      <c r="CL18" s="766"/>
      <c r="CM18" s="766"/>
      <c r="CN18" s="766"/>
      <c r="CO18" s="766"/>
      <c r="CP18" s="766"/>
      <c r="CQ18" s="766"/>
      <c r="CR18" s="766"/>
      <c r="CS18" s="766"/>
      <c r="CT18" s="766"/>
      <c r="CU18" s="766"/>
      <c r="CV18" s="632"/>
      <c r="CW18" s="632"/>
      <c r="CX18" s="692"/>
      <c r="DC18" s="2220" t="str">
        <f>CONCATENATE(DB16,"-",DC16,"-",DD16)</f>
        <v>21-May-24</v>
      </c>
      <c r="DE18" s="345"/>
      <c r="EB18" s="288"/>
      <c r="EN18" s="7"/>
      <c r="FX18" s="2315">
        <v>7</v>
      </c>
      <c r="FY18" s="2316">
        <v>250</v>
      </c>
      <c r="FZ18" s="2316">
        <v>250</v>
      </c>
      <c r="GC18" s="1805">
        <v>1</v>
      </c>
      <c r="GD18" s="1806" t="s">
        <v>690</v>
      </c>
      <c r="GY18" s="955"/>
      <c r="GZ18" s="1482"/>
      <c r="HA18" s="856"/>
      <c r="HB18" s="1482"/>
      <c r="HE18" s="3008"/>
      <c r="HF18" s="1560"/>
      <c r="HH18" s="3008"/>
      <c r="HI18" s="1560"/>
      <c r="HJ18" s="1560"/>
      <c r="HK18" s="1564"/>
      <c r="HL18" s="1560"/>
      <c r="HM18" s="2326"/>
      <c r="HN18" s="1560"/>
      <c r="HO18" s="1560"/>
      <c r="HP18" s="1560"/>
      <c r="HQ18" s="1560"/>
      <c r="HR18" s="1560"/>
      <c r="HS18" s="1490"/>
      <c r="HV18" s="1490"/>
      <c r="HX18" s="1560"/>
      <c r="HY18" s="1573"/>
      <c r="HZ18" s="1560"/>
      <c r="IA18" s="1560"/>
      <c r="IB18" s="1560"/>
      <c r="IC18" s="1560"/>
      <c r="ID18" s="1560"/>
      <c r="IE18" s="1560"/>
      <c r="IF18" s="1560"/>
      <c r="IG18" s="1560"/>
      <c r="IH18" s="1560"/>
      <c r="II18" s="1560"/>
      <c r="IJ18" s="1560"/>
      <c r="IK18" s="1560"/>
      <c r="IL18" s="1560"/>
      <c r="IM18" s="1560"/>
      <c r="IN18" s="1560"/>
      <c r="IO18" s="1583"/>
      <c r="IP18" s="1560"/>
      <c r="IQ18" s="1560"/>
      <c r="IR18" s="1560"/>
      <c r="IS18" s="1560"/>
      <c r="IT18" s="1560"/>
      <c r="IU18" s="1560"/>
      <c r="IV18" s="1560"/>
      <c r="IW18" s="1560"/>
      <c r="IX18" s="1560"/>
      <c r="IY18" s="1560"/>
      <c r="IZ18" s="1560"/>
      <c r="JA18" s="1560"/>
      <c r="JB18" s="1560"/>
      <c r="JD18" s="1457"/>
      <c r="JJ18" s="1482"/>
      <c r="JL18" s="1482"/>
      <c r="JN18" s="1621">
        <v>5</v>
      </c>
      <c r="JO18" s="1622">
        <f t="shared" si="0"/>
        <v>41821</v>
      </c>
      <c r="JP18" s="1475"/>
      <c r="JQ18" s="1139">
        <v>5</v>
      </c>
      <c r="JR18" s="1483">
        <v>41821</v>
      </c>
      <c r="JS18" s="831"/>
      <c r="KH18" s="5338" t="s">
        <v>951</v>
      </c>
      <c r="KI18" s="5339"/>
      <c r="KJ18" s="5339"/>
      <c r="KK18" s="5339"/>
      <c r="KL18" s="5339"/>
      <c r="KM18" s="5339"/>
      <c r="KN18" s="5339"/>
      <c r="KO18" s="5339"/>
      <c r="KP18" s="5339"/>
      <c r="KQ18" s="5339"/>
      <c r="KR18" s="587">
        <v>1740</v>
      </c>
      <c r="KS18" s="766"/>
      <c r="LE18" s="826">
        <f>IF($LE$16=1,MATCH($LN$15,E,0),IF($LE$16=2,MATCH($LN$15,F,0),IF($LE$16=3,MATCH($LN$15,G,0),IF($LE$16=4,MATCH($LN$15,H,0),IF($LE$16=5,MATCH($LN$15,I,0),IF($LE$16=6,MATCH($LN$15,J,0)))))))</f>
        <v>12</v>
      </c>
      <c r="LF18" s="587">
        <v>4</v>
      </c>
      <c r="LG18" s="587">
        <f>SUM(LE18+1)</f>
        <v>13</v>
      </c>
      <c r="LH18" s="5672" t="s">
        <v>874</v>
      </c>
      <c r="LI18" s="5672"/>
      <c r="LJ18" s="5672"/>
      <c r="LK18" s="5672"/>
      <c r="LL18" s="5672"/>
      <c r="LM18" s="587">
        <f>LN16</f>
        <v>10</v>
      </c>
      <c r="LN18" s="587">
        <f>IF($LE$16=1,LOOKUP($LG$18,D,E),IF($LE$16=2,LOOKUP($LG$18,D,F),IF($LE$16=3,LOOKUP($LG$18,D,G),IF($LE$16=4,LOOKUP($LG$18,D,H),IF($LE$16=5,LOOKUP($LG$18,D,I),IF($LE$16=6,LOOKUP($LG$18,D,J)))))))</f>
        <v>82200</v>
      </c>
      <c r="MA18" s="834"/>
      <c r="MI18" s="1143">
        <v>1</v>
      </c>
      <c r="MJ18" s="1144" t="str">
        <f t="shared" si="1"/>
        <v>80C</v>
      </c>
      <c r="MK18" s="1145" t="str">
        <f t="shared" si="1"/>
        <v>LIC Policies premium - Yearly</v>
      </c>
      <c r="ML18" s="1146">
        <f t="shared" si="1"/>
        <v>150000</v>
      </c>
      <c r="MM18" s="128">
        <v>3</v>
      </c>
      <c r="MN18" s="654">
        <v>1</v>
      </c>
      <c r="MO18" s="662" t="str">
        <f t="shared" si="2"/>
        <v>80EEA</v>
      </c>
      <c r="MP18" s="663" t="str">
        <f t="shared" si="2"/>
        <v xml:space="preserve"> Deduction in respect of interest on loan taken for certain house property</v>
      </c>
      <c r="MQ18" s="664">
        <f t="shared" si="2"/>
        <v>150000</v>
      </c>
      <c r="MW18" s="1481"/>
      <c r="MX18" s="1481"/>
      <c r="MY18" s="1481"/>
      <c r="MZ18" s="1481"/>
      <c r="NA18" s="1481"/>
      <c r="NB18" s="1481"/>
      <c r="NC18" s="1481"/>
      <c r="ND18" s="1481"/>
      <c r="NE18" s="1481"/>
      <c r="NF18" s="1468"/>
      <c r="NV18" s="5681"/>
      <c r="NW18" s="5682"/>
      <c r="NX18" s="5682"/>
      <c r="NY18" s="5682"/>
      <c r="NZ18" s="5682"/>
      <c r="OA18" s="5682"/>
      <c r="OB18" s="5683"/>
    </row>
    <row r="19" spans="1:392" ht="24.95" customHeight="1">
      <c r="A19" s="123"/>
      <c r="B19" s="8"/>
      <c r="C19" s="649"/>
      <c r="AA19" s="827">
        <v>6</v>
      </c>
      <c r="AB19" s="827" t="s">
        <v>835</v>
      </c>
      <c r="AC19" s="827">
        <v>15</v>
      </c>
      <c r="AD19" s="693"/>
      <c r="AE19" s="692"/>
      <c r="AF19" s="692"/>
      <c r="AO19" s="955"/>
      <c r="AP19" s="955"/>
      <c r="AR19" s="827" t="s">
        <v>176</v>
      </c>
      <c r="AS19" s="827" t="s">
        <v>182</v>
      </c>
      <c r="AV19" s="7"/>
      <c r="BI19" s="1"/>
      <c r="BL19" s="5339" t="s">
        <v>884</v>
      </c>
      <c r="BM19" s="5339"/>
      <c r="BN19" s="5339"/>
      <c r="BO19" s="5339"/>
      <c r="BP19" s="5339"/>
      <c r="BQ19" s="5339"/>
      <c r="BR19" s="5339"/>
      <c r="BS19" s="5339"/>
      <c r="BT19" s="5339"/>
      <c r="BU19" s="5339"/>
      <c r="BV19" s="629" t="str">
        <f>BZ15</f>
        <v>6-Sep-25</v>
      </c>
      <c r="BW19" s="766"/>
      <c r="CD19" s="345"/>
      <c r="CF19" s="766"/>
      <c r="CG19" s="766"/>
      <c r="CI19" s="5215" t="s">
        <v>1421</v>
      </c>
      <c r="CJ19" s="5216"/>
      <c r="CK19" s="5216"/>
      <c r="CL19" s="5216"/>
      <c r="CM19" s="5216"/>
      <c r="CN19" s="5216"/>
      <c r="CO19" s="5216"/>
      <c r="CP19" s="5216"/>
      <c r="CQ19" s="5218"/>
      <c r="CR19" s="766"/>
      <c r="CS19" s="766"/>
      <c r="CT19" s="766"/>
      <c r="CU19" s="766"/>
      <c r="DE19" s="345"/>
      <c r="DI19" s="5337" t="s">
        <v>859</v>
      </c>
      <c r="DJ19" s="5337"/>
      <c r="DK19" s="5337"/>
      <c r="DL19" s="5337"/>
      <c r="DM19" s="5337"/>
      <c r="DN19" s="5337"/>
      <c r="DO19" s="5337"/>
      <c r="DP19" s="5337"/>
      <c r="DQ19" s="5337"/>
      <c r="DR19" s="5337"/>
      <c r="DS19" s="587" t="str">
        <f>DS3</f>
        <v>Ph.D</v>
      </c>
      <c r="EB19" s="288"/>
      <c r="EN19" s="7"/>
      <c r="FX19" s="2315">
        <v>8</v>
      </c>
      <c r="FY19" s="2316">
        <v>300</v>
      </c>
      <c r="FZ19" s="2316">
        <v>300</v>
      </c>
      <c r="GC19" s="1807">
        <v>2</v>
      </c>
      <c r="GD19" s="1806" t="s">
        <v>689</v>
      </c>
      <c r="GF19" s="124"/>
      <c r="GH19" s="315">
        <v>1</v>
      </c>
      <c r="GI19" s="315" t="s">
        <v>411</v>
      </c>
      <c r="GQ19" s="5782" t="s">
        <v>1722</v>
      </c>
      <c r="GR19" s="5782"/>
      <c r="GS19" s="5782"/>
      <c r="GT19" s="5782"/>
      <c r="GU19" s="5782"/>
      <c r="GV19" s="5782"/>
      <c r="GW19" s="5782"/>
      <c r="HE19" s="1561"/>
      <c r="HF19" s="1561"/>
      <c r="HH19" s="1561"/>
      <c r="HI19" s="1561"/>
      <c r="HJ19" s="1561"/>
      <c r="HK19" s="1565"/>
      <c r="HL19" s="1561"/>
      <c r="HM19" s="2354"/>
      <c r="HN19" s="1561"/>
      <c r="HO19" s="1561"/>
      <c r="HP19" s="1561"/>
      <c r="HQ19" s="1561"/>
      <c r="HR19" s="1561"/>
      <c r="HS19" s="1458"/>
      <c r="HT19" s="1475"/>
      <c r="HU19" s="1475"/>
      <c r="HV19" s="1475"/>
      <c r="HW19" s="1475"/>
      <c r="HX19" s="1561"/>
      <c r="HY19" s="1574"/>
      <c r="HZ19" s="959"/>
      <c r="IA19" s="959"/>
      <c r="IB19" s="1561"/>
      <c r="IC19" s="1561"/>
      <c r="ID19" s="856"/>
      <c r="IE19" s="3010"/>
      <c r="IF19" s="957"/>
      <c r="IG19" s="3010"/>
      <c r="IH19" s="1561"/>
      <c r="II19" s="3008"/>
      <c r="IJ19" s="1560"/>
      <c r="IL19" s="3008"/>
      <c r="IM19" s="1560"/>
      <c r="IN19" s="1560"/>
      <c r="IO19" s="1584"/>
      <c r="IP19" s="1605" t="s">
        <v>176</v>
      </c>
      <c r="IQ19" s="1605" t="s">
        <v>182</v>
      </c>
      <c r="IR19" s="1561"/>
      <c r="IS19" s="856">
        <v>1</v>
      </c>
      <c r="IT19" s="1607">
        <f>MIN($IQ$20:$IQ$61)</f>
        <v>42675</v>
      </c>
      <c r="IU19" s="1608"/>
      <c r="IV19" s="1607">
        <f>MAX($IQ$20:$IQ$61)</f>
        <v>43617</v>
      </c>
      <c r="IW19" s="1561"/>
      <c r="IX19" s="1617" t="s">
        <v>849</v>
      </c>
      <c r="IY19" s="1618" t="s">
        <v>850</v>
      </c>
      <c r="JA19" s="1617" t="s">
        <v>849</v>
      </c>
      <c r="JB19" s="1618" t="s">
        <v>850</v>
      </c>
      <c r="JD19" s="1457"/>
      <c r="JG19" s="733" t="s">
        <v>849</v>
      </c>
      <c r="JH19" s="732" t="s">
        <v>850</v>
      </c>
      <c r="JJ19" s="733" t="s">
        <v>849</v>
      </c>
      <c r="JK19" s="732" t="s">
        <v>850</v>
      </c>
      <c r="JN19" s="1621">
        <v>6</v>
      </c>
      <c r="JO19" s="1622">
        <f t="shared" si="0"/>
        <v>41852</v>
      </c>
      <c r="JP19" s="1475"/>
      <c r="JQ19" s="1139">
        <v>6</v>
      </c>
      <c r="JR19" s="1483">
        <v>41852</v>
      </c>
      <c r="JS19" s="831"/>
      <c r="KH19" s="5467" t="s">
        <v>856</v>
      </c>
      <c r="KI19" s="5328"/>
      <c r="KJ19" s="5328"/>
      <c r="KK19" s="5328"/>
      <c r="KL19" s="5328"/>
      <c r="KM19" s="5328"/>
      <c r="KN19" s="5328"/>
      <c r="KO19" s="5328"/>
      <c r="KP19" s="5329"/>
      <c r="KQ19" s="587" t="str">
        <f>KR12</f>
        <v>Ph.D</v>
      </c>
      <c r="KR19" s="587">
        <f>KR4</f>
        <v>3</v>
      </c>
      <c r="KS19" s="766"/>
      <c r="LE19" s="766"/>
      <c r="LF19" s="587">
        <v>5</v>
      </c>
      <c r="LG19" s="5672" t="s">
        <v>875</v>
      </c>
      <c r="LH19" s="5672"/>
      <c r="LI19" s="5672"/>
      <c r="LJ19" s="5672"/>
      <c r="LK19" s="5672"/>
      <c r="LL19" s="5672"/>
      <c r="LM19" s="628">
        <f>LO9</f>
        <v>43678</v>
      </c>
      <c r="LN19" s="724">
        <f>IF($LE$17=1,LOOKUP(MATCH($LN$18,O,-1),N,O),IF($LE$17=2,LOOKUP(MATCH($LN$18,P,-1),N,P),IF($LE$17=3,LOOKUP(MATCH($LN$18,Q,-1),N,Q),IF($LE$17=4,LOOKUP(MATCH($LN$18,RR,-1),N,RR),IF($LE$17=5,LOOKUP(MATCH($LN$18,S,-1),N,S),IF($LE$17=6,LOOKUP(MATCH($LN$18,T,-1),N,T)))))))</f>
        <v>82300</v>
      </c>
      <c r="MA19" s="834"/>
      <c r="MI19" s="1147">
        <v>21</v>
      </c>
      <c r="MJ19" s="1148" t="str">
        <f>LOOKUP(MI19,$MI$32:$MI$66,$MJ$32:$MJ$66)</f>
        <v>80C</v>
      </c>
      <c r="MK19" s="1149" t="str">
        <f>LOOKUP(MI19,$MI$32:$MI$66,$MK$32:$MK$66)</f>
        <v>SBI  Life Insurance</v>
      </c>
      <c r="ML19" s="1150">
        <f>LOOKUP(MI19,$MI$32:$MI$66,$ML$32:$ML$66)</f>
        <v>150000</v>
      </c>
      <c r="MM19" s="128">
        <v>4</v>
      </c>
      <c r="MN19" s="654">
        <v>1</v>
      </c>
      <c r="MO19" s="665" t="str">
        <f t="shared" si="2"/>
        <v>80E</v>
      </c>
      <c r="MP19" s="663" t="str">
        <f>MP51</f>
        <v xml:space="preserve">Interest  on loan taken for higher Educational </v>
      </c>
      <c r="MQ19" s="664">
        <f t="shared" si="2"/>
        <v>0</v>
      </c>
      <c r="NI19" s="630">
        <v>1</v>
      </c>
      <c r="NJ19" s="1718" t="s">
        <v>407</v>
      </c>
      <c r="NV19" s="5703" t="s">
        <v>678</v>
      </c>
      <c r="NW19" s="5703"/>
      <c r="NX19" s="5703"/>
      <c r="NY19" s="5703"/>
      <c r="NZ19" s="5703"/>
      <c r="OA19" s="5684">
        <f>IF($OB$15=1,'Data Sheet-III '!X15,0)</f>
        <v>0</v>
      </c>
      <c r="OB19" s="5685"/>
    </row>
    <row r="20" spans="1:392" ht="24.95" customHeight="1">
      <c r="A20" s="123"/>
      <c r="B20" s="8"/>
      <c r="C20" s="649"/>
      <c r="AJ20" s="5381" t="s">
        <v>891</v>
      </c>
      <c r="AK20" s="5382"/>
      <c r="AL20" s="5382"/>
      <c r="AO20" s="955"/>
      <c r="AP20" s="1437"/>
      <c r="AR20" s="827">
        <v>1</v>
      </c>
      <c r="AS20" s="1450">
        <v>44378</v>
      </c>
      <c r="AV20" s="7"/>
      <c r="BI20" s="1"/>
      <c r="BL20" s="5339" t="s">
        <v>851</v>
      </c>
      <c r="BM20" s="5339"/>
      <c r="BN20" s="5339"/>
      <c r="BO20" s="5339"/>
      <c r="BP20" s="5339"/>
      <c r="BQ20" s="5339"/>
      <c r="BR20" s="5339"/>
      <c r="BS20" s="5339"/>
      <c r="BT20" s="5339"/>
      <c r="BU20" s="629" t="str">
        <f>BV19</f>
        <v>6-Sep-25</v>
      </c>
      <c r="BV20" s="630">
        <f>BV9</f>
        <v>98300</v>
      </c>
      <c r="BW20" s="766"/>
      <c r="CD20" s="345"/>
      <c r="CF20" s="766"/>
      <c r="CG20" s="766"/>
      <c r="CH20" s="766"/>
      <c r="CI20" s="5219" t="s">
        <v>1422</v>
      </c>
      <c r="CJ20" s="5219"/>
      <c r="CK20" s="5219"/>
      <c r="CL20" s="5219"/>
      <c r="CM20" s="5219"/>
      <c r="CN20" s="5219"/>
      <c r="CO20" s="5219"/>
      <c r="CP20" s="5219"/>
      <c r="CQ20" s="5219"/>
      <c r="CR20" s="766"/>
      <c r="CS20" s="766"/>
      <c r="CT20" s="766"/>
      <c r="CU20" s="766"/>
      <c r="CV20" s="728"/>
      <c r="CW20" s="728"/>
      <c r="CX20" s="728"/>
      <c r="CY20" s="725"/>
      <c r="DB20" s="2217" t="s">
        <v>848</v>
      </c>
      <c r="DC20" s="2218" t="s">
        <v>849</v>
      </c>
      <c r="DD20" s="2217" t="s">
        <v>850</v>
      </c>
      <c r="DE20" s="345"/>
      <c r="DI20" s="5339" t="s">
        <v>858</v>
      </c>
      <c r="DJ20" s="5339"/>
      <c r="DK20" s="5339"/>
      <c r="DL20" s="5339"/>
      <c r="DM20" s="5339"/>
      <c r="DN20" s="5339"/>
      <c r="DO20" s="5339"/>
      <c r="DP20" s="5339"/>
      <c r="DQ20" s="5339"/>
      <c r="DR20" s="5339"/>
      <c r="DS20" s="629" t="str">
        <f>DX15</f>
        <v>1-Mar-25</v>
      </c>
      <c r="EB20" s="288"/>
      <c r="EN20" s="7"/>
      <c r="GC20" s="1805">
        <v>3</v>
      </c>
      <c r="GD20" s="1808" t="s">
        <v>1320</v>
      </c>
      <c r="GH20" s="315">
        <v>2</v>
      </c>
      <c r="GI20" s="315" t="s">
        <v>405</v>
      </c>
      <c r="GQ20" s="5783"/>
      <c r="GR20" s="5784"/>
      <c r="GS20" s="5784"/>
      <c r="GT20" s="5784"/>
      <c r="GU20" s="5784"/>
      <c r="GV20" s="5784"/>
      <c r="GW20" s="5785"/>
      <c r="GY20" s="955"/>
      <c r="GZ20" s="1482"/>
      <c r="HA20" s="856"/>
      <c r="HB20" s="3009"/>
      <c r="HE20" s="1560"/>
      <c r="HF20" s="1560"/>
      <c r="HH20" s="1560"/>
      <c r="HI20" s="1560"/>
      <c r="HJ20" s="1560"/>
      <c r="HK20" s="1564"/>
      <c r="HL20" s="959"/>
      <c r="HM20" s="2326"/>
      <c r="HN20" s="1560" t="s">
        <v>1187</v>
      </c>
      <c r="HO20" s="1560"/>
      <c r="HP20" s="1560"/>
      <c r="HQ20" s="1560"/>
      <c r="HR20" s="1560"/>
      <c r="HS20" s="1458"/>
      <c r="HT20" s="1475"/>
      <c r="HU20" s="1475"/>
      <c r="HV20" s="1475"/>
      <c r="HW20" s="1475"/>
      <c r="HX20" s="1560"/>
      <c r="HY20" s="1573"/>
      <c r="HZ20" s="856"/>
      <c r="IA20" s="1482"/>
      <c r="IB20" s="1560"/>
      <c r="IC20" s="1560"/>
      <c r="ID20" s="1468"/>
      <c r="IE20" s="1468"/>
      <c r="IF20" s="1468"/>
      <c r="IG20" s="1468"/>
      <c r="IH20" s="1560"/>
      <c r="II20" s="1561"/>
      <c r="IJ20" s="1561"/>
      <c r="IL20" s="1561"/>
      <c r="IM20" s="1561"/>
      <c r="IN20" s="1561"/>
      <c r="IO20" s="1583"/>
      <c r="IP20" s="1550">
        <v>1</v>
      </c>
      <c r="IQ20" s="1604" t="str">
        <f t="shared" ref="IQ20:IQ51" si="3">IF(AND($IX$6&lt;=HM102,HM102&lt;=$IZ$6),HM102,"")</f>
        <v/>
      </c>
      <c r="IR20" s="1560"/>
      <c r="IS20" s="1468"/>
      <c r="IT20" s="1468"/>
      <c r="IU20" s="1468"/>
      <c r="IV20" s="1468"/>
      <c r="IW20" s="1560"/>
      <c r="IX20" s="1619">
        <f>MONTH(IT19)</f>
        <v>11</v>
      </c>
      <c r="IY20" s="1619" t="str">
        <f>RIGHT(YEAR(IT19),2)</f>
        <v>16</v>
      </c>
      <c r="JA20" s="1619">
        <f>MONTH(IV19)</f>
        <v>6</v>
      </c>
      <c r="JB20" s="1619" t="str">
        <f>RIGHT(YEAR(IV19),2)</f>
        <v>19</v>
      </c>
      <c r="JD20" s="1457"/>
      <c r="JG20" s="734">
        <f>MONTH(JG14)</f>
        <v>7</v>
      </c>
      <c r="JH20" s="734" t="str">
        <f>RIGHT(YEAR(JG14),2)</f>
        <v>14</v>
      </c>
      <c r="JJ20" s="734">
        <f>MONTH(JI14)</f>
        <v>2</v>
      </c>
      <c r="JK20" s="734" t="str">
        <f>RIGHT(YEAR(JI14),2)</f>
        <v>21</v>
      </c>
      <c r="JL20" s="1482"/>
      <c r="JN20" s="1621">
        <v>7</v>
      </c>
      <c r="JO20" s="1622">
        <f t="shared" si="0"/>
        <v>41883</v>
      </c>
      <c r="JP20" s="1475"/>
      <c r="JQ20" s="1139">
        <v>7</v>
      </c>
      <c r="JR20" s="1483">
        <v>41883</v>
      </c>
      <c r="JS20" s="831"/>
      <c r="KH20" s="5468" t="str">
        <f>CONCATENATE("After Adding"," ",KL24," ","Incentive Increments for"," ",KQ19," ","Qualification",".","Then Pay will become")</f>
        <v>After Adding Three(03) Incentive Increments for Ph.D Qualification.Then Pay will become</v>
      </c>
      <c r="KI20" s="5469"/>
      <c r="KJ20" s="5469"/>
      <c r="KK20" s="5469"/>
      <c r="KL20" s="5469"/>
      <c r="KM20" s="5469"/>
      <c r="KN20" s="5469"/>
      <c r="KO20" s="5469"/>
      <c r="KP20" s="5469"/>
      <c r="KQ20" s="5470"/>
      <c r="KR20" s="587">
        <f>SUM(KR14+KR18*KR19)</f>
        <v>85020</v>
      </c>
      <c r="KS20" s="766"/>
      <c r="LE20" s="766"/>
      <c r="LF20" s="587">
        <v>6</v>
      </c>
      <c r="LG20" s="5342" t="s">
        <v>876</v>
      </c>
      <c r="LH20" s="5342"/>
      <c r="LI20" s="5342"/>
      <c r="LJ20" s="5342"/>
      <c r="LK20" s="5342"/>
      <c r="LL20" s="5342"/>
      <c r="LM20" s="5342"/>
      <c r="LN20" s="727"/>
      <c r="MA20" s="834"/>
      <c r="MI20" s="1147">
        <v>2</v>
      </c>
      <c r="MJ20" s="1148" t="str">
        <f t="shared" ref="MJ20:MJ22" si="4">LOOKUP(MI20,$MI$32:$MI$66,$MJ$32:$MJ$66)</f>
        <v>80C</v>
      </c>
      <c r="MK20" s="1149" t="str">
        <f t="shared" ref="MK20:MK23" si="5">LOOKUP(MI20,$MI$32:$MI$66,$MK$32:$MK$66)</f>
        <v>Public Provident Fund</v>
      </c>
      <c r="ML20" s="1150">
        <f t="shared" ref="ML20:ML22" si="6">LOOKUP(MI20,$MI$32:$MI$66,$ML$32:$ML$66)</f>
        <v>150000</v>
      </c>
      <c r="MM20" s="128">
        <v>5</v>
      </c>
      <c r="MN20" s="666">
        <v>1</v>
      </c>
      <c r="MO20" s="667" t="s">
        <v>432</v>
      </c>
      <c r="MP20" s="668" t="s">
        <v>1285</v>
      </c>
      <c r="MQ20" s="667">
        <f>NP13</f>
        <v>0</v>
      </c>
      <c r="NI20" s="630">
        <v>2</v>
      </c>
      <c r="NJ20" s="1718" t="s">
        <v>405</v>
      </c>
      <c r="NV20" s="5696" t="s">
        <v>679</v>
      </c>
      <c r="NW20" s="5697"/>
      <c r="NX20" s="5697"/>
      <c r="NY20" s="5697"/>
      <c r="NZ20" s="5698"/>
      <c r="OA20" s="5692">
        <f>MAX(-200000,SUM(0-OA19))</f>
        <v>0</v>
      </c>
      <c r="OB20" s="5693"/>
    </row>
    <row r="21" spans="1:392" ht="34.5" customHeight="1">
      <c r="A21" s="123"/>
      <c r="B21" s="8"/>
      <c r="C21" s="649"/>
      <c r="AE21" s="295">
        <v>1</v>
      </c>
      <c r="AF21" s="3186"/>
      <c r="AG21" s="289" t="s">
        <v>445</v>
      </c>
      <c r="AJ21" s="2308" t="s">
        <v>176</v>
      </c>
      <c r="AK21" s="1718" t="s">
        <v>1429</v>
      </c>
      <c r="AL21" s="1743"/>
      <c r="AP21" s="1437"/>
      <c r="AR21" s="827">
        <v>2</v>
      </c>
      <c r="AS21" s="1450">
        <v>44409</v>
      </c>
      <c r="AV21" s="7"/>
      <c r="BI21" s="1"/>
      <c r="BL21" s="5540" t="s">
        <v>852</v>
      </c>
      <c r="BM21" s="5340"/>
      <c r="BN21" s="5340"/>
      <c r="BO21" s="5340"/>
      <c r="BP21" s="5340"/>
      <c r="BQ21" s="5340"/>
      <c r="BR21" s="5340"/>
      <c r="BS21" s="5340"/>
      <c r="BT21" s="5341"/>
      <c r="BU21" s="628" t="str">
        <f>BV19</f>
        <v>6-Sep-25</v>
      </c>
      <c r="BV21" s="587" t="str">
        <f>BV7</f>
        <v>Rs.68900-205500</v>
      </c>
      <c r="BW21" s="692">
        <f>BW7</f>
        <v>2</v>
      </c>
      <c r="CD21" s="345"/>
      <c r="CF21" s="766"/>
      <c r="CG21" s="766"/>
      <c r="CH21" s="766"/>
      <c r="CI21" s="1718" t="s">
        <v>176</v>
      </c>
      <c r="CJ21" s="5219" t="s">
        <v>871</v>
      </c>
      <c r="CK21" s="5219"/>
      <c r="CL21" s="5219"/>
      <c r="CM21" s="5219"/>
      <c r="CN21" s="5219"/>
      <c r="CO21" s="5219"/>
      <c r="CP21" s="5219"/>
      <c r="CQ21" s="2291"/>
      <c r="CR21" s="766"/>
      <c r="CS21" s="766"/>
      <c r="CT21" s="766"/>
      <c r="CU21" s="766"/>
      <c r="DB21" s="2217">
        <v>1</v>
      </c>
      <c r="DC21" s="2219">
        <f>MONTH(CQ15)</f>
        <v>6</v>
      </c>
      <c r="DD21" s="2219" t="str">
        <f>RIGHT(YEAR(CQ15),2)</f>
        <v>25</v>
      </c>
      <c r="DE21" s="345"/>
      <c r="DI21" s="5482" t="s">
        <v>879</v>
      </c>
      <c r="DJ21" s="5483"/>
      <c r="DK21" s="5483"/>
      <c r="DL21" s="5483"/>
      <c r="DM21" s="5483"/>
      <c r="DN21" s="5483"/>
      <c r="DO21" s="5483"/>
      <c r="DP21" s="5483"/>
      <c r="DQ21" s="5484"/>
      <c r="DR21" s="629" t="str">
        <f>DS20</f>
        <v>1-Mar-25</v>
      </c>
      <c r="DS21" s="630">
        <f ca="1">DS9</f>
        <v>101100</v>
      </c>
      <c r="EB21" s="288"/>
      <c r="EN21" s="7"/>
      <c r="FX21" s="294">
        <v>1</v>
      </c>
      <c r="FY21" s="289" t="s">
        <v>407</v>
      </c>
      <c r="FZ21" s="289">
        <v>0</v>
      </c>
      <c r="GC21" s="9"/>
      <c r="GD21" s="124"/>
      <c r="GQ21" s="3020">
        <v>1</v>
      </c>
      <c r="GR21" s="5238" t="s">
        <v>1718</v>
      </c>
      <c r="GS21" s="5238"/>
      <c r="GT21" s="5238"/>
      <c r="GU21" s="5238"/>
      <c r="GV21" s="3705"/>
      <c r="GW21" s="3294" t="str">
        <f>GI6</f>
        <v>Non-Metro</v>
      </c>
      <c r="HE21" s="1490"/>
      <c r="HH21" s="1490"/>
      <c r="HK21" s="877"/>
      <c r="HL21" s="856"/>
      <c r="HM21" s="2354"/>
      <c r="HS21" s="3008"/>
      <c r="HT21" s="1560"/>
      <c r="HV21" s="3008"/>
      <c r="HW21" s="1560"/>
      <c r="HY21" s="843"/>
      <c r="HZ21" s="856"/>
      <c r="IA21" s="1482"/>
      <c r="ID21" s="955"/>
      <c r="IE21" s="1485"/>
      <c r="IF21" s="1458"/>
      <c r="IG21" s="1485"/>
      <c r="II21" s="1560"/>
      <c r="IJ21" s="1560"/>
      <c r="IL21" s="1560"/>
      <c r="IM21" s="1560"/>
      <c r="IN21" s="1560"/>
      <c r="IO21" s="834"/>
      <c r="IP21" s="1550">
        <v>2</v>
      </c>
      <c r="IQ21" s="1604" t="str">
        <f t="shared" si="3"/>
        <v/>
      </c>
      <c r="IS21" s="955"/>
      <c r="IT21" s="1485"/>
      <c r="IU21" s="1458"/>
      <c r="IV21" s="1485"/>
      <c r="IX21" s="1618" t="str">
        <f>LOOKUP(IX20,$AE$21:$AE$32,$AG$21:$AG$32)</f>
        <v>Nov</v>
      </c>
      <c r="IY21" s="1618" t="str">
        <f>IY20</f>
        <v>16</v>
      </c>
      <c r="JA21" s="1618" t="str">
        <f>LOOKUP(JA20,$AE$21:$AE$32,$AG$21:$AG$32)</f>
        <v>Jun</v>
      </c>
      <c r="JB21" s="1618" t="str">
        <f>JB20</f>
        <v>19</v>
      </c>
      <c r="JD21" s="1457"/>
      <c r="JG21" s="732" t="str">
        <f>LOOKUP(JG20,$AE$21:$AE$32,$AG$21:$AG$32)</f>
        <v>Jul</v>
      </c>
      <c r="JH21" s="732" t="str">
        <f>JH20</f>
        <v>14</v>
      </c>
      <c r="JJ21" s="732" t="str">
        <f>LOOKUP(JJ20,$AE$21:$AE$32,$AG$21:$AG$32)</f>
        <v>Feb</v>
      </c>
      <c r="JK21" s="732" t="str">
        <f>JK20</f>
        <v>21</v>
      </c>
      <c r="JL21" s="126"/>
      <c r="JN21" s="1621">
        <v>8</v>
      </c>
      <c r="JO21" s="1622">
        <f t="shared" si="0"/>
        <v>41913</v>
      </c>
      <c r="JP21" s="1475"/>
      <c r="JQ21" s="1139">
        <v>8</v>
      </c>
      <c r="JR21" s="1483">
        <v>41913</v>
      </c>
      <c r="JS21" s="831"/>
      <c r="KH21" s="5467" t="str">
        <f>KH10</f>
        <v>After Sanction of Incentive Increments for Ph.D Qualification ,The Payas on 16-Aug-19  will be fixed  at</v>
      </c>
      <c r="KI21" s="5328"/>
      <c r="KJ21" s="5328"/>
      <c r="KK21" s="5328"/>
      <c r="KL21" s="5328"/>
      <c r="KM21" s="5328"/>
      <c r="KN21" s="5328"/>
      <c r="KO21" s="5328"/>
      <c r="KP21" s="5328"/>
      <c r="KQ21" s="910" t="str">
        <f>KR13</f>
        <v>16-Aug-19</v>
      </c>
      <c r="KR21" s="768">
        <f>IF($KS$15=1,LOOKUP(MATCH($KR$20,O,-1),N,O),IF($KS$15=2,LOOKUP(MATCH($KR$20,P,-1),N,P),IF($KS$15=3,LOOKUP(MATCH($KR$20,Q,-1),N,Q),IF($KS$15=4,LOOKUP(MATCH($KR$20,RR,-1),N,RR),IF($KS$15=5,LOOKUP(MATCH($KR$20,S,-1),N,S),IF($KS$15=6,LOOKUP(MATCH($KR$20,T,-1),N,T)))))))</f>
        <v>87200</v>
      </c>
      <c r="KS21" s="766"/>
      <c r="MA21" s="834"/>
      <c r="MI21" s="1147">
        <v>15</v>
      </c>
      <c r="MJ21" s="1148" t="str">
        <f t="shared" si="4"/>
        <v>80C</v>
      </c>
      <c r="MK21" s="1149" t="str">
        <f t="shared" si="5"/>
        <v>HDFC Life Insurance</v>
      </c>
      <c r="ML21" s="1150">
        <f t="shared" si="6"/>
        <v>150000</v>
      </c>
      <c r="MM21" s="128">
        <v>6</v>
      </c>
      <c r="MN21" s="669">
        <v>1</v>
      </c>
      <c r="MO21" s="667" t="s">
        <v>426</v>
      </c>
      <c r="MP21" s="1739" t="s">
        <v>1286</v>
      </c>
      <c r="MQ21" s="667">
        <f>OB2</f>
        <v>0</v>
      </c>
      <c r="NI21" s="587">
        <v>3</v>
      </c>
      <c r="NJ21" s="1719" t="s">
        <v>411</v>
      </c>
      <c r="NV21" s="562"/>
      <c r="NW21" s="563"/>
      <c r="NX21" s="563"/>
      <c r="NY21" s="563"/>
      <c r="NZ21" s="563"/>
      <c r="OA21" s="5694">
        <f>IF(ABS(OA20)&gt;=200000,-200000,OA20)</f>
        <v>0</v>
      </c>
      <c r="OB21" s="5695"/>
    </row>
    <row r="22" spans="1:392" ht="24.95" customHeight="1">
      <c r="A22" s="123"/>
      <c r="B22" s="8"/>
      <c r="C22" s="649"/>
      <c r="V22" s="649"/>
      <c r="AA22" s="721" t="s">
        <v>176</v>
      </c>
      <c r="AB22" s="854" t="s">
        <v>860</v>
      </c>
      <c r="AE22" s="295">
        <v>2</v>
      </c>
      <c r="AF22" s="3186"/>
      <c r="AG22" s="289" t="s">
        <v>447</v>
      </c>
      <c r="AJ22" s="2309">
        <v>1</v>
      </c>
      <c r="AK22" s="2310">
        <v>0.08</v>
      </c>
      <c r="AL22" s="2311"/>
      <c r="AP22" s="1437"/>
      <c r="AR22" s="827">
        <v>3</v>
      </c>
      <c r="AS22" s="1450">
        <v>44440</v>
      </c>
      <c r="AV22" s="7"/>
      <c r="BI22" s="1"/>
      <c r="BL22" s="5342" t="s">
        <v>880</v>
      </c>
      <c r="BM22" s="5342"/>
      <c r="BN22" s="5342"/>
      <c r="BO22" s="5342"/>
      <c r="BP22" s="5342"/>
      <c r="BQ22" s="5342"/>
      <c r="BR22" s="5342"/>
      <c r="BS22" s="5342"/>
      <c r="BT22" s="5342"/>
      <c r="BU22" s="5342"/>
      <c r="BV22" s="587">
        <f>BV8</f>
        <v>11</v>
      </c>
      <c r="BW22" s="692">
        <f>BW8</f>
        <v>2</v>
      </c>
      <c r="CD22" s="345"/>
      <c r="CF22" s="766"/>
      <c r="CG22" s="766"/>
      <c r="CH22" s="766"/>
      <c r="CI22" s="1718">
        <v>1</v>
      </c>
      <c r="CJ22" s="5219" t="s">
        <v>847</v>
      </c>
      <c r="CK22" s="5219"/>
      <c r="CL22" s="5219"/>
      <c r="CM22" s="5219"/>
      <c r="CN22" s="5219"/>
      <c r="CO22" s="5219"/>
      <c r="CP22" s="2292" t="str">
        <f>DC18</f>
        <v>21-May-24</v>
      </c>
      <c r="CQ22" s="1718">
        <f>CR7</f>
        <v>98300</v>
      </c>
      <c r="CR22" s="766"/>
      <c r="CS22" s="766"/>
      <c r="CT22" s="766"/>
      <c r="CU22" s="766"/>
      <c r="CV22" s="729"/>
      <c r="CW22" s="729"/>
      <c r="CX22" s="729"/>
      <c r="CY22" s="725"/>
      <c r="CZ22" s="725"/>
      <c r="DB22" s="2217">
        <f>DB21</f>
        <v>1</v>
      </c>
      <c r="DC22" s="2217" t="str">
        <f>LOOKUP(DC21,$AE$21:$AE$32,$AG$21:$AG$32)</f>
        <v>Jun</v>
      </c>
      <c r="DD22" s="2217" t="str">
        <f>DD21</f>
        <v>25</v>
      </c>
      <c r="DE22" s="345"/>
      <c r="DI22" s="5342" t="s">
        <v>878</v>
      </c>
      <c r="DJ22" s="5342"/>
      <c r="DK22" s="5342"/>
      <c r="DL22" s="5342"/>
      <c r="DM22" s="5342"/>
      <c r="DN22" s="5342"/>
      <c r="DO22" s="5342"/>
      <c r="DP22" s="5342"/>
      <c r="DQ22" s="5342"/>
      <c r="DR22" s="629" t="str">
        <f>DS20</f>
        <v>1-Mar-25</v>
      </c>
      <c r="DS22" s="630" t="str">
        <f>DS7</f>
        <v>Rs.79800-211500</v>
      </c>
      <c r="DT22" s="692">
        <f>DT8</f>
        <v>3</v>
      </c>
      <c r="EB22" s="288"/>
      <c r="EN22" s="7"/>
      <c r="FX22" s="294">
        <v>2</v>
      </c>
      <c r="FY22" s="289" t="s">
        <v>541</v>
      </c>
      <c r="FZ22" s="289">
        <f>ROUND(FZ26/$FX$26,0)</f>
        <v>2743</v>
      </c>
      <c r="GC22" s="5614" t="s">
        <v>201</v>
      </c>
      <c r="GD22" s="5614"/>
      <c r="GE22" s="5614"/>
      <c r="GF22" s="5614"/>
      <c r="GG22" s="5614"/>
      <c r="GH22" s="746" t="e">
        <f>LOOKUP(GI22,GH19:GH20,GI19:GI20)</f>
        <v>#N/A</v>
      </c>
      <c r="GI22" s="1138">
        <v>0</v>
      </c>
      <c r="GQ22" s="3031">
        <v>2</v>
      </c>
      <c r="GR22" s="5774" t="s">
        <v>1723</v>
      </c>
      <c r="GS22" s="5774"/>
      <c r="GT22" s="5774"/>
      <c r="GU22" s="5774"/>
      <c r="GV22" s="3705">
        <v>2</v>
      </c>
      <c r="GW22" s="3706">
        <f>'Anexure-I'!F41</f>
        <v>89334</v>
      </c>
      <c r="HK22" s="877"/>
      <c r="HL22" s="856"/>
      <c r="HM22" s="2326"/>
      <c r="HS22" s="1561"/>
      <c r="HT22" s="1561"/>
      <c r="HV22" s="1561"/>
      <c r="HW22" s="1561"/>
      <c r="HY22" s="843"/>
      <c r="HZ22" s="856"/>
      <c r="IA22" s="1482"/>
      <c r="II22" s="1490"/>
      <c r="IL22" s="1490"/>
      <c r="IO22" s="834"/>
      <c r="IP22" s="1550">
        <v>3</v>
      </c>
      <c r="IQ22" s="1604" t="str">
        <f t="shared" si="3"/>
        <v/>
      </c>
      <c r="IX22" s="1620" t="str">
        <f>CONCATENATE(IX21,"-",IY21)</f>
        <v>Nov-16</v>
      </c>
      <c r="JA22" s="1620" t="str">
        <f>CONCATENATE(JA21,"-",JB21)</f>
        <v>Jun-19</v>
      </c>
      <c r="JD22" s="1457"/>
      <c r="JG22" s="1454" t="str">
        <f>CONCATENATE(JG21,"-",JH21)</f>
        <v>Jul-14</v>
      </c>
      <c r="JJ22" s="1454" t="str">
        <f>CONCATENATE(JJ21,"-",JK21)</f>
        <v>Feb-21</v>
      </c>
      <c r="JL22" s="1485"/>
      <c r="JN22" s="1621">
        <v>9</v>
      </c>
      <c r="JO22" s="1622">
        <f t="shared" si="0"/>
        <v>41944</v>
      </c>
      <c r="JP22" s="1475"/>
      <c r="JQ22" s="1139">
        <v>9</v>
      </c>
      <c r="JR22" s="1483">
        <v>41944</v>
      </c>
      <c r="JS22" s="831"/>
      <c r="KH22" s="766"/>
      <c r="KI22" s="766"/>
      <c r="KJ22" s="766"/>
      <c r="KK22" s="766"/>
      <c r="KL22" s="766"/>
      <c r="KM22" s="766"/>
      <c r="KN22" s="766"/>
      <c r="KO22" s="766"/>
      <c r="KP22" s="766"/>
      <c r="KQ22" s="769"/>
      <c r="KR22" s="769"/>
      <c r="KS22" s="766"/>
      <c r="MA22" s="834"/>
      <c r="MI22" s="1151">
        <v>17</v>
      </c>
      <c r="MJ22" s="1148" t="str">
        <f t="shared" si="4"/>
        <v>80C</v>
      </c>
      <c r="MK22" s="1149" t="str">
        <f t="shared" si="5"/>
        <v>Max NewYark Life Insurance</v>
      </c>
      <c r="ML22" s="1150">
        <f t="shared" si="6"/>
        <v>150000</v>
      </c>
      <c r="MM22" s="128">
        <v>7</v>
      </c>
      <c r="MN22" s="669">
        <v>1</v>
      </c>
      <c r="MO22" s="667" t="s">
        <v>435</v>
      </c>
      <c r="MP22" s="668" t="s">
        <v>1287</v>
      </c>
      <c r="MQ22" s="667">
        <f>OB5</f>
        <v>0</v>
      </c>
      <c r="NV22" s="564"/>
      <c r="NW22" s="565"/>
      <c r="NX22" s="565"/>
      <c r="NY22" s="565"/>
      <c r="NZ22" s="565"/>
      <c r="OA22" s="565"/>
      <c r="OB22" s="566"/>
    </row>
    <row r="23" spans="1:392" ht="24.95" customHeight="1">
      <c r="A23" s="123"/>
      <c r="B23" s="8"/>
      <c r="C23" s="649"/>
      <c r="V23" s="649"/>
      <c r="AA23" s="824">
        <v>1</v>
      </c>
      <c r="AB23" s="839" t="s">
        <v>407</v>
      </c>
      <c r="AE23" s="295">
        <v>3</v>
      </c>
      <c r="AF23" s="3186"/>
      <c r="AG23" s="289" t="s">
        <v>449</v>
      </c>
      <c r="AJ23" s="2309">
        <v>2</v>
      </c>
      <c r="AK23" s="2310">
        <v>0.09</v>
      </c>
      <c r="AL23" s="2311"/>
      <c r="AP23" s="1437"/>
      <c r="AR23" s="827">
        <v>4</v>
      </c>
      <c r="AS23" s="1450">
        <v>44470</v>
      </c>
      <c r="AV23" s="7"/>
      <c r="BI23" s="1"/>
      <c r="BL23" s="5339" t="s">
        <v>881</v>
      </c>
      <c r="BM23" s="5339"/>
      <c r="BN23" s="5339"/>
      <c r="BO23" s="5339"/>
      <c r="BP23" s="5339"/>
      <c r="BQ23" s="5339"/>
      <c r="BR23" s="5339"/>
      <c r="BS23" s="5339"/>
      <c r="BT23" s="5339"/>
      <c r="BU23" s="5339"/>
      <c r="BV23" s="587">
        <v>57700</v>
      </c>
      <c r="BW23" s="766"/>
      <c r="CD23" s="345"/>
      <c r="CF23" s="766"/>
      <c r="CG23" s="766"/>
      <c r="CH23" s="2293">
        <f>CS4</f>
        <v>2</v>
      </c>
      <c r="CI23" s="1718">
        <v>2</v>
      </c>
      <c r="CJ23" s="5219" t="s">
        <v>872</v>
      </c>
      <c r="CK23" s="5219"/>
      <c r="CL23" s="5219"/>
      <c r="CM23" s="5219"/>
      <c r="CN23" s="5219"/>
      <c r="CO23" s="5219"/>
      <c r="CP23" s="5219"/>
      <c r="CQ23" s="1718">
        <f>CR4</f>
        <v>11</v>
      </c>
      <c r="CR23" s="766"/>
      <c r="CS23" s="766"/>
      <c r="CT23" s="766"/>
      <c r="CU23" s="766"/>
      <c r="CV23" s="5608"/>
      <c r="CW23" s="5608"/>
      <c r="CX23" s="5608"/>
      <c r="CY23" s="725"/>
      <c r="DE23" s="345"/>
      <c r="DI23" s="5342" t="s">
        <v>853</v>
      </c>
      <c r="DJ23" s="5342"/>
      <c r="DK23" s="5342"/>
      <c r="DL23" s="5342"/>
      <c r="DM23" s="5342"/>
      <c r="DN23" s="5342"/>
      <c r="DO23" s="5342"/>
      <c r="DP23" s="5342"/>
      <c r="DQ23" s="5342"/>
      <c r="DR23" s="5342"/>
      <c r="DS23" s="587">
        <f>DS8</f>
        <v>12</v>
      </c>
      <c r="DT23" s="692">
        <f>DT8</f>
        <v>3</v>
      </c>
      <c r="EB23" s="288"/>
      <c r="EN23" s="7"/>
      <c r="FX23" s="294">
        <v>3</v>
      </c>
      <c r="FY23" s="289" t="s">
        <v>540</v>
      </c>
      <c r="FZ23" s="289">
        <f>ROUND(FZ26/60,0)</f>
        <v>1372</v>
      </c>
      <c r="GQ23" s="3031">
        <v>3</v>
      </c>
      <c r="GR23" s="3018" t="s">
        <v>1724</v>
      </c>
      <c r="GS23" s="3018"/>
      <c r="GT23" s="5786" t="str">
        <f>'Old Tax Regime'!I11</f>
        <v xml:space="preserve"> Rent@19200/- PM</v>
      </c>
      <c r="GU23" s="5787"/>
      <c r="GV23" s="3705">
        <v>2</v>
      </c>
      <c r="GW23" s="3707">
        <f>SUM(12*GZ23)</f>
        <v>230400</v>
      </c>
      <c r="GZ23" s="3212">
        <f>IF($GE$6=2,"",IF(AND($GE$6=1,'Old Tax Regime'!S15&gt;0),'Old Tax Regime'!S15,'Old Tax Regime'!AF16))</f>
        <v>19200</v>
      </c>
      <c r="HK23" s="877"/>
      <c r="HL23" s="856"/>
      <c r="HM23" s="2354"/>
      <c r="HS23" s="1560"/>
      <c r="HT23" s="1560"/>
      <c r="HV23" s="1560"/>
      <c r="HW23" s="1560"/>
      <c r="HY23" s="843"/>
      <c r="HZ23" s="856"/>
      <c r="IA23" s="1482"/>
      <c r="IO23" s="834"/>
      <c r="IP23" s="1550">
        <v>4</v>
      </c>
      <c r="IQ23" s="1604" t="str">
        <f t="shared" si="3"/>
        <v/>
      </c>
      <c r="JD23" s="1457"/>
      <c r="JG23" s="1458"/>
      <c r="JH23" s="1475"/>
      <c r="JI23" s="1475"/>
      <c r="JJ23" s="1475"/>
      <c r="JK23" s="1475"/>
      <c r="JL23" s="1475"/>
      <c r="JN23" s="1621">
        <v>10</v>
      </c>
      <c r="JO23" s="1622">
        <f t="shared" si="0"/>
        <v>41974</v>
      </c>
      <c r="JP23" s="1475"/>
      <c r="JQ23" s="1139">
        <v>10</v>
      </c>
      <c r="JR23" s="1483">
        <v>41974</v>
      </c>
      <c r="JS23" s="831"/>
      <c r="KH23" s="766"/>
      <c r="KI23" s="766"/>
      <c r="KJ23" s="766"/>
      <c r="KK23" s="766"/>
      <c r="KL23" s="766"/>
      <c r="KM23" s="766"/>
      <c r="KN23" s="766"/>
      <c r="KO23" s="766"/>
      <c r="KP23" s="766"/>
      <c r="KQ23" s="766"/>
      <c r="KR23" s="766"/>
      <c r="KS23" s="766"/>
      <c r="LG23" s="859" t="str">
        <f>CONCATENATE("After  Award of CAS "," ,","Pay as on"," ",LT15," "," will be fixed at")</f>
        <v>After  Award of CAS  ,Pay as on 19-Aug-19  will be fixed at</v>
      </c>
      <c r="MA23" s="834"/>
      <c r="MI23" s="1147">
        <v>22</v>
      </c>
      <c r="MJ23" s="1148" t="s">
        <v>319</v>
      </c>
      <c r="MK23" s="1149" t="str">
        <f t="shared" si="5"/>
        <v>ICICI Life Insurance</v>
      </c>
      <c r="ML23" s="1152">
        <v>150000</v>
      </c>
      <c r="MM23" s="128">
        <v>8</v>
      </c>
      <c r="MN23" s="669">
        <v>1</v>
      </c>
      <c r="MO23" s="667" t="s">
        <v>429</v>
      </c>
      <c r="MP23" s="668" t="s">
        <v>1288</v>
      </c>
      <c r="MQ23" s="667">
        <f>OM2</f>
        <v>0</v>
      </c>
      <c r="NV23" s="5696" t="s">
        <v>680</v>
      </c>
      <c r="NW23" s="5697"/>
      <c r="NX23" s="5697"/>
      <c r="NY23" s="5697"/>
      <c r="NZ23" s="5698"/>
      <c r="OA23" s="5699">
        <f>IF(OA31&lt;0,MAX(OA31,-200000),OA31)</f>
        <v>0</v>
      </c>
      <c r="OB23" s="5700"/>
    </row>
    <row r="24" spans="1:392" ht="24.95" customHeight="1">
      <c r="A24" s="123"/>
      <c r="B24" s="8"/>
      <c r="C24" s="649"/>
      <c r="V24" s="649"/>
      <c r="AA24" s="824">
        <v>2</v>
      </c>
      <c r="AB24" s="855" t="s">
        <v>861</v>
      </c>
      <c r="AE24" s="295">
        <v>4</v>
      </c>
      <c r="AF24" s="3186"/>
      <c r="AG24" s="289" t="s">
        <v>451</v>
      </c>
      <c r="AJ24" s="2309">
        <v>3</v>
      </c>
      <c r="AK24" s="2310">
        <v>0.16</v>
      </c>
      <c r="AL24" s="2311"/>
      <c r="AP24" s="1437"/>
      <c r="AR24" s="827">
        <v>5</v>
      </c>
      <c r="AS24" s="1450">
        <v>44501</v>
      </c>
      <c r="AV24" s="7"/>
      <c r="BI24" s="1"/>
      <c r="BL24" s="5339" t="s">
        <v>882</v>
      </c>
      <c r="BM24" s="5339"/>
      <c r="BN24" s="5339"/>
      <c r="BO24" s="5339"/>
      <c r="BP24" s="5339"/>
      <c r="BQ24" s="5339"/>
      <c r="BR24" s="5339"/>
      <c r="BS24" s="5339"/>
      <c r="BT24" s="5339"/>
      <c r="BU24" s="5339"/>
      <c r="BV24" s="3463">
        <v>1700</v>
      </c>
      <c r="BW24" s="766"/>
      <c r="CD24" s="345"/>
      <c r="CF24" s="766"/>
      <c r="CG24" s="766"/>
      <c r="CH24" s="2293">
        <f>CS11</f>
        <v>3</v>
      </c>
      <c r="CI24" s="1718">
        <v>3</v>
      </c>
      <c r="CJ24" s="5219" t="s">
        <v>873</v>
      </c>
      <c r="CK24" s="5219"/>
      <c r="CL24" s="5219"/>
      <c r="CM24" s="5219"/>
      <c r="CN24" s="5219"/>
      <c r="CO24" s="5219"/>
      <c r="CP24" s="5219"/>
      <c r="CQ24" s="1718">
        <f>CR11</f>
        <v>12</v>
      </c>
      <c r="CR24" s="766"/>
      <c r="CS24" s="766"/>
      <c r="CT24" s="766"/>
      <c r="CU24" s="766"/>
      <c r="CV24" s="126"/>
      <c r="CW24" s="126"/>
      <c r="CX24" s="126"/>
      <c r="CY24" s="725"/>
      <c r="DC24" s="2247" t="str">
        <f>CONCATENATE(DC22,"-",DD22)</f>
        <v>Jun-25</v>
      </c>
      <c r="DE24" s="345"/>
      <c r="DI24" s="5339" t="s">
        <v>854</v>
      </c>
      <c r="DJ24" s="5339"/>
      <c r="DK24" s="5339"/>
      <c r="DL24" s="5339"/>
      <c r="DM24" s="5339"/>
      <c r="DN24" s="5339"/>
      <c r="DO24" s="5339"/>
      <c r="DP24" s="5339"/>
      <c r="DQ24" s="5339"/>
      <c r="DR24" s="5339"/>
      <c r="DS24" s="587">
        <v>57700</v>
      </c>
      <c r="EB24" s="288"/>
      <c r="EN24" s="7"/>
      <c r="GQ24" s="3031">
        <v>4</v>
      </c>
      <c r="GR24" s="5774" t="s">
        <v>1725</v>
      </c>
      <c r="GS24" s="5774"/>
      <c r="GT24" s="5774"/>
      <c r="GU24" s="5774"/>
      <c r="GV24" s="3705">
        <v>2</v>
      </c>
      <c r="GW24" s="3706">
        <f>SUM(GW25+GW26)</f>
        <v>1406400</v>
      </c>
      <c r="HK24" s="877"/>
      <c r="HL24" s="856"/>
      <c r="HM24" s="2326"/>
      <c r="HS24" s="1490"/>
      <c r="HV24" s="1490"/>
      <c r="HY24" s="843"/>
      <c r="HZ24" s="856"/>
      <c r="IA24" s="1482"/>
      <c r="IO24" s="834"/>
      <c r="IP24" s="1550">
        <v>5</v>
      </c>
      <c r="IQ24" s="1604" t="str">
        <f t="shared" si="3"/>
        <v/>
      </c>
      <c r="JD24" s="1457"/>
      <c r="JG24" s="1458"/>
      <c r="JH24" s="1475"/>
      <c r="JI24" s="1475"/>
      <c r="JJ24" s="1475"/>
      <c r="JK24" s="1475"/>
      <c r="JL24" s="1475"/>
      <c r="JN24" s="1621">
        <v>11</v>
      </c>
      <c r="JO24" s="1622">
        <f t="shared" si="0"/>
        <v>42005</v>
      </c>
      <c r="JP24" s="1475"/>
      <c r="JQ24" s="1139">
        <v>11</v>
      </c>
      <c r="JR24" s="1483">
        <v>42005</v>
      </c>
      <c r="JS24" s="831"/>
      <c r="KH24" s="718"/>
      <c r="KI24" s="719" t="str">
        <f>KQ19</f>
        <v>Ph.D</v>
      </c>
      <c r="KJ24" s="719">
        <f>KR19</f>
        <v>3</v>
      </c>
      <c r="KK24" s="719" t="str">
        <f>LOOKUP(KJ24,$AQ$14:$AQ$15,$AR$14:$AR$15)</f>
        <v>Three</v>
      </c>
      <c r="KL24" s="719" t="str">
        <f>LOOKUP(KJ24,$AQ$14:$AQ$15,$AS$14:$AS$15)</f>
        <v>Three(03)</v>
      </c>
      <c r="KM24" s="766"/>
      <c r="MA24" s="834"/>
      <c r="MI24" s="1153">
        <v>1</v>
      </c>
      <c r="MJ24" s="1154" t="str">
        <f>LOOKUP(MI24,MI73:MI73,MJ73:MJ73)</f>
        <v>80CCD(1B)</v>
      </c>
      <c r="MK24" s="1155" t="str">
        <f>LOOKUP(MI24,MI73:MI73,MK73:MK73)</f>
        <v xml:space="preserve">Contribution to National Pension Scheme (NPS) of Central Government </v>
      </c>
      <c r="ML24" s="1156">
        <f>LOOKUP(MI24,MI73:MI73,ML73:ML73)</f>
        <v>50000</v>
      </c>
      <c r="MM24" s="128">
        <v>9</v>
      </c>
      <c r="MN24" s="669">
        <v>1</v>
      </c>
      <c r="MO24" s="667" t="s">
        <v>529</v>
      </c>
      <c r="MP24" s="668" t="s">
        <v>1296</v>
      </c>
      <c r="MQ24" s="669"/>
      <c r="NV24" s="5645" t="s">
        <v>681</v>
      </c>
      <c r="NW24" s="5645"/>
      <c r="NX24" s="5645"/>
      <c r="NY24" s="5645"/>
      <c r="NZ24" s="5645"/>
      <c r="OA24" s="5668">
        <f>IF(OR($OB$15=2,$OB$15=3),'Data Sheet-III '!X9,0)</f>
        <v>0</v>
      </c>
      <c r="OB24" s="5669"/>
    </row>
    <row r="25" spans="1:392" ht="24.95" customHeight="1">
      <c r="A25" s="123"/>
      <c r="B25" s="8"/>
      <c r="C25" s="649"/>
      <c r="V25" s="649"/>
      <c r="AA25" s="824">
        <v>3</v>
      </c>
      <c r="AB25" s="855" t="s">
        <v>862</v>
      </c>
      <c r="AE25" s="295">
        <v>5</v>
      </c>
      <c r="AF25" s="3186"/>
      <c r="AG25" s="289" t="s">
        <v>181</v>
      </c>
      <c r="AJ25" s="2309">
        <v>4</v>
      </c>
      <c r="AK25" s="2310">
        <v>0.18</v>
      </c>
      <c r="AL25" s="2312"/>
      <c r="AP25" s="1437"/>
      <c r="AR25" s="827">
        <v>6</v>
      </c>
      <c r="AS25" s="1450">
        <v>44531</v>
      </c>
      <c r="AV25" s="7"/>
      <c r="BI25" s="1"/>
      <c r="BL25" s="5467" t="s">
        <v>856</v>
      </c>
      <c r="BM25" s="5328"/>
      <c r="BN25" s="5328"/>
      <c r="BO25" s="5328"/>
      <c r="BP25" s="5328"/>
      <c r="BQ25" s="5328"/>
      <c r="BR25" s="5328"/>
      <c r="BS25" s="5328"/>
      <c r="BT25" s="5329"/>
      <c r="BU25" s="587" t="str">
        <f>BV18</f>
        <v>Ph.D</v>
      </c>
      <c r="BV25" s="587">
        <f>BV4</f>
        <v>3</v>
      </c>
      <c r="BW25" s="766"/>
      <c r="CD25" s="345"/>
      <c r="CF25" s="766"/>
      <c r="CG25" s="766"/>
      <c r="CH25" s="5298"/>
      <c r="CI25" s="5299"/>
      <c r="CJ25" s="5300" t="s">
        <v>1423</v>
      </c>
      <c r="CK25" s="5301"/>
      <c r="CL25" s="5301"/>
      <c r="CM25" s="5301"/>
      <c r="CN25" s="5301"/>
      <c r="CO25" s="5301"/>
      <c r="CP25" s="5302"/>
      <c r="CQ25" s="2294" t="str">
        <f>CR12</f>
        <v>Date of Promotion</v>
      </c>
      <c r="CR25" s="766"/>
      <c r="CS25" s="766"/>
      <c r="CT25" s="766"/>
      <c r="CU25" s="766"/>
      <c r="CV25" s="298"/>
      <c r="DE25" s="345"/>
      <c r="DI25" s="5339" t="s">
        <v>855</v>
      </c>
      <c r="DJ25" s="5339"/>
      <c r="DK25" s="5339"/>
      <c r="DL25" s="5339"/>
      <c r="DM25" s="5339"/>
      <c r="DN25" s="5339"/>
      <c r="DO25" s="5339"/>
      <c r="DP25" s="5339"/>
      <c r="DQ25" s="5339"/>
      <c r="DR25" s="5339"/>
      <c r="DS25" s="3463">
        <v>1700</v>
      </c>
      <c r="EB25" s="288"/>
      <c r="EN25" s="7"/>
      <c r="GC25" s="294">
        <v>1</v>
      </c>
      <c r="GD25" s="289" t="s">
        <v>1720</v>
      </c>
      <c r="GQ25" s="3031" t="s">
        <v>1729</v>
      </c>
      <c r="GR25" s="5774" t="s">
        <v>1726</v>
      </c>
      <c r="GS25" s="5774"/>
      <c r="GT25" s="5774"/>
      <c r="GU25" s="5774"/>
      <c r="GV25" s="3705">
        <v>2</v>
      </c>
      <c r="GW25" s="3706">
        <f>'Anexure-I'!C41</f>
        <v>992600</v>
      </c>
      <c r="HK25" s="877"/>
      <c r="HL25" s="856"/>
      <c r="HM25" s="2354"/>
      <c r="HY25" s="843"/>
      <c r="HZ25" s="856"/>
      <c r="IA25" s="1482"/>
      <c r="IO25" s="834"/>
      <c r="IP25" s="1550">
        <v>6</v>
      </c>
      <c r="IQ25" s="1604" t="str">
        <f t="shared" si="3"/>
        <v/>
      </c>
      <c r="JD25" s="1457"/>
      <c r="JF25" s="1474"/>
      <c r="JG25" s="733" t="s">
        <v>849</v>
      </c>
      <c r="JH25" s="732" t="s">
        <v>850</v>
      </c>
      <c r="JJ25" s="733" t="s">
        <v>849</v>
      </c>
      <c r="JK25" s="732" t="s">
        <v>850</v>
      </c>
      <c r="JL25" s="1475"/>
      <c r="JN25" s="1621">
        <v>12</v>
      </c>
      <c r="JO25" s="1622">
        <f t="shared" si="0"/>
        <v>42036</v>
      </c>
      <c r="JP25" s="1475"/>
      <c r="JQ25" s="1139">
        <v>12</v>
      </c>
      <c r="JR25" s="1483">
        <v>42036</v>
      </c>
      <c r="JS25" s="831"/>
      <c r="MA25" s="834"/>
      <c r="MI25" s="2592"/>
      <c r="MJ25" s="2593"/>
      <c r="MK25" s="2594"/>
      <c r="ML25" s="2595"/>
      <c r="MM25" s="128">
        <v>10</v>
      </c>
      <c r="MN25" s="662">
        <v>1</v>
      </c>
      <c r="MO25" s="662" t="s">
        <v>1294</v>
      </c>
      <c r="MP25" s="1742" t="s">
        <v>1295</v>
      </c>
      <c r="MQ25" s="670"/>
      <c r="NV25" s="5645" t="s">
        <v>682</v>
      </c>
      <c r="NW25" s="5645"/>
      <c r="NX25" s="5645"/>
      <c r="NY25" s="5645"/>
      <c r="NZ25" s="5645"/>
      <c r="OA25" s="5668">
        <f>IF(OR($OB$15=2,$OB$15=3),'Data Sheet-III '!X10,0)</f>
        <v>0</v>
      </c>
      <c r="OB25" s="5669"/>
    </row>
    <row r="26" spans="1:392" ht="24.95" customHeight="1">
      <c r="A26" s="123"/>
      <c r="B26" s="8"/>
      <c r="C26" s="649"/>
      <c r="V26" s="649"/>
      <c r="AA26" s="824">
        <v>4</v>
      </c>
      <c r="AB26" s="855" t="s">
        <v>863</v>
      </c>
      <c r="AE26" s="295">
        <v>6</v>
      </c>
      <c r="AF26" s="3186"/>
      <c r="AG26" s="289" t="s">
        <v>454</v>
      </c>
      <c r="AJ26" s="2309">
        <v>5</v>
      </c>
      <c r="AK26" s="2310">
        <v>0.24</v>
      </c>
      <c r="AL26" s="2312"/>
      <c r="AR26" s="827">
        <v>7</v>
      </c>
      <c r="AS26" s="1450">
        <v>44562</v>
      </c>
      <c r="AV26" s="7"/>
      <c r="BI26" s="1"/>
      <c r="BL26" s="5468" t="str">
        <f>CONCATENATE("After Adding"," ",BP30," ","Incentive Increments for"," ",BU25," ","Qualification",".","Then Pay will become")</f>
        <v>After Adding Three(03) Incentive Increments for Ph.D Qualification.Then Pay will become</v>
      </c>
      <c r="BM26" s="5469"/>
      <c r="BN26" s="5469"/>
      <c r="BO26" s="5469"/>
      <c r="BP26" s="5469"/>
      <c r="BQ26" s="5469"/>
      <c r="BR26" s="5469"/>
      <c r="BS26" s="5469"/>
      <c r="BT26" s="5469"/>
      <c r="BU26" s="5470"/>
      <c r="BV26" s="587">
        <f>SUM(BV20+BV24*BV25)</f>
        <v>103400</v>
      </c>
      <c r="BW26" s="766"/>
      <c r="CD26" s="345"/>
      <c r="CF26" s="766"/>
      <c r="CG26" s="766"/>
      <c r="CH26" s="2295">
        <f>MATCH(CQ22,$CG$39:$CG$78,0)</f>
        <v>13</v>
      </c>
      <c r="CI26" s="1718">
        <v>4</v>
      </c>
      <c r="CJ26" s="1718">
        <f>SUM(CH26+1)</f>
        <v>14</v>
      </c>
      <c r="CK26" s="5303" t="s">
        <v>1424</v>
      </c>
      <c r="CL26" s="5303"/>
      <c r="CM26" s="5303"/>
      <c r="CN26" s="5303"/>
      <c r="CO26" s="5303"/>
      <c r="CP26" s="1718">
        <f>CQ23</f>
        <v>11</v>
      </c>
      <c r="CQ26" s="1718">
        <f>LOOKUP(CJ26,$CF$39:$CF$78,$CG$39:$CG$78)</f>
        <v>101200</v>
      </c>
      <c r="CR26" s="766"/>
      <c r="CS26" s="766"/>
      <c r="CT26" s="766"/>
      <c r="CU26" s="766"/>
      <c r="CV26" s="298"/>
      <c r="CW26" s="726"/>
      <c r="CZ26" s="725"/>
      <c r="DE26" s="345"/>
      <c r="DI26" s="5467" t="s">
        <v>856</v>
      </c>
      <c r="DJ26" s="5328"/>
      <c r="DK26" s="5328"/>
      <c r="DL26" s="5328"/>
      <c r="DM26" s="5328"/>
      <c r="DN26" s="5328"/>
      <c r="DO26" s="5328"/>
      <c r="DP26" s="5328"/>
      <c r="DQ26" s="5329"/>
      <c r="DR26" s="587" t="str">
        <f>DS19</f>
        <v>Ph.D</v>
      </c>
      <c r="DS26" s="587">
        <f>DS4</f>
        <v>3</v>
      </c>
      <c r="EB26" s="288"/>
      <c r="EN26" s="7"/>
      <c r="FX26" s="587">
        <f>INDEX(AY47:AY58,MATCH(FY26,$AX$47:$AX$58,0))</f>
        <v>30</v>
      </c>
      <c r="FY26" s="628">
        <v>45901</v>
      </c>
      <c r="FZ26" s="2313">
        <f>LOOKUP(FY26,$J$108:$J$119,$W$108:$W$119)</f>
        <v>82300</v>
      </c>
      <c r="GC26" s="294">
        <v>2</v>
      </c>
      <c r="GD26" s="293" t="s">
        <v>1721</v>
      </c>
      <c r="GQ26" s="3031" t="s">
        <v>1730</v>
      </c>
      <c r="GR26" s="5774" t="s">
        <v>1727</v>
      </c>
      <c r="GS26" s="5774"/>
      <c r="GT26" s="5774"/>
      <c r="GU26" s="5774"/>
      <c r="GV26" s="3705">
        <v>2</v>
      </c>
      <c r="GW26" s="3706">
        <f>'Anexure-I'!E41</f>
        <v>413800</v>
      </c>
      <c r="HK26" s="877"/>
      <c r="HL26" s="856"/>
      <c r="HM26" s="2326"/>
      <c r="HY26" s="843"/>
      <c r="HZ26" s="856"/>
      <c r="IA26" s="1482"/>
      <c r="ID26" s="856"/>
      <c r="IE26" s="3011"/>
      <c r="IF26" s="2326"/>
      <c r="IG26" s="3011"/>
      <c r="II26" s="3008"/>
      <c r="IJ26" s="1560"/>
      <c r="IL26" s="3008"/>
      <c r="IM26" s="1560"/>
      <c r="IO26" s="834"/>
      <c r="IP26" s="1550">
        <v>7</v>
      </c>
      <c r="IQ26" s="1604" t="str">
        <f t="shared" si="3"/>
        <v/>
      </c>
      <c r="IS26" s="856">
        <v>2</v>
      </c>
      <c r="IT26" s="1611">
        <f>IF(MIN($IQ$62:$IQ$81)=0,"",MIN($IQ$62:$IQ$81))</f>
        <v>43647</v>
      </c>
      <c r="IU26" s="1612"/>
      <c r="IV26" s="1611">
        <f>IF(MAX($IQ$62:$IQ$81)=0,"",MAX($IQ$62:$IQ$81))</f>
        <v>44228</v>
      </c>
      <c r="IX26" s="1601" t="s">
        <v>849</v>
      </c>
      <c r="IY26" s="1602" t="s">
        <v>850</v>
      </c>
      <c r="JA26" s="1601" t="s">
        <v>849</v>
      </c>
      <c r="JB26" s="1602" t="s">
        <v>850</v>
      </c>
      <c r="JD26" s="1457"/>
      <c r="JF26" s="1474"/>
      <c r="JG26" s="734">
        <f>MONTH(JG16)</f>
        <v>3</v>
      </c>
      <c r="JH26" s="734" t="str">
        <f>RIGHT(YEAR(JG16),2)</f>
        <v>21</v>
      </c>
      <c r="JJ26" s="734">
        <f>MONTH(JI16)</f>
        <v>5</v>
      </c>
      <c r="JK26" s="734" t="str">
        <f>RIGHT(YEAR(JI16),2)</f>
        <v>21</v>
      </c>
      <c r="JL26" s="1475"/>
      <c r="JN26" s="1621">
        <v>13</v>
      </c>
      <c r="JO26" s="1622">
        <f t="shared" si="0"/>
        <v>42064</v>
      </c>
      <c r="JP26" s="1475"/>
      <c r="JQ26" s="1139">
        <v>13</v>
      </c>
      <c r="JR26" s="1483">
        <v>42064</v>
      </c>
      <c r="JS26" s="831"/>
      <c r="MA26" s="834"/>
      <c r="MI26" s="1740"/>
      <c r="MJ26" s="445"/>
      <c r="MK26" s="446"/>
      <c r="ML26" s="581"/>
      <c r="MM26" s="128">
        <v>11</v>
      </c>
      <c r="MN26" s="1743">
        <v>3</v>
      </c>
      <c r="MO26" s="1743" t="str">
        <f>LOOKUP(MN26,$MN$56:$MN$58,$MO$56:$MO$58)</f>
        <v>80GGC</v>
      </c>
      <c r="MP26" s="1744" t="str">
        <f>LOOKUP(MN26,$MN$56:$MN$58,$MP$56:$MP$58)</f>
        <v>100% Deduction of  Donation Amount to Political Party or Electrol Trusts</v>
      </c>
      <c r="MQ26" s="1743">
        <f>IF(OR($MN$26=1,$MN$26=3),MR26,IF($MN$26=2,ROUND(50%*MR26,0)))</f>
        <v>0</v>
      </c>
      <c r="MR26" s="1688">
        <f>'Data Sheet-III '!O51</f>
        <v>0</v>
      </c>
      <c r="NV26" s="5645" t="s">
        <v>683</v>
      </c>
      <c r="NW26" s="5645"/>
      <c r="NX26" s="5645"/>
      <c r="NY26" s="5645"/>
      <c r="NZ26" s="5645"/>
      <c r="OA26" s="5668">
        <f>IF(OR($OB$15=2,$OB$15=3),'Data Sheet-III '!X11,0)</f>
        <v>0</v>
      </c>
      <c r="OB26" s="5669"/>
    </row>
    <row r="27" spans="1:392" ht="24.95" customHeight="1">
      <c r="A27" s="123"/>
      <c r="B27" s="8"/>
      <c r="C27" s="649"/>
      <c r="V27" s="649"/>
      <c r="AA27" s="824">
        <v>5</v>
      </c>
      <c r="AB27" s="855" t="s">
        <v>864</v>
      </c>
      <c r="AE27" s="295">
        <v>7</v>
      </c>
      <c r="AF27" s="3186"/>
      <c r="AG27" s="289" t="s">
        <v>456</v>
      </c>
      <c r="AJ27" s="2309">
        <v>6</v>
      </c>
      <c r="AK27" s="2310">
        <v>0.27</v>
      </c>
      <c r="AL27" s="2311"/>
      <c r="AR27" s="827">
        <v>8</v>
      </c>
      <c r="AS27" s="1450">
        <v>44593</v>
      </c>
      <c r="AV27" s="7"/>
      <c r="BI27" s="1"/>
      <c r="BL27" s="5529" t="str">
        <f>BL11</f>
        <v>After Sanction of Incentive Increments for Ph.D Qualification .The Pay will be fixed as on</v>
      </c>
      <c r="BM27" s="5530"/>
      <c r="BN27" s="5530"/>
      <c r="BO27" s="5530"/>
      <c r="BP27" s="5530"/>
      <c r="BQ27" s="5530"/>
      <c r="BR27" s="5530"/>
      <c r="BS27" s="5530"/>
      <c r="BT27" s="5530"/>
      <c r="BU27" s="767" t="str">
        <f>BV19</f>
        <v>6-Sep-25</v>
      </c>
      <c r="BV27" s="768">
        <f>IF($BW$21=1,LOOKUP(MATCH($BV$26,O,-1),N,O),IF($BW$21=2,LOOKUP(MATCH($BV$26,P,-1),N,P),IF($BW$21=3,LOOKUP(MATCH($BV$26,Q,-1),N,Q),IF($BW$21=4,LOOKUP(MATCH($BV$26,RR,-1),N,RR),IF($BW$21=5,LOOKUP(MATCH($BV$26,S,-1),N,S),IF($BW$21=6,LOOKUP(MATCH($BV$26,T,-1),N,T)))))))</f>
        <v>104200</v>
      </c>
      <c r="BW27" s="766"/>
      <c r="CD27" s="345"/>
      <c r="CF27" s="766"/>
      <c r="CG27" s="766"/>
      <c r="CH27" s="766"/>
      <c r="CI27" s="1718">
        <v>5</v>
      </c>
      <c r="CJ27" s="5300" t="s">
        <v>1425</v>
      </c>
      <c r="CK27" s="5301"/>
      <c r="CL27" s="5301"/>
      <c r="CM27" s="2296">
        <f>CR5</f>
        <v>45413</v>
      </c>
      <c r="CN27" s="5301" t="s">
        <v>1426</v>
      </c>
      <c r="CO27" s="5302"/>
      <c r="CP27" s="1718">
        <f>CQ24</f>
        <v>12</v>
      </c>
      <c r="CQ27" s="2297">
        <f>IF($CH$24=1,LOOKUP(MATCH($CQ$26,O,-1),N,O),IF($CH$24=2,LOOKUP(MATCH($CQ$26,P,-1),N,P),IF($CH$24=3,LOOKUP(MATCH($CQ$26,Q,-1),N,Q),IF($CH$24=4,LOOKUP(MATCH($CQ$26,RR,-1),N,RR),IF($CH$24=5,LOOKUP(MATCH($CQ$26,S,-1),N,S),IF($CH$24=6,LOOKUP(MATCH($CQ$26,T,-1),N,T)))))))</f>
        <v>104100</v>
      </c>
      <c r="CR27" s="766"/>
      <c r="CS27" s="766"/>
      <c r="CT27" s="766"/>
      <c r="CU27" s="766"/>
      <c r="CZ27" s="725"/>
      <c r="DE27" s="345"/>
      <c r="DI27" s="5468" t="str">
        <f>CONCATENATE("After Adding"," ",DM30," ","Incentive Increments for"," ",DJ30," ","Qualification",".","Then Pay will become")</f>
        <v>After Adding Three(03) Incentive Increments for Ph.D Qualification.Then Pay will become</v>
      </c>
      <c r="DJ27" s="5469"/>
      <c r="DK27" s="5469"/>
      <c r="DL27" s="5469"/>
      <c r="DM27" s="5469"/>
      <c r="DN27" s="5469"/>
      <c r="DO27" s="5469"/>
      <c r="DP27" s="5469"/>
      <c r="DQ27" s="5469"/>
      <c r="DR27" s="5470"/>
      <c r="DS27" s="587">
        <f ca="1">SUM(DS21+DS25*DS26)</f>
        <v>106200</v>
      </c>
      <c r="EB27" s="288"/>
      <c r="EN27" s="7"/>
      <c r="GQ27" s="3031">
        <v>5</v>
      </c>
      <c r="GR27" s="5774" t="s">
        <v>1728</v>
      </c>
      <c r="GS27" s="5774"/>
      <c r="GT27" s="5774"/>
      <c r="GU27" s="5774"/>
      <c r="GV27" s="3705">
        <v>2</v>
      </c>
      <c r="GW27" s="3707">
        <f>SUM(GW23-ROUND(10%*GW24,0))</f>
        <v>89760</v>
      </c>
      <c r="HK27" s="877"/>
      <c r="HL27" s="856"/>
      <c r="HM27" s="2354"/>
      <c r="HY27" s="843"/>
      <c r="HZ27" s="856"/>
      <c r="IA27" s="1482"/>
      <c r="II27" s="1561"/>
      <c r="IJ27" s="1561"/>
      <c r="IL27" s="1561"/>
      <c r="IM27" s="1561"/>
      <c r="IO27" s="834"/>
      <c r="IP27" s="1550">
        <v>8</v>
      </c>
      <c r="IQ27" s="1604" t="str">
        <f t="shared" si="3"/>
        <v/>
      </c>
      <c r="IX27" s="1603">
        <f>MONTH(IT26)</f>
        <v>7</v>
      </c>
      <c r="IY27" s="1603" t="str">
        <f>RIGHT(YEAR(IT26),2)</f>
        <v>19</v>
      </c>
      <c r="JA27" s="1603">
        <f>MONTH(IV26)</f>
        <v>2</v>
      </c>
      <c r="JB27" s="1603" t="str">
        <f>RIGHT(YEAR(IV26),2)</f>
        <v>21</v>
      </c>
      <c r="JD27" s="1457"/>
      <c r="JF27" s="1474"/>
      <c r="JG27" s="732" t="str">
        <f>LOOKUP(JG26,$AE$21:$AE$32,$AG$21:$AG$32)</f>
        <v>Mar</v>
      </c>
      <c r="JH27" s="732" t="str">
        <f>JH26</f>
        <v>21</v>
      </c>
      <c r="JJ27" s="732" t="str">
        <f>LOOKUP(JJ26,$AE$21:$AE$32,$AG$21:$AG$32)</f>
        <v>May</v>
      </c>
      <c r="JK27" s="732" t="str">
        <f>JK26</f>
        <v>21</v>
      </c>
      <c r="JL27" s="1475"/>
      <c r="JN27" s="1621">
        <v>14</v>
      </c>
      <c r="JO27" s="1622">
        <f t="shared" si="0"/>
        <v>42095</v>
      </c>
      <c r="JP27" s="1475"/>
      <c r="JQ27" s="1139">
        <v>14</v>
      </c>
      <c r="JR27" s="1483">
        <v>42095</v>
      </c>
      <c r="JS27" s="831"/>
      <c r="MA27" s="834"/>
      <c r="ML27" s="5"/>
      <c r="MM27" s="126"/>
      <c r="MN27" s="1748">
        <v>2</v>
      </c>
      <c r="MO27" s="1749" t="str">
        <f>LOOKUP(MN27,MN60:MN61,MO60:MO61)</f>
        <v>80G</v>
      </c>
      <c r="MP27" s="1750" t="str">
        <f>LOOKUP(MN27,MN60:MN61,MP60:MP61)</f>
        <v>Donation entitled for 50% Deduction Subjected to Qualifying Limit</v>
      </c>
      <c r="MQ27" s="1748">
        <f>'Data Sheet-II'!M196</f>
        <v>0</v>
      </c>
      <c r="NV27" s="5645" t="s">
        <v>684</v>
      </c>
      <c r="NW27" s="5645"/>
      <c r="NX27" s="5645"/>
      <c r="NY27" s="5645"/>
      <c r="NZ27" s="5645"/>
      <c r="OA27" s="5643">
        <f>IF(OR($OB$15=2,$OB$15=3),SUM(OA24-(OA25+OA26)),0)</f>
        <v>0</v>
      </c>
      <c r="OB27" s="5644"/>
    </row>
    <row r="28" spans="1:392" ht="24.95" customHeight="1">
      <c r="A28" s="123"/>
      <c r="B28" s="8"/>
      <c r="C28" s="649"/>
      <c r="V28" s="649"/>
      <c r="AA28" s="824">
        <v>6</v>
      </c>
      <c r="AB28" s="855" t="s">
        <v>865</v>
      </c>
      <c r="AE28" s="295">
        <v>8</v>
      </c>
      <c r="AF28" s="3186"/>
      <c r="AG28" s="289" t="s">
        <v>458</v>
      </c>
      <c r="AJ28" s="1422"/>
      <c r="AK28" s="2145"/>
      <c r="AL28" s="2145"/>
      <c r="AR28" s="827">
        <v>9</v>
      </c>
      <c r="AS28" s="1451">
        <v>44621</v>
      </c>
      <c r="AV28" s="7"/>
      <c r="BI28" s="1"/>
      <c r="BL28" s="766"/>
      <c r="BM28" s="766"/>
      <c r="BN28" s="766"/>
      <c r="BO28" s="766"/>
      <c r="BP28" s="766"/>
      <c r="BQ28" s="766"/>
      <c r="BR28" s="766"/>
      <c r="BS28" s="766"/>
      <c r="BT28" s="766"/>
      <c r="BU28" s="769"/>
      <c r="BV28" s="769"/>
      <c r="BW28" s="766"/>
      <c r="CD28" s="345"/>
      <c r="CF28" s="766"/>
      <c r="CG28" s="766"/>
      <c r="CH28" s="766"/>
      <c r="CI28" s="1718">
        <v>6</v>
      </c>
      <c r="CJ28" s="5568" t="s">
        <v>1427</v>
      </c>
      <c r="CK28" s="5568"/>
      <c r="CL28" s="5568"/>
      <c r="CM28" s="5568"/>
      <c r="CN28" s="5568"/>
      <c r="CO28" s="5568"/>
      <c r="CP28" s="5568"/>
      <c r="CQ28" s="2298">
        <f>IF(CS12=1,CR13,"")</f>
        <v>45658</v>
      </c>
      <c r="CR28" s="766"/>
      <c r="CS28" s="766"/>
      <c r="CT28" s="766"/>
      <c r="CU28" s="766"/>
      <c r="CV28" s="298"/>
      <c r="CZ28" s="725"/>
      <c r="DE28" s="345"/>
      <c r="DI28" s="5467" t="str">
        <f>DI10</f>
        <v>Select the Date of Next AGI in the Existing Academic Level-12</v>
      </c>
      <c r="DJ28" s="5328"/>
      <c r="DK28" s="5328"/>
      <c r="DL28" s="5328"/>
      <c r="DM28" s="5328"/>
      <c r="DN28" s="5328"/>
      <c r="DO28" s="5328"/>
      <c r="DP28" s="5328"/>
      <c r="DQ28" s="5328"/>
      <c r="DR28" s="760" t="str">
        <f>DS20</f>
        <v>1-Mar-25</v>
      </c>
      <c r="DS28" s="724">
        <f ca="1">IF($DT$22=1,LOOKUP(MATCH($DS$27,O,-1),N,O),IF($DT$22=2,LOOKUP(MATCH($DS$27,P,-1),N,P),IF($DT$22=3,LOOKUP(MATCH($DS$27,Q,-1),N,Q),IF($DT$22=4,LOOKUP(MATCH($DS$27,RR,-1),N,RR),IF($DT$22=5,LOOKUP(MATCH($DS$27,S,-1),N,S),IF($DT$22=6,LOOKUP(MATCH($DS$27,T,-1),N,T)))))))</f>
        <v>107200</v>
      </c>
      <c r="EB28" s="288"/>
      <c r="EN28" s="7"/>
      <c r="GQ28" s="3031">
        <v>6</v>
      </c>
      <c r="GR28" s="5774" t="str">
        <f>IF(GK6=1,CONCATENATE("50% of Salary"),CONCATENATE("40% of Salary"))</f>
        <v>40% of Salary</v>
      </c>
      <c r="GS28" s="5774"/>
      <c r="GT28" s="5774"/>
      <c r="GU28" s="5774"/>
      <c r="GV28" s="3705">
        <v>2</v>
      </c>
      <c r="GW28" s="3707">
        <f>IF($GK$6=1,ROUND(GW24*50%,0),ROUND(GW24*40%,0))</f>
        <v>562560</v>
      </c>
      <c r="HK28" s="877"/>
      <c r="HL28" s="856"/>
      <c r="HM28" s="2326"/>
      <c r="HY28" s="843"/>
      <c r="HZ28" s="856"/>
      <c r="IA28" s="1482"/>
      <c r="II28" s="1560"/>
      <c r="IJ28" s="1560"/>
      <c r="IL28" s="1560"/>
      <c r="IM28" s="1560"/>
      <c r="IO28" s="834"/>
      <c r="IP28" s="1550">
        <v>9</v>
      </c>
      <c r="IQ28" s="1604" t="str">
        <f t="shared" si="3"/>
        <v/>
      </c>
      <c r="IX28" s="1602" t="str">
        <f>LOOKUP(IX27,$AE$21:$AE$32,$AG$21:$AG$32)</f>
        <v>Jul</v>
      </c>
      <c r="IY28" s="1602" t="str">
        <f>IY27</f>
        <v>19</v>
      </c>
      <c r="JA28" s="1602" t="str">
        <f>LOOKUP(JA27,$AE$21:$AE$32,$AG$21:$AG$32)</f>
        <v>Feb</v>
      </c>
      <c r="JB28" s="1602" t="str">
        <f>JB27</f>
        <v>21</v>
      </c>
      <c r="JD28" s="1457"/>
      <c r="JF28" s="1474"/>
      <c r="JG28" s="1454" t="str">
        <f>CONCATENATE(JG27,"-",JH27)</f>
        <v>Mar-21</v>
      </c>
      <c r="JJ28" s="1454" t="str">
        <f>CONCATENATE(JJ27,"-",JK27)</f>
        <v>May-21</v>
      </c>
      <c r="JL28" s="1475"/>
      <c r="JN28" s="1621">
        <v>15</v>
      </c>
      <c r="JO28" s="1622">
        <f t="shared" si="0"/>
        <v>42125</v>
      </c>
      <c r="JP28" s="1475"/>
      <c r="JQ28" s="1139">
        <v>15</v>
      </c>
      <c r="JR28" s="1483">
        <v>42125</v>
      </c>
      <c r="JS28" s="831"/>
      <c r="MA28" s="834"/>
      <c r="MI28" s="306">
        <v>1</v>
      </c>
      <c r="MJ28" s="2579" t="s">
        <v>319</v>
      </c>
      <c r="MK28" s="307" t="s">
        <v>423</v>
      </c>
      <c r="ML28" s="308">
        <v>150000</v>
      </c>
      <c r="MM28" s="126"/>
      <c r="MN28" s="1749">
        <v>1</v>
      </c>
      <c r="MO28" s="1743" t="s">
        <v>1378</v>
      </c>
      <c r="MP28" s="2572" t="s">
        <v>1379</v>
      </c>
      <c r="MQ28" s="1749">
        <f>'Data Sheet-III '!O57</f>
        <v>0</v>
      </c>
      <c r="NV28" s="5645" t="s">
        <v>685</v>
      </c>
      <c r="NW28" s="5645"/>
      <c r="NX28" s="5645"/>
      <c r="NY28" s="5645"/>
      <c r="NZ28" s="5645"/>
      <c r="OA28" s="5646"/>
      <c r="OB28" s="5647"/>
    </row>
    <row r="29" spans="1:392" ht="24.95" customHeight="1">
      <c r="A29" s="123"/>
      <c r="B29" s="8"/>
      <c r="C29" s="649"/>
      <c r="V29" s="649"/>
      <c r="AE29" s="295">
        <v>9</v>
      </c>
      <c r="AF29" s="3186"/>
      <c r="AG29" s="289" t="s">
        <v>460</v>
      </c>
      <c r="AR29" s="827">
        <v>10</v>
      </c>
      <c r="AS29" s="1451">
        <v>44652</v>
      </c>
      <c r="AV29" s="7"/>
      <c r="BI29" s="1"/>
      <c r="BL29" s="766"/>
      <c r="BM29" s="766"/>
      <c r="BN29" s="766"/>
      <c r="BO29" s="766"/>
      <c r="BP29" s="766"/>
      <c r="BQ29" s="766"/>
      <c r="BR29" s="766"/>
      <c r="BS29" s="766"/>
      <c r="BT29" s="766"/>
      <c r="BU29" s="766"/>
      <c r="BV29" s="766"/>
      <c r="BW29" s="766"/>
      <c r="CD29" s="345"/>
      <c r="CF29" s="766"/>
      <c r="CG29" s="766"/>
      <c r="CR29" s="766"/>
      <c r="CS29" s="766"/>
      <c r="CT29" s="766"/>
      <c r="CU29" s="766"/>
      <c r="CV29" s="298"/>
      <c r="CZ29" s="725"/>
      <c r="DE29" s="345"/>
      <c r="EB29" s="288"/>
      <c r="EN29" s="7"/>
      <c r="FX29" s="2315">
        <v>1</v>
      </c>
      <c r="FY29" s="2316" t="s">
        <v>407</v>
      </c>
      <c r="FZ29" s="2316">
        <v>0</v>
      </c>
      <c r="GQ29" s="3031">
        <v>7</v>
      </c>
      <c r="GR29" s="5781" t="s">
        <v>1731</v>
      </c>
      <c r="GS29" s="5781"/>
      <c r="GT29" s="5781"/>
      <c r="GU29" s="5781"/>
      <c r="GV29" s="3705">
        <v>2</v>
      </c>
      <c r="GW29" s="3706">
        <f>MIN(GW22,GW27,GW28)</f>
        <v>89334</v>
      </c>
      <c r="HK29" s="877"/>
      <c r="HL29" s="856"/>
      <c r="HM29" s="2354"/>
      <c r="HY29" s="843"/>
      <c r="HZ29" s="856"/>
      <c r="IA29" s="1482"/>
      <c r="II29" s="1490"/>
      <c r="IL29" s="1490"/>
      <c r="IO29" s="834"/>
      <c r="IP29" s="1550">
        <v>10</v>
      </c>
      <c r="IQ29" s="1604" t="str">
        <f t="shared" si="3"/>
        <v/>
      </c>
      <c r="IX29" s="1454" t="str">
        <f>CONCATENATE(IX28,"-",IY28)</f>
        <v>Jul-19</v>
      </c>
      <c r="JA29" s="1454" t="str">
        <f>CONCATENATE(JA28,"-",JB28)</f>
        <v>Feb-21</v>
      </c>
      <c r="JD29" s="1457"/>
      <c r="JF29" s="1474"/>
      <c r="JG29" s="1458"/>
      <c r="JH29" s="1475"/>
      <c r="JI29" s="1475"/>
      <c r="JJ29" s="1475"/>
      <c r="JK29" s="1475"/>
      <c r="JL29" s="1475"/>
      <c r="JN29" s="1621">
        <v>16</v>
      </c>
      <c r="JO29" s="1622">
        <f t="shared" si="0"/>
        <v>42156</v>
      </c>
      <c r="JP29" s="1475"/>
      <c r="JQ29" s="1139">
        <v>16</v>
      </c>
      <c r="JR29" s="1483">
        <v>42156</v>
      </c>
      <c r="JS29" s="831"/>
      <c r="MA29" s="834"/>
      <c r="MI29" s="306">
        <v>1</v>
      </c>
      <c r="MJ29" s="2579" t="s">
        <v>319</v>
      </c>
      <c r="MK29" s="307" t="s">
        <v>428</v>
      </c>
      <c r="ML29" s="308">
        <v>150000</v>
      </c>
      <c r="MM29" s="126"/>
      <c r="MN29" s="655"/>
      <c r="MO29" s="655"/>
      <c r="MP29" s="656"/>
      <c r="MQ29" s="657"/>
      <c r="MW29" s="579">
        <v>1</v>
      </c>
      <c r="MX29" s="5649" t="s">
        <v>1529</v>
      </c>
      <c r="MY29" s="5649"/>
      <c r="MZ29" s="5649"/>
      <c r="NA29" s="5649"/>
      <c r="NH29" s="1688">
        <v>1</v>
      </c>
      <c r="NI29" s="5612" t="s">
        <v>1260</v>
      </c>
      <c r="NJ29" s="5612"/>
      <c r="NK29" s="5612"/>
      <c r="NL29" s="5612"/>
      <c r="NM29" s="5612"/>
      <c r="NV29" s="5645" t="s">
        <v>686</v>
      </c>
      <c r="NW29" s="5645"/>
      <c r="NX29" s="5645"/>
      <c r="NY29" s="5645"/>
      <c r="NZ29" s="5645"/>
      <c r="OA29" s="5643">
        <f>ROUND(OA27*30%,0)</f>
        <v>0</v>
      </c>
      <c r="OB29" s="5644"/>
    </row>
    <row r="30" spans="1:392" ht="24.95" customHeight="1">
      <c r="A30" s="123"/>
      <c r="B30" s="8"/>
      <c r="C30" s="649"/>
      <c r="D30" s="649"/>
      <c r="E30" s="649"/>
      <c r="F30" s="649"/>
      <c r="G30" s="649"/>
      <c r="H30" s="649"/>
      <c r="I30" s="649"/>
      <c r="J30" s="649"/>
      <c r="K30" s="649"/>
      <c r="L30" s="649"/>
      <c r="M30" s="649"/>
      <c r="N30" s="649"/>
      <c r="O30" s="649"/>
      <c r="P30" s="649"/>
      <c r="Q30" s="649"/>
      <c r="R30" s="649"/>
      <c r="S30" s="649"/>
      <c r="T30" s="649"/>
      <c r="U30" s="649"/>
      <c r="V30" s="649"/>
      <c r="AE30" s="295">
        <v>10</v>
      </c>
      <c r="AF30" s="3186"/>
      <c r="AG30" s="289" t="s">
        <v>463</v>
      </c>
      <c r="AR30" s="827">
        <v>11</v>
      </c>
      <c r="AS30" s="1451">
        <v>44682</v>
      </c>
      <c r="AV30" s="7"/>
      <c r="BI30" s="1"/>
      <c r="BK30" s="766"/>
      <c r="BL30" s="718"/>
      <c r="BM30" s="719" t="str">
        <f>BU25</f>
        <v>Ph.D</v>
      </c>
      <c r="BN30" s="719">
        <f>BV25</f>
        <v>3</v>
      </c>
      <c r="BO30" s="719" t="str">
        <f>LOOKUP(BN30,$AQ$14:$AQ$15,$AR$14:$AR$15)</f>
        <v>Three</v>
      </c>
      <c r="BP30" s="719" t="str">
        <f>LOOKUP(BN30,$AQ$14:$AQ$15,$AS$14:$AS$15)</f>
        <v>Three(03)</v>
      </c>
      <c r="BQ30" s="766"/>
      <c r="CD30" s="345"/>
      <c r="CF30" s="766"/>
      <c r="CG30" s="766"/>
      <c r="CR30" s="766"/>
      <c r="CS30" s="766"/>
      <c r="CT30" s="766"/>
      <c r="CU30" s="766"/>
      <c r="DE30" s="345"/>
      <c r="DI30" s="718"/>
      <c r="DJ30" s="719" t="str">
        <f>DS19</f>
        <v>Ph.D</v>
      </c>
      <c r="DK30" s="719">
        <f>DS26</f>
        <v>3</v>
      </c>
      <c r="DL30" s="719" t="str">
        <f>LOOKUP(DK30,$AQ$14:$AQ$15,$AR$14:$AR$15)</f>
        <v>Three</v>
      </c>
      <c r="DM30" s="719" t="str">
        <f>LOOKUP(DK30,$AQ$14:$AQ$15,$AS$14:$AS$15)</f>
        <v>Three(03)</v>
      </c>
      <c r="EB30" s="288"/>
      <c r="EN30" s="7"/>
      <c r="FX30" s="2315">
        <v>2</v>
      </c>
      <c r="FY30" s="2316">
        <v>300</v>
      </c>
      <c r="FZ30" s="2316">
        <v>300</v>
      </c>
      <c r="HK30" s="877"/>
      <c r="HL30" s="856"/>
      <c r="HM30" s="2326"/>
      <c r="HY30" s="843"/>
      <c r="HZ30" s="856"/>
      <c r="IA30" s="1482"/>
      <c r="IO30" s="834"/>
      <c r="IP30" s="1550">
        <v>11</v>
      </c>
      <c r="IQ30" s="1604">
        <f t="shared" si="3"/>
        <v>42675</v>
      </c>
      <c r="JD30" s="1457"/>
      <c r="JF30" s="1474"/>
      <c r="JG30" s="1458"/>
      <c r="JH30" s="1475"/>
      <c r="JI30" s="1475"/>
      <c r="JJ30" s="1475"/>
      <c r="JK30" s="1475"/>
      <c r="JL30" s="1475"/>
      <c r="JN30" s="1621">
        <v>17</v>
      </c>
      <c r="JO30" s="1622">
        <f t="shared" si="0"/>
        <v>42186</v>
      </c>
      <c r="JP30" s="1475"/>
      <c r="JQ30" s="1139">
        <v>17</v>
      </c>
      <c r="JR30" s="1483">
        <v>42186</v>
      </c>
      <c r="JS30" s="831"/>
      <c r="MA30" s="834"/>
      <c r="MI30" s="306">
        <v>1</v>
      </c>
      <c r="MJ30" s="2579" t="s">
        <v>319</v>
      </c>
      <c r="MK30" s="307" t="s">
        <v>430</v>
      </c>
      <c r="ML30" s="308">
        <v>150000</v>
      </c>
      <c r="MM30" s="126"/>
      <c r="MN30" s="655"/>
      <c r="MO30" s="655"/>
      <c r="MP30" s="656"/>
      <c r="MQ30" s="657"/>
      <c r="MW30" s="579">
        <v>2</v>
      </c>
      <c r="MX30" s="5649" t="s">
        <v>1530</v>
      </c>
      <c r="MY30" s="5649"/>
      <c r="MZ30" s="5649"/>
      <c r="NA30" s="5649"/>
      <c r="NH30" s="1688">
        <v>2</v>
      </c>
      <c r="NI30" s="5612" t="s">
        <v>1264</v>
      </c>
      <c r="NJ30" s="5612"/>
      <c r="NK30" s="5612"/>
      <c r="NL30" s="5612"/>
      <c r="NM30" s="5612"/>
      <c r="NV30" s="5645" t="s">
        <v>687</v>
      </c>
      <c r="NW30" s="5645"/>
      <c r="NX30" s="5645"/>
      <c r="NY30" s="5645"/>
      <c r="NZ30" s="5645"/>
      <c r="OA30" s="5643">
        <f>IF(OR($OB$15=2,$OB$15=3),'Data Sheet-III '!X15,0)</f>
        <v>0</v>
      </c>
      <c r="OB30" s="5644"/>
    </row>
    <row r="31" spans="1:392" ht="24.95" customHeight="1">
      <c r="A31" s="123"/>
      <c r="B31" s="8"/>
      <c r="C31" s="649"/>
      <c r="D31" s="649"/>
      <c r="E31" s="649"/>
      <c r="F31" s="649"/>
      <c r="G31" s="649"/>
      <c r="H31" s="649"/>
      <c r="I31" s="649"/>
      <c r="J31" s="649"/>
      <c r="K31" s="649"/>
      <c r="L31" s="649"/>
      <c r="M31" s="649"/>
      <c r="N31" s="649"/>
      <c r="O31" s="649"/>
      <c r="AE31" s="295">
        <v>11</v>
      </c>
      <c r="AF31" s="3186"/>
      <c r="AG31" s="289" t="s">
        <v>464</v>
      </c>
      <c r="AR31" s="827">
        <v>12</v>
      </c>
      <c r="AS31" s="1451">
        <v>44713</v>
      </c>
      <c r="AV31" s="7"/>
      <c r="BI31" s="1"/>
      <c r="BL31" s="5618" t="str">
        <f>CONCATENATE("After Sanction of Incentive Increments for"," ", BV3," ","Qualification"," .","The Pay  as on"," ",BU27, "   ","will be fixed at")</f>
        <v>After Sanction of Incentive Increments for Ph.D Qualification .The Pay  as on 6-Sep-25   will be fixed at</v>
      </c>
      <c r="BM31" s="5618"/>
      <c r="BN31" s="5618"/>
      <c r="BO31" s="5618"/>
      <c r="BP31" s="5618"/>
      <c r="BQ31" s="5618"/>
      <c r="BR31" s="5618"/>
      <c r="BS31" s="5618"/>
      <c r="BT31" s="5618"/>
      <c r="CD31" s="345"/>
      <c r="CI31" s="5569" t="str">
        <f>CONCATENATE("Your  Pay will be fixed at"," ", "Rs.",CQ27,"  w.e.f "," ", DC18, "   ", "in the Pay Scale of","  ",   CQ12,"(","Academic Level","-",  CQ24,")",  " Under CAS in UGC-2016 Pay Scales")</f>
        <v>Your  Pay will be fixed at Rs.104100  w.e.f  21-May-24   in the Pay Scale of  (Academic Level-12) Under CAS in UGC-2016 Pay Scales</v>
      </c>
      <c r="CJ31" s="5570"/>
      <c r="CK31" s="5570"/>
      <c r="CL31" s="5570"/>
      <c r="CM31" s="5570"/>
      <c r="CN31" s="5570"/>
      <c r="CO31" s="5570"/>
      <c r="CP31" s="5570"/>
      <c r="CQ31" s="5571"/>
      <c r="DE31" s="345"/>
      <c r="EB31" s="288"/>
      <c r="EN31" s="7"/>
      <c r="FX31" s="2315">
        <v>3</v>
      </c>
      <c r="FY31" s="2316">
        <v>1200</v>
      </c>
      <c r="FZ31" s="2317">
        <v>1200</v>
      </c>
      <c r="HK31" s="877"/>
      <c r="HL31" s="856"/>
      <c r="HM31" s="2354"/>
      <c r="HY31" s="843"/>
      <c r="HZ31" s="856"/>
      <c r="IA31" s="1482"/>
      <c r="IO31" s="834"/>
      <c r="IP31" s="1550">
        <v>12</v>
      </c>
      <c r="IQ31" s="1604">
        <f t="shared" si="3"/>
        <v>42705</v>
      </c>
      <c r="JD31" s="1457"/>
      <c r="JF31" s="1474"/>
      <c r="JG31" s="1458"/>
      <c r="JH31" s="1475"/>
      <c r="JI31" s="1475"/>
      <c r="JJ31" s="1475"/>
      <c r="JK31" s="1475"/>
      <c r="JL31" s="1475"/>
      <c r="JN31" s="1621">
        <v>18</v>
      </c>
      <c r="JO31" s="1622">
        <f t="shared" si="0"/>
        <v>42217</v>
      </c>
      <c r="JP31" s="1475"/>
      <c r="JQ31" s="1139">
        <v>18</v>
      </c>
      <c r="JR31" s="1483">
        <v>42217</v>
      </c>
      <c r="JS31" s="831"/>
      <c r="MA31" s="834"/>
      <c r="ML31" s="5"/>
      <c r="MM31" s="126"/>
      <c r="MN31" s="655"/>
      <c r="MO31" s="655"/>
      <c r="MP31" s="1793" t="s">
        <v>1298</v>
      </c>
      <c r="MQ31" s="1788">
        <f>'Old Tax Regime'!L19</f>
        <v>1361800</v>
      </c>
      <c r="MW31" s="579">
        <v>3</v>
      </c>
      <c r="MX31" s="5649" t="s">
        <v>1494</v>
      </c>
      <c r="MY31" s="5649"/>
      <c r="MZ31" s="5649"/>
      <c r="NA31" s="5649"/>
      <c r="NH31" s="1688">
        <v>3</v>
      </c>
      <c r="NI31" s="5612" t="s">
        <v>1265</v>
      </c>
      <c r="NJ31" s="5612"/>
      <c r="NK31" s="5612"/>
      <c r="NL31" s="5612"/>
      <c r="NM31" s="5612"/>
      <c r="NV31" s="5645" t="s">
        <v>688</v>
      </c>
      <c r="NW31" s="5645"/>
      <c r="NX31" s="5645"/>
      <c r="NY31" s="5645"/>
      <c r="NZ31" s="5645"/>
      <c r="OA31" s="5643">
        <f>SUM(OA27-OA29-OA30)</f>
        <v>0</v>
      </c>
      <c r="OB31" s="5644"/>
    </row>
    <row r="32" spans="1:392" ht="24.95" customHeight="1">
      <c r="A32" s="123"/>
      <c r="B32" s="8"/>
      <c r="C32" s="649"/>
      <c r="D32" s="5249" t="s">
        <v>816</v>
      </c>
      <c r="E32" s="5250"/>
      <c r="F32" s="5250"/>
      <c r="G32" s="5250"/>
      <c r="H32" s="5250"/>
      <c r="I32" s="5250"/>
      <c r="J32" s="5250"/>
      <c r="N32" s="5249" t="s">
        <v>816</v>
      </c>
      <c r="O32" s="5250"/>
      <c r="P32" s="5250"/>
      <c r="Q32" s="5250"/>
      <c r="R32" s="5250"/>
      <c r="S32" s="5250"/>
      <c r="T32" s="5250"/>
      <c r="AE32" s="295">
        <v>12</v>
      </c>
      <c r="AF32" s="3186"/>
      <c r="AG32" s="289" t="s">
        <v>467</v>
      </c>
      <c r="AR32" s="827">
        <v>13</v>
      </c>
      <c r="AS32" s="1451">
        <v>44743</v>
      </c>
      <c r="AV32" s="7"/>
      <c r="BI32" s="1"/>
      <c r="CD32" s="345"/>
      <c r="CI32" s="5572"/>
      <c r="CJ32" s="5573"/>
      <c r="CK32" s="5573"/>
      <c r="CL32" s="5573"/>
      <c r="CM32" s="5573"/>
      <c r="CN32" s="5573"/>
      <c r="CO32" s="5573"/>
      <c r="CP32" s="5573"/>
      <c r="CQ32" s="5574"/>
      <c r="DE32" s="345"/>
      <c r="DI32" s="859" t="str">
        <f>CONCATENATE("After Sanction of Incentive Increments for"," ", DS3," ","Qualification"," .","The Pay  as on"," ",DX15," ","will be fixed at ")</f>
        <v xml:space="preserve">After Sanction of Incentive Increments for Ph.D Qualification .The Pay  as on 1-Mar-25 will be fixed at </v>
      </c>
      <c r="EB32" s="288"/>
      <c r="EN32" s="7"/>
      <c r="FX32" s="2321"/>
      <c r="FY32" s="2322"/>
      <c r="FZ32" s="2322"/>
      <c r="HK32" s="877"/>
      <c r="HL32" s="856"/>
      <c r="HM32" s="2326"/>
      <c r="HY32" s="843"/>
      <c r="HZ32" s="856"/>
      <c r="IA32" s="1482"/>
      <c r="IO32" s="834"/>
      <c r="IP32" s="1550">
        <v>13</v>
      </c>
      <c r="IQ32" s="1604">
        <f t="shared" si="3"/>
        <v>42736</v>
      </c>
      <c r="JD32" s="1457"/>
      <c r="JF32" s="1474"/>
      <c r="JG32" s="1458"/>
      <c r="JH32" s="298"/>
      <c r="JI32" s="1468"/>
      <c r="JJ32" s="1468"/>
      <c r="JK32" s="1474"/>
      <c r="JL32" s="1474"/>
      <c r="JN32" s="1621">
        <v>19</v>
      </c>
      <c r="JO32" s="1622">
        <f t="shared" si="0"/>
        <v>42248</v>
      </c>
      <c r="JP32" s="1475"/>
      <c r="JQ32" s="1139">
        <v>19</v>
      </c>
      <c r="JR32" s="1483">
        <v>42248</v>
      </c>
      <c r="JS32" s="831"/>
      <c r="MA32" s="834"/>
      <c r="MI32" s="620">
        <v>1</v>
      </c>
      <c r="MJ32" s="620" t="s">
        <v>319</v>
      </c>
      <c r="MK32" s="1117" t="s">
        <v>459</v>
      </c>
      <c r="ML32" s="621">
        <v>150000</v>
      </c>
      <c r="MM32" s="125"/>
      <c r="MN32" s="655"/>
      <c r="MO32" s="655"/>
      <c r="MP32" s="1789" t="s">
        <v>1299</v>
      </c>
      <c r="MQ32" s="1790"/>
      <c r="MW32" s="579">
        <v>4</v>
      </c>
      <c r="MX32" s="5650" t="s">
        <v>769</v>
      </c>
      <c r="MY32" s="5650"/>
      <c r="MZ32" s="5650"/>
      <c r="NA32" s="5650"/>
      <c r="NH32" s="1688">
        <v>4</v>
      </c>
      <c r="NI32" s="5612" t="s">
        <v>1266</v>
      </c>
      <c r="NJ32" s="5612"/>
      <c r="NK32" s="5612"/>
      <c r="NL32" s="5612"/>
      <c r="NM32" s="5612"/>
    </row>
    <row r="33" spans="1:395" ht="24.95" customHeight="1">
      <c r="A33" s="123"/>
      <c r="B33" s="8"/>
      <c r="C33" s="649"/>
      <c r="D33" s="5249"/>
      <c r="E33" s="5250"/>
      <c r="F33" s="5250"/>
      <c r="G33" s="5250"/>
      <c r="H33" s="5250"/>
      <c r="I33" s="5250"/>
      <c r="J33" s="5250"/>
      <c r="N33" s="5249"/>
      <c r="O33" s="5250"/>
      <c r="P33" s="5250"/>
      <c r="Q33" s="5250"/>
      <c r="R33" s="5250"/>
      <c r="S33" s="5250"/>
      <c r="T33" s="5250"/>
      <c r="AR33" s="827">
        <v>14</v>
      </c>
      <c r="AS33" s="1451">
        <v>44774</v>
      </c>
      <c r="AV33" s="7"/>
      <c r="BI33" s="1"/>
      <c r="CD33" s="345"/>
      <c r="DE33" s="345"/>
      <c r="EB33" s="288"/>
      <c r="EN33" s="7"/>
      <c r="FX33" s="2323"/>
      <c r="FY33" s="1458"/>
      <c r="FZ33" s="1458"/>
      <c r="HK33" s="877"/>
      <c r="HL33" s="856"/>
      <c r="HM33" s="2354"/>
      <c r="HY33" s="843"/>
      <c r="HZ33" s="856"/>
      <c r="IA33" s="1482"/>
      <c r="IO33" s="834"/>
      <c r="IP33" s="1550">
        <v>14</v>
      </c>
      <c r="IQ33" s="1604">
        <f t="shared" si="3"/>
        <v>42767</v>
      </c>
      <c r="JD33" s="1457"/>
      <c r="JF33" s="1474"/>
      <c r="JG33" s="1458"/>
      <c r="JH33" s="298"/>
      <c r="JI33" s="1468"/>
      <c r="JJ33" s="1468"/>
      <c r="JK33" s="1474"/>
      <c r="JL33" s="1474"/>
      <c r="JM33" s="1467"/>
      <c r="JN33" s="1621">
        <v>20</v>
      </c>
      <c r="JO33" s="1622">
        <f t="shared" si="0"/>
        <v>42278</v>
      </c>
      <c r="JP33" s="1475"/>
      <c r="JQ33" s="1139">
        <v>20</v>
      </c>
      <c r="JR33" s="1483">
        <v>42278</v>
      </c>
      <c r="JS33" s="831"/>
      <c r="MA33" s="834"/>
      <c r="MI33" s="620">
        <v>2</v>
      </c>
      <c r="MJ33" s="620" t="s">
        <v>319</v>
      </c>
      <c r="MK33" s="1117" t="s">
        <v>443</v>
      </c>
      <c r="ML33" s="621">
        <v>150000</v>
      </c>
      <c r="MM33" s="125"/>
      <c r="MN33" s="655"/>
      <c r="MO33" s="655"/>
      <c r="MP33" s="1789" t="s">
        <v>1303</v>
      </c>
      <c r="MQ33" s="1790"/>
      <c r="MW33" s="579">
        <v>5</v>
      </c>
      <c r="MX33" s="5650" t="s">
        <v>770</v>
      </c>
      <c r="MY33" s="5650"/>
      <c r="MZ33" s="5650"/>
      <c r="NA33" s="5650"/>
      <c r="NH33" s="1688">
        <v>5</v>
      </c>
      <c r="NI33" s="5612" t="s">
        <v>1264</v>
      </c>
      <c r="NJ33" s="5612"/>
      <c r="NK33" s="5612"/>
      <c r="NL33" s="5612"/>
      <c r="NM33" s="5612"/>
      <c r="OE33">
        <f>IF(OA31=-200000,OA30,SUM(200000+OA30+OA31))</f>
        <v>200000</v>
      </c>
    </row>
    <row r="34" spans="1:395" ht="41.25" customHeight="1">
      <c r="A34" s="123"/>
      <c r="B34" s="8"/>
      <c r="C34" s="649"/>
      <c r="D34" s="640" t="s">
        <v>817</v>
      </c>
      <c r="E34" s="5251" t="s">
        <v>818</v>
      </c>
      <c r="F34" s="5251"/>
      <c r="G34" s="5251"/>
      <c r="H34" s="5251" t="s">
        <v>819</v>
      </c>
      <c r="I34" s="5251"/>
      <c r="J34" s="641" t="s">
        <v>820</v>
      </c>
      <c r="N34" s="640" t="s">
        <v>817</v>
      </c>
      <c r="O34" s="5251" t="s">
        <v>818</v>
      </c>
      <c r="P34" s="5251"/>
      <c r="Q34" s="5251"/>
      <c r="R34" s="5251" t="s">
        <v>819</v>
      </c>
      <c r="S34" s="5251"/>
      <c r="T34" s="641" t="s">
        <v>820</v>
      </c>
      <c r="AR34" s="827">
        <v>15</v>
      </c>
      <c r="AS34" s="1451">
        <v>44805</v>
      </c>
      <c r="AV34" s="7"/>
      <c r="BI34" s="1"/>
      <c r="CD34" s="345"/>
      <c r="CI34" s="5234" t="str">
        <f>CONCATENATE("In the Pay Scale of","  ",CR10,   "(","Academic Level","-",CR11,  ")",  " Under CAS in UGC-2016 Pay Scales","    ", "Your Pay will be fixed at"," ",)</f>
        <v xml:space="preserve">In the Pay Scale of  Rs.79800-211500(Academic Level-12) Under CAS in UGC-2016 Pay Scales    Your Pay will be fixed at </v>
      </c>
      <c r="CJ34" s="5234"/>
      <c r="CK34" s="5234"/>
      <c r="CL34" s="5234"/>
      <c r="CM34" s="5234"/>
      <c r="CN34" s="5234"/>
      <c r="CO34" s="1688">
        <f>CQ27</f>
        <v>104100</v>
      </c>
      <c r="CP34" s="1688" t="str">
        <f>CONCATENATE("w.e.f."," ",DC18)</f>
        <v>w.e.f. 21-May-24</v>
      </c>
      <c r="DE34" s="345"/>
      <c r="EB34" s="288"/>
      <c r="EN34" s="7"/>
      <c r="FX34" s="2323"/>
      <c r="FY34" s="1458"/>
      <c r="FZ34" s="1458"/>
      <c r="HK34" s="877"/>
      <c r="HL34" s="856"/>
      <c r="HM34" s="2326"/>
      <c r="HY34" s="843"/>
      <c r="HZ34" s="856"/>
      <c r="IA34" s="1482"/>
      <c r="ID34" s="856"/>
      <c r="IE34" s="3011" t="str">
        <f>IF(MIN($IA$82:$IA$93)=0,"",MIN($IA$82:$IA$93))</f>
        <v/>
      </c>
      <c r="IF34" s="2326"/>
      <c r="IG34" s="3011" t="str">
        <f>IF(MAX($IA$82:$IA$93)=0,"",MAX($IA$82:$IA$93))</f>
        <v/>
      </c>
      <c r="II34" s="3008"/>
      <c r="IJ34" s="1560"/>
      <c r="IL34" s="3008"/>
      <c r="IM34" s="1560"/>
      <c r="IO34" s="834"/>
      <c r="IP34" s="1550">
        <v>15</v>
      </c>
      <c r="IQ34" s="1604">
        <f t="shared" si="3"/>
        <v>42795</v>
      </c>
      <c r="IS34" s="856">
        <v>3</v>
      </c>
      <c r="IT34" s="1609">
        <f>IF(MIN($IQ$82:$IQ$93)=0,"",MIN($IQ$82:$IQ$93))</f>
        <v>44256</v>
      </c>
      <c r="IU34" s="1610"/>
      <c r="IV34" s="1609">
        <f>IF(MAX($IQ$82:$IQ$93)=0,"",MAX($IQ$82:$IQ$93))</f>
        <v>44317</v>
      </c>
      <c r="IX34" s="1601" t="s">
        <v>849</v>
      </c>
      <c r="IY34" s="1602" t="s">
        <v>850</v>
      </c>
      <c r="JA34" s="1601" t="s">
        <v>849</v>
      </c>
      <c r="JB34" s="1602" t="s">
        <v>850</v>
      </c>
      <c r="JD34" s="1457"/>
      <c r="JF34" s="1474"/>
      <c r="JG34" s="1458"/>
      <c r="JH34" s="298"/>
      <c r="JI34" s="1468"/>
      <c r="JJ34" s="1468"/>
      <c r="JK34" s="1474"/>
      <c r="JL34" s="1474"/>
      <c r="JN34" s="1621">
        <v>21</v>
      </c>
      <c r="JO34" s="1622">
        <f t="shared" si="0"/>
        <v>42309</v>
      </c>
      <c r="JP34" s="1475"/>
      <c r="JQ34" s="1139">
        <v>21</v>
      </c>
      <c r="JR34" s="1483">
        <v>42309</v>
      </c>
      <c r="JS34" s="831"/>
      <c r="MA34" s="834"/>
      <c r="MI34" s="620">
        <v>3</v>
      </c>
      <c r="MJ34" s="620" t="s">
        <v>319</v>
      </c>
      <c r="MK34" s="1117" t="s">
        <v>444</v>
      </c>
      <c r="ML34" s="621">
        <v>150000</v>
      </c>
      <c r="MM34" s="125"/>
      <c r="MN34" s="1740"/>
      <c r="MO34" s="1741"/>
      <c r="MP34" s="1789" t="s">
        <v>1300</v>
      </c>
      <c r="MQ34" s="1791">
        <f>'Data Sheet-II'!M51</f>
        <v>0</v>
      </c>
      <c r="MW34" s="579">
        <v>6</v>
      </c>
      <c r="MX34" s="5650" t="s">
        <v>771</v>
      </c>
      <c r="MY34" s="5650"/>
      <c r="MZ34" s="5650"/>
      <c r="NA34" s="5650"/>
      <c r="NH34" s="1688">
        <v>6</v>
      </c>
      <c r="NI34" s="5612" t="s">
        <v>1265</v>
      </c>
      <c r="NJ34" s="5612"/>
      <c r="NK34" s="5612"/>
      <c r="NL34" s="5612"/>
      <c r="NM34" s="5612"/>
      <c r="NW34" s="1688">
        <v>1</v>
      </c>
      <c r="NX34" s="5651" t="s">
        <v>407</v>
      </c>
      <c r="NY34" s="5652"/>
      <c r="NZ34" s="5653"/>
      <c r="OA34" s="1708">
        <v>0</v>
      </c>
    </row>
    <row r="35" spans="1:395" ht="29.25" customHeight="1">
      <c r="A35" s="123"/>
      <c r="B35" s="8"/>
      <c r="C35" s="649"/>
      <c r="D35" s="642" t="s">
        <v>821</v>
      </c>
      <c r="E35" s="642">
        <v>6000</v>
      </c>
      <c r="F35" s="642">
        <v>7000</v>
      </c>
      <c r="G35" s="642">
        <v>8000</v>
      </c>
      <c r="H35" s="642">
        <v>9000</v>
      </c>
      <c r="I35" s="642">
        <v>10000</v>
      </c>
      <c r="J35" s="642">
        <v>0</v>
      </c>
      <c r="N35" s="642" t="s">
        <v>821</v>
      </c>
      <c r="O35" s="642">
        <v>6000</v>
      </c>
      <c r="P35" s="642">
        <v>7000</v>
      </c>
      <c r="Q35" s="642">
        <v>8000</v>
      </c>
      <c r="R35" s="642">
        <v>9000</v>
      </c>
      <c r="S35" s="642">
        <v>10000</v>
      </c>
      <c r="T35" s="642">
        <v>0</v>
      </c>
      <c r="Y35" s="735"/>
      <c r="Z35" s="736"/>
      <c r="AA35" s="736"/>
      <c r="AB35" s="736"/>
      <c r="AC35" s="736"/>
      <c r="AD35" s="736"/>
      <c r="AE35" s="736"/>
      <c r="AF35" s="3187"/>
      <c r="AG35" s="736"/>
      <c r="AH35" s="736"/>
      <c r="AI35" s="737"/>
      <c r="AJ35" s="739"/>
      <c r="AK35" s="1439"/>
      <c r="AL35" s="1440"/>
      <c r="AM35" s="1441"/>
      <c r="AN35" s="1441"/>
      <c r="AO35" s="1442"/>
      <c r="AP35" s="1270"/>
      <c r="AR35" s="827">
        <v>16</v>
      </c>
      <c r="AS35" s="1451">
        <v>44835</v>
      </c>
      <c r="AV35" s="7"/>
      <c r="BI35" s="1"/>
      <c r="CD35" s="345"/>
      <c r="CI35" s="5648" t="s">
        <v>1427</v>
      </c>
      <c r="CJ35" s="5648"/>
      <c r="CK35" s="5648"/>
      <c r="CL35" s="5648"/>
      <c r="CM35" s="5648"/>
      <c r="CN35" s="5648"/>
      <c r="CO35" s="2301">
        <f>CQ28</f>
        <v>45658</v>
      </c>
      <c r="CP35" s="2302"/>
      <c r="DE35" s="345"/>
      <c r="EB35" s="288"/>
      <c r="EN35" s="7"/>
      <c r="HK35" s="877"/>
      <c r="HL35" s="856"/>
      <c r="HM35" s="2354"/>
      <c r="HY35" s="843"/>
      <c r="HZ35" s="856"/>
      <c r="IA35" s="1482"/>
      <c r="II35" s="1561"/>
      <c r="IJ35" s="1561"/>
      <c r="IL35" s="1561"/>
      <c r="IM35" s="1561"/>
      <c r="IO35" s="834"/>
      <c r="IP35" s="1550">
        <v>16</v>
      </c>
      <c r="IQ35" s="1604">
        <f t="shared" si="3"/>
        <v>42826</v>
      </c>
      <c r="IX35" s="1603">
        <f>MONTH(IT34)</f>
        <v>3</v>
      </c>
      <c r="IY35" s="1603" t="str">
        <f>RIGHT(YEAR(IT34),2)</f>
        <v>21</v>
      </c>
      <c r="JA35" s="1603">
        <f>MONTH(IV34)</f>
        <v>5</v>
      </c>
      <c r="JB35" s="1603" t="str">
        <f>RIGHT(YEAR(IV34),2)</f>
        <v>21</v>
      </c>
      <c r="JD35" s="1457"/>
      <c r="JG35" s="1458"/>
      <c r="JH35" s="298"/>
      <c r="JI35" s="1468"/>
      <c r="JJ35" s="1468"/>
      <c r="JN35" s="1621">
        <v>22</v>
      </c>
      <c r="JO35" s="1622">
        <f t="shared" si="0"/>
        <v>42339</v>
      </c>
      <c r="JP35" s="1475"/>
      <c r="JQ35" s="1139">
        <v>22</v>
      </c>
      <c r="JR35" s="1483">
        <v>42339</v>
      </c>
      <c r="JS35" s="831"/>
      <c r="MA35" s="834"/>
      <c r="MI35" s="620">
        <v>4</v>
      </c>
      <c r="MJ35" s="620" t="s">
        <v>319</v>
      </c>
      <c r="MK35" s="1117" t="s">
        <v>446</v>
      </c>
      <c r="ML35" s="621">
        <v>150000</v>
      </c>
      <c r="MM35" s="125"/>
      <c r="MN35" s="1740"/>
      <c r="MO35" s="456"/>
      <c r="MP35" s="1789" t="s">
        <v>1301</v>
      </c>
      <c r="MQ35" s="1791">
        <f>MQ34</f>
        <v>0</v>
      </c>
      <c r="MW35" s="579">
        <v>7</v>
      </c>
      <c r="MX35" s="5650" t="s">
        <v>1531</v>
      </c>
      <c r="MY35" s="5650"/>
      <c r="MZ35" s="5650"/>
      <c r="NA35" s="5650"/>
      <c r="NH35" s="1688">
        <v>7</v>
      </c>
      <c r="NI35" s="5631" t="s">
        <v>1267</v>
      </c>
      <c r="NJ35" s="5632"/>
      <c r="NK35" s="5632"/>
      <c r="NL35" s="5632"/>
      <c r="NM35" s="5633"/>
      <c r="NW35" s="1688">
        <v>2</v>
      </c>
      <c r="NX35" s="5651" t="s">
        <v>1309</v>
      </c>
      <c r="NY35" s="5652"/>
      <c r="NZ35" s="5653"/>
      <c r="OA35" s="1708">
        <v>75000</v>
      </c>
    </row>
    <row r="36" spans="1:395" ht="24.95" customHeight="1">
      <c r="A36" s="123"/>
      <c r="B36" s="8"/>
      <c r="C36" s="649"/>
      <c r="D36" s="650" t="s">
        <v>822</v>
      </c>
      <c r="E36" s="644">
        <v>2.67</v>
      </c>
      <c r="F36" s="644">
        <v>2.67</v>
      </c>
      <c r="G36" s="644">
        <v>2.67</v>
      </c>
      <c r="H36" s="644">
        <v>2.67</v>
      </c>
      <c r="I36" s="644">
        <v>2.72</v>
      </c>
      <c r="J36" s="644">
        <v>2.72</v>
      </c>
      <c r="N36" s="643" t="s">
        <v>822</v>
      </c>
      <c r="O36" s="644">
        <v>2.67</v>
      </c>
      <c r="P36" s="644">
        <v>2.67</v>
      </c>
      <c r="Q36" s="644">
        <v>2.67</v>
      </c>
      <c r="R36" s="644">
        <v>2.67</v>
      </c>
      <c r="S36" s="644">
        <v>2.72</v>
      </c>
      <c r="T36" s="644">
        <v>2.72</v>
      </c>
      <c r="Y36" s="772"/>
      <c r="Z36" s="773"/>
      <c r="AA36" s="773"/>
      <c r="AB36" s="773"/>
      <c r="AC36" s="773"/>
      <c r="AD36" s="773"/>
      <c r="AE36" s="773"/>
      <c r="AF36" s="3188"/>
      <c r="AG36" s="773"/>
      <c r="AH36" s="773"/>
      <c r="AI36" s="774"/>
      <c r="AJ36" s="775"/>
      <c r="AK36" s="1438"/>
      <c r="AL36" s="1443"/>
      <c r="AM36" s="1444"/>
      <c r="AN36" s="1444"/>
      <c r="AO36" s="1445"/>
      <c r="AP36" s="1438"/>
      <c r="AR36" s="827">
        <v>17</v>
      </c>
      <c r="AS36" s="1451">
        <v>44866</v>
      </c>
      <c r="AV36" s="7"/>
      <c r="BI36" s="1"/>
      <c r="CD36" s="345"/>
      <c r="DE36" s="345"/>
      <c r="EB36" s="288"/>
      <c r="EN36" s="7"/>
      <c r="HK36" s="877"/>
      <c r="HL36" s="856"/>
      <c r="HM36" s="2326"/>
      <c r="HY36" s="843"/>
      <c r="HZ36" s="856"/>
      <c r="IA36" s="1482"/>
      <c r="II36" s="1560"/>
      <c r="IJ36" s="1560"/>
      <c r="IL36" s="1560"/>
      <c r="IM36" s="1560"/>
      <c r="IO36" s="834"/>
      <c r="IP36" s="1550">
        <v>17</v>
      </c>
      <c r="IQ36" s="1604">
        <f t="shared" si="3"/>
        <v>42856</v>
      </c>
      <c r="IX36" s="1602" t="str">
        <f>LOOKUP(IX35,$AE$21:$AE$32,$AG$21:$AG$32)</f>
        <v>Mar</v>
      </c>
      <c r="IY36" s="1602" t="str">
        <f>IY35</f>
        <v>21</v>
      </c>
      <c r="JA36" s="1602" t="str">
        <f>LOOKUP(JA35,$AE$21:$AE$32,$AG$21:$AG$32)</f>
        <v>May</v>
      </c>
      <c r="JB36" s="1602" t="str">
        <f>JB35</f>
        <v>21</v>
      </c>
      <c r="JD36" s="1457"/>
      <c r="JN36" s="1621">
        <v>23</v>
      </c>
      <c r="JO36" s="1622">
        <f t="shared" si="0"/>
        <v>42370</v>
      </c>
      <c r="JP36" s="1475"/>
      <c r="JQ36" s="1139">
        <v>23</v>
      </c>
      <c r="JR36" s="1483">
        <v>42370</v>
      </c>
      <c r="JS36" s="831"/>
      <c r="MA36" s="834"/>
      <c r="MI36" s="620">
        <v>5</v>
      </c>
      <c r="MJ36" s="620" t="s">
        <v>319</v>
      </c>
      <c r="MK36" s="1117" t="s">
        <v>448</v>
      </c>
      <c r="ML36" s="621">
        <v>150000</v>
      </c>
      <c r="MM36" s="125"/>
      <c r="MN36" s="1740"/>
      <c r="MO36" s="456"/>
      <c r="MP36" s="1801" t="s">
        <v>1302</v>
      </c>
      <c r="MQ36" s="1792">
        <f>SUM(MQ31-MQ32-MQ33-MQ34-MQ35)</f>
        <v>1361800</v>
      </c>
      <c r="MW36" s="579">
        <v>8</v>
      </c>
      <c r="MX36" s="5650" t="s">
        <v>1594</v>
      </c>
      <c r="MY36" s="5650"/>
      <c r="MZ36" s="5650"/>
      <c r="NA36" s="5650"/>
      <c r="NW36" s="1688">
        <v>3</v>
      </c>
      <c r="NX36" s="5651" t="s">
        <v>1310</v>
      </c>
      <c r="NY36" s="5652"/>
      <c r="NZ36" s="5653"/>
      <c r="OA36" s="1708">
        <v>125000</v>
      </c>
    </row>
    <row r="37" spans="1:395" ht="24.95" customHeight="1">
      <c r="A37" s="123"/>
      <c r="B37" s="8"/>
      <c r="C37" s="649"/>
      <c r="D37" s="645" t="s">
        <v>823</v>
      </c>
      <c r="E37" s="646">
        <v>21600</v>
      </c>
      <c r="F37" s="646">
        <v>25790</v>
      </c>
      <c r="G37" s="646">
        <v>29900</v>
      </c>
      <c r="H37" s="646">
        <v>49200</v>
      </c>
      <c r="I37" s="646">
        <v>53000</v>
      </c>
      <c r="J37" s="646">
        <v>67000</v>
      </c>
      <c r="N37" s="645" t="s">
        <v>823</v>
      </c>
      <c r="O37" s="646">
        <v>21600</v>
      </c>
      <c r="P37" s="646">
        <v>25790</v>
      </c>
      <c r="Q37" s="646">
        <v>29900</v>
      </c>
      <c r="R37" s="646">
        <v>49200</v>
      </c>
      <c r="S37" s="646">
        <v>53000</v>
      </c>
      <c r="T37" s="646">
        <v>67000</v>
      </c>
      <c r="Y37" s="776"/>
      <c r="Z37" s="777"/>
      <c r="AA37" s="5760" t="s">
        <v>1596</v>
      </c>
      <c r="AB37" s="5762"/>
      <c r="AC37" s="777"/>
      <c r="AD37" s="777"/>
      <c r="AE37" s="5760" t="s">
        <v>1595</v>
      </c>
      <c r="AF37" s="5761"/>
      <c r="AG37" s="5762"/>
      <c r="AH37" s="777"/>
      <c r="AI37" s="778"/>
      <c r="AJ37" s="775"/>
      <c r="AK37" s="1438"/>
      <c r="AL37" s="1446"/>
      <c r="AM37" s="779"/>
      <c r="AN37" s="779"/>
      <c r="AO37" s="780"/>
      <c r="AP37" s="1438"/>
      <c r="AR37" s="827">
        <v>18</v>
      </c>
      <c r="AS37" s="1451">
        <v>44896</v>
      </c>
      <c r="AV37" s="7"/>
      <c r="BI37" s="1"/>
      <c r="CD37" s="345"/>
      <c r="DE37" s="345"/>
      <c r="EB37" s="288"/>
      <c r="EN37" s="7"/>
      <c r="HK37" s="877"/>
      <c r="HL37" s="856"/>
      <c r="HM37" s="2354"/>
      <c r="HY37" s="843"/>
      <c r="HZ37" s="856"/>
      <c r="IA37" s="1482"/>
      <c r="II37" s="1490"/>
      <c r="IL37" s="1490"/>
      <c r="IO37" s="834"/>
      <c r="IP37" s="1550">
        <v>18</v>
      </c>
      <c r="IQ37" s="1604">
        <f t="shared" si="3"/>
        <v>42887</v>
      </c>
      <c r="IX37" s="1454" t="str">
        <f>CONCATENATE(IX36,"-",IY36)</f>
        <v>Mar-21</v>
      </c>
      <c r="JA37" s="1454" t="str">
        <f>CONCATENATE(JA36,"-",JB36)</f>
        <v>May-21</v>
      </c>
      <c r="JD37" s="1457"/>
      <c r="JN37" s="1621">
        <v>24</v>
      </c>
      <c r="JO37" s="1622">
        <f t="shared" si="0"/>
        <v>42401</v>
      </c>
      <c r="JP37" s="1475"/>
      <c r="JQ37" s="1139">
        <v>24</v>
      </c>
      <c r="JR37" s="1483">
        <v>42401</v>
      </c>
      <c r="JS37" s="831"/>
      <c r="MA37" s="834"/>
      <c r="MI37" s="620">
        <v>6</v>
      </c>
      <c r="MJ37" s="620" t="s">
        <v>461</v>
      </c>
      <c r="MK37" s="1117" t="s">
        <v>450</v>
      </c>
      <c r="ML37" s="621">
        <v>150000</v>
      </c>
      <c r="MM37" s="125"/>
      <c r="MN37" s="1740"/>
      <c r="MO37" s="1746"/>
      <c r="MP37" s="1802" t="s">
        <v>1304</v>
      </c>
      <c r="MQ37" s="1803">
        <f>ROUND(MQ36*10%,0)</f>
        <v>136180</v>
      </c>
      <c r="MW37" s="3350">
        <v>9</v>
      </c>
      <c r="MX37" s="5774" t="s">
        <v>1645</v>
      </c>
      <c r="MY37" s="5774"/>
      <c r="MZ37" s="5774"/>
      <c r="NA37" s="5774"/>
      <c r="NH37" s="1688">
        <v>1</v>
      </c>
      <c r="NI37" s="5612" t="s">
        <v>1209</v>
      </c>
      <c r="NJ37" s="5612"/>
      <c r="NK37" s="5612"/>
      <c r="NL37" s="5612"/>
      <c r="NM37" s="5612"/>
    </row>
    <row r="38" spans="1:395" ht="30" customHeight="1">
      <c r="A38" s="123"/>
      <c r="B38" s="8"/>
      <c r="C38" s="649"/>
      <c r="D38" s="647" t="s">
        <v>824</v>
      </c>
      <c r="E38" s="648">
        <v>10</v>
      </c>
      <c r="F38" s="648">
        <v>11</v>
      </c>
      <c r="G38" s="648">
        <v>12</v>
      </c>
      <c r="H38" s="648" t="s">
        <v>825</v>
      </c>
      <c r="I38" s="648">
        <v>14</v>
      </c>
      <c r="J38" s="648">
        <v>15</v>
      </c>
      <c r="N38" s="647" t="s">
        <v>824</v>
      </c>
      <c r="O38" s="648">
        <v>10</v>
      </c>
      <c r="P38" s="648">
        <v>11</v>
      </c>
      <c r="Q38" s="648">
        <v>12</v>
      </c>
      <c r="R38" s="648" t="s">
        <v>825</v>
      </c>
      <c r="S38" s="648">
        <v>14</v>
      </c>
      <c r="T38" s="648">
        <v>15</v>
      </c>
      <c r="Y38" s="776"/>
      <c r="Z38" s="777"/>
      <c r="AA38" s="5257" t="str">
        <f>BF2</f>
        <v>Rs.68900-205500</v>
      </c>
      <c r="AB38" s="5257"/>
      <c r="AC38" s="781"/>
      <c r="AD38" s="777"/>
      <c r="AE38" s="5260" t="str">
        <f>CR10</f>
        <v>Rs.79800-211500</v>
      </c>
      <c r="AF38" s="5260"/>
      <c r="AG38" s="5260"/>
      <c r="AH38" s="777"/>
      <c r="AI38" s="778"/>
      <c r="AJ38" s="775"/>
      <c r="AK38" s="1438"/>
      <c r="AL38" s="1446"/>
      <c r="AM38" s="5257" t="str">
        <f>DS7</f>
        <v>Rs.79800-211500</v>
      </c>
      <c r="AN38" s="5257"/>
      <c r="AO38" s="780"/>
      <c r="AP38" s="1438"/>
      <c r="AR38" s="827">
        <v>19</v>
      </c>
      <c r="AS38" s="1451">
        <v>44927</v>
      </c>
      <c r="AV38" s="8"/>
      <c r="AW38" s="345"/>
      <c r="AX38" s="345"/>
      <c r="AY38" s="345"/>
      <c r="AZ38" s="345"/>
      <c r="BA38" s="345"/>
      <c r="BB38" s="345"/>
      <c r="BC38" s="345"/>
      <c r="BD38" s="345"/>
      <c r="BE38" s="345"/>
      <c r="BF38" s="345"/>
      <c r="BG38" s="345"/>
      <c r="BH38" s="345"/>
      <c r="BI38" s="7"/>
      <c r="BJ38" s="345"/>
      <c r="BK38" s="345"/>
      <c r="BL38" s="345"/>
      <c r="BM38" s="345"/>
      <c r="BN38" s="345"/>
      <c r="BO38" s="345"/>
      <c r="BP38" s="345"/>
      <c r="BQ38" s="345"/>
      <c r="BR38" s="345"/>
      <c r="BS38" s="345"/>
      <c r="BT38" s="345"/>
      <c r="BU38" s="345"/>
      <c r="BV38" s="345"/>
      <c r="BW38" s="345"/>
      <c r="BX38" s="345"/>
      <c r="BY38" s="345"/>
      <c r="BZ38" s="345"/>
      <c r="CA38" s="345"/>
      <c r="CB38" s="345"/>
      <c r="CC38" s="345"/>
      <c r="CD38" s="7"/>
      <c r="CE38" s="345"/>
      <c r="CF38" s="2205"/>
      <c r="CG38" s="2206" t="str">
        <f>LOOKUP(CH38,$AA$14:$AA$19,$AB$14:$AB$19)</f>
        <v>Rs.68900-205500</v>
      </c>
      <c r="CH38" s="2206">
        <f>CS3</f>
        <v>2</v>
      </c>
      <c r="CI38" s="345"/>
      <c r="CJ38" s="345"/>
      <c r="CK38" s="2205"/>
      <c r="CL38" s="2206" t="str">
        <f>LOOKUP(CM38,$AA$14:$AA$19,$AB$14:$AB$19)</f>
        <v>Rs.79800-211500</v>
      </c>
      <c r="CM38" s="2206">
        <f>CS11</f>
        <v>3</v>
      </c>
      <c r="CN38" s="345"/>
      <c r="CO38" s="345"/>
      <c r="CP38" s="345"/>
      <c r="CQ38" s="345"/>
      <c r="CR38" s="345"/>
      <c r="CS38" s="1354"/>
      <c r="CT38" s="1354"/>
      <c r="CU38" s="1354"/>
      <c r="CV38" s="1354"/>
      <c r="CW38" s="1354"/>
      <c r="CX38" s="1354"/>
      <c r="CY38" s="1354"/>
      <c r="CZ38" s="1354"/>
      <c r="DA38" s="1354"/>
      <c r="DB38" s="1354"/>
      <c r="DC38" s="1354"/>
      <c r="DD38" s="1354"/>
      <c r="DE38" s="7"/>
      <c r="DF38" s="287"/>
      <c r="DG38" s="287"/>
      <c r="DH38" s="287"/>
      <c r="DI38" s="287"/>
      <c r="DJ38" s="287"/>
      <c r="DK38" s="287"/>
      <c r="DL38" s="287"/>
      <c r="DM38" s="287"/>
      <c r="DN38" s="287"/>
      <c r="DO38" s="287"/>
      <c r="DP38" s="287"/>
      <c r="DQ38" s="287"/>
      <c r="DR38" s="287"/>
      <c r="DS38" s="287"/>
      <c r="DT38" s="287"/>
      <c r="DU38" s="287"/>
      <c r="DV38" s="287"/>
      <c r="DW38" s="287"/>
      <c r="DX38" s="287"/>
      <c r="DY38" s="287"/>
      <c r="DZ38" s="287"/>
      <c r="EA38" s="287"/>
      <c r="EB38" s="7"/>
      <c r="EC38" s="1"/>
      <c r="ED38" s="1"/>
      <c r="EE38" s="1"/>
      <c r="EF38" s="1"/>
      <c r="EG38" s="1"/>
      <c r="EH38" s="1"/>
      <c r="EI38" s="1"/>
      <c r="EJ38" s="1"/>
      <c r="EK38" s="1"/>
      <c r="EL38" s="1"/>
      <c r="EM38" s="1"/>
      <c r="EN38" s="7"/>
      <c r="GK38" s="5257" t="str">
        <f>KC2</f>
        <v>Rs.57700-182400</v>
      </c>
      <c r="GL38" s="5257"/>
      <c r="GM38" s="856">
        <f>KD2</f>
        <v>1</v>
      </c>
      <c r="HK38" s="877"/>
      <c r="HL38" s="856"/>
      <c r="HM38" s="2326"/>
      <c r="HY38" s="843"/>
      <c r="HZ38" s="856"/>
      <c r="IA38" s="1482"/>
      <c r="IO38" s="834"/>
      <c r="IP38" s="1550">
        <v>19</v>
      </c>
      <c r="IQ38" s="1604">
        <f t="shared" si="3"/>
        <v>42917</v>
      </c>
      <c r="JD38" s="1457"/>
      <c r="JN38" s="1621">
        <v>25</v>
      </c>
      <c r="JO38" s="1622">
        <f t="shared" si="0"/>
        <v>42430</v>
      </c>
      <c r="JP38" s="1475"/>
      <c r="JQ38" s="1139">
        <v>25</v>
      </c>
      <c r="JR38" s="1483">
        <v>42430</v>
      </c>
      <c r="JS38" s="831"/>
      <c r="MA38" s="834"/>
      <c r="MI38" s="620">
        <v>7</v>
      </c>
      <c r="MJ38" s="620" t="s">
        <v>319</v>
      </c>
      <c r="MK38" s="1117" t="s">
        <v>457</v>
      </c>
      <c r="ML38" s="621">
        <v>150000</v>
      </c>
      <c r="MM38" s="125"/>
      <c r="MN38" s="1740"/>
      <c r="MO38" s="1746"/>
      <c r="MP38" s="1800" t="s">
        <v>1305</v>
      </c>
      <c r="MQ38" s="1794">
        <f>'Data Sheet-III '!O53</f>
        <v>0</v>
      </c>
      <c r="MW38" s="3351">
        <v>10</v>
      </c>
      <c r="MX38" s="5774" t="s">
        <v>1646</v>
      </c>
      <c r="MY38" s="5774"/>
      <c r="MZ38" s="5774"/>
      <c r="NA38" s="5774"/>
      <c r="NH38" s="1688">
        <v>2</v>
      </c>
      <c r="NI38" s="5612" t="s">
        <v>1264</v>
      </c>
      <c r="NJ38" s="5612"/>
      <c r="NK38" s="5612"/>
      <c r="NL38" s="5612"/>
      <c r="NM38" s="5612"/>
    </row>
    <row r="39" spans="1:395" ht="26.25" customHeight="1">
      <c r="A39" s="123"/>
      <c r="B39" s="8"/>
      <c r="C39" s="649"/>
      <c r="D39" s="680">
        <v>1</v>
      </c>
      <c r="E39" s="3464">
        <v>57700</v>
      </c>
      <c r="F39" s="3465">
        <v>68900</v>
      </c>
      <c r="G39" s="3466">
        <v>79800</v>
      </c>
      <c r="H39" s="3467">
        <v>131400</v>
      </c>
      <c r="I39" s="3468">
        <v>144200</v>
      </c>
      <c r="J39" s="3468">
        <v>182200</v>
      </c>
      <c r="N39" s="680">
        <v>1</v>
      </c>
      <c r="O39" s="3458">
        <v>182400</v>
      </c>
      <c r="P39" s="3459">
        <v>205500</v>
      </c>
      <c r="Q39" s="3460">
        <v>211500</v>
      </c>
      <c r="R39" s="3461">
        <v>217100</v>
      </c>
      <c r="S39" s="3462">
        <v>218200</v>
      </c>
      <c r="T39" s="3462">
        <v>224100</v>
      </c>
      <c r="Y39" s="776"/>
      <c r="Z39" s="777"/>
      <c r="AA39" s="738">
        <v>1</v>
      </c>
      <c r="AB39" s="3470">
        <f>IF(IF(AND($BG$2=1),E39,IF(AND($BG$2=2),F39,IF(AND($BG$2=3),G39,IF(AND($BG$2=4),H39,IF(AND($BG$2=5),I39,IF(AND($BG$2=6),J39,""))))))&gt;0,IF(AND($BG$2=1),E39,IF(AND($BG$2=2),F39,IF(AND($BG$2=3),G39,IF(AND($BG$2=4),H39,IF(AND($BG$2=5),I39,IF(AND($BG$2=6),J39,"")))))),"")</f>
        <v>68900</v>
      </c>
      <c r="AC39" s="777"/>
      <c r="AD39" s="777"/>
      <c r="AE39" s="738">
        <v>1</v>
      </c>
      <c r="AF39" s="3189"/>
      <c r="AG39" s="3470">
        <f>IF(IF(AND($CS$10=1),E39,IF(AND($CS$10=2),F39,IF(AND($CS$10=3),G39,IF(AND($CS$10=4),H39,IF(AND($CS$10=5),I39,IF(AND($CS$10=6),J39,""))))))&gt;0,IF(AND($CS$10=1),E39,IF(AND($CS$10=2),F39,IF(AND($CS$10=3),G39,IF(AND($CS$10=4),H39,IF(AND($CS$10=5),I39,IF(AND($CS$10=6),J39,"")))))),"")</f>
        <v>79800</v>
      </c>
      <c r="AH39" s="777"/>
      <c r="AI39" s="778"/>
      <c r="AJ39" s="775"/>
      <c r="AK39" s="1438"/>
      <c r="AL39" s="1446"/>
      <c r="AM39" s="738">
        <v>1</v>
      </c>
      <c r="AN39" s="3471">
        <f>IF(IF(AND($DT$7=1),E39,IF(AND($DT$7=2),F39,IF(AND($DT$7=3),G39,IF(AND($DT$7=4),H39,IF(AND($DT$7=5),I39,IF(AND($DT$7=6),J39,""))))))&gt;0,IF(AND($DT$7=1),E39,IF(AND($DT$7=2),F39,IF(AND($DT$7=3),G39,IF(AND($DT$7=4),H39,IF(AND($DT$7=5),I39,IF(AND($DT$7=6),J39,"")))))),"")</f>
        <v>79800</v>
      </c>
      <c r="AO39" s="780"/>
      <c r="AP39" s="1438"/>
      <c r="AR39" s="827">
        <v>20</v>
      </c>
      <c r="AS39" s="1451">
        <v>44958</v>
      </c>
      <c r="AV39" s="7"/>
      <c r="CD39" s="833"/>
      <c r="CF39" s="2207">
        <v>1</v>
      </c>
      <c r="CG39" s="3472">
        <f>IF(IF(AND($CH$38=1),E39,IF(AND($CH$38=2),F39,IF(AND($CH$38=3),G39,IF(AND($CH$38=4),H39,IF(AND($CH$38=5),I39,IF(AND($CH$38=6),J39,""))))))&gt;0,IF(AND($CH$38=1),E39,IF(AND($CH$38=2),F39,IF(AND($CH$38=3),G39,IF(AND($CH$38=4),H39,IF(AND($CH$38=5),I39,IF(AND($CH$38=6),J39,"")))))),"")</f>
        <v>68900</v>
      </c>
      <c r="CH39" s="2209"/>
      <c r="CK39" s="2207">
        <v>1</v>
      </c>
      <c r="CL39" s="3473">
        <f>IF(IF(AND($CM$38=1),E39,IF(AND($CM$38=2),F39,IF(AND($CM$38=3),G39,IF(AND($CM$38=4),H39,IF(AND($CM$38=5),I39,IF(AND($CM$38=6),J39,""))))))&gt;0,IF(AND($CM$38=1),E39,IF(AND($CM$38=2),F39,IF(AND($CM$38=3),G39,IF(AND($CM$38=4),H39,IF(AND($CM$38=5),I39,IF(AND($CM$38=6),J39,"")))))),"")</f>
        <v>79800</v>
      </c>
      <c r="CM39" s="2209"/>
      <c r="CR39" s="2288"/>
      <c r="CS39" s="1699"/>
      <c r="CT39" s="1699"/>
      <c r="CU39" s="5639" t="s">
        <v>1414</v>
      </c>
      <c r="CV39" s="5640"/>
      <c r="CW39" s="5641"/>
      <c r="CX39" s="1407"/>
      <c r="CY39" s="2289">
        <v>1</v>
      </c>
      <c r="CZ39" s="1699"/>
      <c r="DA39" s="1699"/>
      <c r="DB39" s="1699"/>
      <c r="DC39" s="1699"/>
      <c r="DD39" s="1699"/>
      <c r="EA39" s="649"/>
      <c r="EB39" s="649"/>
      <c r="EC39" s="649"/>
      <c r="GK39" s="888">
        <v>1</v>
      </c>
      <c r="GL39" s="3474">
        <f>IF(IF(AND($GM$38=1),E39,IF(AND($GM$38=2),F39,IF(AND($GM$38=3),G39,IF(AND($GM$38=4),H39,IF(AND($GM$38=5),I39,IF(AND($GM$38=6),J39,""))))))&gt;0,IF(AND($GM$38=1),E39,IF(AND($GM$38=2),F39,IF(AND($GM$38=3),G39,IF(AND($GM$38=4),H39,IF(AND($GM$38=5),I39,IF(AND($GM$38=6),J39,"")))))),"")</f>
        <v>57700</v>
      </c>
      <c r="HK39" s="877"/>
      <c r="HL39" s="856"/>
      <c r="HM39" s="2354"/>
      <c r="HY39" s="843"/>
      <c r="HZ39" s="856"/>
      <c r="IA39" s="1482"/>
      <c r="IO39" s="834"/>
      <c r="IP39" s="1550">
        <v>20</v>
      </c>
      <c r="IQ39" s="1604">
        <f t="shared" si="3"/>
        <v>42948</v>
      </c>
      <c r="JD39" s="1457"/>
      <c r="JN39" s="1621">
        <v>26</v>
      </c>
      <c r="JO39" s="1622">
        <f t="shared" si="0"/>
        <v>42461</v>
      </c>
      <c r="JP39" s="1475"/>
      <c r="JQ39" s="1139">
        <v>26</v>
      </c>
      <c r="JR39" s="1483">
        <v>42461</v>
      </c>
      <c r="JS39" s="831"/>
      <c r="MA39" s="834"/>
      <c r="MI39" s="620">
        <v>8</v>
      </c>
      <c r="MJ39" s="620" t="s">
        <v>461</v>
      </c>
      <c r="MK39" s="1117" t="s">
        <v>452</v>
      </c>
      <c r="ML39" s="621">
        <v>150000</v>
      </c>
      <c r="MM39" s="125"/>
      <c r="MN39" s="1740"/>
      <c r="MO39" s="1745"/>
      <c r="MP39" s="1798" t="s">
        <v>1308</v>
      </c>
      <c r="MQ39" s="1795">
        <f>MIN(MQ37:MQ38)</f>
        <v>0</v>
      </c>
      <c r="NH39" s="1688">
        <v>3</v>
      </c>
      <c r="NI39" s="5612" t="s">
        <v>1265</v>
      </c>
      <c r="NJ39" s="5612"/>
      <c r="NK39" s="5612"/>
      <c r="NL39" s="5612"/>
      <c r="NM39" s="5612"/>
    </row>
    <row r="40" spans="1:395" ht="30" customHeight="1">
      <c r="A40" s="123"/>
      <c r="B40" s="8"/>
      <c r="C40" s="649"/>
      <c r="D40" s="680">
        <v>2</v>
      </c>
      <c r="E40" s="3464">
        <v>59400</v>
      </c>
      <c r="F40" s="3465">
        <v>71000</v>
      </c>
      <c r="G40" s="3466">
        <v>82200</v>
      </c>
      <c r="H40" s="3467">
        <v>135300</v>
      </c>
      <c r="I40" s="3468">
        <v>148500</v>
      </c>
      <c r="J40" s="3468">
        <v>187700</v>
      </c>
      <c r="N40" s="680">
        <v>2</v>
      </c>
      <c r="O40" s="3458">
        <v>177100</v>
      </c>
      <c r="P40" s="3459">
        <v>199500</v>
      </c>
      <c r="Q40" s="3460">
        <v>205300</v>
      </c>
      <c r="R40" s="3461">
        <v>210800</v>
      </c>
      <c r="S40" s="3462">
        <v>211800</v>
      </c>
      <c r="T40" s="3462">
        <v>217600</v>
      </c>
      <c r="Y40" s="776"/>
      <c r="Z40" s="777"/>
      <c r="AA40" s="738">
        <v>2</v>
      </c>
      <c r="AB40" s="3470">
        <f t="shared" ref="AB40:AB78" si="7">IF(IF(AND($BG$2=1),E40,IF(AND($BG$2=2),F40,IF(AND($BG$2=3),G40,IF(AND($BG$2=4),H40,IF(AND($BG$2=5),I40,IF(AND($BG$2=6),J40,""))))))&gt;0,IF(AND($BG$2=1),E40,IF(AND($BG$2=2),F40,IF(AND($BG$2=3),G40,IF(AND($BG$2=4),H40,IF(AND($BG$2=5),I40,IF(AND($BG$2=6),J40,"")))))),"")</f>
        <v>71000</v>
      </c>
      <c r="AC40" s="777"/>
      <c r="AD40" s="777"/>
      <c r="AE40" s="738">
        <v>2</v>
      </c>
      <c r="AF40" s="3189"/>
      <c r="AG40" s="3470">
        <f t="shared" ref="AG40:AG78" si="8">IF(IF(AND($CS$10=1),E40,IF(AND($CS$10=2),F40,IF(AND($CS$10=3),G40,IF(AND($CS$10=4),H40,IF(AND($CS$10=5),I40,IF(AND($CS$10=6),J40,""))))))&gt;0,IF(AND($CS$10=1),E40,IF(AND($CS$10=2),F40,IF(AND($CS$10=3),G40,IF(AND($CS$10=4),H40,IF(AND($CS$10=5),I40,IF(AND($CS$10=6),J40,"")))))),"")</f>
        <v>82200</v>
      </c>
      <c r="AH40" s="777"/>
      <c r="AI40" s="778"/>
      <c r="AJ40" s="775"/>
      <c r="AK40" s="1438"/>
      <c r="AL40" s="1446"/>
      <c r="AM40" s="738">
        <v>2</v>
      </c>
      <c r="AN40" s="3471">
        <f t="shared" ref="AN40:AN78" si="9">IF(IF(AND($DT$7=1),E40,IF(AND($DT$7=2),F40,IF(AND($DT$7=3),G40,IF(AND($DT$7=4),H40,IF(AND($DT$7=5),I40,IF(AND($DT$7=6),J40,""))))))&gt;0,IF(AND($DT$7=1),E40,IF(AND($DT$7=2),F40,IF(AND($DT$7=3),G40,IF(AND($DT$7=4),H40,IF(AND($DT$7=5),I40,IF(AND($DT$7=6),J40,"")))))),"")</f>
        <v>82200</v>
      </c>
      <c r="AO40" s="780"/>
      <c r="AP40" s="1438"/>
      <c r="AV40" s="7"/>
      <c r="CD40" s="833"/>
      <c r="CF40" s="2207">
        <v>2</v>
      </c>
      <c r="CG40" s="3472">
        <f t="shared" ref="CG40:CG78" si="10">IF(IF(AND($CH$38=1),E40,IF(AND($CH$38=2),F40,IF(AND($CH$38=3),G40,IF(AND($CH$38=4),H40,IF(AND($CH$38=5),I40,IF(AND($CH$38=6),J40,""))))))&gt;0,IF(AND($CH$38=1),E40,IF(AND($CH$38=2),F40,IF(AND($CH$38=3),G40,IF(AND($CH$38=4),H40,IF(AND($CH$38=5),I40,IF(AND($CH$38=6),J40,"")))))),"")</f>
        <v>71000</v>
      </c>
      <c r="CH40" s="2209"/>
      <c r="CK40" s="2207">
        <v>2</v>
      </c>
      <c r="CL40" s="3473">
        <f t="shared" ref="CL40:CL78" si="11">IF(IF(AND($CM$38=1),E40,IF(AND($CM$38=2),F40,IF(AND($CM$38=3),G40,IF(AND($CM$38=4),H40,IF(AND($CM$38=5),I40,IF(AND($CM$38=6),J40,""))))))&gt;0,IF(AND($CM$38=1),E40,IF(AND($CM$38=2),F40,IF(AND($CM$38=3),G40,IF(AND($CM$38=4),H40,IF(AND($CM$38=5),I40,IF(AND($CM$38=6),J40,"")))))),"")</f>
        <v>82200</v>
      </c>
      <c r="CM40" s="2209"/>
      <c r="CR40" s="2288"/>
      <c r="CS40" s="1699"/>
      <c r="CT40" s="1699"/>
      <c r="CU40" s="5639" t="s">
        <v>824</v>
      </c>
      <c r="CV40" s="5640"/>
      <c r="CW40" s="5641"/>
      <c r="CX40" s="2290">
        <f>CR11</f>
        <v>12</v>
      </c>
      <c r="CY40" s="2289">
        <f>CS11</f>
        <v>3</v>
      </c>
      <c r="CZ40" s="1699"/>
      <c r="DA40" s="1699"/>
      <c r="DB40" s="1699"/>
      <c r="DC40" s="1699"/>
      <c r="DD40" s="1699"/>
      <c r="EA40" s="649"/>
      <c r="EB40" s="649"/>
      <c r="EC40" s="649"/>
      <c r="GK40" s="888">
        <v>2</v>
      </c>
      <c r="GL40" s="3474">
        <f t="shared" ref="GL40:GL78" si="12">IF(IF(AND($GM$38=1),E40,IF(AND($GM$38=2),F40,IF(AND($GM$38=3),G40,IF(AND($GM$38=4),H40,IF(AND($GM$38=5),I40,IF(AND($GM$38=6),J40,""))))))&gt;0,IF(AND($GM$38=1),E40,IF(AND($GM$38=2),F40,IF(AND($GM$38=3),G40,IF(AND($GM$38=4),H40,IF(AND($GM$38=5),I40,IF(AND($GM$38=6),J40,"")))))),"")</f>
        <v>59400</v>
      </c>
      <c r="HK40" s="877"/>
      <c r="HL40" s="856"/>
      <c r="HM40" s="2326"/>
      <c r="HY40" s="843"/>
      <c r="HZ40" s="856"/>
      <c r="IA40" s="1482"/>
      <c r="IO40" s="834"/>
      <c r="IP40" s="1550">
        <v>21</v>
      </c>
      <c r="IQ40" s="1604">
        <f t="shared" si="3"/>
        <v>42979</v>
      </c>
      <c r="JD40" s="1457"/>
      <c r="JN40" s="1621">
        <v>27</v>
      </c>
      <c r="JO40" s="1622">
        <f t="shared" si="0"/>
        <v>42491</v>
      </c>
      <c r="JP40" s="1475"/>
      <c r="JQ40" s="1139">
        <v>27</v>
      </c>
      <c r="JR40" s="1483">
        <v>42491</v>
      </c>
      <c r="JS40" s="831"/>
      <c r="MA40" s="834"/>
      <c r="MI40" s="620">
        <v>9</v>
      </c>
      <c r="MJ40" s="620" t="s">
        <v>461</v>
      </c>
      <c r="MK40" s="1117" t="s">
        <v>462</v>
      </c>
      <c r="ML40" s="621">
        <v>150000</v>
      </c>
      <c r="MM40" s="125"/>
      <c r="MN40" s="1740"/>
      <c r="MO40" s="1747"/>
      <c r="MP40" s="1796" t="s">
        <v>1306</v>
      </c>
      <c r="MQ40" s="1799">
        <f>IF(MN27=1,100%,50%)</f>
        <v>0.5</v>
      </c>
      <c r="NH40" s="1688">
        <v>4</v>
      </c>
      <c r="NI40" s="5612" t="s">
        <v>1268</v>
      </c>
      <c r="NJ40" s="5612"/>
      <c r="NK40" s="5612"/>
      <c r="NL40" s="5612"/>
      <c r="NM40" s="5612"/>
      <c r="NV40" s="5236" t="s">
        <v>676</v>
      </c>
      <c r="NW40" s="5236"/>
      <c r="NX40" s="5236"/>
      <c r="NY40" s="5236"/>
      <c r="NZ40" s="5236"/>
      <c r="OA40" s="2435">
        <f>IF(AND($OB$15=2,OA23&gt;0),OA23,0)</f>
        <v>0</v>
      </c>
    </row>
    <row r="41" spans="1:395" ht="33.75" customHeight="1">
      <c r="A41" s="123"/>
      <c r="B41" s="8"/>
      <c r="C41" s="649"/>
      <c r="D41" s="680">
        <v>3</v>
      </c>
      <c r="E41" s="3464">
        <v>61200</v>
      </c>
      <c r="F41" s="3465">
        <v>73100</v>
      </c>
      <c r="G41" s="3466">
        <v>84700</v>
      </c>
      <c r="H41" s="3467">
        <v>139400</v>
      </c>
      <c r="I41" s="3468">
        <v>153000</v>
      </c>
      <c r="J41" s="3468">
        <v>193300</v>
      </c>
      <c r="N41" s="680">
        <v>3</v>
      </c>
      <c r="O41" s="3458">
        <v>171900</v>
      </c>
      <c r="P41" s="3459">
        <v>193700</v>
      </c>
      <c r="Q41" s="3460">
        <v>199300</v>
      </c>
      <c r="R41" s="3461">
        <v>204700</v>
      </c>
      <c r="S41" s="3462">
        <v>205600</v>
      </c>
      <c r="T41" s="3462">
        <v>211300</v>
      </c>
      <c r="Y41" s="776"/>
      <c r="Z41" s="777"/>
      <c r="AA41" s="738">
        <v>3</v>
      </c>
      <c r="AB41" s="3470">
        <f t="shared" si="7"/>
        <v>73100</v>
      </c>
      <c r="AC41" s="777"/>
      <c r="AD41" s="777"/>
      <c r="AE41" s="738">
        <v>3</v>
      </c>
      <c r="AF41" s="3189"/>
      <c r="AG41" s="3470">
        <f t="shared" si="8"/>
        <v>84700</v>
      </c>
      <c r="AH41" s="777"/>
      <c r="AI41" s="778"/>
      <c r="AJ41" s="775"/>
      <c r="AK41" s="1438"/>
      <c r="AL41" s="1446"/>
      <c r="AM41" s="738">
        <v>3</v>
      </c>
      <c r="AN41" s="3471">
        <f t="shared" si="9"/>
        <v>84700</v>
      </c>
      <c r="AO41" s="780"/>
      <c r="AP41" s="1438"/>
      <c r="AV41" s="7"/>
      <c r="CD41" s="833"/>
      <c r="CF41" s="2207">
        <v>3</v>
      </c>
      <c r="CG41" s="3472">
        <f t="shared" si="10"/>
        <v>73100</v>
      </c>
      <c r="CH41" s="2208"/>
      <c r="CI41" s="2201"/>
      <c r="CJ41" s="2201"/>
      <c r="CK41" s="2207">
        <v>3</v>
      </c>
      <c r="CL41" s="3473">
        <f t="shared" si="11"/>
        <v>84700</v>
      </c>
      <c r="CM41" s="2208"/>
      <c r="CN41" s="2201"/>
      <c r="CO41" s="2201"/>
      <c r="CP41" s="2201"/>
      <c r="CQ41" s="2201"/>
      <c r="CR41" s="2288"/>
      <c r="CS41" s="1699"/>
      <c r="CT41" s="1699"/>
      <c r="CU41" s="1699"/>
      <c r="CV41" s="1699"/>
      <c r="CW41" s="1699"/>
      <c r="CX41" s="1699"/>
      <c r="CY41" s="1699"/>
      <c r="CZ41" s="1699"/>
      <c r="DA41" s="1699"/>
      <c r="DB41" s="1699"/>
      <c r="DC41" s="1699"/>
      <c r="DD41" s="1699"/>
      <c r="EA41" s="649"/>
      <c r="EB41" s="649"/>
      <c r="EC41" s="649"/>
      <c r="GK41" s="888">
        <v>3</v>
      </c>
      <c r="GL41" s="3474">
        <f t="shared" si="12"/>
        <v>61200</v>
      </c>
      <c r="HK41" s="877"/>
      <c r="HL41" s="856"/>
      <c r="HM41" s="2354"/>
      <c r="HY41" s="843"/>
      <c r="HZ41" s="856"/>
      <c r="IA41" s="1482"/>
      <c r="IO41" s="834"/>
      <c r="IP41" s="1550">
        <v>22</v>
      </c>
      <c r="IQ41" s="1604">
        <f t="shared" si="3"/>
        <v>43009</v>
      </c>
      <c r="JD41" s="1457"/>
      <c r="JN41" s="1621">
        <v>28</v>
      </c>
      <c r="JO41" s="1622">
        <f t="shared" si="0"/>
        <v>42522</v>
      </c>
      <c r="JP41" s="1475"/>
      <c r="JQ41" s="1139">
        <v>28</v>
      </c>
      <c r="JR41" s="1483">
        <v>42522</v>
      </c>
      <c r="JS41" s="831"/>
      <c r="MA41" s="834"/>
      <c r="MI41" s="620">
        <v>10</v>
      </c>
      <c r="MJ41" s="620" t="s">
        <v>319</v>
      </c>
      <c r="MK41" s="1117" t="s">
        <v>500</v>
      </c>
      <c r="ML41" s="621">
        <v>150000</v>
      </c>
      <c r="MM41" s="125"/>
      <c r="MN41" s="1740"/>
      <c r="MO41" s="1747"/>
      <c r="MP41" s="1796" t="s">
        <v>1307</v>
      </c>
      <c r="MQ41" s="1797">
        <f>ROUND(MQ39*MQ40,0)</f>
        <v>0</v>
      </c>
      <c r="MS41" s="126" t="s">
        <v>989</v>
      </c>
      <c r="MT41" s="126" t="s">
        <v>988</v>
      </c>
      <c r="MU41" s="298">
        <v>24</v>
      </c>
      <c r="MV41" s="126" t="s">
        <v>984</v>
      </c>
      <c r="NH41" s="1688">
        <v>5</v>
      </c>
      <c r="NI41" s="5612" t="s">
        <v>1264</v>
      </c>
      <c r="NJ41" s="5612"/>
      <c r="NK41" s="5612"/>
      <c r="NL41" s="5612"/>
      <c r="NM41" s="5612"/>
    </row>
    <row r="42" spans="1:395" ht="24.95" customHeight="1">
      <c r="A42" s="123"/>
      <c r="B42" s="8"/>
      <c r="C42" s="649"/>
      <c r="D42" s="680">
        <v>4</v>
      </c>
      <c r="E42" s="3464">
        <v>63000</v>
      </c>
      <c r="F42" s="3465">
        <v>75300</v>
      </c>
      <c r="G42" s="3466">
        <v>87200</v>
      </c>
      <c r="H42" s="3467">
        <v>143600</v>
      </c>
      <c r="I42" s="3468">
        <v>157600</v>
      </c>
      <c r="J42" s="3468">
        <v>199100</v>
      </c>
      <c r="N42" s="680">
        <v>4</v>
      </c>
      <c r="O42" s="3458">
        <v>166900</v>
      </c>
      <c r="P42" s="3459">
        <v>188100</v>
      </c>
      <c r="Q42" s="3460">
        <v>193500</v>
      </c>
      <c r="R42" s="3461">
        <v>198700</v>
      </c>
      <c r="S42" s="3462">
        <v>199600</v>
      </c>
      <c r="T42" s="3462">
        <v>205100</v>
      </c>
      <c r="Y42" s="776"/>
      <c r="Z42" s="777"/>
      <c r="AA42" s="738">
        <v>4</v>
      </c>
      <c r="AB42" s="3470">
        <f t="shared" si="7"/>
        <v>75300</v>
      </c>
      <c r="AC42" s="777"/>
      <c r="AD42" s="777"/>
      <c r="AE42" s="738">
        <v>4</v>
      </c>
      <c r="AF42" s="3189"/>
      <c r="AG42" s="3470">
        <f t="shared" si="8"/>
        <v>87200</v>
      </c>
      <c r="AH42" s="777"/>
      <c r="AI42" s="778"/>
      <c r="AJ42" s="775"/>
      <c r="AK42" s="1438"/>
      <c r="AL42" s="1446"/>
      <c r="AM42" s="738">
        <v>4</v>
      </c>
      <c r="AN42" s="3471">
        <f t="shared" si="9"/>
        <v>87200</v>
      </c>
      <c r="AO42" s="780"/>
      <c r="AP42" s="1438"/>
      <c r="AV42" s="7"/>
      <c r="CD42" s="833"/>
      <c r="CF42" s="2207">
        <v>4</v>
      </c>
      <c r="CG42" s="3472">
        <f t="shared" si="10"/>
        <v>75300</v>
      </c>
      <c r="CH42" s="2208"/>
      <c r="CI42" s="2201"/>
      <c r="CJ42" s="2201"/>
      <c r="CK42" s="2207">
        <v>4</v>
      </c>
      <c r="CL42" s="3473">
        <f t="shared" si="11"/>
        <v>87200</v>
      </c>
      <c r="CM42" s="2208"/>
      <c r="CN42" s="2201"/>
      <c r="CO42" s="2201"/>
      <c r="CP42" s="2201"/>
      <c r="CQ42" s="2201"/>
      <c r="CR42" s="2288"/>
      <c r="GK42" s="888">
        <v>4</v>
      </c>
      <c r="GL42" s="3474">
        <f t="shared" si="12"/>
        <v>63000</v>
      </c>
      <c r="HK42" s="877"/>
      <c r="HL42" s="856"/>
      <c r="HM42" s="2326"/>
      <c r="HY42" s="843"/>
      <c r="HZ42" s="856"/>
      <c r="IA42" s="1482"/>
      <c r="IO42" s="834"/>
      <c r="IP42" s="1550">
        <v>23</v>
      </c>
      <c r="IQ42" s="1604">
        <f t="shared" si="3"/>
        <v>43040</v>
      </c>
      <c r="JD42" s="1457"/>
      <c r="JN42" s="1621">
        <v>29</v>
      </c>
      <c r="JO42" s="1622">
        <f t="shared" si="0"/>
        <v>42552</v>
      </c>
      <c r="JP42" s="1475"/>
      <c r="JQ42" s="1139">
        <v>29</v>
      </c>
      <c r="JR42" s="1483">
        <v>42552</v>
      </c>
      <c r="JS42" s="831"/>
      <c r="MA42" s="834"/>
      <c r="MI42" s="620">
        <v>11</v>
      </c>
      <c r="MJ42" s="620" t="s">
        <v>319</v>
      </c>
      <c r="MK42" s="1117" t="s">
        <v>427</v>
      </c>
      <c r="ML42" s="621">
        <v>150000</v>
      </c>
      <c r="MM42" s="125"/>
      <c r="MN42" s="125"/>
      <c r="MT42" s="1293" t="s">
        <v>988</v>
      </c>
      <c r="MU42" s="1924">
        <v>24</v>
      </c>
      <c r="MV42" s="1293" t="s">
        <v>984</v>
      </c>
      <c r="NH42" s="1688">
        <v>6</v>
      </c>
      <c r="NI42" s="5612" t="s">
        <v>1265</v>
      </c>
      <c r="NJ42" s="5612"/>
      <c r="NK42" s="5612"/>
      <c r="NL42" s="5612"/>
      <c r="NM42" s="5612"/>
    </row>
    <row r="43" spans="1:395" ht="24.95" customHeight="1" thickBot="1">
      <c r="A43" s="123"/>
      <c r="B43" s="8"/>
      <c r="C43" s="649"/>
      <c r="D43" s="680">
        <v>5</v>
      </c>
      <c r="E43" s="3464">
        <v>64900</v>
      </c>
      <c r="F43" s="3465">
        <v>77600</v>
      </c>
      <c r="G43" s="3466">
        <v>89800</v>
      </c>
      <c r="H43" s="3467">
        <v>147900</v>
      </c>
      <c r="I43" s="3468">
        <v>162300</v>
      </c>
      <c r="J43" s="3468">
        <v>205100</v>
      </c>
      <c r="N43" s="680">
        <v>5</v>
      </c>
      <c r="O43" s="3458">
        <v>162000</v>
      </c>
      <c r="P43" s="3459">
        <v>182600</v>
      </c>
      <c r="Q43" s="3460">
        <v>187900</v>
      </c>
      <c r="R43" s="3461">
        <v>192900</v>
      </c>
      <c r="S43" s="3462">
        <v>193800</v>
      </c>
      <c r="T43" s="3462">
        <v>199100</v>
      </c>
      <c r="Y43" s="776"/>
      <c r="Z43" s="777"/>
      <c r="AA43" s="738">
        <v>5</v>
      </c>
      <c r="AB43" s="3470">
        <f t="shared" si="7"/>
        <v>77600</v>
      </c>
      <c r="AC43" s="777"/>
      <c r="AD43" s="777"/>
      <c r="AE43" s="738">
        <v>5</v>
      </c>
      <c r="AF43" s="3189"/>
      <c r="AG43" s="3470">
        <f t="shared" si="8"/>
        <v>89800</v>
      </c>
      <c r="AH43" s="777"/>
      <c r="AI43" s="778"/>
      <c r="AJ43" s="775"/>
      <c r="AK43" s="1438"/>
      <c r="AL43" s="1446"/>
      <c r="AM43" s="738">
        <v>5</v>
      </c>
      <c r="AN43" s="3471">
        <f t="shared" si="9"/>
        <v>89800</v>
      </c>
      <c r="AO43" s="780"/>
      <c r="AP43" s="1438"/>
      <c r="AV43" s="7"/>
      <c r="CD43" s="833"/>
      <c r="CF43" s="2207">
        <v>5</v>
      </c>
      <c r="CG43" s="3472">
        <f t="shared" si="10"/>
        <v>77600</v>
      </c>
      <c r="CH43" s="2208"/>
      <c r="CI43" s="2201"/>
      <c r="CJ43" s="2201"/>
      <c r="CK43" s="2207">
        <v>5</v>
      </c>
      <c r="CL43" s="3473">
        <f t="shared" si="11"/>
        <v>89800</v>
      </c>
      <c r="CM43" s="2208"/>
      <c r="CN43" s="2201"/>
      <c r="CO43" s="2201"/>
      <c r="CP43" s="2201"/>
      <c r="CQ43" s="2201"/>
      <c r="CR43" s="2288"/>
      <c r="GK43" s="888">
        <v>5</v>
      </c>
      <c r="GL43" s="3474">
        <f t="shared" si="12"/>
        <v>64900</v>
      </c>
      <c r="HK43" s="877"/>
      <c r="HL43" s="856"/>
      <c r="HM43" s="2354"/>
      <c r="HY43" s="843"/>
      <c r="HZ43" s="856"/>
      <c r="IA43" s="1482"/>
      <c r="IO43" s="834"/>
      <c r="IP43" s="1550">
        <v>24</v>
      </c>
      <c r="IQ43" s="1604">
        <f t="shared" si="3"/>
        <v>43070</v>
      </c>
      <c r="JD43" s="1457"/>
      <c r="JN43" s="1621">
        <v>30</v>
      </c>
      <c r="JO43" s="1622">
        <f t="shared" si="0"/>
        <v>42583</v>
      </c>
      <c r="JP43" s="1475"/>
      <c r="JQ43" s="1139">
        <v>30</v>
      </c>
      <c r="JR43" s="1483">
        <v>42583</v>
      </c>
      <c r="JS43" s="831"/>
      <c r="MA43" s="834"/>
      <c r="MI43" s="620">
        <v>12</v>
      </c>
      <c r="MJ43" s="620" t="s">
        <v>319</v>
      </c>
      <c r="MK43" s="1117" t="s">
        <v>453</v>
      </c>
      <c r="ML43" s="621">
        <v>150000</v>
      </c>
      <c r="MM43" s="125"/>
      <c r="MN43" s="1779"/>
      <c r="MO43" s="1780"/>
      <c r="MP43" s="1781"/>
      <c r="MQ43" s="1782"/>
      <c r="MT43" s="1293"/>
      <c r="MU43" s="1924" t="s">
        <v>674</v>
      </c>
      <c r="MV43" s="1925">
        <v>50000</v>
      </c>
      <c r="NH43" s="1688">
        <v>7</v>
      </c>
      <c r="NI43" s="5631" t="s">
        <v>1267</v>
      </c>
      <c r="NJ43" s="5632"/>
      <c r="NK43" s="5632"/>
      <c r="NL43" s="5632"/>
      <c r="NM43" s="5633"/>
    </row>
    <row r="44" spans="1:395" ht="24.95" customHeight="1" thickBot="1">
      <c r="A44" s="123"/>
      <c r="B44" s="8"/>
      <c r="C44" s="649"/>
      <c r="D44" s="680">
        <v>6</v>
      </c>
      <c r="E44" s="3464">
        <v>66800</v>
      </c>
      <c r="F44" s="3465">
        <v>79900</v>
      </c>
      <c r="G44" s="3466">
        <v>92500</v>
      </c>
      <c r="H44" s="3467">
        <v>152300</v>
      </c>
      <c r="I44" s="3468">
        <v>167200</v>
      </c>
      <c r="J44" s="3468">
        <v>211300</v>
      </c>
      <c r="N44" s="680">
        <v>6</v>
      </c>
      <c r="O44" s="3458">
        <v>157300</v>
      </c>
      <c r="P44" s="3459">
        <v>177300</v>
      </c>
      <c r="Q44" s="3460">
        <v>182400</v>
      </c>
      <c r="R44" s="3461">
        <v>187300</v>
      </c>
      <c r="S44" s="3462">
        <v>188200</v>
      </c>
      <c r="T44" s="3462">
        <v>193300</v>
      </c>
      <c r="Y44" s="776"/>
      <c r="Z44" s="777"/>
      <c r="AA44" s="738">
        <v>6</v>
      </c>
      <c r="AB44" s="3470">
        <f t="shared" si="7"/>
        <v>79900</v>
      </c>
      <c r="AC44" s="777"/>
      <c r="AD44" s="777"/>
      <c r="AE44" s="738">
        <v>6</v>
      </c>
      <c r="AF44" s="3189"/>
      <c r="AG44" s="3470">
        <f t="shared" si="8"/>
        <v>92500</v>
      </c>
      <c r="AH44" s="777"/>
      <c r="AI44" s="778"/>
      <c r="AJ44" s="775"/>
      <c r="AK44" s="1438"/>
      <c r="AL44" s="1446"/>
      <c r="AM44" s="738">
        <v>6</v>
      </c>
      <c r="AN44" s="3471">
        <f t="shared" si="9"/>
        <v>92500</v>
      </c>
      <c r="AO44" s="780"/>
      <c r="AP44" s="1438"/>
      <c r="AV44" s="7"/>
      <c r="BE44" s="747"/>
      <c r="BF44" s="748" t="s">
        <v>888</v>
      </c>
      <c r="BH44" s="748" t="s">
        <v>889</v>
      </c>
      <c r="CD44" s="833"/>
      <c r="CF44" s="2207">
        <v>6</v>
      </c>
      <c r="CG44" s="3472">
        <f t="shared" si="10"/>
        <v>79900</v>
      </c>
      <c r="CH44" s="2208"/>
      <c r="CI44" s="2201"/>
      <c r="CJ44" s="2201"/>
      <c r="CK44" s="2207">
        <v>6</v>
      </c>
      <c r="CL44" s="3473">
        <f t="shared" si="11"/>
        <v>92500</v>
      </c>
      <c r="CM44" s="2208"/>
      <c r="CN44" s="2201"/>
      <c r="CO44" s="2201"/>
      <c r="CP44" s="2201"/>
      <c r="CQ44" s="2201"/>
      <c r="CR44" s="2288"/>
      <c r="CU44" s="2212" t="s">
        <v>176</v>
      </c>
      <c r="CV44" s="2212" t="s">
        <v>182</v>
      </c>
      <c r="CW44" s="2212" t="s">
        <v>226</v>
      </c>
      <c r="DD44" s="1474"/>
      <c r="DE44" s="1474"/>
      <c r="DF44" s="1474"/>
      <c r="DH44" s="1484" t="s">
        <v>176</v>
      </c>
      <c r="DI44" s="1484" t="s">
        <v>182</v>
      </c>
      <c r="DJ44" s="1484" t="s">
        <v>226</v>
      </c>
      <c r="DM44" s="3036" t="s">
        <v>176</v>
      </c>
      <c r="DN44" s="3036" t="s">
        <v>182</v>
      </c>
      <c r="DO44" s="3036" t="s">
        <v>226</v>
      </c>
      <c r="GK44" s="888">
        <v>6</v>
      </c>
      <c r="GL44" s="3474">
        <f t="shared" si="12"/>
        <v>66800</v>
      </c>
      <c r="HK44" s="877"/>
      <c r="HL44" s="856"/>
      <c r="HM44" s="2326"/>
      <c r="HY44" s="843"/>
      <c r="HZ44" s="856"/>
      <c r="IA44" s="1482"/>
      <c r="IO44" s="834"/>
      <c r="IP44" s="1550">
        <v>25</v>
      </c>
      <c r="IQ44" s="1604">
        <f t="shared" si="3"/>
        <v>43101</v>
      </c>
      <c r="JD44" s="1457"/>
      <c r="JN44" s="1621">
        <v>31</v>
      </c>
      <c r="JO44" s="1622">
        <f t="shared" si="0"/>
        <v>42614</v>
      </c>
      <c r="JP44" s="1475"/>
      <c r="JQ44" s="1139">
        <v>31</v>
      </c>
      <c r="JR44" s="1483">
        <v>42614</v>
      </c>
      <c r="JS44" s="831"/>
      <c r="MA44" s="834"/>
      <c r="MI44" s="620">
        <v>13</v>
      </c>
      <c r="MJ44" s="620" t="s">
        <v>319</v>
      </c>
      <c r="MK44" s="1117" t="s">
        <v>455</v>
      </c>
      <c r="ML44" s="621">
        <v>150000</v>
      </c>
      <c r="MM44" s="125"/>
      <c r="MN44" s="1779"/>
      <c r="MO44" s="1780"/>
      <c r="MP44" s="1781"/>
      <c r="MQ44" s="1782"/>
      <c r="MT44" s="941" t="s">
        <v>987</v>
      </c>
      <c r="MU44" s="1919" t="s">
        <v>1350</v>
      </c>
      <c r="MV44" s="941" t="s">
        <v>984</v>
      </c>
    </row>
    <row r="45" spans="1:395" ht="24.95" customHeight="1">
      <c r="A45" s="123"/>
      <c r="B45" s="8"/>
      <c r="C45" s="649"/>
      <c r="D45" s="680">
        <v>7</v>
      </c>
      <c r="E45" s="3464">
        <v>68800</v>
      </c>
      <c r="F45" s="3465">
        <v>82300</v>
      </c>
      <c r="G45" s="3466">
        <v>95300</v>
      </c>
      <c r="H45" s="3467">
        <v>156900</v>
      </c>
      <c r="I45" s="3468">
        <v>172200</v>
      </c>
      <c r="J45" s="3468">
        <v>217600</v>
      </c>
      <c r="N45" s="680">
        <v>7</v>
      </c>
      <c r="O45" s="3458">
        <v>152700</v>
      </c>
      <c r="P45" s="3459">
        <v>172100</v>
      </c>
      <c r="Q45" s="3460">
        <v>177100</v>
      </c>
      <c r="R45" s="3461">
        <v>181800</v>
      </c>
      <c r="S45" s="3462">
        <v>182700</v>
      </c>
      <c r="T45" s="3462">
        <v>187700</v>
      </c>
      <c r="Y45" s="776"/>
      <c r="Z45" s="777"/>
      <c r="AA45" s="738">
        <v>7</v>
      </c>
      <c r="AB45" s="3470">
        <f t="shared" si="7"/>
        <v>82300</v>
      </c>
      <c r="AC45" s="777"/>
      <c r="AD45" s="777"/>
      <c r="AE45" s="738">
        <v>7</v>
      </c>
      <c r="AF45" s="3189"/>
      <c r="AG45" s="3470">
        <f t="shared" si="8"/>
        <v>95300</v>
      </c>
      <c r="AH45" s="777"/>
      <c r="AI45" s="778"/>
      <c r="AJ45" s="775"/>
      <c r="AK45" s="1438"/>
      <c r="AL45" s="1446"/>
      <c r="AM45" s="738">
        <v>7</v>
      </c>
      <c r="AN45" s="3471">
        <f t="shared" si="9"/>
        <v>95300</v>
      </c>
      <c r="AO45" s="780"/>
      <c r="AP45" s="1438"/>
      <c r="AV45" s="7"/>
      <c r="AW45" s="5252" t="s">
        <v>510</v>
      </c>
      <c r="AX45" s="5260" t="s">
        <v>182</v>
      </c>
      <c r="AY45" s="5503" t="s">
        <v>524</v>
      </c>
      <c r="BC45" s="3"/>
      <c r="BD45" s="3"/>
      <c r="BE45" s="3"/>
      <c r="BF45" s="814" t="s">
        <v>886</v>
      </c>
      <c r="BG45" s="813" t="s">
        <v>887</v>
      </c>
      <c r="BH45" s="2174" t="s">
        <v>886</v>
      </c>
      <c r="BI45" s="5471" t="s">
        <v>827</v>
      </c>
      <c r="BJ45" s="5471" t="s">
        <v>896</v>
      </c>
      <c r="BK45" s="703"/>
      <c r="BL45" s="797"/>
      <c r="BM45" s="5476" t="s">
        <v>895</v>
      </c>
      <c r="BN45" s="5485" t="s">
        <v>402</v>
      </c>
      <c r="BO45" s="5485" t="s">
        <v>924</v>
      </c>
      <c r="BP45" s="5476" t="s">
        <v>232</v>
      </c>
      <c r="BQ45" s="5472" t="s">
        <v>925</v>
      </c>
      <c r="BR45" s="5476" t="s">
        <v>230</v>
      </c>
      <c r="BS45" s="5471" t="s">
        <v>926</v>
      </c>
      <c r="BT45" s="5471" t="s">
        <v>1745</v>
      </c>
      <c r="BU45" s="5480" t="s">
        <v>420</v>
      </c>
      <c r="BV45" s="5480" t="s">
        <v>671</v>
      </c>
      <c r="BW45" s="5480" t="s">
        <v>281</v>
      </c>
      <c r="BX45" s="5480" t="s">
        <v>806</v>
      </c>
      <c r="BY45" s="5471" t="s">
        <v>807</v>
      </c>
      <c r="BZ45" s="5471" t="s">
        <v>239</v>
      </c>
      <c r="CA45" s="5471" t="s">
        <v>1430</v>
      </c>
      <c r="CB45" s="5471" t="s">
        <v>808</v>
      </c>
      <c r="CC45" s="5471" t="s">
        <v>809</v>
      </c>
      <c r="CD45" s="833"/>
      <c r="CF45" s="2207">
        <v>7</v>
      </c>
      <c r="CG45" s="3472">
        <f t="shared" si="10"/>
        <v>82300</v>
      </c>
      <c r="CH45" s="2208"/>
      <c r="CI45" s="2201"/>
      <c r="CJ45" s="2201"/>
      <c r="CK45" s="2207">
        <v>7</v>
      </c>
      <c r="CL45" s="3473">
        <f t="shared" si="11"/>
        <v>95300</v>
      </c>
      <c r="CM45" s="2208"/>
      <c r="CN45" s="2201"/>
      <c r="CO45" s="2201"/>
      <c r="CP45" s="2201"/>
      <c r="CQ45" s="2201"/>
      <c r="CR45" s="2288"/>
      <c r="CS45" s="856">
        <f>MATCH(CW45,$CL$39:$CL$78,0)</f>
        <v>10</v>
      </c>
      <c r="CU45" s="1688">
        <v>1</v>
      </c>
      <c r="CV45" s="2299">
        <f>CM27</f>
        <v>45413</v>
      </c>
      <c r="CW45" s="2212">
        <f>CQ27</f>
        <v>104100</v>
      </c>
      <c r="DD45" s="1474"/>
      <c r="DE45" s="1474"/>
      <c r="DF45" s="1474"/>
      <c r="DH45" s="1139">
        <v>1</v>
      </c>
      <c r="DI45" s="3017">
        <v>43101</v>
      </c>
      <c r="DJ45" s="3020" t="str">
        <f>IF(DI45&gt;=$CV$52,$CW$52,IF(DI45&gt;=$CV$51,$CW$51,IF(DI45&gt;=$CV$50,$CW$50,IF(DI45&gt;=$CV$49,$CW$49,IF(DI45&gt;=$CV$48,$CW$48,IF(DI45&gt;=$CV$47,$CW$47,IF(DI45&gt;=$CV$46,$CW$46,IF(DI45&gt;=$CV$45,$CW$45,""))))))))</f>
        <v/>
      </c>
      <c r="DM45" s="3020">
        <v>1</v>
      </c>
      <c r="DN45" s="3017">
        <v>45717</v>
      </c>
      <c r="DO45" s="3020">
        <f>VLOOKUP(DN45,$DI$45:$DJ$142,2)</f>
        <v>107200</v>
      </c>
      <c r="GK45" s="888">
        <v>7</v>
      </c>
      <c r="GL45" s="3474">
        <f t="shared" si="12"/>
        <v>68800</v>
      </c>
      <c r="HK45" s="877"/>
      <c r="HL45" s="856"/>
      <c r="HM45" s="2354"/>
      <c r="HY45" s="843"/>
      <c r="HZ45" s="856"/>
      <c r="IA45" s="1482"/>
      <c r="IO45" s="834"/>
      <c r="IP45" s="1550">
        <v>26</v>
      </c>
      <c r="IQ45" s="1604">
        <f t="shared" si="3"/>
        <v>43132</v>
      </c>
      <c r="JD45" s="1457"/>
      <c r="JN45" s="1621">
        <v>32</v>
      </c>
      <c r="JO45" s="1622">
        <f t="shared" si="0"/>
        <v>42644</v>
      </c>
      <c r="JP45" s="1475"/>
      <c r="JQ45" s="1139">
        <v>32</v>
      </c>
      <c r="JR45" s="1483">
        <v>42644</v>
      </c>
      <c r="JS45" s="831"/>
      <c r="JT45" s="5252" t="s">
        <v>510</v>
      </c>
      <c r="JU45" s="5629" t="s">
        <v>182</v>
      </c>
      <c r="JV45" s="5630" t="s">
        <v>524</v>
      </c>
      <c r="JY45" s="3"/>
      <c r="JZ45" s="3"/>
      <c r="KA45" s="3"/>
      <c r="KB45" s="872"/>
      <c r="KC45" s="872"/>
      <c r="KD45" s="872"/>
      <c r="KE45" s="913" t="s">
        <v>886</v>
      </c>
      <c r="KF45" s="872"/>
      <c r="KG45" s="872"/>
      <c r="KH45" s="872"/>
      <c r="KI45" s="872"/>
      <c r="KJ45" s="873"/>
      <c r="MA45" s="834"/>
      <c r="MI45" s="620">
        <v>14</v>
      </c>
      <c r="MJ45" s="620" t="s">
        <v>319</v>
      </c>
      <c r="MK45" s="1117" t="s">
        <v>526</v>
      </c>
      <c r="ML45" s="621">
        <v>150000</v>
      </c>
      <c r="MM45" s="125"/>
      <c r="MN45" s="1779"/>
      <c r="MO45" s="1780"/>
      <c r="MP45" s="1781"/>
      <c r="MQ45" s="1782"/>
      <c r="MT45" s="5613" t="s">
        <v>985</v>
      </c>
      <c r="MU45" s="5613"/>
      <c r="MV45" s="5613"/>
      <c r="NH45" s="856"/>
      <c r="NI45" s="5660"/>
      <c r="NJ45" s="5660"/>
      <c r="NK45" s="5660"/>
      <c r="NL45" s="5660"/>
      <c r="NM45" s="5660"/>
      <c r="NP45" s="1717"/>
    </row>
    <row r="46" spans="1:395" ht="24.95" customHeight="1">
      <c r="A46" s="123"/>
      <c r="B46" s="8"/>
      <c r="C46" s="649"/>
      <c r="D46" s="680">
        <v>8</v>
      </c>
      <c r="E46" s="3464">
        <v>70900</v>
      </c>
      <c r="F46" s="3465">
        <v>84800</v>
      </c>
      <c r="G46" s="3466">
        <v>98200</v>
      </c>
      <c r="H46" s="3467">
        <v>161600</v>
      </c>
      <c r="I46" s="3468">
        <v>177400</v>
      </c>
      <c r="J46" s="3468">
        <v>224100</v>
      </c>
      <c r="N46" s="680">
        <v>8</v>
      </c>
      <c r="O46" s="3458">
        <v>148300</v>
      </c>
      <c r="P46" s="3459">
        <v>167100</v>
      </c>
      <c r="Q46" s="3460">
        <v>171900</v>
      </c>
      <c r="R46" s="3461">
        <v>176500</v>
      </c>
      <c r="S46" s="3462">
        <v>177400</v>
      </c>
      <c r="T46" s="3462">
        <v>182200</v>
      </c>
      <c r="Y46" s="776"/>
      <c r="Z46" s="777"/>
      <c r="AA46" s="738">
        <v>8</v>
      </c>
      <c r="AB46" s="3470">
        <f t="shared" si="7"/>
        <v>84800</v>
      </c>
      <c r="AC46" s="777"/>
      <c r="AD46" s="777"/>
      <c r="AE46" s="738">
        <v>8</v>
      </c>
      <c r="AF46" s="3189"/>
      <c r="AG46" s="3470">
        <f t="shared" si="8"/>
        <v>98200</v>
      </c>
      <c r="AH46" s="777"/>
      <c r="AI46" s="778"/>
      <c r="AJ46" s="775"/>
      <c r="AK46" s="1438"/>
      <c r="AL46" s="1446"/>
      <c r="AM46" s="738">
        <v>8</v>
      </c>
      <c r="AN46" s="3471">
        <f t="shared" si="9"/>
        <v>98200</v>
      </c>
      <c r="AO46" s="780"/>
      <c r="AP46" s="1438"/>
      <c r="AV46" s="7"/>
      <c r="AW46" s="5253"/>
      <c r="AX46" s="5260"/>
      <c r="AY46" s="5503"/>
      <c r="BC46" s="697" t="s">
        <v>525</v>
      </c>
      <c r="BD46" s="698" t="s">
        <v>419</v>
      </c>
      <c r="BE46" s="704" t="s">
        <v>183</v>
      </c>
      <c r="BF46" s="814" t="s">
        <v>885</v>
      </c>
      <c r="BG46" s="814" t="s">
        <v>885</v>
      </c>
      <c r="BH46" s="814" t="s">
        <v>885</v>
      </c>
      <c r="BI46" s="5475"/>
      <c r="BJ46" s="5475"/>
      <c r="BK46" s="703"/>
      <c r="BL46" s="798"/>
      <c r="BM46" s="5477"/>
      <c r="BN46" s="5486"/>
      <c r="BO46" s="5486"/>
      <c r="BP46" s="5477"/>
      <c r="BQ46" s="5575"/>
      <c r="BR46" s="5477"/>
      <c r="BS46" s="5475"/>
      <c r="BT46" s="5475"/>
      <c r="BU46" s="5481"/>
      <c r="BV46" s="5481"/>
      <c r="BW46" s="5481"/>
      <c r="BX46" s="5481"/>
      <c r="BY46" s="5642"/>
      <c r="BZ46" s="5471"/>
      <c r="CA46" s="5471"/>
      <c r="CB46" s="5471"/>
      <c r="CC46" s="5471"/>
      <c r="CD46" s="833"/>
      <c r="CF46" s="2207">
        <v>8</v>
      </c>
      <c r="CG46" s="3472">
        <f t="shared" si="10"/>
        <v>84800</v>
      </c>
      <c r="CH46" s="2209"/>
      <c r="CK46" s="2207">
        <v>8</v>
      </c>
      <c r="CL46" s="3473">
        <f t="shared" si="11"/>
        <v>98200</v>
      </c>
      <c r="CM46" s="2209"/>
      <c r="CR46" s="2288"/>
      <c r="CS46" s="955">
        <f>IF(CV46="","",CS45+1)</f>
        <v>11</v>
      </c>
      <c r="CU46" s="1688">
        <v>2</v>
      </c>
      <c r="CV46" s="2299">
        <f>CQ28</f>
        <v>45658</v>
      </c>
      <c r="CW46" s="2212">
        <f>IF(CS46="","",LOOKUP(CS46,$CK$39:$CK$78,$CL$39:$CL$78))</f>
        <v>107200</v>
      </c>
      <c r="CY46" s="1485">
        <f>IF(YEAR(CV46)&lt;2026,DATEVALUE(CONCATENATE(MONTH(CV46),"-",YEAR(CV46)+1)),"")</f>
        <v>46023</v>
      </c>
      <c r="DD46" s="1474"/>
      <c r="DE46" s="1474"/>
      <c r="DF46" s="1474"/>
      <c r="DH46" s="1139">
        <v>2</v>
      </c>
      <c r="DI46" s="3017">
        <v>43132</v>
      </c>
      <c r="DJ46" s="3020" t="str">
        <f t="shared" ref="DJ46:DJ109" si="13">IF(DI46&gt;=$CV$52,$CW$52,IF(DI46&gt;=$CV$51,$CW$51,IF(DI46&gt;=$CV$50,$CW$50,IF(DI46&gt;=$CV$49,$CW$49,IF(DI46&gt;=$CV$48,$CW$48,IF(DI46&gt;=$CV$47,$CW$47,IF(DI46&gt;=$CV$46,$CW$46,IF(DI46&gt;=$CV$45,$CW$45,""))))))))</f>
        <v/>
      </c>
      <c r="DM46" s="3020">
        <v>2</v>
      </c>
      <c r="DN46" s="3017">
        <v>45748</v>
      </c>
      <c r="DO46" s="3020">
        <f t="shared" ref="DO46:DO56" si="14">VLOOKUP(DN46,$DI$45:$DJ$142,2)</f>
        <v>107200</v>
      </c>
      <c r="GK46" s="888">
        <v>8</v>
      </c>
      <c r="GL46" s="3474">
        <f t="shared" si="12"/>
        <v>70900</v>
      </c>
      <c r="HK46" s="877"/>
      <c r="HL46" s="856"/>
      <c r="HM46" s="2326"/>
      <c r="HY46" s="843"/>
      <c r="HZ46" s="856"/>
      <c r="IA46" s="1482"/>
      <c r="IO46" s="834"/>
      <c r="IP46" s="1550">
        <v>27</v>
      </c>
      <c r="IQ46" s="1604">
        <f t="shared" si="3"/>
        <v>43160</v>
      </c>
      <c r="JD46" s="1457"/>
      <c r="JN46" s="1621">
        <v>33</v>
      </c>
      <c r="JO46" s="1622">
        <f t="shared" si="0"/>
        <v>42675</v>
      </c>
      <c r="JP46" s="1475"/>
      <c r="JQ46" s="1139">
        <v>33</v>
      </c>
      <c r="JR46" s="1483">
        <v>42675</v>
      </c>
      <c r="JS46" s="831"/>
      <c r="JT46" s="5253"/>
      <c r="JU46" s="5629"/>
      <c r="JV46" s="5630"/>
      <c r="JY46" s="869" t="s">
        <v>525</v>
      </c>
      <c r="JZ46" s="870" t="s">
        <v>419</v>
      </c>
      <c r="KA46" s="704" t="s">
        <v>183</v>
      </c>
      <c r="KB46" s="872"/>
      <c r="KC46" s="872"/>
      <c r="KD46" s="872"/>
      <c r="KE46" s="913" t="s">
        <v>885</v>
      </c>
      <c r="KF46" s="872"/>
      <c r="KG46" s="872"/>
      <c r="KH46" s="872"/>
      <c r="KI46" s="872"/>
      <c r="KJ46" s="873"/>
      <c r="MA46" s="834"/>
      <c r="MI46" s="620">
        <v>15</v>
      </c>
      <c r="MJ46" s="620" t="s">
        <v>319</v>
      </c>
      <c r="MK46" s="1117" t="s">
        <v>439</v>
      </c>
      <c r="ML46" s="621">
        <v>150000</v>
      </c>
      <c r="MM46" s="125"/>
      <c r="MN46" s="1779"/>
      <c r="MO46" s="1780"/>
      <c r="MP46" s="1781"/>
      <c r="MQ46" s="1782"/>
      <c r="MT46" s="834" t="s">
        <v>983</v>
      </c>
      <c r="MU46" s="1920" t="s">
        <v>1350</v>
      </c>
      <c r="MV46" s="834" t="s">
        <v>984</v>
      </c>
      <c r="MW46" s="4079"/>
      <c r="MX46" s="4079"/>
      <c r="MY46" s="4079"/>
      <c r="NH46" s="856"/>
      <c r="NI46" s="5660"/>
      <c r="NJ46" s="5660"/>
      <c r="NK46" s="5660"/>
      <c r="NL46" s="5660"/>
      <c r="NM46" s="5660"/>
      <c r="NP46" s="1717"/>
    </row>
    <row r="47" spans="1:395" ht="24.95" customHeight="1">
      <c r="A47" s="123"/>
      <c r="B47" s="8"/>
      <c r="C47" s="649"/>
      <c r="D47" s="680">
        <v>9</v>
      </c>
      <c r="E47" s="3464">
        <v>73000</v>
      </c>
      <c r="F47" s="3465">
        <v>87300</v>
      </c>
      <c r="G47" s="3466">
        <v>101100</v>
      </c>
      <c r="H47" s="3467">
        <v>166400</v>
      </c>
      <c r="I47" s="3476">
        <v>182700</v>
      </c>
      <c r="J47" s="3468"/>
      <c r="N47" s="680">
        <v>9</v>
      </c>
      <c r="O47" s="3458">
        <v>144000</v>
      </c>
      <c r="P47" s="3459">
        <v>162200</v>
      </c>
      <c r="Q47" s="3460">
        <v>166900</v>
      </c>
      <c r="R47" s="3461">
        <v>171400</v>
      </c>
      <c r="S47" s="3462">
        <v>172200</v>
      </c>
      <c r="T47" s="3462"/>
      <c r="Y47" s="776"/>
      <c r="Z47" s="777"/>
      <c r="AA47" s="738">
        <v>9</v>
      </c>
      <c r="AB47" s="3470">
        <f t="shared" si="7"/>
        <v>87300</v>
      </c>
      <c r="AC47" s="777"/>
      <c r="AD47" s="777"/>
      <c r="AE47" s="738">
        <v>9</v>
      </c>
      <c r="AF47" s="3189"/>
      <c r="AG47" s="3470">
        <f t="shared" si="8"/>
        <v>101100</v>
      </c>
      <c r="AH47" s="777"/>
      <c r="AI47" s="778"/>
      <c r="AJ47" s="775"/>
      <c r="AK47" s="1438"/>
      <c r="AL47" s="1446"/>
      <c r="AM47" s="738">
        <v>9</v>
      </c>
      <c r="AN47" s="3471">
        <f t="shared" si="9"/>
        <v>101100</v>
      </c>
      <c r="AO47" s="780"/>
      <c r="AP47" s="1438"/>
      <c r="AV47" s="7"/>
      <c r="AW47" s="740">
        <v>1</v>
      </c>
      <c r="AX47" s="694">
        <v>45717</v>
      </c>
      <c r="AY47" s="696">
        <v>31</v>
      </c>
      <c r="AZ47" s="2060"/>
      <c r="BA47" s="2060"/>
      <c r="BC47" s="2130">
        <v>1</v>
      </c>
      <c r="BD47" s="694">
        <v>45717</v>
      </c>
      <c r="BE47" s="587">
        <f>IF(AND($BG$8=2,$BG$5=2,BD47&gt;=$BF$10),$BF$7,IF(AND($BG$8=1,$BG$5=2,BD47&gt;=$BF$6),$BF$7,$BF$4))</f>
        <v>82300</v>
      </c>
      <c r="BF47" s="587">
        <f>IF($BW$2=1,BE47,IF(AND($BW$2=2,BD47&gt;=$BU$13),O108,BE47))</f>
        <v>82300</v>
      </c>
      <c r="BG47" s="587">
        <f>IF($CS$2=1,BF47,IF(AND($CS$2=2,BD47&gt;=$CQ$15),S108,BF47))</f>
        <v>82300</v>
      </c>
      <c r="BH47" s="587">
        <f>IF($DT$2=1,BG47,IF(AND($DT$2=2,$BW$2=1,BD47&gt;=$DR$13),W108,BG47))</f>
        <v>82300</v>
      </c>
      <c r="BI47" s="654">
        <f>BE64</f>
        <v>82300</v>
      </c>
      <c r="BJ47" s="587">
        <f t="shared" ref="BJ47:BJ58" si="15">L225</f>
        <v>31274</v>
      </c>
      <c r="BK47" s="793">
        <f>IF(AND($EK$3=2,BD47&gt;=$EK$6),$EJ$4,$EJ$2)</f>
        <v>0.09</v>
      </c>
      <c r="BL47" s="587">
        <f t="shared" ref="BL47" si="16">ROUND(BI47*BK47,0)</f>
        <v>7407</v>
      </c>
      <c r="BM47" s="587">
        <f t="shared" ref="BM47" si="17">IF(AND($EK$3=2,BD47=$EK$6),$EL$15,BL47)</f>
        <v>7407</v>
      </c>
      <c r="BN47" s="587">
        <f t="shared" ref="BN47:BN58" si="18">$EV$2</f>
        <v>650</v>
      </c>
      <c r="BO47" s="587">
        <f t="shared" ref="BO47:BO58" si="19">$EV$3</f>
        <v>0</v>
      </c>
      <c r="BP47" s="630">
        <f t="shared" ref="BP47:BP58" si="20">$EV$4</f>
        <v>0</v>
      </c>
      <c r="BQ47" s="630">
        <f t="shared" ref="BQ47:BQ58" si="21">$EV$5</f>
        <v>0</v>
      </c>
      <c r="BR47" s="630">
        <f t="shared" ref="BR47:BR58" si="22">$EV$6</f>
        <v>0</v>
      </c>
      <c r="BS47" s="812">
        <f t="shared" ref="BS47" si="23">IF($EW$7=2,MIN(ROUND(BI47*8%,0),2000),0)</f>
        <v>0</v>
      </c>
      <c r="BT47" s="587">
        <f>IF(AND($ER$9=2,BD47&gt;=$EU$9),$ET$9,0)</f>
        <v>0</v>
      </c>
      <c r="BU47" s="630">
        <f t="shared" ref="BU47" si="24">IF(AND($FC$4=2,BD47&gt;=$FB$5),$FB$6,$FB$3)</f>
        <v>6000</v>
      </c>
      <c r="BV47" s="630">
        <f t="shared" ref="BV47" si="25">IF(AND($FI$4=2,BD47&gt;=$FH$5),$FH$6,$FH$3)</f>
        <v>5000</v>
      </c>
      <c r="BW47" s="630">
        <f t="shared" ref="BW47" si="26">IF(AND($FO$4=2,BD47&gt;=$FN$5),$FN$6,$FN$3)</f>
        <v>120</v>
      </c>
      <c r="BX47" s="630">
        <f t="shared" ref="BX47" si="27">IF(AND($FU$4=2,BD47&gt;=$FT$5),$FT$6,$FT$3)</f>
        <v>200</v>
      </c>
      <c r="BY47" s="630">
        <f>$FY$3</f>
        <v>50</v>
      </c>
      <c r="BZ47" s="630">
        <f>IF(AND($FZ$9&gt;1,BD47=$FY$26),$FY$9,0)</f>
        <v>0</v>
      </c>
      <c r="CA47" s="630">
        <f>IF(AND($GK$3&gt;1,BD47=$GI$4),$GJ$3,0)</f>
        <v>0</v>
      </c>
      <c r="CB47" s="587">
        <f>'Data Sheet-II'!M69</f>
        <v>20000</v>
      </c>
      <c r="CC47" s="2319">
        <f>IF(BQ47&gt;0,0,BX47)</f>
        <v>200</v>
      </c>
      <c r="CD47" s="833"/>
      <c r="CF47" s="2207">
        <v>9</v>
      </c>
      <c r="CG47" s="3472">
        <f t="shared" si="10"/>
        <v>87300</v>
      </c>
      <c r="CH47" s="2209"/>
      <c r="CK47" s="2207">
        <v>9</v>
      </c>
      <c r="CL47" s="3473">
        <f t="shared" si="11"/>
        <v>101100</v>
      </c>
      <c r="CM47" s="2209"/>
      <c r="CR47" s="2288"/>
      <c r="CS47" s="955">
        <f t="shared" ref="CS47:CS52" si="28">IF(CV47="","",CS46+1)</f>
        <v>12</v>
      </c>
      <c r="CU47" s="1688">
        <v>3</v>
      </c>
      <c r="CV47" s="2300">
        <f t="shared" ref="CV47:CV52" si="29">IF(ISERROR(CY46)=TRUE,"",CY46)</f>
        <v>46023</v>
      </c>
      <c r="CW47" s="2212">
        <f t="shared" ref="CW47:CW52" si="30">IF(CS47="","",LOOKUP(CS47,$CK$39:$CK$78,$CL$39:$CL$78))</f>
        <v>110400</v>
      </c>
      <c r="CY47" s="1485" t="str">
        <f t="shared" ref="CY47:CY52" si="31">IF(YEAR(CV47)&lt;2026,DATEVALUE(CONCATENATE(MONTH(CV47),"-",YEAR(CV47)+1)),"")</f>
        <v/>
      </c>
      <c r="DD47" s="1474"/>
      <c r="DE47" s="1474"/>
      <c r="DF47" s="1474"/>
      <c r="DH47" s="1139">
        <v>3</v>
      </c>
      <c r="DI47" s="3017">
        <v>43160</v>
      </c>
      <c r="DJ47" s="3020" t="str">
        <f t="shared" si="13"/>
        <v/>
      </c>
      <c r="DM47" s="3020">
        <v>3</v>
      </c>
      <c r="DN47" s="3017">
        <v>45778</v>
      </c>
      <c r="DO47" s="3020">
        <f t="shared" si="14"/>
        <v>107200</v>
      </c>
      <c r="GK47" s="888">
        <v>9</v>
      </c>
      <c r="GL47" s="3474">
        <f t="shared" si="12"/>
        <v>73000</v>
      </c>
      <c r="HK47" s="877"/>
      <c r="HL47" s="856"/>
      <c r="HM47" s="2354"/>
      <c r="HY47" s="843"/>
      <c r="HZ47" s="856"/>
      <c r="IA47" s="1482"/>
      <c r="IO47" s="834"/>
      <c r="IP47" s="1550">
        <v>28</v>
      </c>
      <c r="IQ47" s="1604">
        <f t="shared" si="3"/>
        <v>43191</v>
      </c>
      <c r="JD47" s="1457"/>
      <c r="JN47" s="1621">
        <v>34</v>
      </c>
      <c r="JO47" s="1622">
        <f t="shared" si="0"/>
        <v>42705</v>
      </c>
      <c r="JP47" s="1475"/>
      <c r="JQ47" s="1139">
        <v>34</v>
      </c>
      <c r="JR47" s="1483">
        <v>42705</v>
      </c>
      <c r="JS47" s="831"/>
      <c r="JT47" s="740">
        <v>1</v>
      </c>
      <c r="JU47" s="694">
        <v>43647</v>
      </c>
      <c r="JV47" s="696">
        <v>31</v>
      </c>
      <c r="JX47" s="728"/>
      <c r="JY47" s="861">
        <v>1</v>
      </c>
      <c r="JZ47" s="694">
        <v>43647</v>
      </c>
      <c r="KA47" s="861">
        <f>$KC$4</f>
        <v>79800</v>
      </c>
      <c r="KB47" s="861">
        <f>IF(JZ47=$KS$6,$KR$6-1,0)</f>
        <v>0</v>
      </c>
      <c r="KC47" s="861">
        <f>IF(JZ47=$KS$6,SUM(JV47-$KR$6+1),0)</f>
        <v>0</v>
      </c>
      <c r="KD47" s="860">
        <f>IF(AND($KS$2=2,JZ47&gt;=$KS$6),$KR$10,KA47)</f>
        <v>79800</v>
      </c>
      <c r="KE47" s="914">
        <f>IF(JZ47=$KS$6,SUM(ROUND(KA47*KB47/JV47,0)+ROUND(KD47*KC47/JV47,0)),KD47)</f>
        <v>79800</v>
      </c>
      <c r="KF47" s="861">
        <f>IF(JZ47=$LO$9,$LN$9-1,0)</f>
        <v>0</v>
      </c>
      <c r="KG47" s="861">
        <f>IF(JZ47=$LO$9,JV47-$LN$9+1,0)</f>
        <v>0</v>
      </c>
      <c r="KH47" s="860">
        <f>IF(AND($LO$2=2,JZ47&gt;=$LO$9),$LN$11,KE47)</f>
        <v>79800</v>
      </c>
      <c r="KI47" s="861">
        <f>IF(JZ47=$LO$9,SUM(ROUND(KE47*KF47/JV47,0)+ROUND(KH47*KG47/JV47,0)),KH47)</f>
        <v>79800</v>
      </c>
      <c r="KJ47" s="871"/>
      <c r="MA47" s="834"/>
      <c r="MI47" s="620">
        <v>16</v>
      </c>
      <c r="MJ47" s="620" t="s">
        <v>319</v>
      </c>
      <c r="MK47" s="1117" t="s">
        <v>441</v>
      </c>
      <c r="ML47" s="621">
        <v>150000</v>
      </c>
      <c r="MM47" s="125"/>
      <c r="MN47" s="457"/>
      <c r="MO47" s="456"/>
      <c r="MP47" s="458"/>
      <c r="MQ47" s="455"/>
      <c r="MT47" s="5664" t="s">
        <v>985</v>
      </c>
      <c r="MU47" s="5664"/>
      <c r="MV47" s="5664"/>
      <c r="NH47" s="856"/>
      <c r="NI47" s="5660"/>
      <c r="NJ47" s="5660"/>
      <c r="NK47" s="5660"/>
      <c r="NL47" s="5660"/>
      <c r="NM47" s="5660"/>
      <c r="NP47" s="1717"/>
    </row>
    <row r="48" spans="1:395" ht="24.95" customHeight="1">
      <c r="A48" s="123"/>
      <c r="B48" s="8"/>
      <c r="C48" s="649"/>
      <c r="D48" s="680">
        <v>10</v>
      </c>
      <c r="E48" s="3464">
        <v>75200</v>
      </c>
      <c r="F48" s="3465">
        <v>89900</v>
      </c>
      <c r="G48" s="3466">
        <v>104100</v>
      </c>
      <c r="H48" s="3467">
        <v>171400</v>
      </c>
      <c r="I48" s="3468">
        <v>188200</v>
      </c>
      <c r="J48" s="3468"/>
      <c r="N48" s="680">
        <v>10</v>
      </c>
      <c r="O48" s="3458">
        <v>139800</v>
      </c>
      <c r="P48" s="3459">
        <v>157500</v>
      </c>
      <c r="Q48" s="3460">
        <v>162000</v>
      </c>
      <c r="R48" s="3461">
        <v>166400</v>
      </c>
      <c r="S48" s="3462">
        <v>167200</v>
      </c>
      <c r="T48" s="3462"/>
      <c r="Y48" s="776"/>
      <c r="Z48" s="777"/>
      <c r="AA48" s="738">
        <v>10</v>
      </c>
      <c r="AB48" s="3470">
        <f t="shared" si="7"/>
        <v>89900</v>
      </c>
      <c r="AC48" s="777"/>
      <c r="AD48" s="777"/>
      <c r="AE48" s="738">
        <v>10</v>
      </c>
      <c r="AF48" s="3189"/>
      <c r="AG48" s="3470">
        <f t="shared" si="8"/>
        <v>104100</v>
      </c>
      <c r="AH48" s="777"/>
      <c r="AI48" s="778"/>
      <c r="AJ48" s="775"/>
      <c r="AK48" s="1438"/>
      <c r="AL48" s="1446"/>
      <c r="AM48" s="738">
        <v>10</v>
      </c>
      <c r="AN48" s="3471">
        <f t="shared" si="9"/>
        <v>104100</v>
      </c>
      <c r="AO48" s="780"/>
      <c r="AP48" s="1438"/>
      <c r="AV48" s="7"/>
      <c r="AW48" s="740">
        <v>2</v>
      </c>
      <c r="AX48" s="694">
        <v>45748</v>
      </c>
      <c r="AY48" s="696">
        <v>30</v>
      </c>
      <c r="AZ48" s="2060"/>
      <c r="BA48" s="2060"/>
      <c r="BC48" s="2130">
        <v>2</v>
      </c>
      <c r="BD48" s="694">
        <v>45748</v>
      </c>
      <c r="BE48" s="587">
        <f t="shared" ref="BE48:BE58" si="32">IF(AND($BG$8=2,$BG$5=2,BD48&gt;=$BF$10),$BF$7,IF(AND($BG$8=1,$BG$5=2,BD48&gt;=$BF$6),$BF$7,$BF$4))</f>
        <v>82300</v>
      </c>
      <c r="BF48" s="587">
        <f t="shared" ref="BF48:BF58" si="33">IF($BW$2=1,BE48,IF(AND($BW$2=2,BD48&gt;=$BU$13),O109,BE48))</f>
        <v>82300</v>
      </c>
      <c r="BG48" s="587">
        <f t="shared" ref="BG48:BG58" si="34">IF($CS$2=1,BF48,IF(AND($CS$2=2,BD48&gt;=$CQ$15),S109,BF48))</f>
        <v>82300</v>
      </c>
      <c r="BH48" s="587">
        <f t="shared" ref="BH48:BH58" si="35">IF($DT$2=1,BG48,IF(AND($DT$2=2,$BW$2=1,BD48&gt;=$DR$13),W109,BG48))</f>
        <v>82300</v>
      </c>
      <c r="BI48" s="654">
        <f t="shared" ref="BI48:BI58" si="36">BE65</f>
        <v>82300</v>
      </c>
      <c r="BJ48" s="587">
        <f t="shared" si="15"/>
        <v>31274</v>
      </c>
      <c r="BK48" s="793">
        <f t="shared" ref="BK48:BK58" si="37">IF(AND($EK$3=2,BD48&gt;=$EK$6),$EJ$4,$EJ$2)</f>
        <v>0.09</v>
      </c>
      <c r="BL48" s="587">
        <f t="shared" ref="BL48:BL58" si="38">ROUND(BI48*BK48,0)</f>
        <v>7407</v>
      </c>
      <c r="BM48" s="587">
        <f t="shared" ref="BM48:BM58" si="39">IF(AND($EK$3=2,BD48=$EK$6),$EL$15,BL48)</f>
        <v>7407</v>
      </c>
      <c r="BN48" s="587">
        <f t="shared" si="18"/>
        <v>650</v>
      </c>
      <c r="BO48" s="587">
        <f t="shared" si="19"/>
        <v>0</v>
      </c>
      <c r="BP48" s="630">
        <f t="shared" si="20"/>
        <v>0</v>
      </c>
      <c r="BQ48" s="630">
        <f t="shared" si="21"/>
        <v>0</v>
      </c>
      <c r="BR48" s="630">
        <f t="shared" si="22"/>
        <v>0</v>
      </c>
      <c r="BS48" s="812">
        <f t="shared" ref="BS48:BS58" si="40">IF($EW$7=2,MIN(ROUND(BI48*8%,0),2000),0)</f>
        <v>0</v>
      </c>
      <c r="BT48" s="587">
        <f t="shared" ref="BT48:BT58" si="41">IF(AND($ER$9=2,BD48&gt;=$EU$9),$ET$9,0)</f>
        <v>0</v>
      </c>
      <c r="BU48" s="630">
        <f t="shared" ref="BU48:BU58" si="42">IF(AND($FC$4=2,BD48&gt;=$FB$5),$FB$6,$FB$3)</f>
        <v>6000</v>
      </c>
      <c r="BV48" s="630">
        <f t="shared" ref="BV48:BV58" si="43">IF(AND($FI$4=2,BD48&gt;=$FH$5),$FH$6,$FH$3)</f>
        <v>5000</v>
      </c>
      <c r="BW48" s="630">
        <f t="shared" ref="BW48:BW58" si="44">IF(AND($FO$4=2,BD48&gt;=$FN$5),$FN$6,$FN$3)</f>
        <v>120</v>
      </c>
      <c r="BX48" s="630">
        <f t="shared" ref="BX48:BX58" si="45">IF(AND($FU$4=2,BD48&gt;=$FT$5),$FT$6,$FT$3)</f>
        <v>200</v>
      </c>
      <c r="BY48" s="630"/>
      <c r="BZ48" s="630">
        <f t="shared" ref="BZ48:BZ58" si="46">IF(AND($FZ$9&gt;1,BD48=$FY$26),$FY$9,0)</f>
        <v>0</v>
      </c>
      <c r="CA48" s="630">
        <f t="shared" ref="CA48:CA58" si="47">IF(AND($GK$3&gt;1,BD48=$GI$4),$GJ$3,0)</f>
        <v>300</v>
      </c>
      <c r="CB48" s="587">
        <f>'Data Sheet-II'!M70</f>
        <v>20000</v>
      </c>
      <c r="CC48" s="2319">
        <f t="shared" ref="CC48:CC58" si="48">IF(BQ48&gt;0,0,BX48)</f>
        <v>200</v>
      </c>
      <c r="CD48" s="833"/>
      <c r="CF48" s="2207">
        <v>10</v>
      </c>
      <c r="CG48" s="3472">
        <f t="shared" si="10"/>
        <v>89900</v>
      </c>
      <c r="CH48" s="2209"/>
      <c r="CK48" s="2207">
        <v>10</v>
      </c>
      <c r="CL48" s="3473">
        <f t="shared" si="11"/>
        <v>104100</v>
      </c>
      <c r="CM48" s="2209"/>
      <c r="CR48" s="2288"/>
      <c r="CS48" s="955" t="str">
        <f t="shared" si="28"/>
        <v/>
      </c>
      <c r="CU48" s="1688">
        <v>4</v>
      </c>
      <c r="CV48" s="2300" t="str">
        <f t="shared" si="29"/>
        <v/>
      </c>
      <c r="CW48" s="2212" t="str">
        <f t="shared" si="30"/>
        <v/>
      </c>
      <c r="CY48" s="1485" t="e">
        <f t="shared" si="31"/>
        <v>#VALUE!</v>
      </c>
      <c r="DD48" s="1474"/>
      <c r="DE48" s="1474"/>
      <c r="DF48" s="1474"/>
      <c r="DH48" s="1139">
        <v>4</v>
      </c>
      <c r="DI48" s="3017">
        <v>43191</v>
      </c>
      <c r="DJ48" s="3020" t="str">
        <f t="shared" si="13"/>
        <v/>
      </c>
      <c r="DM48" s="3020">
        <v>4</v>
      </c>
      <c r="DN48" s="3017">
        <v>45809</v>
      </c>
      <c r="DO48" s="3020">
        <f t="shared" si="14"/>
        <v>107200</v>
      </c>
      <c r="GK48" s="888">
        <v>10</v>
      </c>
      <c r="GL48" s="3474">
        <f t="shared" si="12"/>
        <v>75200</v>
      </c>
      <c r="HK48" s="877"/>
      <c r="HL48" s="856"/>
      <c r="HM48" s="2326"/>
      <c r="HY48" s="843"/>
      <c r="HZ48" s="856"/>
      <c r="IA48" s="1482"/>
      <c r="IO48" s="834"/>
      <c r="IP48" s="1550">
        <v>29</v>
      </c>
      <c r="IQ48" s="1604">
        <f t="shared" si="3"/>
        <v>43221</v>
      </c>
      <c r="JD48" s="1457"/>
      <c r="JN48" s="1621">
        <v>35</v>
      </c>
      <c r="JO48" s="1622">
        <f t="shared" si="0"/>
        <v>42736</v>
      </c>
      <c r="JP48" s="1475"/>
      <c r="JQ48" s="1139">
        <v>35</v>
      </c>
      <c r="JR48" s="1483">
        <v>42736</v>
      </c>
      <c r="JS48" s="831"/>
      <c r="JT48" s="740">
        <v>2</v>
      </c>
      <c r="JU48" s="694">
        <v>43678</v>
      </c>
      <c r="JV48" s="696">
        <v>31</v>
      </c>
      <c r="JX48" s="728"/>
      <c r="JY48" s="861">
        <v>2</v>
      </c>
      <c r="JZ48" s="694">
        <v>43678</v>
      </c>
      <c r="KA48" s="861">
        <f t="shared" ref="KA48:KA52" si="49">$KC$4</f>
        <v>79800</v>
      </c>
      <c r="KB48" s="861">
        <f t="shared" ref="KB48:KB52" si="50">IF(JZ48=$KS$6,$KR$6-1,0)</f>
        <v>15</v>
      </c>
      <c r="KC48" s="861">
        <f t="shared" ref="KC48:KC52" si="51">IF(JZ48=$KS$6,SUM(JV48-$KR$6+1),0)</f>
        <v>16</v>
      </c>
      <c r="KD48" s="860">
        <f t="shared" ref="KD48:KD52" si="52">IF(AND($KS$2=2,JZ48&gt;=$KS$6),$KR$10,KA48)</f>
        <v>79800</v>
      </c>
      <c r="KE48" s="914">
        <f t="shared" ref="KE48:KE52" si="53">IF(JZ48=$KS$6,SUM(ROUND(KA48*KB48/JV48,0)+ROUND(KD48*KC48/JV48,0)),KD48)</f>
        <v>79800</v>
      </c>
      <c r="KF48" s="861">
        <f t="shared" ref="KF48:KF52" si="54">IF(JZ48=$LO$9,$LN$9-1,0)</f>
        <v>18</v>
      </c>
      <c r="KG48" s="861">
        <f t="shared" ref="KG48:KG52" si="55">IF(JZ48=$LO$9,JV48-$LN$9+1,0)</f>
        <v>13</v>
      </c>
      <c r="KH48" s="860">
        <f t="shared" ref="KH48:KH52" si="56">IF(AND($LO$2=2,JZ48&gt;=$LO$9),$LN$11,KE48)</f>
        <v>79800</v>
      </c>
      <c r="KI48" s="861">
        <f t="shared" ref="KI48:KI52" si="57">IF(JZ48=$LO$9,SUM(ROUND(KE48*KF48/JV48,0)+ROUND(KH48*KG48/JV48,0)),KH48)</f>
        <v>79800</v>
      </c>
      <c r="KJ48" s="871"/>
      <c r="MA48" s="834"/>
      <c r="MI48" s="620">
        <v>17</v>
      </c>
      <c r="MJ48" s="620" t="s">
        <v>319</v>
      </c>
      <c r="MK48" s="1117" t="s">
        <v>442</v>
      </c>
      <c r="ML48" s="621">
        <v>150000</v>
      </c>
      <c r="MM48" s="125"/>
      <c r="MN48" s="1783">
        <v>1</v>
      </c>
      <c r="MO48" s="1784" t="s">
        <v>1291</v>
      </c>
      <c r="MP48" s="2574" t="s">
        <v>1292</v>
      </c>
      <c r="MQ48" s="2577">
        <v>200000</v>
      </c>
      <c r="MT48" s="1921" t="s">
        <v>981</v>
      </c>
      <c r="MU48" s="1922">
        <v>24</v>
      </c>
      <c r="MV48" s="1921" t="s">
        <v>984</v>
      </c>
      <c r="MW48" s="4079"/>
      <c r="MX48" s="4079"/>
      <c r="MY48" s="4079"/>
    </row>
    <row r="49" spans="1:360" ht="24.95" customHeight="1">
      <c r="A49" s="123"/>
      <c r="B49" s="8"/>
      <c r="C49" s="649"/>
      <c r="D49" s="680">
        <v>11</v>
      </c>
      <c r="E49" s="3464">
        <v>77500</v>
      </c>
      <c r="F49" s="3465">
        <v>92600</v>
      </c>
      <c r="G49" s="3466">
        <v>107200</v>
      </c>
      <c r="H49" s="3467">
        <v>176500</v>
      </c>
      <c r="I49" s="3468">
        <v>193800</v>
      </c>
      <c r="J49" s="3468"/>
      <c r="N49" s="680">
        <v>11</v>
      </c>
      <c r="O49" s="3458">
        <v>135700</v>
      </c>
      <c r="P49" s="3459">
        <v>152900</v>
      </c>
      <c r="Q49" s="3460">
        <v>157300</v>
      </c>
      <c r="R49" s="3461">
        <v>161600</v>
      </c>
      <c r="S49" s="3462">
        <v>162300</v>
      </c>
      <c r="T49" s="3462"/>
      <c r="Y49" s="776"/>
      <c r="Z49" s="777"/>
      <c r="AA49" s="738">
        <v>11</v>
      </c>
      <c r="AB49" s="3470">
        <f t="shared" si="7"/>
        <v>92600</v>
      </c>
      <c r="AC49" s="777"/>
      <c r="AD49" s="777"/>
      <c r="AE49" s="738">
        <v>11</v>
      </c>
      <c r="AF49" s="3189"/>
      <c r="AG49" s="3470">
        <f t="shared" si="8"/>
        <v>107200</v>
      </c>
      <c r="AH49" s="777"/>
      <c r="AI49" s="778"/>
      <c r="AJ49" s="775"/>
      <c r="AK49" s="1438"/>
      <c r="AL49" s="1446"/>
      <c r="AM49" s="738">
        <v>11</v>
      </c>
      <c r="AN49" s="3471">
        <f t="shared" si="9"/>
        <v>107200</v>
      </c>
      <c r="AO49" s="780"/>
      <c r="AP49" s="1438"/>
      <c r="AV49" s="7"/>
      <c r="AW49" s="740">
        <v>3</v>
      </c>
      <c r="AX49" s="694">
        <v>45778</v>
      </c>
      <c r="AY49" s="696">
        <v>31</v>
      </c>
      <c r="AZ49" s="2060"/>
      <c r="BA49" s="2060"/>
      <c r="BC49" s="2130">
        <v>3</v>
      </c>
      <c r="BD49" s="694">
        <v>45778</v>
      </c>
      <c r="BE49" s="587">
        <f t="shared" si="32"/>
        <v>82300</v>
      </c>
      <c r="BF49" s="587">
        <f t="shared" si="33"/>
        <v>82300</v>
      </c>
      <c r="BG49" s="587">
        <f t="shared" si="34"/>
        <v>82300</v>
      </c>
      <c r="BH49" s="587">
        <f t="shared" si="35"/>
        <v>82300</v>
      </c>
      <c r="BI49" s="654">
        <f t="shared" si="36"/>
        <v>82300</v>
      </c>
      <c r="BJ49" s="587">
        <f t="shared" si="15"/>
        <v>31274</v>
      </c>
      <c r="BK49" s="793">
        <f t="shared" si="37"/>
        <v>0.09</v>
      </c>
      <c r="BL49" s="587">
        <f t="shared" si="38"/>
        <v>7407</v>
      </c>
      <c r="BM49" s="587">
        <f t="shared" si="39"/>
        <v>7407</v>
      </c>
      <c r="BN49" s="587">
        <f t="shared" si="18"/>
        <v>650</v>
      </c>
      <c r="BO49" s="587">
        <f t="shared" si="19"/>
        <v>0</v>
      </c>
      <c r="BP49" s="630">
        <f t="shared" si="20"/>
        <v>0</v>
      </c>
      <c r="BQ49" s="630">
        <f t="shared" si="21"/>
        <v>0</v>
      </c>
      <c r="BR49" s="630">
        <f t="shared" si="22"/>
        <v>0</v>
      </c>
      <c r="BS49" s="812">
        <f t="shared" si="40"/>
        <v>0</v>
      </c>
      <c r="BT49" s="587">
        <f t="shared" si="41"/>
        <v>0</v>
      </c>
      <c r="BU49" s="630">
        <f t="shared" si="42"/>
        <v>6000</v>
      </c>
      <c r="BV49" s="630">
        <f t="shared" si="43"/>
        <v>5000</v>
      </c>
      <c r="BW49" s="630">
        <f t="shared" si="44"/>
        <v>120</v>
      </c>
      <c r="BX49" s="630">
        <f t="shared" si="45"/>
        <v>200</v>
      </c>
      <c r="BY49" s="630"/>
      <c r="BZ49" s="630">
        <f t="shared" si="46"/>
        <v>0</v>
      </c>
      <c r="CA49" s="630">
        <f t="shared" si="47"/>
        <v>0</v>
      </c>
      <c r="CB49" s="587">
        <f>'Data Sheet-II'!M71</f>
        <v>20000</v>
      </c>
      <c r="CC49" s="2319">
        <f t="shared" si="48"/>
        <v>200</v>
      </c>
      <c r="CD49" s="833"/>
      <c r="CF49" s="2207">
        <v>11</v>
      </c>
      <c r="CG49" s="3472">
        <f t="shared" si="10"/>
        <v>92600</v>
      </c>
      <c r="CH49" s="2209"/>
      <c r="CK49" s="2207">
        <v>11</v>
      </c>
      <c r="CL49" s="3473">
        <f t="shared" si="11"/>
        <v>107200</v>
      </c>
      <c r="CM49" s="2209"/>
      <c r="CR49" s="2288"/>
      <c r="CS49" s="955" t="str">
        <f t="shared" si="28"/>
        <v/>
      </c>
      <c r="CU49" s="1688">
        <v>5</v>
      </c>
      <c r="CV49" s="2300" t="str">
        <f t="shared" si="29"/>
        <v/>
      </c>
      <c r="CW49" s="2212" t="str">
        <f t="shared" si="30"/>
        <v/>
      </c>
      <c r="CY49" s="1485" t="e">
        <f t="shared" si="31"/>
        <v>#VALUE!</v>
      </c>
      <c r="DD49" s="1474"/>
      <c r="DE49" s="1474"/>
      <c r="DF49" s="1474"/>
      <c r="DH49" s="1139">
        <v>5</v>
      </c>
      <c r="DI49" s="3017">
        <v>43221</v>
      </c>
      <c r="DJ49" s="3020" t="str">
        <f t="shared" si="13"/>
        <v/>
      </c>
      <c r="DM49" s="3020">
        <v>5</v>
      </c>
      <c r="DN49" s="3017">
        <v>45839</v>
      </c>
      <c r="DO49" s="3020">
        <f t="shared" si="14"/>
        <v>107200</v>
      </c>
      <c r="GK49" s="888">
        <v>11</v>
      </c>
      <c r="GL49" s="3474">
        <f t="shared" si="12"/>
        <v>77500</v>
      </c>
      <c r="HK49" s="877"/>
      <c r="HL49" s="856"/>
      <c r="HM49" s="2354"/>
      <c r="HY49" s="843"/>
      <c r="HZ49" s="856"/>
      <c r="IA49" s="1482"/>
      <c r="IO49" s="834"/>
      <c r="IP49" s="1550">
        <v>30</v>
      </c>
      <c r="IQ49" s="1604">
        <f t="shared" si="3"/>
        <v>43252</v>
      </c>
      <c r="JD49" s="1457"/>
      <c r="JN49" s="1621">
        <v>36</v>
      </c>
      <c r="JO49" s="1622">
        <f t="shared" si="0"/>
        <v>42767</v>
      </c>
      <c r="JP49" s="1475"/>
      <c r="JQ49" s="1139">
        <v>36</v>
      </c>
      <c r="JR49" s="1483">
        <v>42767</v>
      </c>
      <c r="JS49" s="831"/>
      <c r="JT49" s="740">
        <v>3</v>
      </c>
      <c r="JU49" s="694">
        <v>43709</v>
      </c>
      <c r="JV49" s="696">
        <v>30</v>
      </c>
      <c r="JX49" s="728"/>
      <c r="JY49" s="861">
        <v>3</v>
      </c>
      <c r="JZ49" s="694">
        <v>43709</v>
      </c>
      <c r="KA49" s="861">
        <f t="shared" si="49"/>
        <v>79800</v>
      </c>
      <c r="KB49" s="861">
        <f t="shared" si="50"/>
        <v>0</v>
      </c>
      <c r="KC49" s="861">
        <f t="shared" si="51"/>
        <v>0</v>
      </c>
      <c r="KD49" s="860">
        <f t="shared" si="52"/>
        <v>79800</v>
      </c>
      <c r="KE49" s="914">
        <f t="shared" si="53"/>
        <v>79800</v>
      </c>
      <c r="KF49" s="861">
        <f t="shared" si="54"/>
        <v>0</v>
      </c>
      <c r="KG49" s="861">
        <f t="shared" si="55"/>
        <v>0</v>
      </c>
      <c r="KH49" s="860">
        <f t="shared" si="56"/>
        <v>79800</v>
      </c>
      <c r="KI49" s="861">
        <f t="shared" si="57"/>
        <v>79800</v>
      </c>
      <c r="KJ49" s="871"/>
      <c r="MA49" s="834"/>
      <c r="MI49" s="620">
        <v>18</v>
      </c>
      <c r="MJ49" s="620" t="s">
        <v>319</v>
      </c>
      <c r="MK49" s="1117" t="s">
        <v>431</v>
      </c>
      <c r="ML49" s="621">
        <v>150000</v>
      </c>
      <c r="MM49" s="125"/>
      <c r="MN49" s="1783">
        <v>1</v>
      </c>
      <c r="MO49" s="1784" t="s">
        <v>674</v>
      </c>
      <c r="MP49" s="2574" t="s">
        <v>1289</v>
      </c>
      <c r="MQ49" s="2577">
        <v>50000</v>
      </c>
      <c r="MT49" s="1921"/>
      <c r="MU49" s="1922" t="s">
        <v>800</v>
      </c>
      <c r="MV49" s="1921" t="s">
        <v>986</v>
      </c>
    </row>
    <row r="50" spans="1:360" ht="28.5" customHeight="1">
      <c r="A50" s="123"/>
      <c r="B50" s="8"/>
      <c r="C50" s="649"/>
      <c r="D50" s="680">
        <v>12</v>
      </c>
      <c r="E50" s="3464">
        <v>79800</v>
      </c>
      <c r="F50" s="3465">
        <v>95400</v>
      </c>
      <c r="G50" s="3466">
        <v>110400</v>
      </c>
      <c r="H50" s="3467">
        <v>181800</v>
      </c>
      <c r="I50" s="3468">
        <v>199600</v>
      </c>
      <c r="J50" s="3468"/>
      <c r="N50" s="680">
        <v>12</v>
      </c>
      <c r="O50" s="3458">
        <v>131700</v>
      </c>
      <c r="P50" s="3459">
        <v>148400</v>
      </c>
      <c r="Q50" s="3460">
        <v>152700</v>
      </c>
      <c r="R50" s="3461">
        <v>156900</v>
      </c>
      <c r="S50" s="3462">
        <v>157600</v>
      </c>
      <c r="T50" s="3462"/>
      <c r="Y50" s="776"/>
      <c r="Z50" s="777"/>
      <c r="AA50" s="738">
        <v>12</v>
      </c>
      <c r="AB50" s="3470">
        <f t="shared" si="7"/>
        <v>95400</v>
      </c>
      <c r="AC50" s="777"/>
      <c r="AD50" s="777"/>
      <c r="AE50" s="738">
        <v>12</v>
      </c>
      <c r="AF50" s="3189"/>
      <c r="AG50" s="3470">
        <f t="shared" si="8"/>
        <v>110400</v>
      </c>
      <c r="AH50" s="777"/>
      <c r="AI50" s="778"/>
      <c r="AJ50" s="775"/>
      <c r="AK50" s="1438"/>
      <c r="AL50" s="1446"/>
      <c r="AM50" s="738">
        <v>12</v>
      </c>
      <c r="AN50" s="3471">
        <f t="shared" si="9"/>
        <v>110400</v>
      </c>
      <c r="AO50" s="780"/>
      <c r="AP50" s="1438"/>
      <c r="AV50" s="7"/>
      <c r="AW50" s="740">
        <v>4</v>
      </c>
      <c r="AX50" s="694">
        <v>45809</v>
      </c>
      <c r="AY50" s="696">
        <v>30</v>
      </c>
      <c r="AZ50" s="2060"/>
      <c r="BA50" s="2060"/>
      <c r="BC50" s="2130">
        <v>4</v>
      </c>
      <c r="BD50" s="694">
        <v>45809</v>
      </c>
      <c r="BE50" s="587">
        <f t="shared" si="32"/>
        <v>82300</v>
      </c>
      <c r="BF50" s="587">
        <f t="shared" si="33"/>
        <v>82300</v>
      </c>
      <c r="BG50" s="587">
        <f t="shared" si="34"/>
        <v>82300</v>
      </c>
      <c r="BH50" s="587">
        <f t="shared" si="35"/>
        <v>82300</v>
      </c>
      <c r="BI50" s="654">
        <f t="shared" si="36"/>
        <v>82300</v>
      </c>
      <c r="BJ50" s="587">
        <f t="shared" si="15"/>
        <v>34566</v>
      </c>
      <c r="BK50" s="793">
        <f t="shared" si="37"/>
        <v>0.09</v>
      </c>
      <c r="BL50" s="587">
        <f t="shared" si="38"/>
        <v>7407</v>
      </c>
      <c r="BM50" s="587">
        <f t="shared" si="39"/>
        <v>7407</v>
      </c>
      <c r="BN50" s="587">
        <f t="shared" si="18"/>
        <v>650</v>
      </c>
      <c r="BO50" s="587">
        <f t="shared" si="19"/>
        <v>0</v>
      </c>
      <c r="BP50" s="630">
        <f t="shared" si="20"/>
        <v>0</v>
      </c>
      <c r="BQ50" s="630">
        <f t="shared" si="21"/>
        <v>0</v>
      </c>
      <c r="BR50" s="630">
        <f t="shared" si="22"/>
        <v>0</v>
      </c>
      <c r="BS50" s="812">
        <f t="shared" si="40"/>
        <v>0</v>
      </c>
      <c r="BT50" s="587">
        <f t="shared" si="41"/>
        <v>0</v>
      </c>
      <c r="BU50" s="630">
        <f t="shared" si="42"/>
        <v>6000</v>
      </c>
      <c r="BV50" s="630">
        <f t="shared" si="43"/>
        <v>5000</v>
      </c>
      <c r="BW50" s="630">
        <f t="shared" si="44"/>
        <v>120</v>
      </c>
      <c r="BX50" s="630">
        <f t="shared" si="45"/>
        <v>200</v>
      </c>
      <c r="BY50" s="630"/>
      <c r="BZ50" s="630">
        <f t="shared" si="46"/>
        <v>0</v>
      </c>
      <c r="CA50" s="630">
        <f t="shared" si="47"/>
        <v>0</v>
      </c>
      <c r="CB50" s="587">
        <f>'Data Sheet-II'!M72</f>
        <v>20000</v>
      </c>
      <c r="CC50" s="2319">
        <f t="shared" si="48"/>
        <v>200</v>
      </c>
      <c r="CD50" s="833"/>
      <c r="CF50" s="2207">
        <v>12</v>
      </c>
      <c r="CG50" s="3472">
        <f t="shared" si="10"/>
        <v>95400</v>
      </c>
      <c r="CH50" s="2209"/>
      <c r="CK50" s="2207">
        <v>12</v>
      </c>
      <c r="CL50" s="3473">
        <f t="shared" si="11"/>
        <v>110400</v>
      </c>
      <c r="CM50" s="2209"/>
      <c r="CR50" s="2288"/>
      <c r="CS50" s="955" t="str">
        <f t="shared" si="28"/>
        <v/>
      </c>
      <c r="CU50" s="1688">
        <v>6</v>
      </c>
      <c r="CV50" s="2300" t="str">
        <f t="shared" si="29"/>
        <v/>
      </c>
      <c r="CW50" s="2212" t="str">
        <f t="shared" si="30"/>
        <v/>
      </c>
      <c r="CY50" s="1485" t="e">
        <f t="shared" si="31"/>
        <v>#VALUE!</v>
      </c>
      <c r="DD50" s="1474"/>
      <c r="DE50" s="1474"/>
      <c r="DF50" s="1474"/>
      <c r="DH50" s="1139">
        <v>6</v>
      </c>
      <c r="DI50" s="3017">
        <v>43252</v>
      </c>
      <c r="DJ50" s="3020" t="str">
        <f t="shared" si="13"/>
        <v/>
      </c>
      <c r="DM50" s="3020">
        <v>6</v>
      </c>
      <c r="DN50" s="3017">
        <v>45870</v>
      </c>
      <c r="DO50" s="3020">
        <f t="shared" si="14"/>
        <v>107200</v>
      </c>
      <c r="GK50" s="888">
        <v>12</v>
      </c>
      <c r="GL50" s="3474">
        <f t="shared" si="12"/>
        <v>79800</v>
      </c>
      <c r="HK50" s="877"/>
      <c r="HL50" s="856"/>
      <c r="HM50" s="2326"/>
      <c r="HY50" s="843"/>
      <c r="HZ50" s="856"/>
      <c r="IA50" s="1482"/>
      <c r="IO50" s="834"/>
      <c r="IP50" s="1550">
        <v>31</v>
      </c>
      <c r="IQ50" s="1604">
        <f t="shared" si="3"/>
        <v>43282</v>
      </c>
      <c r="JD50" s="1457"/>
      <c r="JN50" s="1621">
        <v>37</v>
      </c>
      <c r="JO50" s="1622">
        <f t="shared" si="0"/>
        <v>42795</v>
      </c>
      <c r="JP50" s="1475"/>
      <c r="JQ50" s="1139">
        <v>37</v>
      </c>
      <c r="JR50" s="1483">
        <v>42795</v>
      </c>
      <c r="JS50" s="831"/>
      <c r="JT50" s="740">
        <v>4</v>
      </c>
      <c r="JU50" s="694">
        <v>43739</v>
      </c>
      <c r="JV50" s="696">
        <v>31</v>
      </c>
      <c r="JX50" s="728"/>
      <c r="JY50" s="861">
        <v>4</v>
      </c>
      <c r="JZ50" s="694">
        <v>43739</v>
      </c>
      <c r="KA50" s="861">
        <f t="shared" si="49"/>
        <v>79800</v>
      </c>
      <c r="KB50" s="861">
        <f t="shared" si="50"/>
        <v>0</v>
      </c>
      <c r="KC50" s="861">
        <f t="shared" si="51"/>
        <v>0</v>
      </c>
      <c r="KD50" s="860">
        <f t="shared" si="52"/>
        <v>79800</v>
      </c>
      <c r="KE50" s="914">
        <f t="shared" si="53"/>
        <v>79800</v>
      </c>
      <c r="KF50" s="861">
        <f t="shared" si="54"/>
        <v>0</v>
      </c>
      <c r="KG50" s="861">
        <f t="shared" si="55"/>
        <v>0</v>
      </c>
      <c r="KH50" s="860">
        <f t="shared" si="56"/>
        <v>79800</v>
      </c>
      <c r="KI50" s="861">
        <f t="shared" si="57"/>
        <v>79800</v>
      </c>
      <c r="KJ50" s="871"/>
      <c r="MA50" s="834"/>
      <c r="MI50" s="620">
        <v>19</v>
      </c>
      <c r="MJ50" s="620" t="s">
        <v>319</v>
      </c>
      <c r="MK50" s="1117" t="s">
        <v>433</v>
      </c>
      <c r="ML50" s="621">
        <v>150000</v>
      </c>
      <c r="MM50" s="125"/>
      <c r="MN50" s="1783">
        <v>1</v>
      </c>
      <c r="MO50" s="1784" t="s">
        <v>800</v>
      </c>
      <c r="MP50" s="2575" t="s">
        <v>1290</v>
      </c>
      <c r="MQ50" s="2577">
        <v>150000</v>
      </c>
      <c r="MT50" s="1839" t="s">
        <v>982</v>
      </c>
      <c r="MU50" s="1923">
        <v>24</v>
      </c>
      <c r="MV50" s="1839" t="s">
        <v>984</v>
      </c>
    </row>
    <row r="51" spans="1:360" ht="24.95" customHeight="1">
      <c r="A51" s="123"/>
      <c r="B51" s="8"/>
      <c r="C51" s="649"/>
      <c r="D51" s="680">
        <v>13</v>
      </c>
      <c r="E51" s="3464">
        <v>82200</v>
      </c>
      <c r="F51" s="3465">
        <v>98300</v>
      </c>
      <c r="G51" s="3466">
        <v>113700</v>
      </c>
      <c r="H51" s="3467">
        <v>187300</v>
      </c>
      <c r="I51" s="3468">
        <v>205600</v>
      </c>
      <c r="J51" s="3468"/>
      <c r="N51" s="680">
        <v>13</v>
      </c>
      <c r="O51" s="3458">
        <v>127900</v>
      </c>
      <c r="P51" s="3459">
        <v>144100</v>
      </c>
      <c r="Q51" s="3460">
        <v>148300</v>
      </c>
      <c r="R51" s="3461">
        <v>152300</v>
      </c>
      <c r="S51" s="3462">
        <v>153000</v>
      </c>
      <c r="T51" s="3462"/>
      <c r="Y51" s="776"/>
      <c r="Z51" s="777"/>
      <c r="AA51" s="738">
        <v>13</v>
      </c>
      <c r="AB51" s="3470">
        <f t="shared" si="7"/>
        <v>98300</v>
      </c>
      <c r="AC51" s="777"/>
      <c r="AD51" s="777"/>
      <c r="AE51" s="738">
        <v>13</v>
      </c>
      <c r="AF51" s="3189"/>
      <c r="AG51" s="3470">
        <f t="shared" si="8"/>
        <v>113700</v>
      </c>
      <c r="AH51" s="777"/>
      <c r="AI51" s="778"/>
      <c r="AJ51" s="775"/>
      <c r="AK51" s="1438"/>
      <c r="AL51" s="1446"/>
      <c r="AM51" s="738">
        <v>13</v>
      </c>
      <c r="AN51" s="3471">
        <f t="shared" si="9"/>
        <v>113700</v>
      </c>
      <c r="AO51" s="780"/>
      <c r="AP51" s="1438"/>
      <c r="AV51" s="7"/>
      <c r="AW51" s="740">
        <v>5</v>
      </c>
      <c r="AX51" s="694">
        <v>45839</v>
      </c>
      <c r="AY51" s="696">
        <v>31</v>
      </c>
      <c r="AZ51" s="2060"/>
      <c r="BA51" s="2060"/>
      <c r="BC51" s="2130">
        <v>5</v>
      </c>
      <c r="BD51" s="694">
        <v>45839</v>
      </c>
      <c r="BE51" s="587">
        <f t="shared" si="32"/>
        <v>82300</v>
      </c>
      <c r="BF51" s="587">
        <f t="shared" si="33"/>
        <v>82300</v>
      </c>
      <c r="BG51" s="587">
        <f t="shared" si="34"/>
        <v>82300</v>
      </c>
      <c r="BH51" s="587">
        <f t="shared" si="35"/>
        <v>82300</v>
      </c>
      <c r="BI51" s="654">
        <f t="shared" si="36"/>
        <v>82300</v>
      </c>
      <c r="BJ51" s="587">
        <f t="shared" si="15"/>
        <v>34566</v>
      </c>
      <c r="BK51" s="793">
        <f t="shared" si="37"/>
        <v>0.09</v>
      </c>
      <c r="BL51" s="587">
        <f t="shared" si="38"/>
        <v>7407</v>
      </c>
      <c r="BM51" s="587">
        <f t="shared" si="39"/>
        <v>7407</v>
      </c>
      <c r="BN51" s="587">
        <f t="shared" si="18"/>
        <v>650</v>
      </c>
      <c r="BO51" s="587">
        <f t="shared" si="19"/>
        <v>0</v>
      </c>
      <c r="BP51" s="630">
        <f t="shared" si="20"/>
        <v>0</v>
      </c>
      <c r="BQ51" s="630">
        <f t="shared" si="21"/>
        <v>0</v>
      </c>
      <c r="BR51" s="630">
        <f t="shared" si="22"/>
        <v>0</v>
      </c>
      <c r="BS51" s="812">
        <f t="shared" si="40"/>
        <v>0</v>
      </c>
      <c r="BT51" s="587">
        <f t="shared" si="41"/>
        <v>0</v>
      </c>
      <c r="BU51" s="630">
        <f t="shared" si="42"/>
        <v>6000</v>
      </c>
      <c r="BV51" s="630">
        <f t="shared" si="43"/>
        <v>5000</v>
      </c>
      <c r="BW51" s="630">
        <f t="shared" si="44"/>
        <v>120</v>
      </c>
      <c r="BX51" s="630">
        <f t="shared" si="45"/>
        <v>200</v>
      </c>
      <c r="BY51" s="630"/>
      <c r="BZ51" s="630">
        <f t="shared" si="46"/>
        <v>0</v>
      </c>
      <c r="CA51" s="630">
        <f t="shared" si="47"/>
        <v>0</v>
      </c>
      <c r="CB51" s="587">
        <f>'Data Sheet-II'!M73</f>
        <v>20000</v>
      </c>
      <c r="CC51" s="2319">
        <f t="shared" si="48"/>
        <v>200</v>
      </c>
      <c r="CD51" s="833"/>
      <c r="CF51" s="2207">
        <v>13</v>
      </c>
      <c r="CG51" s="3472">
        <f t="shared" si="10"/>
        <v>98300</v>
      </c>
      <c r="CH51" s="2209"/>
      <c r="CK51" s="2207">
        <v>13</v>
      </c>
      <c r="CL51" s="3473">
        <f t="shared" si="11"/>
        <v>113700</v>
      </c>
      <c r="CM51" s="2209"/>
      <c r="CR51" s="2288"/>
      <c r="CS51" s="955" t="str">
        <f t="shared" si="28"/>
        <v/>
      </c>
      <c r="CU51" s="1688">
        <v>7</v>
      </c>
      <c r="CV51" s="2300" t="str">
        <f t="shared" si="29"/>
        <v/>
      </c>
      <c r="CW51" s="2212" t="str">
        <f t="shared" si="30"/>
        <v/>
      </c>
      <c r="CY51" s="1485" t="e">
        <f t="shared" si="31"/>
        <v>#VALUE!</v>
      </c>
      <c r="DD51" s="1474"/>
      <c r="DE51" s="1474"/>
      <c r="DF51" s="1474"/>
      <c r="DH51" s="1139">
        <v>7</v>
      </c>
      <c r="DI51" s="3017">
        <v>43282</v>
      </c>
      <c r="DJ51" s="3020" t="str">
        <f t="shared" si="13"/>
        <v/>
      </c>
      <c r="DM51" s="3020">
        <v>7</v>
      </c>
      <c r="DN51" s="3017">
        <v>45901</v>
      </c>
      <c r="DO51" s="3020">
        <f t="shared" si="14"/>
        <v>107200</v>
      </c>
      <c r="GK51" s="888">
        <v>13</v>
      </c>
      <c r="GL51" s="3474">
        <f t="shared" si="12"/>
        <v>82200</v>
      </c>
      <c r="HK51" s="877"/>
      <c r="HL51" s="856"/>
      <c r="HM51" s="2354"/>
      <c r="HY51" s="843"/>
      <c r="HZ51" s="856"/>
      <c r="IA51" s="1482"/>
      <c r="IO51" s="834"/>
      <c r="IP51" s="1550">
        <v>32</v>
      </c>
      <c r="IQ51" s="1604">
        <f t="shared" si="3"/>
        <v>43313</v>
      </c>
      <c r="JD51" s="1457"/>
      <c r="JN51" s="1621">
        <v>38</v>
      </c>
      <c r="JO51" s="1622">
        <f t="shared" si="0"/>
        <v>42826</v>
      </c>
      <c r="JP51" s="1475"/>
      <c r="JQ51" s="1139">
        <v>38</v>
      </c>
      <c r="JR51" s="1483">
        <v>42826</v>
      </c>
      <c r="JS51" s="831"/>
      <c r="JT51" s="740">
        <v>5</v>
      </c>
      <c r="JU51" s="694">
        <v>43770</v>
      </c>
      <c r="JV51" s="696">
        <v>30</v>
      </c>
      <c r="JX51" s="728"/>
      <c r="JY51" s="861">
        <v>5</v>
      </c>
      <c r="JZ51" s="694">
        <v>43770</v>
      </c>
      <c r="KA51" s="861">
        <f t="shared" si="49"/>
        <v>79800</v>
      </c>
      <c r="KB51" s="861">
        <f t="shared" si="50"/>
        <v>0</v>
      </c>
      <c r="KC51" s="861">
        <f t="shared" si="51"/>
        <v>0</v>
      </c>
      <c r="KD51" s="860">
        <f t="shared" si="52"/>
        <v>79800</v>
      </c>
      <c r="KE51" s="914">
        <f t="shared" si="53"/>
        <v>79800</v>
      </c>
      <c r="KF51" s="861">
        <f t="shared" si="54"/>
        <v>0</v>
      </c>
      <c r="KG51" s="861">
        <f t="shared" si="55"/>
        <v>0</v>
      </c>
      <c r="KH51" s="860">
        <f t="shared" si="56"/>
        <v>79800</v>
      </c>
      <c r="KI51" s="861">
        <f t="shared" si="57"/>
        <v>79800</v>
      </c>
      <c r="KJ51" s="871"/>
      <c r="MA51" s="834"/>
      <c r="MI51" s="620">
        <v>20</v>
      </c>
      <c r="MJ51" s="620" t="s">
        <v>319</v>
      </c>
      <c r="MK51" s="1117" t="s">
        <v>434</v>
      </c>
      <c r="ML51" s="621">
        <v>150000</v>
      </c>
      <c r="MM51" s="125"/>
      <c r="MN51" s="1783">
        <v>1</v>
      </c>
      <c r="MO51" s="1784" t="s">
        <v>424</v>
      </c>
      <c r="MP51" s="2574" t="s">
        <v>1293</v>
      </c>
      <c r="MQ51" s="2577"/>
      <c r="MT51" s="1839"/>
      <c r="MU51" s="1923" t="s">
        <v>800</v>
      </c>
      <c r="MV51" s="1839" t="s">
        <v>986</v>
      </c>
    </row>
    <row r="52" spans="1:360" ht="24.95" customHeight="1">
      <c r="A52" s="123"/>
      <c r="B52" s="8"/>
      <c r="C52" s="649"/>
      <c r="D52" s="680">
        <v>14</v>
      </c>
      <c r="E52" s="3464">
        <v>84700</v>
      </c>
      <c r="F52" s="3465">
        <v>101200</v>
      </c>
      <c r="G52" s="3466">
        <v>117100</v>
      </c>
      <c r="H52" s="3467">
        <v>192900</v>
      </c>
      <c r="I52" s="3468">
        <v>211800</v>
      </c>
      <c r="J52" s="3468"/>
      <c r="N52" s="680">
        <v>14</v>
      </c>
      <c r="O52" s="3458">
        <v>124200</v>
      </c>
      <c r="P52" s="3459">
        <v>139900</v>
      </c>
      <c r="Q52" s="3460">
        <v>144000</v>
      </c>
      <c r="R52" s="3461">
        <v>147900</v>
      </c>
      <c r="S52" s="3462">
        <v>148500</v>
      </c>
      <c r="T52" s="3462"/>
      <c r="Y52" s="776"/>
      <c r="Z52" s="777"/>
      <c r="AA52" s="738">
        <v>14</v>
      </c>
      <c r="AB52" s="3470">
        <f t="shared" si="7"/>
        <v>101200</v>
      </c>
      <c r="AC52" s="777"/>
      <c r="AD52" s="777"/>
      <c r="AE52" s="738">
        <v>14</v>
      </c>
      <c r="AF52" s="3189"/>
      <c r="AG52" s="3470">
        <f t="shared" si="8"/>
        <v>117100</v>
      </c>
      <c r="AH52" s="777"/>
      <c r="AI52" s="778"/>
      <c r="AJ52" s="775"/>
      <c r="AK52" s="1438"/>
      <c r="AL52" s="1446"/>
      <c r="AM52" s="738">
        <v>14</v>
      </c>
      <c r="AN52" s="3471">
        <f t="shared" si="9"/>
        <v>117100</v>
      </c>
      <c r="AO52" s="780"/>
      <c r="AP52" s="1438"/>
      <c r="AV52" s="7"/>
      <c r="AW52" s="740">
        <v>6</v>
      </c>
      <c r="AX52" s="694">
        <v>45870</v>
      </c>
      <c r="AY52" s="696">
        <v>31</v>
      </c>
      <c r="AZ52" s="2060"/>
      <c r="BA52" s="2060"/>
      <c r="BC52" s="2130">
        <v>6</v>
      </c>
      <c r="BD52" s="694">
        <v>45870</v>
      </c>
      <c r="BE52" s="587">
        <f t="shared" si="32"/>
        <v>82300</v>
      </c>
      <c r="BF52" s="587">
        <f t="shared" si="33"/>
        <v>82300</v>
      </c>
      <c r="BG52" s="587">
        <f t="shared" si="34"/>
        <v>82300</v>
      </c>
      <c r="BH52" s="587">
        <f t="shared" si="35"/>
        <v>82300</v>
      </c>
      <c r="BI52" s="654">
        <f t="shared" si="36"/>
        <v>82300</v>
      </c>
      <c r="BJ52" s="587">
        <f t="shared" si="15"/>
        <v>34566</v>
      </c>
      <c r="BK52" s="793">
        <f t="shared" si="37"/>
        <v>0.09</v>
      </c>
      <c r="BL52" s="587">
        <f t="shared" si="38"/>
        <v>7407</v>
      </c>
      <c r="BM52" s="587">
        <f t="shared" si="39"/>
        <v>7407</v>
      </c>
      <c r="BN52" s="587">
        <f t="shared" si="18"/>
        <v>650</v>
      </c>
      <c r="BO52" s="587">
        <f t="shared" si="19"/>
        <v>0</v>
      </c>
      <c r="BP52" s="630">
        <f t="shared" si="20"/>
        <v>0</v>
      </c>
      <c r="BQ52" s="630">
        <f t="shared" si="21"/>
        <v>0</v>
      </c>
      <c r="BR52" s="630">
        <f t="shared" si="22"/>
        <v>0</v>
      </c>
      <c r="BS52" s="812">
        <f t="shared" si="40"/>
        <v>0</v>
      </c>
      <c r="BT52" s="587">
        <f t="shared" si="41"/>
        <v>0</v>
      </c>
      <c r="BU52" s="630">
        <f t="shared" si="42"/>
        <v>6000</v>
      </c>
      <c r="BV52" s="630">
        <f t="shared" si="43"/>
        <v>5000</v>
      </c>
      <c r="BW52" s="630">
        <f t="shared" si="44"/>
        <v>120</v>
      </c>
      <c r="BX52" s="630">
        <f t="shared" si="45"/>
        <v>200</v>
      </c>
      <c r="BY52" s="630"/>
      <c r="BZ52" s="630">
        <f t="shared" si="46"/>
        <v>0</v>
      </c>
      <c r="CA52" s="630">
        <f t="shared" si="47"/>
        <v>0</v>
      </c>
      <c r="CB52" s="587">
        <f>'Data Sheet-II'!M74</f>
        <v>20000</v>
      </c>
      <c r="CC52" s="2319">
        <f t="shared" si="48"/>
        <v>200</v>
      </c>
      <c r="CD52" s="833"/>
      <c r="CF52" s="2207">
        <v>14</v>
      </c>
      <c r="CG52" s="3472">
        <f t="shared" si="10"/>
        <v>101200</v>
      </c>
      <c r="CH52" s="2209"/>
      <c r="CK52" s="2207">
        <v>14</v>
      </c>
      <c r="CL52" s="3473">
        <f t="shared" si="11"/>
        <v>117100</v>
      </c>
      <c r="CM52" s="2209"/>
      <c r="CR52" s="2288"/>
      <c r="CS52" s="955" t="str">
        <f t="shared" si="28"/>
        <v/>
      </c>
      <c r="CU52" s="1688">
        <v>8</v>
      </c>
      <c r="CV52" s="2300" t="str">
        <f t="shared" si="29"/>
        <v/>
      </c>
      <c r="CW52" s="2212" t="str">
        <f t="shared" si="30"/>
        <v/>
      </c>
      <c r="CY52" s="1485" t="e">
        <f t="shared" si="31"/>
        <v>#VALUE!</v>
      </c>
      <c r="DD52" s="1474"/>
      <c r="DE52" s="1474"/>
      <c r="DF52" s="1474"/>
      <c r="DH52" s="1139">
        <v>8</v>
      </c>
      <c r="DI52" s="3017">
        <v>43313</v>
      </c>
      <c r="DJ52" s="3020" t="str">
        <f t="shared" si="13"/>
        <v/>
      </c>
      <c r="DM52" s="3020">
        <v>8</v>
      </c>
      <c r="DN52" s="3017">
        <v>45931</v>
      </c>
      <c r="DO52" s="3020">
        <f t="shared" si="14"/>
        <v>107200</v>
      </c>
      <c r="GK52" s="888">
        <v>14</v>
      </c>
      <c r="GL52" s="3474">
        <f t="shared" si="12"/>
        <v>84700</v>
      </c>
      <c r="HK52" s="877"/>
      <c r="HL52" s="856"/>
      <c r="HM52" s="2326"/>
      <c r="HY52" s="843"/>
      <c r="HZ52" s="856"/>
      <c r="IA52" s="1482"/>
      <c r="IO52" s="834"/>
      <c r="IP52" s="1550">
        <v>33</v>
      </c>
      <c r="IQ52" s="1604">
        <f t="shared" ref="IQ52:IQ83" si="58">IF(AND($IX$6&lt;=HM134,HM134&lt;=$IZ$6),HM134,"")</f>
        <v>43344</v>
      </c>
      <c r="JD52" s="1457"/>
      <c r="JN52" s="1621">
        <v>39</v>
      </c>
      <c r="JO52" s="1622">
        <f t="shared" si="0"/>
        <v>42856</v>
      </c>
      <c r="JP52" s="1475"/>
      <c r="JQ52" s="1139">
        <v>39</v>
      </c>
      <c r="JR52" s="1483">
        <v>42856</v>
      </c>
      <c r="JS52" s="831"/>
      <c r="JT52" s="740">
        <v>6</v>
      </c>
      <c r="JU52" s="694">
        <v>43800</v>
      </c>
      <c r="JV52" s="696">
        <v>31</v>
      </c>
      <c r="JX52" s="728"/>
      <c r="JY52" s="861">
        <v>6</v>
      </c>
      <c r="JZ52" s="694">
        <v>43800</v>
      </c>
      <c r="KA52" s="861">
        <f t="shared" si="49"/>
        <v>79800</v>
      </c>
      <c r="KB52" s="861">
        <f t="shared" si="50"/>
        <v>0</v>
      </c>
      <c r="KC52" s="861">
        <f t="shared" si="51"/>
        <v>0</v>
      </c>
      <c r="KD52" s="860">
        <f t="shared" si="52"/>
        <v>79800</v>
      </c>
      <c r="KE52" s="914">
        <f t="shared" si="53"/>
        <v>79800</v>
      </c>
      <c r="KF52" s="861">
        <f t="shared" si="54"/>
        <v>0</v>
      </c>
      <c r="KG52" s="861">
        <f t="shared" si="55"/>
        <v>0</v>
      </c>
      <c r="KH52" s="860">
        <f t="shared" si="56"/>
        <v>79800</v>
      </c>
      <c r="KI52" s="861">
        <f t="shared" si="57"/>
        <v>79800</v>
      </c>
      <c r="KJ52" s="871"/>
      <c r="MA52" s="834"/>
      <c r="MI52" s="620">
        <v>21</v>
      </c>
      <c r="MJ52" s="620" t="s">
        <v>319</v>
      </c>
      <c r="MK52" s="1117" t="s">
        <v>436</v>
      </c>
      <c r="ML52" s="621">
        <v>150000</v>
      </c>
      <c r="MM52" s="127"/>
      <c r="MN52" s="1785">
        <v>1</v>
      </c>
      <c r="MO52" s="1786" t="s">
        <v>1294</v>
      </c>
      <c r="MP52" s="2572" t="s">
        <v>1295</v>
      </c>
      <c r="MQ52" s="2576">
        <v>150000</v>
      </c>
    </row>
    <row r="53" spans="1:360" ht="24.95" customHeight="1">
      <c r="A53" s="123"/>
      <c r="B53" s="8"/>
      <c r="C53" s="649"/>
      <c r="D53" s="680">
        <v>15</v>
      </c>
      <c r="E53" s="3464">
        <v>87200</v>
      </c>
      <c r="F53" s="3465">
        <v>104200</v>
      </c>
      <c r="G53" s="3466">
        <v>120600</v>
      </c>
      <c r="H53" s="3467">
        <v>198700</v>
      </c>
      <c r="I53" s="3468">
        <v>218200</v>
      </c>
      <c r="J53" s="3468"/>
      <c r="N53" s="680">
        <v>15</v>
      </c>
      <c r="O53" s="3458">
        <v>120600</v>
      </c>
      <c r="P53" s="3459">
        <v>135800</v>
      </c>
      <c r="Q53" s="3460">
        <v>139800</v>
      </c>
      <c r="R53" s="3461">
        <v>143600</v>
      </c>
      <c r="S53" s="3462">
        <v>144200</v>
      </c>
      <c r="T53" s="3462"/>
      <c r="Y53" s="776"/>
      <c r="Z53" s="777"/>
      <c r="AA53" s="738">
        <v>15</v>
      </c>
      <c r="AB53" s="3470">
        <f t="shared" si="7"/>
        <v>104200</v>
      </c>
      <c r="AC53" s="777"/>
      <c r="AD53" s="777"/>
      <c r="AE53" s="738">
        <v>15</v>
      </c>
      <c r="AF53" s="3189"/>
      <c r="AG53" s="3470">
        <f t="shared" si="8"/>
        <v>120600</v>
      </c>
      <c r="AH53" s="777"/>
      <c r="AI53" s="778"/>
      <c r="AJ53" s="775"/>
      <c r="AK53" s="1438"/>
      <c r="AL53" s="1446"/>
      <c r="AM53" s="738">
        <v>15</v>
      </c>
      <c r="AN53" s="3471">
        <f t="shared" si="9"/>
        <v>120600</v>
      </c>
      <c r="AO53" s="780"/>
      <c r="AP53" s="1438"/>
      <c r="AV53" s="7"/>
      <c r="AW53" s="740">
        <v>7</v>
      </c>
      <c r="AX53" s="694">
        <v>45901</v>
      </c>
      <c r="AY53" s="696">
        <v>30</v>
      </c>
      <c r="AZ53" s="2060"/>
      <c r="BA53" s="2060"/>
      <c r="BC53" s="2130">
        <v>7</v>
      </c>
      <c r="BD53" s="694">
        <v>45901</v>
      </c>
      <c r="BE53" s="587">
        <f t="shared" si="32"/>
        <v>82300</v>
      </c>
      <c r="BF53" s="587">
        <f t="shared" si="33"/>
        <v>82300</v>
      </c>
      <c r="BG53" s="587">
        <f t="shared" si="34"/>
        <v>82300</v>
      </c>
      <c r="BH53" s="587">
        <f t="shared" si="35"/>
        <v>82300</v>
      </c>
      <c r="BI53" s="654">
        <f t="shared" si="36"/>
        <v>82300</v>
      </c>
      <c r="BJ53" s="587">
        <f t="shared" si="15"/>
        <v>34566</v>
      </c>
      <c r="BK53" s="793">
        <f t="shared" si="37"/>
        <v>0.09</v>
      </c>
      <c r="BL53" s="587">
        <f t="shared" si="38"/>
        <v>7407</v>
      </c>
      <c r="BM53" s="587">
        <f t="shared" si="39"/>
        <v>7407</v>
      </c>
      <c r="BN53" s="587">
        <f t="shared" si="18"/>
        <v>650</v>
      </c>
      <c r="BO53" s="587">
        <f t="shared" si="19"/>
        <v>0</v>
      </c>
      <c r="BP53" s="630">
        <f t="shared" si="20"/>
        <v>0</v>
      </c>
      <c r="BQ53" s="630">
        <f t="shared" si="21"/>
        <v>0</v>
      </c>
      <c r="BR53" s="630">
        <f t="shared" si="22"/>
        <v>0</v>
      </c>
      <c r="BS53" s="812">
        <f t="shared" si="40"/>
        <v>0</v>
      </c>
      <c r="BT53" s="587">
        <f t="shared" si="41"/>
        <v>0</v>
      </c>
      <c r="BU53" s="630">
        <f t="shared" si="42"/>
        <v>6000</v>
      </c>
      <c r="BV53" s="630">
        <f t="shared" si="43"/>
        <v>5000</v>
      </c>
      <c r="BW53" s="630">
        <f t="shared" si="44"/>
        <v>120</v>
      </c>
      <c r="BX53" s="630">
        <f t="shared" si="45"/>
        <v>200</v>
      </c>
      <c r="BY53" s="630"/>
      <c r="BZ53" s="630">
        <f t="shared" si="46"/>
        <v>0</v>
      </c>
      <c r="CA53" s="630">
        <f t="shared" si="47"/>
        <v>0</v>
      </c>
      <c r="CB53" s="587">
        <f>'Data Sheet-II'!M75</f>
        <v>20000</v>
      </c>
      <c r="CC53" s="2319">
        <f t="shared" si="48"/>
        <v>200</v>
      </c>
      <c r="CD53" s="833"/>
      <c r="CF53" s="2207">
        <v>15</v>
      </c>
      <c r="CG53" s="3472">
        <f t="shared" si="10"/>
        <v>104200</v>
      </c>
      <c r="CH53" s="2209"/>
      <c r="CK53" s="2207">
        <v>15</v>
      </c>
      <c r="CL53" s="3473">
        <f t="shared" si="11"/>
        <v>120600</v>
      </c>
      <c r="CM53" s="2209"/>
      <c r="CR53" s="2288"/>
      <c r="DD53" s="1474"/>
      <c r="DE53" s="1474"/>
      <c r="DF53" s="1474"/>
      <c r="DH53" s="1139">
        <v>9</v>
      </c>
      <c r="DI53" s="3017">
        <v>43344</v>
      </c>
      <c r="DJ53" s="3020" t="str">
        <f t="shared" si="13"/>
        <v/>
      </c>
      <c r="DM53" s="3020">
        <v>9</v>
      </c>
      <c r="DN53" s="3017">
        <v>45962</v>
      </c>
      <c r="DO53" s="3020">
        <f t="shared" si="14"/>
        <v>107200</v>
      </c>
      <c r="GK53" s="888">
        <v>15</v>
      </c>
      <c r="GL53" s="3474">
        <f t="shared" si="12"/>
        <v>87200</v>
      </c>
      <c r="HK53" s="877"/>
      <c r="HL53" s="856"/>
      <c r="HM53" s="2354"/>
      <c r="HY53" s="843"/>
      <c r="HZ53" s="856"/>
      <c r="IA53" s="1482"/>
      <c r="IO53" s="834"/>
      <c r="IP53" s="1550">
        <v>34</v>
      </c>
      <c r="IQ53" s="1604">
        <f t="shared" si="58"/>
        <v>43374</v>
      </c>
      <c r="JD53" s="1457"/>
      <c r="JN53" s="1621">
        <v>40</v>
      </c>
      <c r="JO53" s="1622">
        <f t="shared" si="0"/>
        <v>42887</v>
      </c>
      <c r="JP53" s="1468"/>
      <c r="JQ53" s="1139">
        <v>40</v>
      </c>
      <c r="JR53" s="1483">
        <v>42887</v>
      </c>
      <c r="JS53" s="831"/>
      <c r="JT53" s="740">
        <v>7</v>
      </c>
      <c r="JU53" s="865"/>
      <c r="JV53" s="866"/>
      <c r="MA53" s="834"/>
      <c r="MI53" s="620">
        <v>22</v>
      </c>
      <c r="MJ53" s="620" t="s">
        <v>319</v>
      </c>
      <c r="MK53" s="1117" t="s">
        <v>437</v>
      </c>
      <c r="ML53" s="621">
        <v>150000</v>
      </c>
      <c r="MM53" s="127"/>
      <c r="MN53" s="1787">
        <v>1</v>
      </c>
      <c r="MO53" s="1786" t="s">
        <v>529</v>
      </c>
      <c r="MP53" s="2572" t="s">
        <v>1296</v>
      </c>
      <c r="MQ53" s="2576">
        <v>10000</v>
      </c>
      <c r="MT53" s="941" t="s">
        <v>982</v>
      </c>
      <c r="MU53" s="1919">
        <v>24</v>
      </c>
      <c r="MV53" s="941" t="s">
        <v>984</v>
      </c>
    </row>
    <row r="54" spans="1:360" ht="24.95" customHeight="1">
      <c r="A54" s="123"/>
      <c r="B54" s="8"/>
      <c r="C54" s="649"/>
      <c r="D54" s="680">
        <v>16</v>
      </c>
      <c r="E54" s="3464">
        <v>89800</v>
      </c>
      <c r="F54" s="3465">
        <v>107300</v>
      </c>
      <c r="G54" s="3466">
        <v>124200</v>
      </c>
      <c r="H54" s="3475">
        <v>204700</v>
      </c>
      <c r="I54" s="3468"/>
      <c r="J54" s="3468"/>
      <c r="N54" s="680">
        <v>16</v>
      </c>
      <c r="O54" s="3458">
        <v>117100</v>
      </c>
      <c r="P54" s="3459">
        <v>131800</v>
      </c>
      <c r="Q54" s="3460">
        <v>135700</v>
      </c>
      <c r="R54" s="3461">
        <v>139400</v>
      </c>
      <c r="S54" s="3462"/>
      <c r="T54" s="3462"/>
      <c r="Y54" s="776"/>
      <c r="Z54" s="777"/>
      <c r="AA54" s="738">
        <v>16</v>
      </c>
      <c r="AB54" s="3470">
        <f t="shared" si="7"/>
        <v>107300</v>
      </c>
      <c r="AC54" s="777"/>
      <c r="AD54" s="777"/>
      <c r="AE54" s="738">
        <v>16</v>
      </c>
      <c r="AF54" s="3189"/>
      <c r="AG54" s="3470">
        <f t="shared" si="8"/>
        <v>124200</v>
      </c>
      <c r="AH54" s="777"/>
      <c r="AI54" s="778"/>
      <c r="AJ54" s="775"/>
      <c r="AK54" s="1438"/>
      <c r="AL54" s="1446"/>
      <c r="AM54" s="738">
        <v>16</v>
      </c>
      <c r="AN54" s="3471">
        <f t="shared" si="9"/>
        <v>124200</v>
      </c>
      <c r="AO54" s="780"/>
      <c r="AP54" s="1438"/>
      <c r="AV54" s="7"/>
      <c r="AW54" s="740">
        <v>8</v>
      </c>
      <c r="AX54" s="694">
        <v>45931</v>
      </c>
      <c r="AY54" s="696">
        <v>31</v>
      </c>
      <c r="AZ54" s="2060"/>
      <c r="BA54" s="2060"/>
      <c r="BC54" s="2130">
        <v>8</v>
      </c>
      <c r="BD54" s="694">
        <v>45931</v>
      </c>
      <c r="BE54" s="587">
        <f t="shared" si="32"/>
        <v>82300</v>
      </c>
      <c r="BF54" s="587">
        <f t="shared" si="33"/>
        <v>82300</v>
      </c>
      <c r="BG54" s="587">
        <f t="shared" si="34"/>
        <v>82300</v>
      </c>
      <c r="BH54" s="587">
        <f t="shared" si="35"/>
        <v>82300</v>
      </c>
      <c r="BI54" s="654">
        <f t="shared" si="36"/>
        <v>82300</v>
      </c>
      <c r="BJ54" s="587">
        <f t="shared" si="15"/>
        <v>34566</v>
      </c>
      <c r="BK54" s="793">
        <f t="shared" si="37"/>
        <v>0.09</v>
      </c>
      <c r="BL54" s="587">
        <f t="shared" si="38"/>
        <v>7407</v>
      </c>
      <c r="BM54" s="587">
        <f t="shared" si="39"/>
        <v>7407</v>
      </c>
      <c r="BN54" s="587">
        <f t="shared" si="18"/>
        <v>650</v>
      </c>
      <c r="BO54" s="587">
        <f t="shared" si="19"/>
        <v>0</v>
      </c>
      <c r="BP54" s="630">
        <f t="shared" si="20"/>
        <v>0</v>
      </c>
      <c r="BQ54" s="630">
        <f t="shared" si="21"/>
        <v>0</v>
      </c>
      <c r="BR54" s="630">
        <f t="shared" si="22"/>
        <v>0</v>
      </c>
      <c r="BS54" s="812">
        <f t="shared" si="40"/>
        <v>0</v>
      </c>
      <c r="BT54" s="587">
        <f t="shared" si="41"/>
        <v>0</v>
      </c>
      <c r="BU54" s="630">
        <f t="shared" si="42"/>
        <v>6000</v>
      </c>
      <c r="BV54" s="630">
        <f t="shared" si="43"/>
        <v>5000</v>
      </c>
      <c r="BW54" s="630">
        <f t="shared" si="44"/>
        <v>120</v>
      </c>
      <c r="BX54" s="630">
        <f t="shared" si="45"/>
        <v>200</v>
      </c>
      <c r="BY54" s="630"/>
      <c r="BZ54" s="630">
        <f t="shared" si="46"/>
        <v>0</v>
      </c>
      <c r="CA54" s="630">
        <f t="shared" si="47"/>
        <v>0</v>
      </c>
      <c r="CB54" s="587">
        <f>'Data Sheet-II'!M76</f>
        <v>20000</v>
      </c>
      <c r="CC54" s="2319">
        <f t="shared" si="48"/>
        <v>200</v>
      </c>
      <c r="CD54" s="833"/>
      <c r="CF54" s="2207">
        <v>16</v>
      </c>
      <c r="CG54" s="3472">
        <f t="shared" si="10"/>
        <v>107300</v>
      </c>
      <c r="CH54" s="2209"/>
      <c r="CK54" s="2207">
        <v>16</v>
      </c>
      <c r="CL54" s="3473">
        <f t="shared" si="11"/>
        <v>124200</v>
      </c>
      <c r="CM54" s="2209"/>
      <c r="CR54" s="2288"/>
      <c r="DD54" s="1474"/>
      <c r="DE54" s="1474"/>
      <c r="DF54" s="1474"/>
      <c r="DH54" s="1139">
        <v>10</v>
      </c>
      <c r="DI54" s="3017">
        <v>43374</v>
      </c>
      <c r="DJ54" s="3020" t="str">
        <f t="shared" si="13"/>
        <v/>
      </c>
      <c r="DM54" s="3020">
        <v>10</v>
      </c>
      <c r="DN54" s="3017">
        <v>45992</v>
      </c>
      <c r="DO54" s="3020">
        <f t="shared" si="14"/>
        <v>107200</v>
      </c>
      <c r="GK54" s="888">
        <v>16</v>
      </c>
      <c r="GL54" s="3474">
        <f t="shared" si="12"/>
        <v>89800</v>
      </c>
      <c r="HK54" s="877"/>
      <c r="HL54" s="856"/>
      <c r="HM54" s="2326"/>
      <c r="HY54" s="843"/>
      <c r="HZ54" s="856"/>
      <c r="IA54" s="1482"/>
      <c r="IO54" s="834"/>
      <c r="IP54" s="1550">
        <v>35</v>
      </c>
      <c r="IQ54" s="1604">
        <f t="shared" si="58"/>
        <v>43405</v>
      </c>
      <c r="JD54" s="1457"/>
      <c r="JN54" s="1621">
        <v>41</v>
      </c>
      <c r="JO54" s="1622">
        <f t="shared" si="0"/>
        <v>42917</v>
      </c>
      <c r="JP54" s="1468"/>
      <c r="JQ54" s="1139">
        <v>41</v>
      </c>
      <c r="JR54" s="1483">
        <v>42917</v>
      </c>
      <c r="JS54" s="831"/>
      <c r="JT54" s="740">
        <v>8</v>
      </c>
      <c r="JU54" s="867"/>
      <c r="JV54" s="868"/>
      <c r="MA54" s="834"/>
      <c r="MI54" s="620">
        <v>23</v>
      </c>
      <c r="MJ54" s="620" t="s">
        <v>319</v>
      </c>
      <c r="MK54" s="1117" t="s">
        <v>438</v>
      </c>
      <c r="ML54" s="621">
        <v>150000</v>
      </c>
      <c r="MO54" s="298"/>
      <c r="MP54" s="622"/>
      <c r="MT54" s="941"/>
      <c r="MU54" s="1919" t="s">
        <v>800</v>
      </c>
      <c r="MV54" s="941" t="s">
        <v>986</v>
      </c>
    </row>
    <row r="55" spans="1:360" ht="24.95" customHeight="1">
      <c r="A55" s="123"/>
      <c r="B55" s="8"/>
      <c r="C55" s="649"/>
      <c r="D55" s="680">
        <v>17</v>
      </c>
      <c r="E55" s="3464">
        <v>92500</v>
      </c>
      <c r="F55" s="3465">
        <v>110500</v>
      </c>
      <c r="G55" s="3466">
        <v>127900</v>
      </c>
      <c r="H55" s="3467">
        <v>210800</v>
      </c>
      <c r="I55" s="3468"/>
      <c r="J55" s="3468"/>
      <c r="N55" s="680">
        <v>17</v>
      </c>
      <c r="O55" s="3458">
        <v>113700</v>
      </c>
      <c r="P55" s="3459">
        <v>128000</v>
      </c>
      <c r="Q55" s="3460">
        <v>131700</v>
      </c>
      <c r="R55" s="3461">
        <v>135300</v>
      </c>
      <c r="S55" s="3462"/>
      <c r="T55" s="3462"/>
      <c r="Y55" s="776"/>
      <c r="Z55" s="777"/>
      <c r="AA55" s="738">
        <v>17</v>
      </c>
      <c r="AB55" s="3470">
        <f t="shared" si="7"/>
        <v>110500</v>
      </c>
      <c r="AC55" s="777"/>
      <c r="AD55" s="777"/>
      <c r="AE55" s="738">
        <v>17</v>
      </c>
      <c r="AF55" s="3189"/>
      <c r="AG55" s="3470">
        <f t="shared" si="8"/>
        <v>127900</v>
      </c>
      <c r="AH55" s="777"/>
      <c r="AI55" s="778"/>
      <c r="AJ55" s="775"/>
      <c r="AK55" s="1438"/>
      <c r="AL55" s="1446"/>
      <c r="AM55" s="738">
        <v>17</v>
      </c>
      <c r="AN55" s="3471">
        <f t="shared" si="9"/>
        <v>127900</v>
      </c>
      <c r="AO55" s="780"/>
      <c r="AP55" s="1438"/>
      <c r="AV55" s="7"/>
      <c r="AW55" s="740">
        <v>9</v>
      </c>
      <c r="AX55" s="694">
        <v>45962</v>
      </c>
      <c r="AY55" s="696">
        <v>30</v>
      </c>
      <c r="AZ55" s="2060"/>
      <c r="BA55" s="2060"/>
      <c r="BC55" s="2130">
        <v>9</v>
      </c>
      <c r="BD55" s="694">
        <v>45962</v>
      </c>
      <c r="BE55" s="587">
        <f t="shared" si="32"/>
        <v>82300</v>
      </c>
      <c r="BF55" s="587">
        <f t="shared" si="33"/>
        <v>82300</v>
      </c>
      <c r="BG55" s="587">
        <f t="shared" si="34"/>
        <v>82300</v>
      </c>
      <c r="BH55" s="587">
        <f t="shared" si="35"/>
        <v>82300</v>
      </c>
      <c r="BI55" s="654">
        <f t="shared" si="36"/>
        <v>82300</v>
      </c>
      <c r="BJ55" s="587">
        <f t="shared" si="15"/>
        <v>34566</v>
      </c>
      <c r="BK55" s="793">
        <f t="shared" si="37"/>
        <v>0.09</v>
      </c>
      <c r="BL55" s="587">
        <f t="shared" si="38"/>
        <v>7407</v>
      </c>
      <c r="BM55" s="587">
        <f t="shared" si="39"/>
        <v>7407</v>
      </c>
      <c r="BN55" s="587">
        <f t="shared" si="18"/>
        <v>650</v>
      </c>
      <c r="BO55" s="587">
        <f t="shared" si="19"/>
        <v>0</v>
      </c>
      <c r="BP55" s="630">
        <f t="shared" si="20"/>
        <v>0</v>
      </c>
      <c r="BQ55" s="630">
        <f t="shared" si="21"/>
        <v>0</v>
      </c>
      <c r="BR55" s="630">
        <f t="shared" si="22"/>
        <v>0</v>
      </c>
      <c r="BS55" s="812">
        <f t="shared" si="40"/>
        <v>0</v>
      </c>
      <c r="BT55" s="587">
        <f t="shared" si="41"/>
        <v>0</v>
      </c>
      <c r="BU55" s="630">
        <f t="shared" si="42"/>
        <v>6000</v>
      </c>
      <c r="BV55" s="630">
        <f t="shared" si="43"/>
        <v>5000</v>
      </c>
      <c r="BW55" s="630">
        <f t="shared" si="44"/>
        <v>120</v>
      </c>
      <c r="BX55" s="630">
        <f t="shared" si="45"/>
        <v>200</v>
      </c>
      <c r="BY55" s="630"/>
      <c r="BZ55" s="630">
        <f t="shared" si="46"/>
        <v>0</v>
      </c>
      <c r="CA55" s="630">
        <f t="shared" si="47"/>
        <v>0</v>
      </c>
      <c r="CB55" s="587">
        <f>'Data Sheet-II'!M77</f>
        <v>20000</v>
      </c>
      <c r="CC55" s="2319">
        <f t="shared" si="48"/>
        <v>200</v>
      </c>
      <c r="CD55" s="833"/>
      <c r="CF55" s="2207">
        <v>17</v>
      </c>
      <c r="CG55" s="3472">
        <f t="shared" si="10"/>
        <v>110500</v>
      </c>
      <c r="CH55" s="2209"/>
      <c r="CK55" s="2207">
        <v>17</v>
      </c>
      <c r="CL55" s="3473">
        <f t="shared" si="11"/>
        <v>127900</v>
      </c>
      <c r="CM55" s="2209"/>
      <c r="CR55" s="2288"/>
      <c r="DD55" s="1474"/>
      <c r="DE55" s="1474"/>
      <c r="DF55" s="1474"/>
      <c r="DH55" s="1139">
        <v>11</v>
      </c>
      <c r="DI55" s="3017">
        <v>43405</v>
      </c>
      <c r="DJ55" s="3020" t="str">
        <f t="shared" si="13"/>
        <v/>
      </c>
      <c r="DM55" s="3020">
        <v>11</v>
      </c>
      <c r="DN55" s="3017">
        <v>46023</v>
      </c>
      <c r="DO55" s="3020">
        <f t="shared" si="14"/>
        <v>110400</v>
      </c>
      <c r="GK55" s="888">
        <v>17</v>
      </c>
      <c r="GL55" s="3474">
        <f t="shared" si="12"/>
        <v>92500</v>
      </c>
      <c r="HK55" s="877"/>
      <c r="HL55" s="856"/>
      <c r="HM55" s="2354"/>
      <c r="HY55" s="843"/>
      <c r="HZ55" s="856"/>
      <c r="IA55" s="1482"/>
      <c r="IO55" s="834"/>
      <c r="IP55" s="1550">
        <v>36</v>
      </c>
      <c r="IQ55" s="1604">
        <f t="shared" si="58"/>
        <v>43435</v>
      </c>
      <c r="JD55" s="1457"/>
      <c r="JN55" s="1621">
        <v>42</v>
      </c>
      <c r="JO55" s="1622">
        <f t="shared" si="0"/>
        <v>42948</v>
      </c>
      <c r="JP55" s="1468"/>
      <c r="JQ55" s="1139">
        <v>42</v>
      </c>
      <c r="JR55" s="1483">
        <v>42948</v>
      </c>
      <c r="JS55" s="831"/>
      <c r="JT55" s="740">
        <v>9</v>
      </c>
      <c r="JU55" s="867"/>
      <c r="JV55" s="868"/>
      <c r="MA55" s="834"/>
      <c r="MI55" s="620">
        <v>24</v>
      </c>
      <c r="MJ55" s="620" t="s">
        <v>319</v>
      </c>
      <c r="MK55" s="1117" t="s">
        <v>425</v>
      </c>
      <c r="ML55" s="621">
        <v>150000</v>
      </c>
      <c r="MO55" s="298"/>
      <c r="MP55" s="622"/>
    </row>
    <row r="56" spans="1:360" ht="24.95" customHeight="1">
      <c r="A56" s="123"/>
      <c r="B56" s="8"/>
      <c r="C56" s="649"/>
      <c r="D56" s="680">
        <v>18</v>
      </c>
      <c r="E56" s="3464">
        <v>95300</v>
      </c>
      <c r="F56" s="3465">
        <v>113800</v>
      </c>
      <c r="G56" s="3466">
        <v>131700</v>
      </c>
      <c r="H56" s="3467">
        <v>217100</v>
      </c>
      <c r="I56" s="3468"/>
      <c r="J56" s="3468"/>
      <c r="N56" s="680">
        <v>18</v>
      </c>
      <c r="O56" s="3458">
        <v>110400</v>
      </c>
      <c r="P56" s="3459">
        <v>124300</v>
      </c>
      <c r="Q56" s="3460">
        <v>127900</v>
      </c>
      <c r="R56" s="3461">
        <v>131400</v>
      </c>
      <c r="S56" s="3462"/>
      <c r="T56" s="3462"/>
      <c r="Y56" s="776"/>
      <c r="Z56" s="777"/>
      <c r="AA56" s="738">
        <v>18</v>
      </c>
      <c r="AB56" s="3470">
        <f t="shared" si="7"/>
        <v>113800</v>
      </c>
      <c r="AC56" s="777"/>
      <c r="AD56" s="777"/>
      <c r="AE56" s="738">
        <v>18</v>
      </c>
      <c r="AF56" s="3189"/>
      <c r="AG56" s="3470">
        <f t="shared" si="8"/>
        <v>131700</v>
      </c>
      <c r="AH56" s="777"/>
      <c r="AI56" s="778"/>
      <c r="AJ56" s="775"/>
      <c r="AK56" s="1438"/>
      <c r="AL56" s="1446"/>
      <c r="AM56" s="738">
        <v>18</v>
      </c>
      <c r="AN56" s="3471">
        <f t="shared" si="9"/>
        <v>131700</v>
      </c>
      <c r="AO56" s="780"/>
      <c r="AP56" s="1438"/>
      <c r="AV56" s="7"/>
      <c r="AW56" s="740">
        <v>10</v>
      </c>
      <c r="AX56" s="694">
        <v>45992</v>
      </c>
      <c r="AY56" s="696">
        <v>31</v>
      </c>
      <c r="AZ56" s="2060"/>
      <c r="BA56" s="2060"/>
      <c r="BC56" s="2130">
        <v>10</v>
      </c>
      <c r="BD56" s="694">
        <v>45992</v>
      </c>
      <c r="BE56" s="587">
        <f t="shared" si="32"/>
        <v>82300</v>
      </c>
      <c r="BF56" s="587">
        <f t="shared" si="33"/>
        <v>82300</v>
      </c>
      <c r="BG56" s="587">
        <f t="shared" si="34"/>
        <v>82300</v>
      </c>
      <c r="BH56" s="587">
        <f t="shared" si="35"/>
        <v>82300</v>
      </c>
      <c r="BI56" s="654">
        <f t="shared" si="36"/>
        <v>82300</v>
      </c>
      <c r="BJ56" s="587">
        <f t="shared" si="15"/>
        <v>34566</v>
      </c>
      <c r="BK56" s="793">
        <f t="shared" si="37"/>
        <v>0.09</v>
      </c>
      <c r="BL56" s="587">
        <f t="shared" si="38"/>
        <v>7407</v>
      </c>
      <c r="BM56" s="587">
        <f t="shared" si="39"/>
        <v>7407</v>
      </c>
      <c r="BN56" s="587">
        <f t="shared" si="18"/>
        <v>650</v>
      </c>
      <c r="BO56" s="587">
        <f t="shared" si="19"/>
        <v>0</v>
      </c>
      <c r="BP56" s="630">
        <f t="shared" si="20"/>
        <v>0</v>
      </c>
      <c r="BQ56" s="630">
        <f t="shared" si="21"/>
        <v>0</v>
      </c>
      <c r="BR56" s="630">
        <f t="shared" si="22"/>
        <v>0</v>
      </c>
      <c r="BS56" s="812">
        <f t="shared" si="40"/>
        <v>0</v>
      </c>
      <c r="BT56" s="587">
        <f t="shared" si="41"/>
        <v>0</v>
      </c>
      <c r="BU56" s="630">
        <f t="shared" si="42"/>
        <v>6000</v>
      </c>
      <c r="BV56" s="630">
        <f t="shared" si="43"/>
        <v>5000</v>
      </c>
      <c r="BW56" s="630">
        <f t="shared" si="44"/>
        <v>120</v>
      </c>
      <c r="BX56" s="630">
        <f t="shared" si="45"/>
        <v>200</v>
      </c>
      <c r="BY56" s="630">
        <f>$FY$6</f>
        <v>200</v>
      </c>
      <c r="BZ56" s="630">
        <f t="shared" si="46"/>
        <v>0</v>
      </c>
      <c r="CA56" s="630">
        <f t="shared" si="47"/>
        <v>0</v>
      </c>
      <c r="CB56" s="587">
        <f>'Data Sheet-II'!M78</f>
        <v>14000</v>
      </c>
      <c r="CC56" s="2319">
        <f t="shared" si="48"/>
        <v>200</v>
      </c>
      <c r="CD56" s="833"/>
      <c r="CF56" s="2207">
        <v>18</v>
      </c>
      <c r="CG56" s="3472">
        <f t="shared" si="10"/>
        <v>113800</v>
      </c>
      <c r="CH56" s="2209"/>
      <c r="CK56" s="2207">
        <v>18</v>
      </c>
      <c r="CL56" s="3473">
        <f t="shared" si="11"/>
        <v>131700</v>
      </c>
      <c r="CM56" s="2209"/>
      <c r="CR56" s="2288"/>
      <c r="DH56" s="1139">
        <v>12</v>
      </c>
      <c r="DI56" s="3017">
        <v>43435</v>
      </c>
      <c r="DJ56" s="3020" t="str">
        <f t="shared" si="13"/>
        <v/>
      </c>
      <c r="DM56" s="3020">
        <v>12</v>
      </c>
      <c r="DN56" s="3017">
        <v>46054</v>
      </c>
      <c r="DO56" s="3020">
        <f t="shared" si="14"/>
        <v>110400</v>
      </c>
      <c r="GK56" s="888">
        <v>18</v>
      </c>
      <c r="GL56" s="3474">
        <f t="shared" si="12"/>
        <v>95300</v>
      </c>
      <c r="HK56" s="877"/>
      <c r="HL56" s="856"/>
      <c r="HM56" s="2326"/>
      <c r="HY56" s="843"/>
      <c r="HZ56" s="856"/>
      <c r="IA56" s="1482"/>
      <c r="IO56" s="834"/>
      <c r="IP56" s="1550">
        <v>37</v>
      </c>
      <c r="IQ56" s="1604">
        <f t="shared" si="58"/>
        <v>43466</v>
      </c>
      <c r="JD56" s="1457"/>
      <c r="JN56" s="1621">
        <v>43</v>
      </c>
      <c r="JO56" s="1622">
        <f t="shared" si="0"/>
        <v>42979</v>
      </c>
      <c r="JP56" s="1468"/>
      <c r="JQ56" s="1139">
        <v>43</v>
      </c>
      <c r="JR56" s="1483">
        <v>42979</v>
      </c>
      <c r="JS56" s="831"/>
      <c r="JT56" s="740">
        <v>10</v>
      </c>
      <c r="JU56" s="867"/>
      <c r="JV56" s="868"/>
      <c r="MA56" s="834"/>
      <c r="MI56" s="620">
        <v>25</v>
      </c>
      <c r="MJ56" s="620" t="s">
        <v>319</v>
      </c>
      <c r="MK56" s="1117" t="s">
        <v>527</v>
      </c>
      <c r="ML56" s="621">
        <v>150000</v>
      </c>
      <c r="MN56" s="1749">
        <v>1</v>
      </c>
      <c r="MO56" s="1743" t="s">
        <v>323</v>
      </c>
      <c r="MP56" s="2572" t="s">
        <v>1371</v>
      </c>
      <c r="MQ56" s="2312"/>
    </row>
    <row r="57" spans="1:360" ht="24.95" customHeight="1">
      <c r="A57" s="123"/>
      <c r="B57" s="8"/>
      <c r="C57" s="649"/>
      <c r="D57" s="680">
        <v>19</v>
      </c>
      <c r="E57" s="3464">
        <v>98200</v>
      </c>
      <c r="F57" s="3465">
        <v>117200</v>
      </c>
      <c r="G57" s="3466">
        <v>135700</v>
      </c>
      <c r="H57" s="3467"/>
      <c r="I57" s="3468"/>
      <c r="J57" s="3468"/>
      <c r="N57" s="680">
        <v>19</v>
      </c>
      <c r="O57" s="3458">
        <v>107200</v>
      </c>
      <c r="P57" s="3459">
        <v>120700</v>
      </c>
      <c r="Q57" s="3460">
        <v>124200</v>
      </c>
      <c r="R57" s="3461"/>
      <c r="S57" s="3462"/>
      <c r="T57" s="3462"/>
      <c r="Y57" s="776"/>
      <c r="Z57" s="777"/>
      <c r="AA57" s="738">
        <v>19</v>
      </c>
      <c r="AB57" s="3470">
        <f t="shared" si="7"/>
        <v>117200</v>
      </c>
      <c r="AC57" s="777"/>
      <c r="AD57" s="777"/>
      <c r="AE57" s="738">
        <v>19</v>
      </c>
      <c r="AF57" s="3189"/>
      <c r="AG57" s="3470">
        <f t="shared" si="8"/>
        <v>135700</v>
      </c>
      <c r="AH57" s="777"/>
      <c r="AI57" s="778"/>
      <c r="AJ57" s="775"/>
      <c r="AK57" s="1438"/>
      <c r="AL57" s="1446"/>
      <c r="AM57" s="738">
        <v>19</v>
      </c>
      <c r="AN57" s="3471">
        <f t="shared" si="9"/>
        <v>135700</v>
      </c>
      <c r="AO57" s="780"/>
      <c r="AP57" s="1438"/>
      <c r="AV57" s="7"/>
      <c r="AW57" s="740">
        <v>11</v>
      </c>
      <c r="AX57" s="694">
        <v>46023</v>
      </c>
      <c r="AY57" s="696">
        <v>31</v>
      </c>
      <c r="AZ57" s="2060"/>
      <c r="BA57" s="2060"/>
      <c r="BC57" s="2130">
        <v>11</v>
      </c>
      <c r="BD57" s="694">
        <v>46023</v>
      </c>
      <c r="BE57" s="587">
        <f t="shared" si="32"/>
        <v>84800</v>
      </c>
      <c r="BF57" s="587">
        <f t="shared" si="33"/>
        <v>84800</v>
      </c>
      <c r="BG57" s="587">
        <f t="shared" si="34"/>
        <v>84800</v>
      </c>
      <c r="BH57" s="587">
        <f t="shared" si="35"/>
        <v>84800</v>
      </c>
      <c r="BI57" s="654">
        <f t="shared" si="36"/>
        <v>84800</v>
      </c>
      <c r="BJ57" s="587">
        <f t="shared" si="15"/>
        <v>39008</v>
      </c>
      <c r="BK57" s="793">
        <f t="shared" si="37"/>
        <v>0.09</v>
      </c>
      <c r="BL57" s="587">
        <f t="shared" si="38"/>
        <v>7632</v>
      </c>
      <c r="BM57" s="587">
        <f t="shared" si="39"/>
        <v>7632</v>
      </c>
      <c r="BN57" s="587">
        <f t="shared" si="18"/>
        <v>650</v>
      </c>
      <c r="BO57" s="587">
        <f t="shared" si="19"/>
        <v>0</v>
      </c>
      <c r="BP57" s="630">
        <f t="shared" si="20"/>
        <v>0</v>
      </c>
      <c r="BQ57" s="630">
        <f t="shared" si="21"/>
        <v>0</v>
      </c>
      <c r="BR57" s="630">
        <f t="shared" si="22"/>
        <v>0</v>
      </c>
      <c r="BS57" s="812">
        <f t="shared" si="40"/>
        <v>0</v>
      </c>
      <c r="BT57" s="587">
        <f t="shared" si="41"/>
        <v>0</v>
      </c>
      <c r="BU57" s="630">
        <f t="shared" si="42"/>
        <v>6000</v>
      </c>
      <c r="BV57" s="630">
        <f t="shared" si="43"/>
        <v>5000</v>
      </c>
      <c r="BW57" s="630">
        <f t="shared" si="44"/>
        <v>120</v>
      </c>
      <c r="BX57" s="630">
        <f t="shared" si="45"/>
        <v>200</v>
      </c>
      <c r="BY57" s="630"/>
      <c r="BZ57" s="630">
        <f t="shared" si="46"/>
        <v>0</v>
      </c>
      <c r="CA57" s="630">
        <f t="shared" si="47"/>
        <v>0</v>
      </c>
      <c r="CB57" s="587">
        <f>'Data Sheet-II'!M79</f>
        <v>0</v>
      </c>
      <c r="CC57" s="2319">
        <f t="shared" si="48"/>
        <v>200</v>
      </c>
      <c r="CD57" s="833"/>
      <c r="CF57" s="2207">
        <v>19</v>
      </c>
      <c r="CG57" s="3472">
        <f t="shared" si="10"/>
        <v>117200</v>
      </c>
      <c r="CH57" s="2209"/>
      <c r="CK57" s="2207">
        <v>19</v>
      </c>
      <c r="CL57" s="3473">
        <f t="shared" si="11"/>
        <v>135700</v>
      </c>
      <c r="CM57" s="2209"/>
      <c r="CR57" s="2288"/>
      <c r="DH57" s="1139">
        <v>13</v>
      </c>
      <c r="DI57" s="3017">
        <v>43466</v>
      </c>
      <c r="DJ57" s="3020" t="str">
        <f t="shared" si="13"/>
        <v/>
      </c>
      <c r="GK57" s="888">
        <v>19</v>
      </c>
      <c r="GL57" s="3474">
        <f t="shared" si="12"/>
        <v>98200</v>
      </c>
      <c r="HK57" s="877"/>
      <c r="HL57" s="856"/>
      <c r="HM57" s="2354"/>
      <c r="HY57" s="843"/>
      <c r="HZ57" s="856"/>
      <c r="IA57" s="1482"/>
      <c r="IO57" s="834"/>
      <c r="IP57" s="1550">
        <v>38</v>
      </c>
      <c r="IQ57" s="1604">
        <f t="shared" si="58"/>
        <v>43497</v>
      </c>
      <c r="JD57" s="1457"/>
      <c r="JN57" s="1621">
        <v>44</v>
      </c>
      <c r="JO57" s="1622">
        <f t="shared" si="0"/>
        <v>43009</v>
      </c>
      <c r="JP57" s="1468"/>
      <c r="JQ57" s="1139">
        <v>44</v>
      </c>
      <c r="JR57" s="1483">
        <v>43009</v>
      </c>
      <c r="JS57" s="831"/>
      <c r="JT57" s="740">
        <v>11</v>
      </c>
      <c r="JU57" s="867"/>
      <c r="JV57" s="868"/>
      <c r="MA57" s="834"/>
      <c r="MI57" s="620">
        <v>26</v>
      </c>
      <c r="MJ57" s="620" t="s">
        <v>319</v>
      </c>
      <c r="MK57" s="1117" t="s">
        <v>772</v>
      </c>
      <c r="ML57" s="621">
        <v>150000</v>
      </c>
      <c r="MN57" s="1749">
        <v>2</v>
      </c>
      <c r="MO57" s="1743" t="s">
        <v>323</v>
      </c>
      <c r="MP57" s="2572" t="s">
        <v>1372</v>
      </c>
      <c r="MQ57" s="2573"/>
    </row>
    <row r="58" spans="1:360" ht="24.95" customHeight="1">
      <c r="A58" s="123"/>
      <c r="B58" s="8"/>
      <c r="C58" s="649"/>
      <c r="D58" s="680">
        <v>20</v>
      </c>
      <c r="E58" s="3464">
        <v>101100</v>
      </c>
      <c r="F58" s="3465">
        <v>120700</v>
      </c>
      <c r="G58" s="3466">
        <v>139800</v>
      </c>
      <c r="H58" s="3467"/>
      <c r="I58" s="3468"/>
      <c r="J58" s="3468"/>
      <c r="N58" s="680">
        <v>20</v>
      </c>
      <c r="O58" s="3458">
        <v>104100</v>
      </c>
      <c r="P58" s="3459">
        <v>117200</v>
      </c>
      <c r="Q58" s="3460">
        <v>120600</v>
      </c>
      <c r="R58" s="3461"/>
      <c r="S58" s="3462"/>
      <c r="T58" s="3462"/>
      <c r="Y58" s="776"/>
      <c r="Z58" s="777"/>
      <c r="AA58" s="738">
        <v>20</v>
      </c>
      <c r="AB58" s="3470">
        <f t="shared" si="7"/>
        <v>120700</v>
      </c>
      <c r="AC58" s="777"/>
      <c r="AD58" s="777"/>
      <c r="AE58" s="738">
        <v>20</v>
      </c>
      <c r="AF58" s="3189"/>
      <c r="AG58" s="3470">
        <f t="shared" si="8"/>
        <v>139800</v>
      </c>
      <c r="AH58" s="777"/>
      <c r="AI58" s="778"/>
      <c r="AJ58" s="775"/>
      <c r="AK58" s="1438"/>
      <c r="AL58" s="1446"/>
      <c r="AM58" s="738">
        <v>20</v>
      </c>
      <c r="AN58" s="3471">
        <f t="shared" si="9"/>
        <v>139800</v>
      </c>
      <c r="AO58" s="780"/>
      <c r="AP58" s="1438"/>
      <c r="AV58" s="7"/>
      <c r="AW58" s="740">
        <v>12</v>
      </c>
      <c r="AX58" s="694">
        <v>46054</v>
      </c>
      <c r="AY58" s="2129">
        <v>28</v>
      </c>
      <c r="AZ58" s="2060"/>
      <c r="BA58" s="2060"/>
      <c r="BC58" s="2130">
        <v>12</v>
      </c>
      <c r="BD58" s="694">
        <v>46054</v>
      </c>
      <c r="BE58" s="587">
        <f t="shared" si="32"/>
        <v>84800</v>
      </c>
      <c r="BF58" s="587">
        <f t="shared" si="33"/>
        <v>84800</v>
      </c>
      <c r="BG58" s="587">
        <f t="shared" si="34"/>
        <v>84800</v>
      </c>
      <c r="BH58" s="587">
        <f t="shared" si="35"/>
        <v>84800</v>
      </c>
      <c r="BI58" s="654">
        <f t="shared" si="36"/>
        <v>84800</v>
      </c>
      <c r="BJ58" s="587">
        <f t="shared" si="15"/>
        <v>39008</v>
      </c>
      <c r="BK58" s="793">
        <f t="shared" si="37"/>
        <v>0.09</v>
      </c>
      <c r="BL58" s="587">
        <f t="shared" si="38"/>
        <v>7632</v>
      </c>
      <c r="BM58" s="587">
        <f t="shared" si="39"/>
        <v>7632</v>
      </c>
      <c r="BN58" s="587">
        <f t="shared" si="18"/>
        <v>650</v>
      </c>
      <c r="BO58" s="587">
        <f t="shared" si="19"/>
        <v>0</v>
      </c>
      <c r="BP58" s="630">
        <f t="shared" si="20"/>
        <v>0</v>
      </c>
      <c r="BQ58" s="630">
        <f t="shared" si="21"/>
        <v>0</v>
      </c>
      <c r="BR58" s="630">
        <f t="shared" si="22"/>
        <v>0</v>
      </c>
      <c r="BS58" s="812">
        <f t="shared" si="40"/>
        <v>0</v>
      </c>
      <c r="BT58" s="587">
        <f t="shared" si="41"/>
        <v>0</v>
      </c>
      <c r="BU58" s="630">
        <f t="shared" si="42"/>
        <v>6000</v>
      </c>
      <c r="BV58" s="630">
        <f t="shared" si="43"/>
        <v>5000</v>
      </c>
      <c r="BW58" s="630">
        <f t="shared" si="44"/>
        <v>120</v>
      </c>
      <c r="BX58" s="630">
        <f t="shared" si="45"/>
        <v>200</v>
      </c>
      <c r="BY58" s="630"/>
      <c r="BZ58" s="630">
        <f t="shared" si="46"/>
        <v>0</v>
      </c>
      <c r="CA58" s="630">
        <f t="shared" si="47"/>
        <v>0</v>
      </c>
      <c r="CB58" s="587">
        <f>'Data Sheet-II'!M80</f>
        <v>0</v>
      </c>
      <c r="CC58" s="2319">
        <f t="shared" si="48"/>
        <v>200</v>
      </c>
      <c r="CD58" s="833"/>
      <c r="CF58" s="2207">
        <v>20</v>
      </c>
      <c r="CG58" s="3472">
        <f t="shared" si="10"/>
        <v>120700</v>
      </c>
      <c r="CH58" s="2209"/>
      <c r="CK58" s="2207">
        <v>20</v>
      </c>
      <c r="CL58" s="3473">
        <f t="shared" si="11"/>
        <v>139800</v>
      </c>
      <c r="CM58" s="2209"/>
      <c r="CR58" s="2288"/>
      <c r="DH58" s="1139">
        <v>14</v>
      </c>
      <c r="DI58" s="3017">
        <v>43497</v>
      </c>
      <c r="DJ58" s="3020" t="str">
        <f t="shared" si="13"/>
        <v/>
      </c>
      <c r="GK58" s="888">
        <v>20</v>
      </c>
      <c r="GL58" s="3474">
        <f t="shared" si="12"/>
        <v>101100</v>
      </c>
      <c r="HK58" s="877"/>
      <c r="HL58" s="856"/>
      <c r="HM58" s="2326"/>
      <c r="HY58" s="843"/>
      <c r="HZ58" s="856"/>
      <c r="IA58" s="1482"/>
      <c r="IO58" s="834"/>
      <c r="IP58" s="1550">
        <v>39</v>
      </c>
      <c r="IQ58" s="1604">
        <f t="shared" si="58"/>
        <v>43525</v>
      </c>
      <c r="JD58" s="1457"/>
      <c r="JN58" s="1621">
        <v>45</v>
      </c>
      <c r="JO58" s="1622">
        <f t="shared" si="0"/>
        <v>43040</v>
      </c>
      <c r="JP58" s="1468"/>
      <c r="JQ58" s="1139">
        <v>45</v>
      </c>
      <c r="JR58" s="1483">
        <v>43040</v>
      </c>
      <c r="JS58" s="831"/>
      <c r="JT58" s="740">
        <v>12</v>
      </c>
      <c r="JU58" s="867"/>
      <c r="JV58" s="868"/>
      <c r="MA58" s="834"/>
      <c r="MI58" s="620">
        <v>27</v>
      </c>
      <c r="MJ58" s="620" t="s">
        <v>319</v>
      </c>
      <c r="MK58" s="1117" t="s">
        <v>773</v>
      </c>
      <c r="ML58" s="621">
        <v>150000</v>
      </c>
      <c r="MN58" s="1749">
        <v>3</v>
      </c>
      <c r="MO58" s="1743" t="s">
        <v>440</v>
      </c>
      <c r="MP58" s="2572" t="s">
        <v>1297</v>
      </c>
      <c r="MQ58" s="2573"/>
    </row>
    <row r="59" spans="1:360" ht="24.95" customHeight="1">
      <c r="A59" s="123"/>
      <c r="B59" s="8"/>
      <c r="C59" s="649"/>
      <c r="D59" s="680">
        <v>21</v>
      </c>
      <c r="E59" s="3464">
        <v>104100</v>
      </c>
      <c r="F59" s="3465">
        <v>124300</v>
      </c>
      <c r="G59" s="3466">
        <v>144000</v>
      </c>
      <c r="H59" s="3467"/>
      <c r="I59" s="3468"/>
      <c r="J59" s="3468"/>
      <c r="N59" s="680">
        <v>21</v>
      </c>
      <c r="O59" s="3458">
        <v>101100</v>
      </c>
      <c r="P59" s="3459">
        <v>113800</v>
      </c>
      <c r="Q59" s="3460">
        <v>117100</v>
      </c>
      <c r="R59" s="3461"/>
      <c r="S59" s="3462"/>
      <c r="T59" s="3462"/>
      <c r="Y59" s="776"/>
      <c r="Z59" s="777"/>
      <c r="AA59" s="738">
        <v>21</v>
      </c>
      <c r="AB59" s="3470">
        <f t="shared" si="7"/>
        <v>124300</v>
      </c>
      <c r="AC59" s="777"/>
      <c r="AD59" s="777"/>
      <c r="AE59" s="738">
        <v>21</v>
      </c>
      <c r="AF59" s="3189"/>
      <c r="AG59" s="3470">
        <f t="shared" si="8"/>
        <v>144000</v>
      </c>
      <c r="AH59" s="777"/>
      <c r="AI59" s="778"/>
      <c r="AJ59" s="775"/>
      <c r="AK59" s="1438"/>
      <c r="AL59" s="1446"/>
      <c r="AM59" s="738">
        <v>21</v>
      </c>
      <c r="AN59" s="3471">
        <f t="shared" si="9"/>
        <v>144000</v>
      </c>
      <c r="AO59" s="780"/>
      <c r="AP59" s="1438"/>
      <c r="AV59" s="7"/>
      <c r="AW59" s="740">
        <v>13</v>
      </c>
      <c r="AX59" s="867"/>
      <c r="AY59" s="868"/>
      <c r="AZ59" s="2060"/>
      <c r="BA59" s="2060"/>
      <c r="BC59" s="2134"/>
      <c r="BD59" s="2134"/>
      <c r="BE59" s="2134"/>
      <c r="BF59" s="2134"/>
      <c r="BG59" s="2134"/>
      <c r="BH59" s="2134"/>
      <c r="BI59" s="2134"/>
      <c r="BJ59" s="2134"/>
      <c r="BK59" s="2134"/>
      <c r="BL59" s="2134"/>
      <c r="BM59" s="2134"/>
      <c r="BN59" s="2134"/>
      <c r="BO59" s="2134"/>
      <c r="BP59" s="2134"/>
      <c r="BQ59" s="2134"/>
      <c r="BR59" s="2134"/>
      <c r="BS59" s="2134"/>
      <c r="BT59" s="2134"/>
      <c r="BU59" s="2134"/>
      <c r="BV59" s="2134"/>
      <c r="BW59" s="2134"/>
      <c r="BX59" s="2134"/>
      <c r="BY59" s="2134"/>
      <c r="BZ59" s="2134"/>
      <c r="CA59" s="2134"/>
      <c r="CB59" s="2134"/>
      <c r="CC59" s="2135"/>
      <c r="CD59" s="833"/>
      <c r="CF59" s="2207">
        <v>21</v>
      </c>
      <c r="CG59" s="3472">
        <f t="shared" si="10"/>
        <v>124300</v>
      </c>
      <c r="CH59" s="2209"/>
      <c r="CK59" s="2207">
        <v>21</v>
      </c>
      <c r="CL59" s="3473">
        <f t="shared" si="11"/>
        <v>144000</v>
      </c>
      <c r="CM59" s="2209"/>
      <c r="CR59" s="2288"/>
      <c r="DH59" s="1139">
        <v>15</v>
      </c>
      <c r="DI59" s="3017">
        <v>43525</v>
      </c>
      <c r="DJ59" s="3020" t="str">
        <f t="shared" si="13"/>
        <v/>
      </c>
      <c r="GK59" s="888">
        <v>21</v>
      </c>
      <c r="GL59" s="3474">
        <f t="shared" si="12"/>
        <v>104100</v>
      </c>
      <c r="HK59" s="877"/>
      <c r="HL59" s="856"/>
      <c r="HM59" s="2354"/>
      <c r="HY59" s="843"/>
      <c r="HZ59" s="856"/>
      <c r="IA59" s="1482"/>
      <c r="IO59" s="834"/>
      <c r="IP59" s="1550">
        <v>40</v>
      </c>
      <c r="IQ59" s="1604">
        <f t="shared" si="58"/>
        <v>43556</v>
      </c>
      <c r="JD59" s="1457"/>
      <c r="JN59" s="1621">
        <v>46</v>
      </c>
      <c r="JO59" s="1622">
        <f t="shared" si="0"/>
        <v>43070</v>
      </c>
      <c r="JP59" s="1468"/>
      <c r="JQ59" s="1139">
        <v>46</v>
      </c>
      <c r="JR59" s="1483">
        <v>43070</v>
      </c>
      <c r="JS59" s="831"/>
      <c r="JT59" s="740">
        <v>13</v>
      </c>
      <c r="JU59" s="867"/>
      <c r="JV59" s="868"/>
      <c r="MA59" s="834"/>
      <c r="MI59" s="620">
        <v>28</v>
      </c>
      <c r="MJ59" s="620" t="s">
        <v>319</v>
      </c>
      <c r="MK59" s="1119" t="s">
        <v>774</v>
      </c>
      <c r="ML59" s="621">
        <v>150000</v>
      </c>
      <c r="MN59" s="655"/>
      <c r="MO59" s="655"/>
      <c r="MP59" s="656"/>
      <c r="MQ59" s="657"/>
    </row>
    <row r="60" spans="1:360" ht="24.95" customHeight="1">
      <c r="A60" s="123"/>
      <c r="B60" s="8"/>
      <c r="C60" s="649"/>
      <c r="D60" s="680">
        <v>22</v>
      </c>
      <c r="E60" s="3464">
        <v>107200</v>
      </c>
      <c r="F60" s="3465">
        <v>128000</v>
      </c>
      <c r="G60" s="3466">
        <v>148300</v>
      </c>
      <c r="H60" s="3467"/>
      <c r="I60" s="3468"/>
      <c r="J60" s="3468"/>
      <c r="N60" s="680">
        <v>22</v>
      </c>
      <c r="O60" s="3458">
        <v>98200</v>
      </c>
      <c r="P60" s="3459">
        <v>110500</v>
      </c>
      <c r="Q60" s="3460">
        <v>113700</v>
      </c>
      <c r="R60" s="3461"/>
      <c r="S60" s="3462"/>
      <c r="T60" s="3462"/>
      <c r="Y60" s="776"/>
      <c r="Z60" s="777"/>
      <c r="AA60" s="738">
        <v>22</v>
      </c>
      <c r="AB60" s="3470">
        <f t="shared" si="7"/>
        <v>128000</v>
      </c>
      <c r="AC60" s="777"/>
      <c r="AD60" s="777"/>
      <c r="AE60" s="738">
        <v>22</v>
      </c>
      <c r="AF60" s="3189"/>
      <c r="AG60" s="3470">
        <f t="shared" si="8"/>
        <v>148300</v>
      </c>
      <c r="AH60" s="777"/>
      <c r="AI60" s="778"/>
      <c r="AJ60" s="775"/>
      <c r="AK60" s="1438"/>
      <c r="AL60" s="1446"/>
      <c r="AM60" s="738">
        <v>22</v>
      </c>
      <c r="AN60" s="3471">
        <f t="shared" si="9"/>
        <v>148300</v>
      </c>
      <c r="AO60" s="780"/>
      <c r="AP60" s="1438"/>
      <c r="AV60" s="7"/>
      <c r="AW60" s="740">
        <v>14</v>
      </c>
      <c r="AX60" s="867"/>
      <c r="AY60" s="868"/>
      <c r="AZ60" s="2060"/>
      <c r="BA60" s="2060"/>
      <c r="BC60" s="2135"/>
      <c r="BD60" s="2135"/>
      <c r="BE60" s="2135"/>
      <c r="BF60" s="2135"/>
      <c r="BG60" s="2135"/>
      <c r="BH60" s="2135"/>
      <c r="BI60" s="2135"/>
      <c r="BJ60" s="2135"/>
      <c r="BK60" s="2135"/>
      <c r="BL60" s="2135"/>
      <c r="BM60" s="2135"/>
      <c r="BN60" s="2135"/>
      <c r="BO60" s="2135"/>
      <c r="BP60" s="2135"/>
      <c r="BQ60" s="2135"/>
      <c r="BR60" s="2135"/>
      <c r="BS60" s="2135"/>
      <c r="BT60" s="2135"/>
      <c r="BU60" s="2135"/>
      <c r="BV60" s="2135"/>
      <c r="BW60" s="2135"/>
      <c r="BX60" s="2135"/>
      <c r="BY60" s="2135"/>
      <c r="BZ60" s="2135"/>
      <c r="CA60" s="2135"/>
      <c r="CB60" s="2135"/>
      <c r="CC60" s="2135"/>
      <c r="CD60" s="833"/>
      <c r="CF60" s="2207">
        <v>22</v>
      </c>
      <c r="CG60" s="3472">
        <f t="shared" si="10"/>
        <v>128000</v>
      </c>
      <c r="CH60" s="2209"/>
      <c r="CK60" s="2207">
        <v>22</v>
      </c>
      <c r="CL60" s="3473">
        <f t="shared" si="11"/>
        <v>148300</v>
      </c>
      <c r="CM60" s="2209"/>
      <c r="CR60" s="2288"/>
      <c r="DH60" s="1139">
        <v>16</v>
      </c>
      <c r="DI60" s="3017">
        <v>43556</v>
      </c>
      <c r="DJ60" s="3020" t="str">
        <f t="shared" si="13"/>
        <v/>
      </c>
      <c r="GK60" s="888">
        <v>22</v>
      </c>
      <c r="GL60" s="3474">
        <f t="shared" si="12"/>
        <v>107200</v>
      </c>
      <c r="HK60" s="877"/>
      <c r="HL60" s="856"/>
      <c r="HM60" s="2326"/>
      <c r="HY60" s="843"/>
      <c r="HZ60" s="856"/>
      <c r="IA60" s="1482"/>
      <c r="IO60" s="834"/>
      <c r="IP60" s="1550">
        <v>41</v>
      </c>
      <c r="IQ60" s="1604">
        <f t="shared" si="58"/>
        <v>43586</v>
      </c>
      <c r="JD60" s="1457"/>
      <c r="JN60" s="1621">
        <v>47</v>
      </c>
      <c r="JO60" s="1622">
        <f t="shared" si="0"/>
        <v>43101</v>
      </c>
      <c r="JP60" s="1468"/>
      <c r="JQ60" s="1139">
        <v>47</v>
      </c>
      <c r="JR60" s="1483">
        <v>43101</v>
      </c>
      <c r="JS60" s="831"/>
      <c r="JT60" s="740">
        <v>14</v>
      </c>
      <c r="JU60" s="867"/>
      <c r="JV60" s="868"/>
      <c r="MA60" s="834"/>
      <c r="MI60" s="620">
        <v>29</v>
      </c>
      <c r="MJ60" s="1116" t="s">
        <v>319</v>
      </c>
      <c r="MK60" s="1118" t="s">
        <v>528</v>
      </c>
      <c r="ML60" s="621">
        <v>150000</v>
      </c>
      <c r="MN60" s="1749">
        <v>1</v>
      </c>
      <c r="MO60" s="1743" t="s">
        <v>323</v>
      </c>
      <c r="MP60" s="2572" t="s">
        <v>1373</v>
      </c>
      <c r="MQ60" s="2312"/>
    </row>
    <row r="61" spans="1:360" ht="24.95" customHeight="1">
      <c r="A61" s="123"/>
      <c r="B61" s="8"/>
      <c r="C61" s="649"/>
      <c r="D61" s="680">
        <v>23</v>
      </c>
      <c r="E61" s="3464">
        <v>110400</v>
      </c>
      <c r="F61" s="3465">
        <v>131800</v>
      </c>
      <c r="G61" s="3466">
        <v>152700</v>
      </c>
      <c r="H61" s="3469"/>
      <c r="I61" s="3468"/>
      <c r="J61" s="3468"/>
      <c r="N61" s="680">
        <v>23</v>
      </c>
      <c r="O61" s="3458">
        <v>95300</v>
      </c>
      <c r="P61" s="3459">
        <v>107300</v>
      </c>
      <c r="Q61" s="3460">
        <v>110400</v>
      </c>
      <c r="R61" s="3461"/>
      <c r="S61" s="3462"/>
      <c r="T61" s="3462"/>
      <c r="Y61" s="776"/>
      <c r="Z61" s="777"/>
      <c r="AA61" s="738">
        <v>23</v>
      </c>
      <c r="AB61" s="3470">
        <f t="shared" si="7"/>
        <v>131800</v>
      </c>
      <c r="AC61" s="777"/>
      <c r="AD61" s="777"/>
      <c r="AE61" s="738">
        <v>23</v>
      </c>
      <c r="AF61" s="3189"/>
      <c r="AG61" s="3470">
        <f t="shared" si="8"/>
        <v>152700</v>
      </c>
      <c r="AH61" s="777"/>
      <c r="AI61" s="778"/>
      <c r="AJ61" s="775"/>
      <c r="AK61" s="1438"/>
      <c r="AL61" s="1446"/>
      <c r="AM61" s="738">
        <v>23</v>
      </c>
      <c r="AN61" s="3471">
        <f t="shared" si="9"/>
        <v>152700</v>
      </c>
      <c r="AO61" s="780"/>
      <c r="AP61" s="1438"/>
      <c r="AV61" s="7"/>
      <c r="AW61" s="740">
        <v>15</v>
      </c>
      <c r="AZ61" s="2060"/>
      <c r="CD61" s="833"/>
      <c r="CF61" s="2207">
        <v>23</v>
      </c>
      <c r="CG61" s="3472">
        <f t="shared" si="10"/>
        <v>131800</v>
      </c>
      <c r="CH61" s="2209"/>
      <c r="CK61" s="2207">
        <v>23</v>
      </c>
      <c r="CL61" s="3473">
        <f t="shared" si="11"/>
        <v>152700</v>
      </c>
      <c r="CM61" s="2209"/>
      <c r="CR61" s="2288"/>
      <c r="DH61" s="1139">
        <v>17</v>
      </c>
      <c r="DI61" s="3017">
        <v>43586</v>
      </c>
      <c r="DJ61" s="3020" t="str">
        <f t="shared" si="13"/>
        <v/>
      </c>
      <c r="GK61" s="888">
        <v>23</v>
      </c>
      <c r="GL61" s="3474">
        <f t="shared" si="12"/>
        <v>110400</v>
      </c>
      <c r="HK61" s="877"/>
      <c r="HL61" s="856"/>
      <c r="HM61" s="2354"/>
      <c r="HY61" s="843"/>
      <c r="HZ61" s="856"/>
      <c r="IA61" s="1482"/>
      <c r="IO61" s="834"/>
      <c r="IP61" s="1615">
        <v>42</v>
      </c>
      <c r="IQ61" s="1616">
        <f t="shared" si="58"/>
        <v>43617</v>
      </c>
      <c r="JD61" s="1457"/>
      <c r="JN61" s="1621">
        <v>48</v>
      </c>
      <c r="JO61" s="1622">
        <f t="shared" si="0"/>
        <v>43132</v>
      </c>
      <c r="JP61" s="1468"/>
      <c r="JQ61" s="1139">
        <v>48</v>
      </c>
      <c r="JR61" s="1483">
        <v>43132</v>
      </c>
      <c r="JS61" s="831"/>
      <c r="JT61" s="740">
        <v>15</v>
      </c>
      <c r="MA61" s="834"/>
      <c r="MI61" s="620">
        <v>30</v>
      </c>
      <c r="MJ61" s="1116" t="s">
        <v>319</v>
      </c>
      <c r="MK61" s="1119" t="s">
        <v>798</v>
      </c>
      <c r="ML61" s="621">
        <v>150000</v>
      </c>
      <c r="MN61" s="1749">
        <v>2</v>
      </c>
      <c r="MO61" s="1743" t="s">
        <v>323</v>
      </c>
      <c r="MP61" s="2572" t="s">
        <v>1374</v>
      </c>
      <c r="MQ61" s="2573"/>
    </row>
    <row r="62" spans="1:360" ht="31.5" customHeight="1">
      <c r="A62" s="123"/>
      <c r="B62" s="8"/>
      <c r="C62" s="649"/>
      <c r="D62" s="680">
        <v>24</v>
      </c>
      <c r="E62" s="3464">
        <v>113700</v>
      </c>
      <c r="F62" s="3465">
        <v>135800</v>
      </c>
      <c r="G62" s="3466">
        <v>157300</v>
      </c>
      <c r="H62" s="3469"/>
      <c r="I62" s="3468"/>
      <c r="J62" s="3468"/>
      <c r="N62" s="680">
        <v>24</v>
      </c>
      <c r="O62" s="3458">
        <v>92500</v>
      </c>
      <c r="P62" s="3459">
        <v>104200</v>
      </c>
      <c r="Q62" s="3460">
        <v>107200</v>
      </c>
      <c r="R62" s="3461"/>
      <c r="S62" s="3462"/>
      <c r="T62" s="3462"/>
      <c r="Y62" s="776"/>
      <c r="Z62" s="777"/>
      <c r="AA62" s="738">
        <v>24</v>
      </c>
      <c r="AB62" s="3470">
        <f t="shared" si="7"/>
        <v>135800</v>
      </c>
      <c r="AC62" s="777"/>
      <c r="AD62" s="777"/>
      <c r="AE62" s="738">
        <v>24</v>
      </c>
      <c r="AF62" s="3189"/>
      <c r="AG62" s="3470">
        <f t="shared" si="8"/>
        <v>157300</v>
      </c>
      <c r="AH62" s="777"/>
      <c r="AI62" s="778"/>
      <c r="AJ62" s="775"/>
      <c r="AK62" s="1438"/>
      <c r="AL62" s="1446"/>
      <c r="AM62" s="738">
        <v>24</v>
      </c>
      <c r="AN62" s="3471">
        <f t="shared" si="9"/>
        <v>157300</v>
      </c>
      <c r="AO62" s="780"/>
      <c r="AP62" s="1438"/>
      <c r="AV62" s="7"/>
      <c r="AW62" s="740">
        <v>16</v>
      </c>
      <c r="AZ62" s="2060"/>
      <c r="BC62" s="5519" t="s">
        <v>525</v>
      </c>
      <c r="BD62" s="5616" t="s">
        <v>419</v>
      </c>
      <c r="BE62" s="3295" t="s">
        <v>1626</v>
      </c>
      <c r="CD62" s="833"/>
      <c r="CF62" s="2207">
        <v>24</v>
      </c>
      <c r="CG62" s="3472">
        <f t="shared" si="10"/>
        <v>135800</v>
      </c>
      <c r="CH62" s="2209"/>
      <c r="CK62" s="2207">
        <v>24</v>
      </c>
      <c r="CL62" s="3473">
        <f t="shared" si="11"/>
        <v>157300</v>
      </c>
      <c r="CM62" s="2209"/>
      <c r="CR62" s="2288"/>
      <c r="DH62" s="1139">
        <v>18</v>
      </c>
      <c r="DI62" s="3017">
        <v>43617</v>
      </c>
      <c r="DJ62" s="3020" t="str">
        <f t="shared" si="13"/>
        <v/>
      </c>
      <c r="GK62" s="888">
        <v>24</v>
      </c>
      <c r="GL62" s="3474">
        <f t="shared" si="12"/>
        <v>113700</v>
      </c>
      <c r="HK62" s="877"/>
      <c r="HL62" s="856"/>
      <c r="HM62" s="2326"/>
      <c r="HY62" s="843"/>
      <c r="HZ62" s="856"/>
      <c r="IA62" s="1482"/>
      <c r="IO62" s="834"/>
      <c r="IP62" s="1550">
        <v>43</v>
      </c>
      <c r="IQ62" s="1604">
        <f t="shared" si="58"/>
        <v>43647</v>
      </c>
      <c r="JD62" s="1457"/>
      <c r="JN62" s="1621">
        <v>49</v>
      </c>
      <c r="JO62" s="1622">
        <f t="shared" si="0"/>
        <v>43160</v>
      </c>
      <c r="JP62" s="1468"/>
      <c r="JQ62" s="1139">
        <v>49</v>
      </c>
      <c r="JR62" s="1483">
        <v>43160</v>
      </c>
      <c r="JS62" s="831"/>
      <c r="JT62" s="740">
        <v>16</v>
      </c>
      <c r="MA62" s="834"/>
      <c r="MI62" s="620">
        <v>31</v>
      </c>
      <c r="MJ62" s="1116" t="s">
        <v>319</v>
      </c>
      <c r="MK62" s="1120" t="s">
        <v>1543</v>
      </c>
      <c r="ML62" s="621">
        <v>150000</v>
      </c>
      <c r="MN62" s="655"/>
      <c r="MO62" s="655"/>
      <c r="MP62" s="656"/>
      <c r="MQ62" s="657"/>
    </row>
    <row r="63" spans="1:360" ht="24.95" customHeight="1">
      <c r="A63" s="123"/>
      <c r="B63" s="8"/>
      <c r="C63" s="649"/>
      <c r="D63" s="680">
        <v>25</v>
      </c>
      <c r="E63" s="3464">
        <v>117100</v>
      </c>
      <c r="F63" s="3465">
        <v>139900</v>
      </c>
      <c r="G63" s="3466">
        <v>162000</v>
      </c>
      <c r="H63" s="3469"/>
      <c r="I63" s="3468"/>
      <c r="J63" s="3468"/>
      <c r="N63" s="680">
        <v>25</v>
      </c>
      <c r="O63" s="3458">
        <v>89800</v>
      </c>
      <c r="P63" s="3459">
        <v>101200</v>
      </c>
      <c r="Q63" s="3460">
        <v>104100</v>
      </c>
      <c r="R63" s="3461"/>
      <c r="S63" s="3462"/>
      <c r="T63" s="3462"/>
      <c r="Y63" s="776"/>
      <c r="Z63" s="777"/>
      <c r="AA63" s="738">
        <v>25</v>
      </c>
      <c r="AB63" s="3470">
        <f t="shared" si="7"/>
        <v>139900</v>
      </c>
      <c r="AC63" s="777"/>
      <c r="AD63" s="777"/>
      <c r="AE63" s="738">
        <v>25</v>
      </c>
      <c r="AF63" s="3189"/>
      <c r="AG63" s="3470">
        <f t="shared" si="8"/>
        <v>162000</v>
      </c>
      <c r="AH63" s="777"/>
      <c r="AI63" s="778"/>
      <c r="AJ63" s="775"/>
      <c r="AK63" s="1438"/>
      <c r="AL63" s="1446"/>
      <c r="AM63" s="738">
        <v>25</v>
      </c>
      <c r="AN63" s="3471">
        <f t="shared" si="9"/>
        <v>162000</v>
      </c>
      <c r="AO63" s="780"/>
      <c r="AP63" s="1438"/>
      <c r="AV63" s="7"/>
      <c r="AW63" s="740">
        <v>17</v>
      </c>
      <c r="AZ63" s="2060"/>
      <c r="BC63" s="5777"/>
      <c r="BD63" s="5776"/>
      <c r="BE63" s="3296" t="s">
        <v>885</v>
      </c>
      <c r="CD63" s="833"/>
      <c r="CF63" s="2207">
        <v>25</v>
      </c>
      <c r="CG63" s="3472">
        <f t="shared" si="10"/>
        <v>139900</v>
      </c>
      <c r="CH63" s="2209"/>
      <c r="CK63" s="2207">
        <v>25</v>
      </c>
      <c r="CL63" s="3473">
        <f t="shared" si="11"/>
        <v>162000</v>
      </c>
      <c r="CM63" s="2209"/>
      <c r="CR63" s="2288"/>
      <c r="DH63" s="1139">
        <v>19</v>
      </c>
      <c r="DI63" s="3017">
        <v>43647</v>
      </c>
      <c r="DJ63" s="3020" t="str">
        <f t="shared" si="13"/>
        <v/>
      </c>
      <c r="GK63" s="888">
        <v>25</v>
      </c>
      <c r="GL63" s="3474">
        <f t="shared" si="12"/>
        <v>117100</v>
      </c>
      <c r="HK63" s="877"/>
      <c r="HL63" s="856"/>
      <c r="HM63" s="2354"/>
      <c r="HY63" s="843"/>
      <c r="HZ63" s="856"/>
      <c r="IA63" s="1482"/>
      <c r="IO63" s="834"/>
      <c r="IP63" s="1550">
        <v>44</v>
      </c>
      <c r="IQ63" s="1604">
        <f t="shared" si="58"/>
        <v>43678</v>
      </c>
      <c r="JD63" s="1457"/>
      <c r="JN63" s="1621">
        <v>50</v>
      </c>
      <c r="JO63" s="1622">
        <f t="shared" si="0"/>
        <v>43191</v>
      </c>
      <c r="JQ63" s="1139">
        <v>50</v>
      </c>
      <c r="JR63" s="1483">
        <v>43191</v>
      </c>
      <c r="JS63" s="831"/>
      <c r="JT63" s="740">
        <v>17</v>
      </c>
      <c r="MA63" s="834"/>
      <c r="MI63" s="620">
        <v>32</v>
      </c>
      <c r="MJ63" s="1116" t="s">
        <v>319</v>
      </c>
      <c r="MK63" s="2580" t="s">
        <v>1542</v>
      </c>
      <c r="ML63" s="621">
        <v>150000</v>
      </c>
      <c r="MN63" s="1749">
        <v>1</v>
      </c>
      <c r="MO63" s="1743" t="s">
        <v>1378</v>
      </c>
      <c r="MP63" s="2572" t="s">
        <v>1379</v>
      </c>
      <c r="MQ63" s="1743">
        <f>'Data Sheet-III '!O57</f>
        <v>0</v>
      </c>
    </row>
    <row r="64" spans="1:360" ht="24.95" customHeight="1">
      <c r="A64" s="123"/>
      <c r="B64" s="8"/>
      <c r="C64" s="649"/>
      <c r="D64" s="680">
        <v>26</v>
      </c>
      <c r="E64" s="3464">
        <v>120600</v>
      </c>
      <c r="F64" s="3465">
        <v>144100</v>
      </c>
      <c r="G64" s="3466">
        <v>166900</v>
      </c>
      <c r="H64" s="3467"/>
      <c r="I64" s="3468"/>
      <c r="J64" s="3468"/>
      <c r="N64" s="680">
        <v>26</v>
      </c>
      <c r="O64" s="3458">
        <v>87200</v>
      </c>
      <c r="P64" s="3459">
        <v>98300</v>
      </c>
      <c r="Q64" s="3460">
        <v>101100</v>
      </c>
      <c r="R64" s="3461"/>
      <c r="S64" s="3462"/>
      <c r="T64" s="3462"/>
      <c r="Y64" s="776"/>
      <c r="Z64" s="777"/>
      <c r="AA64" s="738">
        <v>26</v>
      </c>
      <c r="AB64" s="3470">
        <f t="shared" si="7"/>
        <v>144100</v>
      </c>
      <c r="AC64" s="777"/>
      <c r="AD64" s="777"/>
      <c r="AE64" s="738">
        <v>26</v>
      </c>
      <c r="AF64" s="3189"/>
      <c r="AG64" s="3470">
        <f t="shared" si="8"/>
        <v>166900</v>
      </c>
      <c r="AH64" s="777"/>
      <c r="AI64" s="778"/>
      <c r="AJ64" s="775"/>
      <c r="AK64" s="1438"/>
      <c r="AL64" s="1446"/>
      <c r="AM64" s="738">
        <v>26</v>
      </c>
      <c r="AN64" s="3471">
        <f t="shared" si="9"/>
        <v>166900</v>
      </c>
      <c r="AO64" s="780"/>
      <c r="AP64" s="1438"/>
      <c r="AV64" s="7"/>
      <c r="AW64" s="740">
        <v>18</v>
      </c>
      <c r="AZ64" s="2060"/>
      <c r="BC64" s="2130">
        <v>1</v>
      </c>
      <c r="BD64" s="694">
        <v>45717</v>
      </c>
      <c r="BE64" s="3020">
        <f t="shared" ref="BE64:BE75" si="59">IF(AND($K$917=2,BD64&gt;$I$1264),Q1266,BH47)</f>
        <v>82300</v>
      </c>
      <c r="CD64" s="833"/>
      <c r="CF64" s="2207">
        <v>26</v>
      </c>
      <c r="CG64" s="3472">
        <f t="shared" si="10"/>
        <v>144100</v>
      </c>
      <c r="CH64" s="2209"/>
      <c r="CK64" s="2207">
        <v>26</v>
      </c>
      <c r="CL64" s="3473">
        <f t="shared" si="11"/>
        <v>166900</v>
      </c>
      <c r="CM64" s="2209"/>
      <c r="CR64" s="2288"/>
      <c r="DH64" s="1139">
        <v>20</v>
      </c>
      <c r="DI64" s="3017">
        <v>43678</v>
      </c>
      <c r="DJ64" s="3020" t="str">
        <f t="shared" si="13"/>
        <v/>
      </c>
      <c r="GK64" s="888">
        <v>26</v>
      </c>
      <c r="GL64" s="3474">
        <f t="shared" si="12"/>
        <v>120600</v>
      </c>
      <c r="HK64" s="877"/>
      <c r="HL64" s="856"/>
      <c r="HM64" s="2326"/>
      <c r="HY64" s="843"/>
      <c r="HZ64" s="856"/>
      <c r="IA64" s="1482"/>
      <c r="IO64" s="834"/>
      <c r="IP64" s="1550">
        <v>45</v>
      </c>
      <c r="IQ64" s="1604">
        <f t="shared" si="58"/>
        <v>43709</v>
      </c>
      <c r="JD64" s="1457"/>
      <c r="JN64" s="1621">
        <v>51</v>
      </c>
      <c r="JO64" s="1622">
        <f t="shared" si="0"/>
        <v>43221</v>
      </c>
      <c r="JQ64" s="1139">
        <v>51</v>
      </c>
      <c r="JR64" s="1483">
        <v>43221</v>
      </c>
      <c r="JS64" s="831"/>
      <c r="JT64" s="740">
        <v>18</v>
      </c>
      <c r="MA64" s="834"/>
      <c r="MI64" s="620">
        <v>33</v>
      </c>
      <c r="MJ64" s="1116" t="s">
        <v>319</v>
      </c>
      <c r="MK64" s="1117" t="s">
        <v>441</v>
      </c>
      <c r="ML64" s="621">
        <v>150000</v>
      </c>
      <c r="MN64" s="457"/>
      <c r="MO64" s="456"/>
      <c r="MP64" s="458"/>
      <c r="MQ64" s="455"/>
      <c r="MT64" s="583"/>
    </row>
    <row r="65" spans="1:358" ht="24.95" customHeight="1">
      <c r="A65" s="123"/>
      <c r="B65" s="8"/>
      <c r="C65" s="649"/>
      <c r="D65" s="680">
        <v>27</v>
      </c>
      <c r="E65" s="3464">
        <v>124200</v>
      </c>
      <c r="F65" s="3465">
        <v>148400</v>
      </c>
      <c r="G65" s="3466">
        <v>171900</v>
      </c>
      <c r="H65" s="3467"/>
      <c r="I65" s="3468"/>
      <c r="J65" s="3468"/>
      <c r="N65" s="680">
        <v>27</v>
      </c>
      <c r="O65" s="3458">
        <v>84700</v>
      </c>
      <c r="P65" s="3459">
        <v>95400</v>
      </c>
      <c r="Q65" s="3460">
        <v>98200</v>
      </c>
      <c r="R65" s="3461"/>
      <c r="S65" s="3462"/>
      <c r="T65" s="3462"/>
      <c r="Y65" s="776"/>
      <c r="Z65" s="777"/>
      <c r="AA65" s="738">
        <v>27</v>
      </c>
      <c r="AB65" s="3470">
        <f t="shared" si="7"/>
        <v>148400</v>
      </c>
      <c r="AC65" s="777"/>
      <c r="AD65" s="777"/>
      <c r="AE65" s="738">
        <v>27</v>
      </c>
      <c r="AF65" s="3189"/>
      <c r="AG65" s="3470">
        <f t="shared" si="8"/>
        <v>171900</v>
      </c>
      <c r="AH65" s="777"/>
      <c r="AI65" s="778"/>
      <c r="AJ65" s="775"/>
      <c r="AK65" s="1438"/>
      <c r="AL65" s="1446"/>
      <c r="AM65" s="738">
        <v>27</v>
      </c>
      <c r="AN65" s="3471">
        <f t="shared" si="9"/>
        <v>171900</v>
      </c>
      <c r="AO65" s="780"/>
      <c r="AP65" s="1438"/>
      <c r="AV65" s="7"/>
      <c r="AW65" s="740">
        <v>19</v>
      </c>
      <c r="AZ65" s="2060"/>
      <c r="BC65" s="2130">
        <v>2</v>
      </c>
      <c r="BD65" s="694">
        <v>45748</v>
      </c>
      <c r="BE65" s="3020">
        <f t="shared" si="59"/>
        <v>82300</v>
      </c>
      <c r="CD65" s="833"/>
      <c r="CF65" s="2207">
        <v>27</v>
      </c>
      <c r="CG65" s="3472">
        <f t="shared" si="10"/>
        <v>148400</v>
      </c>
      <c r="CH65" s="2209"/>
      <c r="CK65" s="2207">
        <v>27</v>
      </c>
      <c r="CL65" s="3473">
        <f t="shared" si="11"/>
        <v>171900</v>
      </c>
      <c r="CM65" s="2209"/>
      <c r="CR65" s="2288"/>
      <c r="DH65" s="1139">
        <v>21</v>
      </c>
      <c r="DI65" s="3017">
        <v>43709</v>
      </c>
      <c r="DJ65" s="3020" t="str">
        <f t="shared" si="13"/>
        <v/>
      </c>
      <c r="GK65" s="888">
        <v>27</v>
      </c>
      <c r="GL65" s="3474">
        <f t="shared" si="12"/>
        <v>124200</v>
      </c>
      <c r="HK65" s="877"/>
      <c r="HL65" s="856"/>
      <c r="HM65" s="2354"/>
      <c r="HY65" s="843"/>
      <c r="HZ65" s="856"/>
      <c r="IA65" s="1482"/>
      <c r="IO65" s="834"/>
      <c r="IP65" s="1550">
        <v>46</v>
      </c>
      <c r="IQ65" s="1604">
        <f t="shared" si="58"/>
        <v>43739</v>
      </c>
      <c r="JD65" s="1457"/>
      <c r="JN65" s="1621">
        <v>52</v>
      </c>
      <c r="JO65" s="1622">
        <f t="shared" si="0"/>
        <v>43252</v>
      </c>
      <c r="JQ65" s="1139">
        <v>52</v>
      </c>
      <c r="JR65" s="1483">
        <v>43252</v>
      </c>
      <c r="JS65" s="831"/>
      <c r="JT65" s="740">
        <v>19</v>
      </c>
      <c r="MA65" s="834"/>
      <c r="MI65" s="620">
        <v>34</v>
      </c>
      <c r="MJ65" s="1116" t="s">
        <v>319</v>
      </c>
      <c r="MK65" s="1117" t="s">
        <v>1544</v>
      </c>
      <c r="ML65" s="621">
        <v>150000</v>
      </c>
      <c r="MN65" s="457"/>
      <c r="MO65" s="456"/>
      <c r="MP65" s="458"/>
      <c r="MQ65" s="455"/>
      <c r="MT65" s="582"/>
    </row>
    <row r="66" spans="1:358" ht="24.95" customHeight="1">
      <c r="A66" s="123"/>
      <c r="B66" s="8"/>
      <c r="C66" s="649"/>
      <c r="D66" s="680">
        <v>28</v>
      </c>
      <c r="E66" s="3464">
        <v>127900</v>
      </c>
      <c r="F66" s="3465">
        <v>152900</v>
      </c>
      <c r="G66" s="3466">
        <v>177100</v>
      </c>
      <c r="H66" s="3467"/>
      <c r="I66" s="3468"/>
      <c r="J66" s="3468"/>
      <c r="N66" s="680">
        <v>28</v>
      </c>
      <c r="O66" s="3458">
        <v>82200</v>
      </c>
      <c r="P66" s="3459">
        <v>92600</v>
      </c>
      <c r="Q66" s="3460">
        <v>95300</v>
      </c>
      <c r="R66" s="3461"/>
      <c r="S66" s="3462"/>
      <c r="T66" s="3462"/>
      <c r="Y66" s="776"/>
      <c r="Z66" s="777"/>
      <c r="AA66" s="738">
        <v>28</v>
      </c>
      <c r="AB66" s="3470">
        <f t="shared" si="7"/>
        <v>152900</v>
      </c>
      <c r="AC66" s="777"/>
      <c r="AD66" s="777"/>
      <c r="AE66" s="738">
        <v>28</v>
      </c>
      <c r="AF66" s="3189"/>
      <c r="AG66" s="3470">
        <f t="shared" si="8"/>
        <v>177100</v>
      </c>
      <c r="AH66" s="777"/>
      <c r="AI66" s="778"/>
      <c r="AJ66" s="775"/>
      <c r="AK66" s="1438"/>
      <c r="AL66" s="1446"/>
      <c r="AM66" s="738">
        <v>28</v>
      </c>
      <c r="AN66" s="3471">
        <f t="shared" si="9"/>
        <v>177100</v>
      </c>
      <c r="AO66" s="780"/>
      <c r="AP66" s="1438"/>
      <c r="AV66" s="7"/>
      <c r="AW66" s="740">
        <v>20</v>
      </c>
      <c r="AZ66" s="2060"/>
      <c r="BC66" s="2130">
        <v>3</v>
      </c>
      <c r="BD66" s="694">
        <v>45778</v>
      </c>
      <c r="BE66" s="3020">
        <f t="shared" si="59"/>
        <v>82300</v>
      </c>
      <c r="CD66" s="833"/>
      <c r="CF66" s="2207">
        <v>28</v>
      </c>
      <c r="CG66" s="3472">
        <f t="shared" si="10"/>
        <v>152900</v>
      </c>
      <c r="CH66" s="2209"/>
      <c r="CK66" s="2207">
        <v>28</v>
      </c>
      <c r="CL66" s="3473">
        <f t="shared" si="11"/>
        <v>177100</v>
      </c>
      <c r="CM66" s="2209"/>
      <c r="CR66" s="2288"/>
      <c r="DH66" s="1139">
        <v>22</v>
      </c>
      <c r="DI66" s="3017">
        <v>43739</v>
      </c>
      <c r="DJ66" s="3020" t="str">
        <f t="shared" si="13"/>
        <v/>
      </c>
      <c r="GK66" s="888">
        <v>28</v>
      </c>
      <c r="GL66" s="3474">
        <f t="shared" si="12"/>
        <v>127900</v>
      </c>
      <c r="HK66" s="877"/>
      <c r="HL66" s="856"/>
      <c r="HM66" s="2326"/>
      <c r="HY66" s="843"/>
      <c r="HZ66" s="856"/>
      <c r="IA66" s="1482"/>
      <c r="IO66" s="834"/>
      <c r="IP66" s="1550">
        <v>47</v>
      </c>
      <c r="IQ66" s="1604">
        <f t="shared" si="58"/>
        <v>43770</v>
      </c>
      <c r="JD66" s="1457"/>
      <c r="JN66" s="1621">
        <v>53</v>
      </c>
      <c r="JO66" s="1622">
        <f t="shared" si="0"/>
        <v>43282</v>
      </c>
      <c r="JQ66" s="1139">
        <v>53</v>
      </c>
      <c r="JR66" s="1483">
        <v>43282</v>
      </c>
      <c r="JS66" s="831"/>
      <c r="JT66" s="740">
        <v>20</v>
      </c>
      <c r="MA66" s="834"/>
      <c r="MI66" s="620">
        <v>35</v>
      </c>
      <c r="MJ66" s="1116" t="s">
        <v>319</v>
      </c>
      <c r="MK66" s="1119" t="s">
        <v>1545</v>
      </c>
      <c r="ML66" s="621">
        <v>150000</v>
      </c>
      <c r="MN66" s="457"/>
      <c r="MO66" s="456"/>
      <c r="MP66" s="458"/>
      <c r="MQ66" s="455"/>
      <c r="MT66" s="582"/>
    </row>
    <row r="67" spans="1:358" ht="24.95" customHeight="1">
      <c r="A67" s="123"/>
      <c r="B67" s="8"/>
      <c r="C67" s="649"/>
      <c r="D67" s="680">
        <v>29</v>
      </c>
      <c r="E67" s="3464">
        <v>131700</v>
      </c>
      <c r="F67" s="3465">
        <v>157500</v>
      </c>
      <c r="G67" s="3466">
        <v>182400</v>
      </c>
      <c r="H67" s="3467"/>
      <c r="I67" s="3468"/>
      <c r="J67" s="3468"/>
      <c r="N67" s="680">
        <v>29</v>
      </c>
      <c r="O67" s="3458">
        <v>79800</v>
      </c>
      <c r="P67" s="3459">
        <v>89900</v>
      </c>
      <c r="Q67" s="3460">
        <v>92500</v>
      </c>
      <c r="R67" s="3461"/>
      <c r="S67" s="3462"/>
      <c r="T67" s="3462"/>
      <c r="Y67" s="776"/>
      <c r="Z67" s="777"/>
      <c r="AA67" s="738">
        <v>29</v>
      </c>
      <c r="AB67" s="3470">
        <f t="shared" si="7"/>
        <v>157500</v>
      </c>
      <c r="AC67" s="777"/>
      <c r="AD67" s="777"/>
      <c r="AE67" s="738">
        <v>29</v>
      </c>
      <c r="AF67" s="3189"/>
      <c r="AG67" s="3470">
        <f t="shared" si="8"/>
        <v>182400</v>
      </c>
      <c r="AH67" s="777"/>
      <c r="AI67" s="778"/>
      <c r="AJ67" s="775"/>
      <c r="AK67" s="1438"/>
      <c r="AL67" s="1446"/>
      <c r="AM67" s="738">
        <v>29</v>
      </c>
      <c r="AN67" s="3471">
        <f t="shared" si="9"/>
        <v>182400</v>
      </c>
      <c r="AO67" s="780"/>
      <c r="AP67" s="1438"/>
      <c r="AV67" s="7"/>
      <c r="AW67" s="740">
        <v>21</v>
      </c>
      <c r="AZ67" s="2060"/>
      <c r="BC67" s="2130">
        <v>4</v>
      </c>
      <c r="BD67" s="694">
        <v>45809</v>
      </c>
      <c r="BE67" s="3020">
        <f t="shared" si="59"/>
        <v>82300</v>
      </c>
      <c r="CD67" s="833"/>
      <c r="CF67" s="2207">
        <v>29</v>
      </c>
      <c r="CG67" s="3472">
        <f t="shared" si="10"/>
        <v>157500</v>
      </c>
      <c r="CH67" s="2209"/>
      <c r="CK67" s="2207">
        <v>29</v>
      </c>
      <c r="CL67" s="3473">
        <f t="shared" si="11"/>
        <v>182400</v>
      </c>
      <c r="CM67" s="2209"/>
      <c r="CR67" s="2288"/>
      <c r="DH67" s="1139">
        <v>23</v>
      </c>
      <c r="DI67" s="3017">
        <v>43770</v>
      </c>
      <c r="DJ67" s="3020" t="str">
        <f t="shared" si="13"/>
        <v/>
      </c>
      <c r="GK67" s="888">
        <v>29</v>
      </c>
      <c r="GL67" s="3474">
        <f t="shared" si="12"/>
        <v>131700</v>
      </c>
      <c r="HK67" s="877"/>
      <c r="HL67" s="856"/>
      <c r="HM67" s="2354"/>
      <c r="HY67" s="843"/>
      <c r="HZ67" s="856"/>
      <c r="IA67" s="1482"/>
      <c r="IO67" s="834"/>
      <c r="IP67" s="1550">
        <v>48</v>
      </c>
      <c r="IQ67" s="1604">
        <f t="shared" si="58"/>
        <v>43800</v>
      </c>
      <c r="JD67" s="1457"/>
      <c r="JN67" s="1621">
        <v>54</v>
      </c>
      <c r="JO67" s="1622">
        <f t="shared" si="0"/>
        <v>43313</v>
      </c>
      <c r="JQ67" s="1139">
        <v>54</v>
      </c>
      <c r="JR67" s="1483">
        <v>43313</v>
      </c>
      <c r="JS67" s="831"/>
      <c r="JT67" s="740">
        <v>21</v>
      </c>
      <c r="MA67" s="834"/>
      <c r="MI67" s="448"/>
      <c r="MJ67" s="449"/>
      <c r="MK67" s="450"/>
      <c r="ML67" s="451"/>
      <c r="MN67" s="457"/>
      <c r="MO67" s="456"/>
      <c r="MP67" s="458"/>
      <c r="MQ67" s="455"/>
      <c r="MT67" s="582"/>
    </row>
    <row r="68" spans="1:358" ht="24.95" customHeight="1">
      <c r="A68" s="123"/>
      <c r="B68" s="8"/>
      <c r="C68" s="649"/>
      <c r="D68" s="680">
        <v>30</v>
      </c>
      <c r="E68" s="3464">
        <v>135700</v>
      </c>
      <c r="F68" s="3465">
        <v>162200</v>
      </c>
      <c r="G68" s="3466">
        <v>187900</v>
      </c>
      <c r="H68" s="3467"/>
      <c r="I68" s="3468"/>
      <c r="J68" s="3468"/>
      <c r="N68" s="680">
        <v>30</v>
      </c>
      <c r="O68" s="3458">
        <v>77500</v>
      </c>
      <c r="P68" s="3459">
        <v>87300</v>
      </c>
      <c r="Q68" s="3460">
        <v>89800</v>
      </c>
      <c r="R68" s="3461"/>
      <c r="S68" s="3462"/>
      <c r="T68" s="3462"/>
      <c r="Y68" s="776"/>
      <c r="Z68" s="777"/>
      <c r="AA68" s="738">
        <v>30</v>
      </c>
      <c r="AB68" s="3470">
        <f t="shared" si="7"/>
        <v>162200</v>
      </c>
      <c r="AC68" s="777"/>
      <c r="AD68" s="777"/>
      <c r="AE68" s="738">
        <v>30</v>
      </c>
      <c r="AF68" s="3189"/>
      <c r="AG68" s="3470">
        <f t="shared" si="8"/>
        <v>187900</v>
      </c>
      <c r="AH68" s="777"/>
      <c r="AI68" s="778"/>
      <c r="AJ68" s="775"/>
      <c r="AK68" s="1438"/>
      <c r="AL68" s="1446"/>
      <c r="AM68" s="738">
        <v>30</v>
      </c>
      <c r="AN68" s="3471">
        <f t="shared" si="9"/>
        <v>187900</v>
      </c>
      <c r="AO68" s="780"/>
      <c r="AP68" s="1438"/>
      <c r="AV68" s="7"/>
      <c r="AW68" s="740">
        <v>22</v>
      </c>
      <c r="AZ68" s="2060"/>
      <c r="BC68" s="2130">
        <v>5</v>
      </c>
      <c r="BD68" s="694">
        <v>45839</v>
      </c>
      <c r="BE68" s="3020">
        <f t="shared" si="59"/>
        <v>82300</v>
      </c>
      <c r="CD68" s="833"/>
      <c r="CF68" s="2207">
        <v>30</v>
      </c>
      <c r="CG68" s="3472">
        <f t="shared" si="10"/>
        <v>162200</v>
      </c>
      <c r="CH68" s="2209"/>
      <c r="CK68" s="2207">
        <v>30</v>
      </c>
      <c r="CL68" s="3473">
        <f t="shared" si="11"/>
        <v>187900</v>
      </c>
      <c r="CM68" s="2209"/>
      <c r="CR68" s="2288"/>
      <c r="DH68" s="1139">
        <v>24</v>
      </c>
      <c r="DI68" s="3017">
        <v>43800</v>
      </c>
      <c r="DJ68" s="3020" t="str">
        <f t="shared" si="13"/>
        <v/>
      </c>
      <c r="GK68" s="888">
        <v>30</v>
      </c>
      <c r="GL68" s="3474">
        <f t="shared" si="12"/>
        <v>135700</v>
      </c>
      <c r="HK68" s="877"/>
      <c r="HL68" s="856"/>
      <c r="HM68" s="2326"/>
      <c r="HY68" s="843"/>
      <c r="HZ68" s="856"/>
      <c r="IA68" s="1482"/>
      <c r="IO68" s="834"/>
      <c r="IP68" s="1550">
        <v>49</v>
      </c>
      <c r="IQ68" s="1604">
        <f t="shared" si="58"/>
        <v>43831</v>
      </c>
      <c r="JD68" s="1457"/>
      <c r="JN68" s="1621">
        <v>55</v>
      </c>
      <c r="JO68" s="1622">
        <f t="shared" si="0"/>
        <v>43344</v>
      </c>
      <c r="JQ68" s="1139">
        <v>55</v>
      </c>
      <c r="JR68" s="1483">
        <v>43344</v>
      </c>
      <c r="JS68" s="831"/>
      <c r="JT68" s="740">
        <v>22</v>
      </c>
      <c r="MA68" s="834"/>
      <c r="MI68" s="128"/>
      <c r="MJ68" s="445"/>
      <c r="MK68" s="446"/>
      <c r="ML68" s="447"/>
      <c r="MT68" s="582"/>
    </row>
    <row r="69" spans="1:358" ht="24.95" customHeight="1">
      <c r="A69" s="123"/>
      <c r="B69" s="8"/>
      <c r="C69" s="649"/>
      <c r="D69" s="680">
        <v>31</v>
      </c>
      <c r="E69" s="3464">
        <v>139800</v>
      </c>
      <c r="F69" s="3465">
        <v>167100</v>
      </c>
      <c r="G69" s="3466">
        <v>193500</v>
      </c>
      <c r="H69" s="3467"/>
      <c r="I69" s="3468"/>
      <c r="J69" s="3468"/>
      <c r="N69" s="680">
        <v>31</v>
      </c>
      <c r="O69" s="3458">
        <v>75200</v>
      </c>
      <c r="P69" s="3459">
        <v>84800</v>
      </c>
      <c r="Q69" s="3460">
        <v>87200</v>
      </c>
      <c r="R69" s="3461"/>
      <c r="S69" s="3462"/>
      <c r="T69" s="3462"/>
      <c r="Y69" s="776"/>
      <c r="Z69" s="777"/>
      <c r="AA69" s="738">
        <v>31</v>
      </c>
      <c r="AB69" s="3470">
        <f t="shared" si="7"/>
        <v>167100</v>
      </c>
      <c r="AC69" s="777"/>
      <c r="AD69" s="777"/>
      <c r="AE69" s="738">
        <v>31</v>
      </c>
      <c r="AF69" s="3189"/>
      <c r="AG69" s="3470">
        <f t="shared" si="8"/>
        <v>193500</v>
      </c>
      <c r="AH69" s="777"/>
      <c r="AI69" s="778"/>
      <c r="AJ69" s="775"/>
      <c r="AK69" s="1438"/>
      <c r="AL69" s="1446"/>
      <c r="AM69" s="738">
        <v>31</v>
      </c>
      <c r="AN69" s="3471">
        <f t="shared" si="9"/>
        <v>193500</v>
      </c>
      <c r="AO69" s="780"/>
      <c r="AP69" s="1438"/>
      <c r="AV69" s="7"/>
      <c r="AW69" s="740">
        <v>23</v>
      </c>
      <c r="AZ69" s="2060"/>
      <c r="BC69" s="2130">
        <v>6</v>
      </c>
      <c r="BD69" s="694">
        <v>45870</v>
      </c>
      <c r="BE69" s="3020">
        <f t="shared" si="59"/>
        <v>82300</v>
      </c>
      <c r="CD69" s="833"/>
      <c r="CF69" s="2207">
        <v>31</v>
      </c>
      <c r="CG69" s="3472">
        <f t="shared" si="10"/>
        <v>167100</v>
      </c>
      <c r="CH69" s="2209"/>
      <c r="CK69" s="2207">
        <v>31</v>
      </c>
      <c r="CL69" s="3473">
        <f t="shared" si="11"/>
        <v>193500</v>
      </c>
      <c r="CM69" s="2209"/>
      <c r="CR69" s="2288"/>
      <c r="DH69" s="1139">
        <v>25</v>
      </c>
      <c r="DI69" s="3017">
        <v>43831</v>
      </c>
      <c r="DJ69" s="3020" t="str">
        <f t="shared" si="13"/>
        <v/>
      </c>
      <c r="GK69" s="888">
        <v>31</v>
      </c>
      <c r="GL69" s="3474">
        <f t="shared" si="12"/>
        <v>139800</v>
      </c>
      <c r="HK69" s="877"/>
      <c r="HL69" s="856"/>
      <c r="HM69" s="2354"/>
      <c r="HY69" s="843"/>
      <c r="HZ69" s="856"/>
      <c r="IA69" s="1482"/>
      <c r="IO69" s="834"/>
      <c r="IP69" s="1550">
        <v>50</v>
      </c>
      <c r="IQ69" s="1604">
        <f t="shared" si="58"/>
        <v>43862</v>
      </c>
      <c r="JD69" s="1457"/>
      <c r="JN69" s="1621">
        <v>56</v>
      </c>
      <c r="JO69" s="1622">
        <f t="shared" si="0"/>
        <v>43374</v>
      </c>
      <c r="JQ69" s="1139">
        <v>56</v>
      </c>
      <c r="JR69" s="1483">
        <v>43374</v>
      </c>
      <c r="JS69" s="831"/>
      <c r="JT69" s="740">
        <v>23</v>
      </c>
      <c r="MA69" s="834"/>
      <c r="MI69" s="580"/>
      <c r="MJ69" s="580"/>
      <c r="MK69" s="446"/>
      <c r="ML69" s="581"/>
      <c r="MT69" s="582"/>
    </row>
    <row r="70" spans="1:358" ht="24.95" customHeight="1">
      <c r="A70" s="123"/>
      <c r="B70" s="8"/>
      <c r="C70" s="649"/>
      <c r="D70" s="680">
        <v>32</v>
      </c>
      <c r="E70" s="3464">
        <v>144000</v>
      </c>
      <c r="F70" s="3465">
        <v>172100</v>
      </c>
      <c r="G70" s="3466">
        <v>199300</v>
      </c>
      <c r="H70" s="3467"/>
      <c r="I70" s="3468"/>
      <c r="J70" s="3468"/>
      <c r="N70" s="680">
        <v>32</v>
      </c>
      <c r="O70" s="3458">
        <v>73000</v>
      </c>
      <c r="P70" s="3459">
        <v>82300</v>
      </c>
      <c r="Q70" s="3460">
        <v>84700</v>
      </c>
      <c r="R70" s="3461"/>
      <c r="S70" s="3462"/>
      <c r="T70" s="3462"/>
      <c r="Y70" s="776"/>
      <c r="Z70" s="777"/>
      <c r="AA70" s="738">
        <v>32</v>
      </c>
      <c r="AB70" s="3470">
        <f t="shared" si="7"/>
        <v>172100</v>
      </c>
      <c r="AC70" s="777"/>
      <c r="AD70" s="777"/>
      <c r="AE70" s="738">
        <v>32</v>
      </c>
      <c r="AF70" s="3189"/>
      <c r="AG70" s="3470">
        <f t="shared" si="8"/>
        <v>199300</v>
      </c>
      <c r="AH70" s="777"/>
      <c r="AI70" s="778"/>
      <c r="AJ70" s="775"/>
      <c r="AK70" s="1438"/>
      <c r="AL70" s="1446"/>
      <c r="AM70" s="738">
        <v>32</v>
      </c>
      <c r="AN70" s="3471">
        <f t="shared" si="9"/>
        <v>199300</v>
      </c>
      <c r="AO70" s="780"/>
      <c r="AP70" s="1438"/>
      <c r="AV70" s="7"/>
      <c r="AW70" s="740">
        <v>24</v>
      </c>
      <c r="AZ70" s="2060"/>
      <c r="BC70" s="2130">
        <v>7</v>
      </c>
      <c r="BD70" s="694">
        <v>45901</v>
      </c>
      <c r="BE70" s="3020">
        <f t="shared" si="59"/>
        <v>82300</v>
      </c>
      <c r="CD70" s="833"/>
      <c r="CF70" s="2207">
        <v>32</v>
      </c>
      <c r="CG70" s="3472">
        <f t="shared" si="10"/>
        <v>172100</v>
      </c>
      <c r="CH70" s="2209"/>
      <c r="CK70" s="2207">
        <v>32</v>
      </c>
      <c r="CL70" s="3473">
        <f t="shared" si="11"/>
        <v>199300</v>
      </c>
      <c r="CM70" s="2209"/>
      <c r="CR70" s="2288"/>
      <c r="DH70" s="1139">
        <v>26</v>
      </c>
      <c r="DI70" s="3017">
        <v>43862</v>
      </c>
      <c r="DJ70" s="3020" t="str">
        <f t="shared" si="13"/>
        <v/>
      </c>
      <c r="GK70" s="888">
        <v>32</v>
      </c>
      <c r="GL70" s="3474">
        <f t="shared" si="12"/>
        <v>144000</v>
      </c>
      <c r="HK70" s="877"/>
      <c r="HL70" s="856"/>
      <c r="HM70" s="2326"/>
      <c r="HY70" s="843"/>
      <c r="HZ70" s="856"/>
      <c r="IA70" s="1482"/>
      <c r="IO70" s="834"/>
      <c r="IP70" s="1550">
        <v>51</v>
      </c>
      <c r="IQ70" s="1604">
        <f t="shared" si="58"/>
        <v>43891</v>
      </c>
      <c r="JD70" s="1457"/>
      <c r="JN70" s="1621">
        <v>57</v>
      </c>
      <c r="JO70" s="1622">
        <f t="shared" si="0"/>
        <v>43405</v>
      </c>
      <c r="JQ70" s="1139">
        <v>57</v>
      </c>
      <c r="JR70" s="1483">
        <v>43405</v>
      </c>
      <c r="JS70" s="831"/>
      <c r="JT70" s="740">
        <v>24</v>
      </c>
      <c r="MA70" s="834"/>
      <c r="MI70" s="580"/>
      <c r="MJ70" s="580"/>
      <c r="MK70" s="446"/>
      <c r="ML70" s="581"/>
    </row>
    <row r="71" spans="1:358" ht="24.95" customHeight="1">
      <c r="A71" s="123"/>
      <c r="B71" s="8"/>
      <c r="C71" s="649"/>
      <c r="D71" s="680">
        <v>33</v>
      </c>
      <c r="E71" s="3464">
        <v>148300</v>
      </c>
      <c r="F71" s="3465">
        <v>177300</v>
      </c>
      <c r="G71" s="3466">
        <v>205300</v>
      </c>
      <c r="H71" s="3467"/>
      <c r="I71" s="3468"/>
      <c r="J71" s="3468"/>
      <c r="N71" s="680">
        <v>33</v>
      </c>
      <c r="O71" s="3458">
        <v>70900</v>
      </c>
      <c r="P71" s="3459">
        <v>79900</v>
      </c>
      <c r="Q71" s="3460">
        <v>82200</v>
      </c>
      <c r="R71" s="3461"/>
      <c r="S71" s="3462"/>
      <c r="T71" s="3462"/>
      <c r="Y71" s="776"/>
      <c r="Z71" s="777"/>
      <c r="AA71" s="738">
        <v>33</v>
      </c>
      <c r="AB71" s="3470">
        <f t="shared" si="7"/>
        <v>177300</v>
      </c>
      <c r="AC71" s="777"/>
      <c r="AD71" s="777"/>
      <c r="AE71" s="738">
        <v>33</v>
      </c>
      <c r="AF71" s="3189"/>
      <c r="AG71" s="3470">
        <f t="shared" si="8"/>
        <v>205300</v>
      </c>
      <c r="AH71" s="777"/>
      <c r="AI71" s="778"/>
      <c r="AJ71" s="775"/>
      <c r="AK71" s="1438"/>
      <c r="AL71" s="1446"/>
      <c r="AM71" s="738">
        <v>33</v>
      </c>
      <c r="AN71" s="3471">
        <f t="shared" si="9"/>
        <v>205300</v>
      </c>
      <c r="AO71" s="780"/>
      <c r="AP71" s="1438"/>
      <c r="AV71" s="7"/>
      <c r="AW71" s="740">
        <v>25</v>
      </c>
      <c r="AZ71" s="2060"/>
      <c r="BC71" s="2130">
        <v>8</v>
      </c>
      <c r="BD71" s="694">
        <v>45931</v>
      </c>
      <c r="BE71" s="3020">
        <f t="shared" si="59"/>
        <v>82300</v>
      </c>
      <c r="CD71" s="833"/>
      <c r="CF71" s="2207">
        <v>33</v>
      </c>
      <c r="CG71" s="3472">
        <f t="shared" si="10"/>
        <v>177300</v>
      </c>
      <c r="CH71" s="2209"/>
      <c r="CK71" s="2207">
        <v>33</v>
      </c>
      <c r="CL71" s="3473">
        <f t="shared" si="11"/>
        <v>205300</v>
      </c>
      <c r="CM71" s="2209"/>
      <c r="CR71" s="2288"/>
      <c r="DH71" s="1139">
        <v>27</v>
      </c>
      <c r="DI71" s="3017">
        <v>43891</v>
      </c>
      <c r="DJ71" s="3020" t="str">
        <f t="shared" si="13"/>
        <v/>
      </c>
      <c r="GK71" s="888">
        <v>33</v>
      </c>
      <c r="GL71" s="3474">
        <f t="shared" si="12"/>
        <v>148300</v>
      </c>
      <c r="HK71" s="877"/>
      <c r="HL71" s="856"/>
      <c r="HM71" s="2354"/>
      <c r="HY71" s="843"/>
      <c r="HZ71" s="856"/>
      <c r="IA71" s="1482"/>
      <c r="IO71" s="834"/>
      <c r="IP71" s="1550">
        <v>52</v>
      </c>
      <c r="IQ71" s="1604">
        <f t="shared" si="58"/>
        <v>43922</v>
      </c>
      <c r="JD71" s="1457"/>
      <c r="JN71" s="1621">
        <v>58</v>
      </c>
      <c r="JO71" s="1622">
        <f t="shared" si="0"/>
        <v>43435</v>
      </c>
      <c r="JQ71" s="1139">
        <v>58</v>
      </c>
      <c r="JR71" s="1483">
        <v>43435</v>
      </c>
      <c r="JS71" s="831"/>
      <c r="JT71" s="740">
        <v>25</v>
      </c>
      <c r="MA71" s="834"/>
      <c r="MI71" s="580"/>
      <c r="MJ71" s="580"/>
      <c r="MK71" s="446"/>
      <c r="ML71" s="581"/>
    </row>
    <row r="72" spans="1:358" ht="24.95" customHeight="1">
      <c r="A72" s="123"/>
      <c r="B72" s="8"/>
      <c r="C72" s="649"/>
      <c r="D72" s="680">
        <v>34</v>
      </c>
      <c r="E72" s="3464">
        <v>152700</v>
      </c>
      <c r="F72" s="3465">
        <v>182600</v>
      </c>
      <c r="G72" s="3466">
        <v>211500</v>
      </c>
      <c r="H72" s="3467"/>
      <c r="I72" s="3468"/>
      <c r="J72" s="3468"/>
      <c r="N72" s="680">
        <v>34</v>
      </c>
      <c r="O72" s="3458">
        <v>68800</v>
      </c>
      <c r="P72" s="3459">
        <v>77600</v>
      </c>
      <c r="Q72" s="3460">
        <v>79800</v>
      </c>
      <c r="R72" s="3461"/>
      <c r="S72" s="3462"/>
      <c r="T72" s="3462"/>
      <c r="Y72" s="776"/>
      <c r="Z72" s="777"/>
      <c r="AA72" s="738">
        <v>34</v>
      </c>
      <c r="AB72" s="3470">
        <f t="shared" si="7"/>
        <v>182600</v>
      </c>
      <c r="AC72" s="777"/>
      <c r="AD72" s="777"/>
      <c r="AE72" s="738">
        <v>34</v>
      </c>
      <c r="AF72" s="3189"/>
      <c r="AG72" s="3470">
        <f t="shared" si="8"/>
        <v>211500</v>
      </c>
      <c r="AH72" s="777"/>
      <c r="AI72" s="778"/>
      <c r="AJ72" s="775"/>
      <c r="AK72" s="1438"/>
      <c r="AL72" s="1446"/>
      <c r="AM72" s="738">
        <v>34</v>
      </c>
      <c r="AN72" s="3471">
        <f t="shared" si="9"/>
        <v>211500</v>
      </c>
      <c r="AO72" s="780"/>
      <c r="AP72" s="1438"/>
      <c r="AV72" s="7"/>
      <c r="AW72" s="740">
        <v>26</v>
      </c>
      <c r="AZ72" s="2060"/>
      <c r="BC72" s="2130">
        <v>9</v>
      </c>
      <c r="BD72" s="694">
        <v>45962</v>
      </c>
      <c r="BE72" s="3020">
        <f t="shared" si="59"/>
        <v>82300</v>
      </c>
      <c r="CD72" s="833"/>
      <c r="CF72" s="2207">
        <v>34</v>
      </c>
      <c r="CG72" s="3472">
        <f t="shared" si="10"/>
        <v>182600</v>
      </c>
      <c r="CH72" s="2209"/>
      <c r="CK72" s="2207">
        <v>34</v>
      </c>
      <c r="CL72" s="3473">
        <f t="shared" si="11"/>
        <v>211500</v>
      </c>
      <c r="CM72" s="2209"/>
      <c r="CR72" s="2288"/>
      <c r="DH72" s="1139">
        <v>28</v>
      </c>
      <c r="DI72" s="3017">
        <v>43922</v>
      </c>
      <c r="DJ72" s="3020" t="str">
        <f t="shared" si="13"/>
        <v/>
      </c>
      <c r="GK72" s="888">
        <v>34</v>
      </c>
      <c r="GL72" s="3474">
        <f t="shared" si="12"/>
        <v>152700</v>
      </c>
      <c r="HK72" s="877"/>
      <c r="HL72" s="856"/>
      <c r="HM72" s="2326"/>
      <c r="HY72" s="843"/>
      <c r="HZ72" s="856"/>
      <c r="IA72" s="1482"/>
      <c r="IO72" s="834"/>
      <c r="IP72" s="1550">
        <v>53</v>
      </c>
      <c r="IQ72" s="1604">
        <f t="shared" si="58"/>
        <v>43952</v>
      </c>
      <c r="JD72" s="1457"/>
      <c r="JN72" s="1621">
        <v>59</v>
      </c>
      <c r="JO72" s="1622">
        <f t="shared" si="0"/>
        <v>43466</v>
      </c>
      <c r="JQ72" s="1139">
        <v>59</v>
      </c>
      <c r="JR72" s="1483">
        <v>43466</v>
      </c>
      <c r="JS72" s="831"/>
      <c r="JT72" s="740">
        <v>26</v>
      </c>
      <c r="MA72" s="834"/>
      <c r="MI72" s="580"/>
      <c r="MJ72" s="580"/>
      <c r="MK72" s="446"/>
      <c r="ML72" s="581"/>
    </row>
    <row r="73" spans="1:358" ht="24.95" customHeight="1">
      <c r="A73" s="123"/>
      <c r="B73" s="8"/>
      <c r="C73" s="649"/>
      <c r="D73" s="680">
        <v>35</v>
      </c>
      <c r="E73" s="3464">
        <v>157300</v>
      </c>
      <c r="F73" s="3465">
        <v>188100</v>
      </c>
      <c r="G73" s="3466"/>
      <c r="H73" s="3467"/>
      <c r="I73" s="3468"/>
      <c r="J73" s="3468"/>
      <c r="N73" s="680">
        <v>35</v>
      </c>
      <c r="O73" s="3458">
        <v>66800</v>
      </c>
      <c r="P73" s="3459">
        <v>75300</v>
      </c>
      <c r="Q73" s="3460"/>
      <c r="R73" s="3461"/>
      <c r="S73" s="3462"/>
      <c r="T73" s="3462"/>
      <c r="Y73" s="776"/>
      <c r="Z73" s="777"/>
      <c r="AA73" s="738">
        <v>35</v>
      </c>
      <c r="AB73" s="3470">
        <f t="shared" si="7"/>
        <v>188100</v>
      </c>
      <c r="AC73" s="777"/>
      <c r="AD73" s="777"/>
      <c r="AE73" s="738">
        <v>35</v>
      </c>
      <c r="AF73" s="3189"/>
      <c r="AG73" s="3470" t="str">
        <f t="shared" si="8"/>
        <v/>
      </c>
      <c r="AH73" s="777"/>
      <c r="AI73" s="778"/>
      <c r="AJ73" s="775"/>
      <c r="AK73" s="1438"/>
      <c r="AL73" s="1446"/>
      <c r="AM73" s="738">
        <v>35</v>
      </c>
      <c r="AN73" s="3471" t="str">
        <f t="shared" si="9"/>
        <v/>
      </c>
      <c r="AO73" s="780"/>
      <c r="AP73" s="1438"/>
      <c r="AV73" s="7"/>
      <c r="AW73" s="740">
        <v>27</v>
      </c>
      <c r="AZ73" s="2060"/>
      <c r="BC73" s="2130">
        <v>10</v>
      </c>
      <c r="BD73" s="694">
        <v>45992</v>
      </c>
      <c r="BE73" s="3020">
        <f t="shared" si="59"/>
        <v>82300</v>
      </c>
      <c r="CD73" s="833"/>
      <c r="CF73" s="2207">
        <v>35</v>
      </c>
      <c r="CG73" s="3472">
        <f t="shared" si="10"/>
        <v>188100</v>
      </c>
      <c r="CH73" s="2209"/>
      <c r="CK73" s="2207">
        <v>35</v>
      </c>
      <c r="CL73" s="3473" t="str">
        <f t="shared" si="11"/>
        <v/>
      </c>
      <c r="CM73" s="2209"/>
      <c r="CR73" s="2288"/>
      <c r="DH73" s="1139">
        <v>29</v>
      </c>
      <c r="DI73" s="3017">
        <v>43952</v>
      </c>
      <c r="DJ73" s="3020" t="str">
        <f t="shared" si="13"/>
        <v/>
      </c>
      <c r="GK73" s="888">
        <v>35</v>
      </c>
      <c r="GL73" s="3474">
        <f t="shared" si="12"/>
        <v>157300</v>
      </c>
      <c r="HK73" s="877"/>
      <c r="HL73" s="856"/>
      <c r="HM73" s="2354"/>
      <c r="HY73" s="843"/>
      <c r="HZ73" s="856"/>
      <c r="IA73" s="1482"/>
      <c r="IO73" s="834"/>
      <c r="IP73" s="1550">
        <v>54</v>
      </c>
      <c r="IQ73" s="1604">
        <f t="shared" si="58"/>
        <v>43983</v>
      </c>
      <c r="JD73" s="1457"/>
      <c r="JN73" s="1621">
        <v>60</v>
      </c>
      <c r="JO73" s="1622">
        <f t="shared" si="0"/>
        <v>43497</v>
      </c>
      <c r="JQ73" s="1139">
        <v>60</v>
      </c>
      <c r="JR73" s="1483">
        <v>43497</v>
      </c>
      <c r="JS73" s="831"/>
      <c r="JT73" s="740">
        <v>27</v>
      </c>
      <c r="MA73" s="834"/>
      <c r="MI73" s="444">
        <v>1</v>
      </c>
      <c r="MJ73" s="443" t="s">
        <v>720</v>
      </c>
      <c r="MK73" s="441" t="s">
        <v>1551</v>
      </c>
      <c r="ML73" s="442">
        <v>50000</v>
      </c>
      <c r="MO73" s="1121">
        <v>1</v>
      </c>
      <c r="MP73" s="1122" t="s">
        <v>625</v>
      </c>
    </row>
    <row r="74" spans="1:358" ht="24.95" customHeight="1">
      <c r="A74" s="123"/>
      <c r="B74" s="8"/>
      <c r="C74" s="649"/>
      <c r="D74" s="680">
        <v>36</v>
      </c>
      <c r="E74" s="3464">
        <v>162000</v>
      </c>
      <c r="F74" s="3465">
        <v>193700</v>
      </c>
      <c r="G74" s="3466"/>
      <c r="H74" s="3467"/>
      <c r="I74" s="3468"/>
      <c r="J74" s="3468"/>
      <c r="N74" s="680">
        <v>36</v>
      </c>
      <c r="O74" s="3458">
        <v>64900</v>
      </c>
      <c r="P74" s="3459">
        <v>73100</v>
      </c>
      <c r="Q74" s="3460"/>
      <c r="R74" s="3461"/>
      <c r="S74" s="3462"/>
      <c r="T74" s="3462"/>
      <c r="Y74" s="776"/>
      <c r="Z74" s="777"/>
      <c r="AA74" s="738">
        <v>36</v>
      </c>
      <c r="AB74" s="3470">
        <f t="shared" si="7"/>
        <v>193700</v>
      </c>
      <c r="AC74" s="777"/>
      <c r="AD74" s="777"/>
      <c r="AE74" s="738">
        <v>36</v>
      </c>
      <c r="AF74" s="3189"/>
      <c r="AG74" s="3470" t="str">
        <f t="shared" si="8"/>
        <v/>
      </c>
      <c r="AH74" s="777"/>
      <c r="AI74" s="778"/>
      <c r="AJ74" s="775"/>
      <c r="AK74" s="1438"/>
      <c r="AL74" s="1446"/>
      <c r="AM74" s="738">
        <v>36</v>
      </c>
      <c r="AN74" s="3471" t="str">
        <f t="shared" si="9"/>
        <v/>
      </c>
      <c r="AO74" s="780"/>
      <c r="AP74" s="1438"/>
      <c r="AV74" s="7"/>
      <c r="AW74" s="740">
        <v>28</v>
      </c>
      <c r="AZ74" s="2060"/>
      <c r="BC74" s="2130">
        <v>11</v>
      </c>
      <c r="BD74" s="694">
        <v>46023</v>
      </c>
      <c r="BE74" s="3020">
        <f t="shared" si="59"/>
        <v>84800</v>
      </c>
      <c r="CD74" s="833"/>
      <c r="CF74" s="2207">
        <v>36</v>
      </c>
      <c r="CG74" s="3472">
        <f t="shared" si="10"/>
        <v>193700</v>
      </c>
      <c r="CH74" s="2209"/>
      <c r="CK74" s="2207">
        <v>36</v>
      </c>
      <c r="CL74" s="3473" t="str">
        <f t="shared" si="11"/>
        <v/>
      </c>
      <c r="CM74" s="2209"/>
      <c r="CR74" s="2288"/>
      <c r="DH74" s="1139">
        <v>30</v>
      </c>
      <c r="DI74" s="3017">
        <v>43983</v>
      </c>
      <c r="DJ74" s="3020" t="str">
        <f t="shared" si="13"/>
        <v/>
      </c>
      <c r="GK74" s="888">
        <v>36</v>
      </c>
      <c r="GL74" s="3474">
        <f t="shared" si="12"/>
        <v>162000</v>
      </c>
      <c r="HK74" s="877"/>
      <c r="HL74" s="856"/>
      <c r="HM74" s="2326"/>
      <c r="HY74" s="843"/>
      <c r="HZ74" s="856"/>
      <c r="IA74" s="1482"/>
      <c r="IO74" s="834"/>
      <c r="IP74" s="1550">
        <v>55</v>
      </c>
      <c r="IQ74" s="1604">
        <f t="shared" si="58"/>
        <v>44013</v>
      </c>
      <c r="JD74" s="1457"/>
      <c r="JN74" s="1621">
        <v>61</v>
      </c>
      <c r="JO74" s="1622">
        <f t="shared" si="0"/>
        <v>43525</v>
      </c>
      <c r="JQ74" s="1139">
        <v>61</v>
      </c>
      <c r="JR74" s="1483">
        <v>43525</v>
      </c>
      <c r="JS74" s="831"/>
      <c r="JT74" s="740">
        <v>28</v>
      </c>
      <c r="MA74" s="834"/>
      <c r="MI74" s="305">
        <v>1</v>
      </c>
      <c r="MJ74" s="302" t="s">
        <v>465</v>
      </c>
      <c r="MK74" s="303" t="s">
        <v>466</v>
      </c>
      <c r="ML74" s="304">
        <v>25000</v>
      </c>
      <c r="MO74" s="1121">
        <v>2</v>
      </c>
      <c r="MP74" s="1122" t="s">
        <v>801</v>
      </c>
    </row>
    <row r="75" spans="1:358" ht="24.95" customHeight="1">
      <c r="A75" s="123"/>
      <c r="B75" s="8"/>
      <c r="C75" s="649"/>
      <c r="D75" s="680">
        <v>37</v>
      </c>
      <c r="E75" s="3464">
        <v>166900</v>
      </c>
      <c r="F75" s="3465">
        <v>199500</v>
      </c>
      <c r="G75" s="3466"/>
      <c r="H75" s="3467"/>
      <c r="I75" s="3468"/>
      <c r="J75" s="3468"/>
      <c r="N75" s="680">
        <v>37</v>
      </c>
      <c r="O75" s="3458">
        <v>63000</v>
      </c>
      <c r="P75" s="3459">
        <v>71000</v>
      </c>
      <c r="Q75" s="3460"/>
      <c r="R75" s="3461"/>
      <c r="S75" s="3462"/>
      <c r="T75" s="3462"/>
      <c r="Y75" s="776"/>
      <c r="Z75" s="777"/>
      <c r="AA75" s="738">
        <v>37</v>
      </c>
      <c r="AB75" s="3470">
        <f t="shared" si="7"/>
        <v>199500</v>
      </c>
      <c r="AC75" s="777"/>
      <c r="AD75" s="777"/>
      <c r="AE75" s="738">
        <v>37</v>
      </c>
      <c r="AF75" s="3189"/>
      <c r="AG75" s="3470" t="str">
        <f t="shared" si="8"/>
        <v/>
      </c>
      <c r="AH75" s="777"/>
      <c r="AI75" s="778"/>
      <c r="AJ75" s="775"/>
      <c r="AK75" s="1438"/>
      <c r="AL75" s="1446"/>
      <c r="AM75" s="738">
        <v>37</v>
      </c>
      <c r="AN75" s="3471" t="str">
        <f t="shared" si="9"/>
        <v/>
      </c>
      <c r="AO75" s="780"/>
      <c r="AP75" s="1438"/>
      <c r="AV75" s="7"/>
      <c r="AW75" s="740">
        <v>29</v>
      </c>
      <c r="AZ75" s="2060"/>
      <c r="BC75" s="2130">
        <v>12</v>
      </c>
      <c r="BD75" s="694">
        <v>46054</v>
      </c>
      <c r="BE75" s="3020">
        <f t="shared" si="59"/>
        <v>84800</v>
      </c>
      <c r="CD75" s="833"/>
      <c r="CF75" s="2207">
        <v>37</v>
      </c>
      <c r="CG75" s="3472">
        <f t="shared" si="10"/>
        <v>199500</v>
      </c>
      <c r="CH75" s="2209"/>
      <c r="CK75" s="2207">
        <v>37</v>
      </c>
      <c r="CL75" s="3473" t="str">
        <f t="shared" si="11"/>
        <v/>
      </c>
      <c r="CM75" s="2209"/>
      <c r="CR75" s="2288"/>
      <c r="DH75" s="1139">
        <v>31</v>
      </c>
      <c r="DI75" s="3017">
        <v>44013</v>
      </c>
      <c r="DJ75" s="3020" t="str">
        <f t="shared" si="13"/>
        <v/>
      </c>
      <c r="GK75" s="888">
        <v>37</v>
      </c>
      <c r="GL75" s="3474">
        <f t="shared" si="12"/>
        <v>166900</v>
      </c>
      <c r="HK75" s="877"/>
      <c r="HL75" s="856"/>
      <c r="HM75" s="2354"/>
      <c r="HY75" s="843"/>
      <c r="HZ75" s="856"/>
      <c r="IA75" s="1482"/>
      <c r="IO75" s="834"/>
      <c r="IP75" s="1550">
        <v>56</v>
      </c>
      <c r="IQ75" s="1604">
        <f t="shared" si="58"/>
        <v>44044</v>
      </c>
      <c r="JD75" s="1457"/>
      <c r="JN75" s="1621">
        <v>62</v>
      </c>
      <c r="JO75" s="1622">
        <f t="shared" si="0"/>
        <v>43556</v>
      </c>
      <c r="JQ75" s="1139">
        <v>62</v>
      </c>
      <c r="JR75" s="1483">
        <v>43556</v>
      </c>
      <c r="JS75" s="831"/>
      <c r="JT75" s="740">
        <v>29</v>
      </c>
      <c r="MA75" s="834"/>
      <c r="MI75" s="1751"/>
      <c r="MJ75" s="1752"/>
      <c r="MK75" s="1753"/>
      <c r="ML75" s="1754"/>
      <c r="MO75" s="1121">
        <v>3</v>
      </c>
      <c r="MP75" s="1122" t="s">
        <v>802</v>
      </c>
    </row>
    <row r="76" spans="1:358" ht="24.95" customHeight="1">
      <c r="A76" s="123"/>
      <c r="B76" s="8"/>
      <c r="C76" s="649"/>
      <c r="D76" s="680">
        <v>38</v>
      </c>
      <c r="E76" s="3464">
        <v>171900</v>
      </c>
      <c r="F76" s="3465">
        <v>205500</v>
      </c>
      <c r="G76" s="3466"/>
      <c r="H76" s="3467"/>
      <c r="I76" s="3468"/>
      <c r="J76" s="3468"/>
      <c r="N76" s="680">
        <v>38</v>
      </c>
      <c r="O76" s="3458">
        <v>61200</v>
      </c>
      <c r="P76" s="3459">
        <v>68900</v>
      </c>
      <c r="Q76" s="3460"/>
      <c r="R76" s="3461"/>
      <c r="S76" s="3462"/>
      <c r="T76" s="3462"/>
      <c r="Y76" s="776"/>
      <c r="Z76" s="777"/>
      <c r="AA76" s="738">
        <v>38</v>
      </c>
      <c r="AB76" s="3470">
        <f t="shared" si="7"/>
        <v>205500</v>
      </c>
      <c r="AC76" s="777"/>
      <c r="AD76" s="777"/>
      <c r="AE76" s="738">
        <v>38</v>
      </c>
      <c r="AF76" s="3189"/>
      <c r="AG76" s="3470" t="str">
        <f t="shared" si="8"/>
        <v/>
      </c>
      <c r="AH76" s="777"/>
      <c r="AI76" s="778"/>
      <c r="AJ76" s="775"/>
      <c r="AK76" s="1438"/>
      <c r="AL76" s="1446"/>
      <c r="AM76" s="738">
        <v>38</v>
      </c>
      <c r="AN76" s="3471" t="str">
        <f t="shared" si="9"/>
        <v/>
      </c>
      <c r="AO76" s="780"/>
      <c r="AP76" s="1438"/>
      <c r="AV76" s="7"/>
      <c r="AW76" s="740">
        <v>30</v>
      </c>
      <c r="AZ76" s="2060"/>
      <c r="CD76" s="833"/>
      <c r="CF76" s="2207">
        <v>38</v>
      </c>
      <c r="CG76" s="3472">
        <f t="shared" si="10"/>
        <v>205500</v>
      </c>
      <c r="CH76" s="2209"/>
      <c r="CK76" s="2207">
        <v>38</v>
      </c>
      <c r="CL76" s="3473" t="str">
        <f t="shared" si="11"/>
        <v/>
      </c>
      <c r="CM76" s="2209"/>
      <c r="CR76" s="2288"/>
      <c r="DH76" s="1139">
        <v>32</v>
      </c>
      <c r="DI76" s="3017">
        <v>44044</v>
      </c>
      <c r="DJ76" s="3020" t="str">
        <f t="shared" si="13"/>
        <v/>
      </c>
      <c r="GK76" s="888">
        <v>38</v>
      </c>
      <c r="GL76" s="3474">
        <f t="shared" si="12"/>
        <v>171900</v>
      </c>
      <c r="HK76" s="877"/>
      <c r="HL76" s="856"/>
      <c r="HM76" s="2326"/>
      <c r="HY76" s="843"/>
      <c r="HZ76" s="856"/>
      <c r="IA76" s="1482"/>
      <c r="IO76" s="834"/>
      <c r="IP76" s="1550">
        <v>57</v>
      </c>
      <c r="IQ76" s="1604">
        <f t="shared" si="58"/>
        <v>44075</v>
      </c>
      <c r="JD76" s="1457"/>
      <c r="JN76" s="1621">
        <v>63</v>
      </c>
      <c r="JO76" s="1622">
        <f t="shared" si="0"/>
        <v>43586</v>
      </c>
      <c r="JQ76" s="1139">
        <v>63</v>
      </c>
      <c r="JR76" s="1483">
        <v>43586</v>
      </c>
      <c r="JS76" s="831"/>
      <c r="JT76" s="740">
        <v>30</v>
      </c>
      <c r="MA76" s="834"/>
      <c r="MI76" s="580"/>
      <c r="MJ76" s="580"/>
      <c r="MK76" s="580"/>
      <c r="ML76" s="581"/>
      <c r="MO76" s="1121">
        <v>4</v>
      </c>
      <c r="MP76" s="1122" t="s">
        <v>990</v>
      </c>
    </row>
    <row r="77" spans="1:358" ht="24.95" customHeight="1">
      <c r="A77" s="123"/>
      <c r="B77" s="8"/>
      <c r="C77" s="649"/>
      <c r="D77" s="680">
        <v>39</v>
      </c>
      <c r="E77" s="3464">
        <v>177100</v>
      </c>
      <c r="F77" s="3465"/>
      <c r="G77" s="3466"/>
      <c r="H77" s="3467"/>
      <c r="I77" s="3468"/>
      <c r="J77" s="3468"/>
      <c r="N77" s="680">
        <v>39</v>
      </c>
      <c r="O77" s="3458">
        <v>59400</v>
      </c>
      <c r="P77" s="3459"/>
      <c r="Q77" s="3460"/>
      <c r="R77" s="3461"/>
      <c r="S77" s="3462"/>
      <c r="T77" s="3462"/>
      <c r="Y77" s="776"/>
      <c r="Z77" s="777"/>
      <c r="AA77" s="738">
        <v>39</v>
      </c>
      <c r="AB77" s="3470" t="str">
        <f t="shared" si="7"/>
        <v/>
      </c>
      <c r="AC77" s="777"/>
      <c r="AD77" s="777"/>
      <c r="AE77" s="738">
        <v>39</v>
      </c>
      <c r="AF77" s="3189"/>
      <c r="AG77" s="3470" t="str">
        <f t="shared" si="8"/>
        <v/>
      </c>
      <c r="AH77" s="777"/>
      <c r="AI77" s="778"/>
      <c r="AJ77" s="775"/>
      <c r="AK77" s="1438"/>
      <c r="AL77" s="1446"/>
      <c r="AM77" s="738">
        <v>39</v>
      </c>
      <c r="AN77" s="3471" t="str">
        <f t="shared" si="9"/>
        <v/>
      </c>
      <c r="AO77" s="780"/>
      <c r="AP77" s="1438"/>
      <c r="AV77" s="7"/>
      <c r="AW77" s="740">
        <v>31</v>
      </c>
      <c r="AZ77" s="2060"/>
      <c r="CD77" s="833"/>
      <c r="CF77" s="2207">
        <v>39</v>
      </c>
      <c r="CG77" s="3472" t="str">
        <f t="shared" si="10"/>
        <v/>
      </c>
      <c r="CH77" s="2209"/>
      <c r="CK77" s="2207">
        <v>39</v>
      </c>
      <c r="CL77" s="3473" t="str">
        <f t="shared" si="11"/>
        <v/>
      </c>
      <c r="CM77" s="2209"/>
      <c r="CR77" s="2288"/>
      <c r="DH77" s="1139">
        <v>33</v>
      </c>
      <c r="DI77" s="3017">
        <v>44075</v>
      </c>
      <c r="DJ77" s="3020" t="str">
        <f t="shared" si="13"/>
        <v/>
      </c>
      <c r="GK77" s="888">
        <v>39</v>
      </c>
      <c r="GL77" s="3474">
        <f t="shared" si="12"/>
        <v>177100</v>
      </c>
      <c r="HK77" s="877"/>
      <c r="HL77" s="856"/>
      <c r="HM77" s="2354"/>
      <c r="HY77" s="843"/>
      <c r="HZ77" s="856"/>
      <c r="IA77" s="1482"/>
      <c r="IO77" s="834"/>
      <c r="IP77" s="1550">
        <v>58</v>
      </c>
      <c r="IQ77" s="1604">
        <f t="shared" si="58"/>
        <v>44105</v>
      </c>
      <c r="JD77" s="1457"/>
      <c r="JN77" s="1621">
        <v>64</v>
      </c>
      <c r="JO77" s="1622">
        <f t="shared" si="0"/>
        <v>43617</v>
      </c>
      <c r="JQ77" s="1139">
        <v>64</v>
      </c>
      <c r="JR77" s="1483">
        <v>43617</v>
      </c>
      <c r="JS77" s="831"/>
      <c r="JT77" s="740">
        <v>31</v>
      </c>
      <c r="MA77" s="834"/>
      <c r="MI77" s="580"/>
      <c r="MJ77" s="580"/>
      <c r="MK77" s="446"/>
      <c r="ML77" s="581"/>
      <c r="MO77" s="1121">
        <v>5</v>
      </c>
      <c r="MP77" s="1122" t="s">
        <v>991</v>
      </c>
    </row>
    <row r="78" spans="1:358" ht="24.95" customHeight="1">
      <c r="A78" s="123"/>
      <c r="B78" s="8"/>
      <c r="C78" s="649"/>
      <c r="D78" s="680">
        <v>40</v>
      </c>
      <c r="E78" s="3464">
        <v>182400</v>
      </c>
      <c r="F78" s="3465"/>
      <c r="G78" s="3466"/>
      <c r="H78" s="3467"/>
      <c r="I78" s="3468"/>
      <c r="J78" s="3468"/>
      <c r="N78" s="680">
        <v>40</v>
      </c>
      <c r="O78" s="3458">
        <v>57700</v>
      </c>
      <c r="P78" s="3459"/>
      <c r="Q78" s="3460"/>
      <c r="R78" s="3461"/>
      <c r="S78" s="3462"/>
      <c r="T78" s="3462"/>
      <c r="Y78" s="776"/>
      <c r="Z78" s="777"/>
      <c r="AA78" s="738">
        <v>40</v>
      </c>
      <c r="AB78" s="3470" t="str">
        <f t="shared" si="7"/>
        <v/>
      </c>
      <c r="AC78" s="777"/>
      <c r="AD78" s="777"/>
      <c r="AE78" s="738">
        <v>40</v>
      </c>
      <c r="AF78" s="3189"/>
      <c r="AG78" s="3470" t="str">
        <f t="shared" si="8"/>
        <v/>
      </c>
      <c r="AH78" s="777"/>
      <c r="AI78" s="778"/>
      <c r="AJ78" s="775"/>
      <c r="AK78" s="1438"/>
      <c r="AL78" s="1446"/>
      <c r="AM78" s="738">
        <v>40</v>
      </c>
      <c r="AN78" s="3471" t="str">
        <f t="shared" si="9"/>
        <v/>
      </c>
      <c r="AO78" s="780"/>
      <c r="AP78" s="1438"/>
      <c r="AV78" s="7"/>
      <c r="CD78" s="833"/>
      <c r="CF78" s="2207">
        <v>40</v>
      </c>
      <c r="CG78" s="3472" t="str">
        <f t="shared" si="10"/>
        <v/>
      </c>
      <c r="CH78" s="2209"/>
      <c r="CK78" s="2207">
        <v>40</v>
      </c>
      <c r="CL78" s="3473" t="str">
        <f t="shared" si="11"/>
        <v/>
      </c>
      <c r="CM78" s="2209"/>
      <c r="CR78" s="2288"/>
      <c r="DH78" s="1139">
        <v>34</v>
      </c>
      <c r="DI78" s="3017">
        <v>44105</v>
      </c>
      <c r="DJ78" s="3020" t="str">
        <f t="shared" si="13"/>
        <v/>
      </c>
      <c r="GK78" s="888">
        <v>40</v>
      </c>
      <c r="GL78" s="3474">
        <f t="shared" si="12"/>
        <v>182400</v>
      </c>
      <c r="HK78" s="877"/>
      <c r="HL78" s="856"/>
      <c r="HM78" s="2326"/>
      <c r="HY78" s="843"/>
      <c r="HZ78" s="856"/>
      <c r="IA78" s="1482"/>
      <c r="IO78" s="834"/>
      <c r="IP78" s="1550">
        <v>59</v>
      </c>
      <c r="IQ78" s="1604">
        <f t="shared" si="58"/>
        <v>44136</v>
      </c>
      <c r="JD78" s="1457"/>
      <c r="JN78" s="1621">
        <v>65</v>
      </c>
      <c r="JO78" s="1622">
        <f t="shared" si="0"/>
        <v>43647</v>
      </c>
      <c r="JQ78" s="1139">
        <v>65</v>
      </c>
      <c r="JR78" s="1483">
        <v>43647</v>
      </c>
      <c r="JS78" s="831"/>
      <c r="MA78" s="834"/>
      <c r="MI78" s="2581">
        <v>1</v>
      </c>
      <c r="MJ78" s="2582" t="s">
        <v>716</v>
      </c>
      <c r="MK78" s="2583" t="s">
        <v>1546</v>
      </c>
      <c r="ML78" s="2586">
        <f>IF(AND($GE$3=2,'Anexure-I'!N41&gt;0),'Anexure-I'!N41,0)</f>
        <v>0</v>
      </c>
      <c r="MO78" s="1121">
        <v>6</v>
      </c>
      <c r="MP78" s="1122" t="s">
        <v>803</v>
      </c>
    </row>
    <row r="79" spans="1:358" ht="24.95" customHeight="1">
      <c r="A79" s="123"/>
      <c r="B79" s="8"/>
      <c r="C79" s="649"/>
      <c r="Y79" s="776"/>
      <c r="Z79" s="777"/>
      <c r="AA79" s="777"/>
      <c r="AB79" s="777"/>
      <c r="AC79" s="777"/>
      <c r="AD79" s="777"/>
      <c r="AE79" s="777"/>
      <c r="AF79" s="777"/>
      <c r="AG79" s="777"/>
      <c r="AH79" s="777"/>
      <c r="AI79" s="778"/>
      <c r="AJ79" s="775"/>
      <c r="AK79" s="1438"/>
      <c r="AL79" s="1446"/>
      <c r="AM79" s="779"/>
      <c r="AN79" s="779"/>
      <c r="AO79" s="780"/>
      <c r="AP79" s="1438"/>
      <c r="AV79" s="7"/>
      <c r="CD79" s="833"/>
      <c r="CR79" s="2288"/>
      <c r="DH79" s="1139">
        <v>35</v>
      </c>
      <c r="DI79" s="3017">
        <v>44136</v>
      </c>
      <c r="DJ79" s="3020" t="str">
        <f t="shared" si="13"/>
        <v/>
      </c>
      <c r="HK79" s="877"/>
      <c r="HL79" s="856"/>
      <c r="HM79" s="2354"/>
      <c r="HY79" s="843"/>
      <c r="HZ79" s="856"/>
      <c r="IA79" s="1482"/>
      <c r="IO79" s="834"/>
      <c r="IP79" s="1550">
        <v>60</v>
      </c>
      <c r="IQ79" s="1604">
        <f t="shared" si="58"/>
        <v>44166</v>
      </c>
      <c r="JD79" s="1457"/>
      <c r="JN79" s="1621">
        <v>66</v>
      </c>
      <c r="JO79" s="1622">
        <f t="shared" ref="JO79:JO109" si="60">IF(AND($JM$6&lt;=JR79,JR79&lt;=$JO$6),JR79,"")</f>
        <v>43678</v>
      </c>
      <c r="JQ79" s="1139">
        <v>66</v>
      </c>
      <c r="JR79" s="1483">
        <v>43678</v>
      </c>
      <c r="JS79" s="831"/>
      <c r="MA79" s="834"/>
      <c r="MI79" s="2581">
        <v>2</v>
      </c>
      <c r="MJ79" s="2582" t="s">
        <v>585</v>
      </c>
      <c r="MK79" s="2584" t="s">
        <v>1547</v>
      </c>
      <c r="ML79" s="2585">
        <f>IF(ML78&gt;0,ML78,0)</f>
        <v>0</v>
      </c>
      <c r="MO79" s="1121">
        <v>7</v>
      </c>
      <c r="MP79" s="1127" t="s">
        <v>980</v>
      </c>
    </row>
    <row r="80" spans="1:358" ht="24.95" customHeight="1">
      <c r="A80" s="123"/>
      <c r="B80" s="8"/>
      <c r="C80" s="649"/>
      <c r="Y80" s="776"/>
      <c r="Z80" s="777"/>
      <c r="AA80" s="777"/>
      <c r="AB80" s="777"/>
      <c r="AC80" s="777"/>
      <c r="AD80" s="777"/>
      <c r="AE80" s="777"/>
      <c r="AF80" s="777"/>
      <c r="AG80" s="777"/>
      <c r="AH80" s="777"/>
      <c r="AI80" s="778"/>
      <c r="AJ80" s="775"/>
      <c r="AK80" s="1438"/>
      <c r="AL80" s="1446"/>
      <c r="AM80" s="779"/>
      <c r="AN80" s="779"/>
      <c r="AO80" s="780"/>
      <c r="AP80" s="1438"/>
      <c r="AV80" s="7"/>
      <c r="CD80" s="833"/>
      <c r="CR80" s="2288"/>
      <c r="DH80" s="1139">
        <v>36</v>
      </c>
      <c r="DI80" s="3017">
        <v>44166</v>
      </c>
      <c r="DJ80" s="3020" t="str">
        <f t="shared" si="13"/>
        <v/>
      </c>
      <c r="HK80" s="877"/>
      <c r="HL80" s="856"/>
      <c r="HM80" s="2326"/>
      <c r="HY80" s="843"/>
      <c r="HZ80" s="856"/>
      <c r="IA80" s="1482"/>
      <c r="IO80" s="834"/>
      <c r="IP80" s="1550">
        <v>61</v>
      </c>
      <c r="IQ80" s="1604">
        <f t="shared" si="58"/>
        <v>44197</v>
      </c>
      <c r="JD80" s="1457"/>
      <c r="JN80" s="1621">
        <v>67</v>
      </c>
      <c r="JO80" s="1622">
        <f t="shared" si="60"/>
        <v>43709</v>
      </c>
      <c r="JQ80" s="1139">
        <v>67</v>
      </c>
      <c r="JR80" s="1483">
        <v>43709</v>
      </c>
      <c r="JS80" s="831"/>
      <c r="MA80" s="834"/>
      <c r="MI80" s="580"/>
      <c r="MJ80" s="580"/>
      <c r="MK80" s="580"/>
      <c r="ML80" s="581"/>
      <c r="MO80" s="1121">
        <v>8</v>
      </c>
      <c r="MP80" s="1127" t="s">
        <v>1193</v>
      </c>
    </row>
    <row r="81" spans="1:354" ht="24.95" customHeight="1">
      <c r="A81" s="123"/>
      <c r="B81" s="8"/>
      <c r="C81" s="649"/>
      <c r="Y81" s="776"/>
      <c r="Z81" s="777"/>
      <c r="AA81" s="777"/>
      <c r="AB81" s="777"/>
      <c r="AC81" s="777"/>
      <c r="AD81" s="777"/>
      <c r="AE81" s="777"/>
      <c r="AF81" s="777"/>
      <c r="AG81" s="777"/>
      <c r="AH81" s="777"/>
      <c r="AI81" s="778"/>
      <c r="AJ81" s="775"/>
      <c r="AK81" s="1438"/>
      <c r="AL81" s="1446"/>
      <c r="AM81" s="779"/>
      <c r="AN81" s="779"/>
      <c r="AO81" s="780"/>
      <c r="AP81" s="1438"/>
      <c r="AV81" s="7"/>
      <c r="CD81" s="833"/>
      <c r="CR81" s="2288"/>
      <c r="DH81" s="1139">
        <v>37</v>
      </c>
      <c r="DI81" s="3017">
        <v>44197</v>
      </c>
      <c r="DJ81" s="3020" t="str">
        <f t="shared" si="13"/>
        <v/>
      </c>
      <c r="HK81" s="877"/>
      <c r="HL81" s="856"/>
      <c r="HM81" s="2354"/>
      <c r="HY81" s="843"/>
      <c r="HZ81" s="856"/>
      <c r="IA81" s="1482"/>
      <c r="IO81" s="834"/>
      <c r="IP81" s="1613">
        <v>62</v>
      </c>
      <c r="IQ81" s="1614">
        <f t="shared" si="58"/>
        <v>44228</v>
      </c>
      <c r="JD81" s="1457"/>
      <c r="JN81" s="1621">
        <v>68</v>
      </c>
      <c r="JO81" s="1622">
        <f t="shared" si="60"/>
        <v>43739</v>
      </c>
      <c r="JQ81" s="1139">
        <v>68</v>
      </c>
      <c r="JR81" s="1483">
        <v>43739</v>
      </c>
      <c r="JS81" s="831"/>
      <c r="MA81" s="834"/>
      <c r="MI81" s="580"/>
      <c r="MJ81" s="580"/>
      <c r="MK81" s="580"/>
      <c r="ML81" s="581"/>
      <c r="MO81" s="1130"/>
      <c r="MP81" s="1131"/>
    </row>
    <row r="82" spans="1:354" ht="24.95" customHeight="1">
      <c r="A82" s="123"/>
      <c r="B82" s="8"/>
      <c r="C82" s="649"/>
      <c r="Y82" s="782"/>
      <c r="Z82" s="783"/>
      <c r="AA82" s="783"/>
      <c r="AB82" s="783"/>
      <c r="AC82" s="783"/>
      <c r="AD82" s="783"/>
      <c r="AE82" s="783"/>
      <c r="AF82" s="3190"/>
      <c r="AG82" s="783"/>
      <c r="AH82" s="783"/>
      <c r="AI82" s="784"/>
      <c r="AJ82" s="775"/>
      <c r="AK82" s="1438"/>
      <c r="AL82" s="1447"/>
      <c r="AM82" s="1448"/>
      <c r="AN82" s="1448"/>
      <c r="AO82" s="1449"/>
      <c r="AP82" s="1438"/>
      <c r="AV82" s="7"/>
      <c r="CD82" s="833"/>
      <c r="CF82" s="2212">
        <v>1</v>
      </c>
      <c r="CG82" s="1688" t="s">
        <v>445</v>
      </c>
      <c r="CR82" s="2288"/>
      <c r="DH82" s="1139">
        <v>38</v>
      </c>
      <c r="DI82" s="3017">
        <v>44228</v>
      </c>
      <c r="DJ82" s="3020" t="str">
        <f t="shared" si="13"/>
        <v/>
      </c>
      <c r="HK82" s="877"/>
      <c r="HL82" s="856"/>
      <c r="HM82" s="2326"/>
      <c r="HY82" s="843"/>
      <c r="HZ82" s="856"/>
      <c r="IA82" s="1482"/>
      <c r="IO82" s="834"/>
      <c r="IP82" s="1606">
        <v>63</v>
      </c>
      <c r="IQ82" s="1604">
        <f t="shared" si="58"/>
        <v>44256</v>
      </c>
      <c r="JD82" s="1457"/>
      <c r="JN82" s="1621">
        <v>69</v>
      </c>
      <c r="JO82" s="1622">
        <f t="shared" si="60"/>
        <v>43770</v>
      </c>
      <c r="JQ82" s="1139">
        <v>69</v>
      </c>
      <c r="JR82" s="1483">
        <v>43770</v>
      </c>
      <c r="JS82" s="831"/>
      <c r="MA82" s="834"/>
      <c r="MI82" s="580"/>
      <c r="MJ82" s="580"/>
      <c r="MK82" s="446"/>
      <c r="ML82" s="581"/>
      <c r="MP82" s="1126"/>
    </row>
    <row r="83" spans="1:354" ht="24.95" customHeight="1">
      <c r="A83" s="123"/>
      <c r="B83" s="8"/>
      <c r="C83" s="649"/>
      <c r="AV83" s="7"/>
      <c r="CD83" s="833"/>
      <c r="CF83" s="2212">
        <v>2</v>
      </c>
      <c r="CG83" s="1688" t="s">
        <v>456</v>
      </c>
      <c r="CR83" s="2288"/>
      <c r="DH83" s="1139">
        <v>39</v>
      </c>
      <c r="DI83" s="3017">
        <v>44256</v>
      </c>
      <c r="DJ83" s="3020" t="str">
        <f t="shared" si="13"/>
        <v/>
      </c>
      <c r="HK83" s="877"/>
      <c r="HL83" s="856"/>
      <c r="HM83" s="2354"/>
      <c r="HY83" s="843"/>
      <c r="HZ83" s="856"/>
      <c r="IA83" s="1482"/>
      <c r="IO83" s="834"/>
      <c r="IP83" s="1550">
        <v>64</v>
      </c>
      <c r="IQ83" s="1604">
        <f t="shared" si="58"/>
        <v>44287</v>
      </c>
      <c r="JD83" s="1457"/>
      <c r="JN83" s="1621">
        <v>70</v>
      </c>
      <c r="JO83" s="1622">
        <f t="shared" si="60"/>
        <v>43800</v>
      </c>
      <c r="JQ83" s="1139">
        <v>70</v>
      </c>
      <c r="JR83" s="1483">
        <v>43800</v>
      </c>
      <c r="JS83" s="831"/>
      <c r="MA83" s="834"/>
      <c r="MI83" s="580"/>
      <c r="MJ83" s="580"/>
      <c r="MK83" s="446"/>
      <c r="ML83" s="581"/>
      <c r="MP83" s="1126"/>
    </row>
    <row r="84" spans="1:354" ht="24.95" customHeight="1">
      <c r="A84" s="123"/>
      <c r="B84" s="8"/>
      <c r="C84" s="649"/>
      <c r="AV84" s="7"/>
      <c r="CD84" s="833"/>
      <c r="CF84" s="9"/>
      <c r="CG84" s="9"/>
      <c r="CR84" s="2288"/>
      <c r="DH84" s="1139">
        <v>40</v>
      </c>
      <c r="DI84" s="3017">
        <v>44287</v>
      </c>
      <c r="DJ84" s="3020" t="str">
        <f t="shared" si="13"/>
        <v/>
      </c>
      <c r="HK84" s="877"/>
      <c r="HL84" s="856"/>
      <c r="HM84" s="2326"/>
      <c r="HY84" s="843"/>
      <c r="HZ84" s="856"/>
      <c r="IA84" s="1482"/>
      <c r="IO84" s="834"/>
      <c r="IP84" s="1550">
        <v>65</v>
      </c>
      <c r="IQ84" s="1604">
        <f t="shared" ref="IQ84:IQ93" si="61">IF(AND($IX$6&lt;=HM166,HM166&lt;=$IZ$6),HM166,"")</f>
        <v>44317</v>
      </c>
      <c r="JD84" s="1457"/>
      <c r="JN84" s="1621">
        <v>71</v>
      </c>
      <c r="JO84" s="1622">
        <f t="shared" si="60"/>
        <v>43831</v>
      </c>
      <c r="JQ84" s="1139">
        <v>71</v>
      </c>
      <c r="JR84" s="1483">
        <v>43831</v>
      </c>
      <c r="JS84" s="831"/>
      <c r="MA84" s="834"/>
    </row>
    <row r="85" spans="1:354" ht="24.95" customHeight="1">
      <c r="A85" s="123"/>
      <c r="B85" s="8"/>
      <c r="C85" s="649"/>
      <c r="AV85" s="7"/>
      <c r="CD85" s="833"/>
      <c r="CF85" s="2212">
        <v>1</v>
      </c>
      <c r="CG85" s="2212" t="s">
        <v>1412</v>
      </c>
      <c r="CR85" s="2288"/>
      <c r="DH85" s="1139">
        <v>41</v>
      </c>
      <c r="DI85" s="3017">
        <v>44317</v>
      </c>
      <c r="DJ85" s="3020" t="str">
        <f t="shared" si="13"/>
        <v/>
      </c>
      <c r="HK85" s="877"/>
      <c r="HL85" s="856"/>
      <c r="HM85" s="2354"/>
      <c r="HY85" s="843"/>
      <c r="HZ85" s="856"/>
      <c r="IA85" s="1482"/>
      <c r="IO85" s="834"/>
      <c r="IP85" s="1550">
        <v>66</v>
      </c>
      <c r="IQ85" s="1604" t="str">
        <f t="shared" si="61"/>
        <v/>
      </c>
      <c r="JD85" s="1457"/>
      <c r="JN85" s="1621">
        <v>72</v>
      </c>
      <c r="JO85" s="1622">
        <f t="shared" si="60"/>
        <v>43862</v>
      </c>
      <c r="JQ85" s="1139">
        <v>72</v>
      </c>
      <c r="JR85" s="1483">
        <v>43862</v>
      </c>
      <c r="JS85" s="831"/>
      <c r="MA85" s="834"/>
      <c r="MJ85" s="5619" t="s">
        <v>490</v>
      </c>
      <c r="MK85" s="2422" t="s">
        <v>1549</v>
      </c>
    </row>
    <row r="86" spans="1:354" ht="24.95" customHeight="1">
      <c r="A86" s="123"/>
      <c r="B86" s="8"/>
      <c r="C86" s="649"/>
      <c r="AV86" s="7"/>
      <c r="CD86" s="833"/>
      <c r="CF86" s="2212">
        <v>2</v>
      </c>
      <c r="CG86" s="2212" t="s">
        <v>1413</v>
      </c>
      <c r="CR86" s="2288"/>
      <c r="DH86" s="1139">
        <v>42</v>
      </c>
      <c r="DI86" s="3017">
        <v>44348</v>
      </c>
      <c r="DJ86" s="3020" t="str">
        <f t="shared" si="13"/>
        <v/>
      </c>
      <c r="HK86" s="877"/>
      <c r="HL86" s="856"/>
      <c r="HM86" s="2326"/>
      <c r="HY86" s="843"/>
      <c r="HZ86" s="856"/>
      <c r="IA86" s="1482"/>
      <c r="IO86" s="834"/>
      <c r="IP86" s="1550">
        <v>67</v>
      </c>
      <c r="IQ86" s="1604" t="str">
        <f t="shared" si="61"/>
        <v/>
      </c>
      <c r="JD86" s="1457"/>
      <c r="JN86" s="1621">
        <v>73</v>
      </c>
      <c r="JO86" s="1622">
        <f t="shared" si="60"/>
        <v>43891</v>
      </c>
      <c r="JQ86" s="1139">
        <v>73</v>
      </c>
      <c r="JR86" s="1483">
        <v>43891</v>
      </c>
      <c r="JS86" s="831"/>
      <c r="MA86" s="834"/>
      <c r="MJ86" s="5619"/>
      <c r="MK86" s="2422" t="s">
        <v>1548</v>
      </c>
    </row>
    <row r="87" spans="1:354" ht="24.95" customHeight="1">
      <c r="A87" s="123"/>
      <c r="B87" s="8"/>
      <c r="C87" s="649"/>
      <c r="AV87" s="7"/>
      <c r="CD87" s="833"/>
      <c r="CR87" s="2288"/>
      <c r="DH87" s="1139">
        <v>43</v>
      </c>
      <c r="DI87" s="3017">
        <v>44378</v>
      </c>
      <c r="DJ87" s="3020" t="str">
        <f t="shared" si="13"/>
        <v/>
      </c>
      <c r="HK87" s="877"/>
      <c r="HL87" s="856"/>
      <c r="HM87" s="2354"/>
      <c r="HY87" s="843"/>
      <c r="HZ87" s="856"/>
      <c r="IA87" s="1482"/>
      <c r="IO87" s="834"/>
      <c r="IP87" s="1550">
        <v>68</v>
      </c>
      <c r="IQ87" s="1604" t="str">
        <f t="shared" si="61"/>
        <v/>
      </c>
      <c r="JD87" s="1457"/>
      <c r="JN87" s="1621">
        <v>74</v>
      </c>
      <c r="JO87" s="1622">
        <f t="shared" si="60"/>
        <v>43922</v>
      </c>
      <c r="JQ87" s="1139">
        <v>74</v>
      </c>
      <c r="JR87" s="1483">
        <v>43922</v>
      </c>
      <c r="JS87" s="831"/>
      <c r="MA87" s="834"/>
    </row>
    <row r="88" spans="1:354" ht="24.95" customHeight="1">
      <c r="A88" s="123"/>
      <c r="B88" s="8"/>
      <c r="C88" s="649"/>
      <c r="AV88" s="7"/>
      <c r="CD88" s="833"/>
      <c r="CR88" s="2288"/>
      <c r="DH88" s="1139">
        <v>44</v>
      </c>
      <c r="DI88" s="3017">
        <v>44409</v>
      </c>
      <c r="DJ88" s="3020" t="str">
        <f t="shared" si="13"/>
        <v/>
      </c>
      <c r="HK88" s="877"/>
      <c r="HL88" s="856"/>
      <c r="HM88" s="2326"/>
      <c r="HY88" s="843"/>
      <c r="HZ88" s="856"/>
      <c r="IA88" s="1482"/>
      <c r="IO88" s="834"/>
      <c r="IP88" s="1550">
        <v>69</v>
      </c>
      <c r="IQ88" s="1604" t="str">
        <f t="shared" si="61"/>
        <v/>
      </c>
      <c r="JD88" s="1457"/>
      <c r="JN88" s="1621">
        <v>75</v>
      </c>
      <c r="JO88" s="1622">
        <f t="shared" si="60"/>
        <v>43952</v>
      </c>
      <c r="JQ88" s="1139">
        <v>75</v>
      </c>
      <c r="JR88" s="1483">
        <v>43952</v>
      </c>
      <c r="JS88" s="831"/>
      <c r="MA88" s="834"/>
    </row>
    <row r="89" spans="1:354" ht="33.75" customHeight="1">
      <c r="A89" s="123"/>
      <c r="B89" s="8"/>
      <c r="C89" s="649"/>
      <c r="AV89" s="7"/>
      <c r="CD89" s="833"/>
      <c r="CE89" s="941"/>
      <c r="CF89" s="5621" t="str">
        <f>CONCATENATE("Select the Date of Next Annual Grade Increment in the Existing Academic Level", "-",CR4)</f>
        <v>Select the Date of Next Annual Grade Increment in the Existing Academic Level-11</v>
      </c>
      <c r="CG89" s="5621"/>
      <c r="CH89" s="5621"/>
      <c r="CI89" s="5621"/>
      <c r="CJ89" s="5621"/>
      <c r="CK89" s="5621"/>
      <c r="CL89" s="5621"/>
      <c r="CM89" s="2213" t="str">
        <f>LOOKUP(CN89,$CF$82:$CF$83,$CG$82:$CG$83)</f>
        <v>Jan</v>
      </c>
      <c r="CN89" s="2213">
        <v>1</v>
      </c>
      <c r="CO89" s="941"/>
      <c r="CP89" s="941"/>
      <c r="CQ89" s="941"/>
      <c r="CR89" s="2288"/>
      <c r="DH89" s="1139">
        <v>45</v>
      </c>
      <c r="DI89" s="3017">
        <v>44440</v>
      </c>
      <c r="DJ89" s="3020" t="str">
        <f t="shared" si="13"/>
        <v/>
      </c>
      <c r="HK89" s="877"/>
      <c r="HL89" s="856"/>
      <c r="HM89" s="2354"/>
      <c r="HY89" s="843"/>
      <c r="HZ89" s="856"/>
      <c r="IA89" s="1482"/>
      <c r="IO89" s="834"/>
      <c r="IP89" s="1550">
        <v>70</v>
      </c>
      <c r="IQ89" s="1604" t="str">
        <f t="shared" si="61"/>
        <v/>
      </c>
      <c r="JD89" s="1457"/>
      <c r="JN89" s="1621">
        <v>76</v>
      </c>
      <c r="JO89" s="1622">
        <f t="shared" si="60"/>
        <v>43983</v>
      </c>
      <c r="JQ89" s="1139">
        <v>76</v>
      </c>
      <c r="JR89" s="1483">
        <v>43983</v>
      </c>
      <c r="JS89" s="831"/>
      <c r="MA89" s="834"/>
    </row>
    <row r="90" spans="1:354" ht="24.95" customHeight="1">
      <c r="A90" s="123"/>
      <c r="B90" s="8"/>
      <c r="C90" s="649"/>
      <c r="AV90" s="7"/>
      <c r="CD90" s="833"/>
      <c r="CR90" s="2288"/>
      <c r="DH90" s="1139">
        <v>46</v>
      </c>
      <c r="DI90" s="3017">
        <v>44470</v>
      </c>
      <c r="DJ90" s="3020" t="str">
        <f t="shared" si="13"/>
        <v/>
      </c>
      <c r="HK90" s="877"/>
      <c r="HL90" s="856"/>
      <c r="HM90" s="2326"/>
      <c r="HY90" s="843"/>
      <c r="HZ90" s="856"/>
      <c r="IA90" s="1482"/>
      <c r="IO90" s="834"/>
      <c r="IP90" s="1550">
        <v>71</v>
      </c>
      <c r="IQ90" s="1604" t="str">
        <f t="shared" si="61"/>
        <v/>
      </c>
      <c r="JD90" s="1457"/>
      <c r="JN90" s="1621">
        <v>77</v>
      </c>
      <c r="JO90" s="1622">
        <f t="shared" si="60"/>
        <v>44013</v>
      </c>
      <c r="JQ90" s="1139">
        <v>77</v>
      </c>
      <c r="JR90" s="1483">
        <v>44013</v>
      </c>
      <c r="JS90" s="831"/>
      <c r="MA90" s="834"/>
    </row>
    <row r="91" spans="1:354" ht="24.95" customHeight="1">
      <c r="A91" s="123"/>
      <c r="B91" s="8"/>
      <c r="C91" s="649"/>
      <c r="AV91" s="7"/>
      <c r="CD91" s="833"/>
      <c r="CR91" s="2288"/>
      <c r="DH91" s="1139">
        <v>47</v>
      </c>
      <c r="DI91" s="3017">
        <v>44501</v>
      </c>
      <c r="DJ91" s="3020" t="str">
        <f t="shared" si="13"/>
        <v/>
      </c>
      <c r="HK91" s="877"/>
      <c r="HL91" s="856"/>
      <c r="HM91" s="2354"/>
      <c r="HY91" s="843"/>
      <c r="HZ91" s="856"/>
      <c r="IA91" s="1482"/>
      <c r="IO91" s="834"/>
      <c r="IP91" s="1550">
        <v>72</v>
      </c>
      <c r="IQ91" s="1604" t="str">
        <f t="shared" si="61"/>
        <v/>
      </c>
      <c r="JD91" s="1457"/>
      <c r="JN91" s="1621">
        <v>78</v>
      </c>
      <c r="JO91" s="1622">
        <f t="shared" si="60"/>
        <v>44044</v>
      </c>
      <c r="JQ91" s="1139">
        <v>78</v>
      </c>
      <c r="JR91" s="1483">
        <v>44044</v>
      </c>
      <c r="JS91" s="831"/>
      <c r="MA91" s="834"/>
    </row>
    <row r="92" spans="1:354" ht="24.95" customHeight="1">
      <c r="A92" s="123"/>
      <c r="B92" s="8"/>
      <c r="C92" s="649"/>
      <c r="AV92" s="7"/>
      <c r="CD92" s="833"/>
      <c r="CR92" s="2288"/>
      <c r="DH92" s="1139">
        <v>48</v>
      </c>
      <c r="DI92" s="3017">
        <v>44531</v>
      </c>
      <c r="DJ92" s="3020" t="str">
        <f t="shared" si="13"/>
        <v/>
      </c>
      <c r="HK92" s="877"/>
      <c r="HL92" s="856"/>
      <c r="HM92" s="2326"/>
      <c r="HY92" s="843"/>
      <c r="HZ92" s="856"/>
      <c r="IA92" s="1482"/>
      <c r="IO92" s="834"/>
      <c r="IP92" s="1550">
        <v>73</v>
      </c>
      <c r="IQ92" s="1604" t="str">
        <f t="shared" si="61"/>
        <v/>
      </c>
      <c r="JD92" s="1457"/>
      <c r="JN92" s="1621">
        <v>79</v>
      </c>
      <c r="JO92" s="1622">
        <f t="shared" si="60"/>
        <v>44075</v>
      </c>
      <c r="JQ92" s="1139">
        <v>79</v>
      </c>
      <c r="JR92" s="1483">
        <v>44075</v>
      </c>
      <c r="JS92" s="831"/>
      <c r="MA92" s="834"/>
    </row>
    <row r="93" spans="1:354" ht="24.95" customHeight="1">
      <c r="A93" s="123"/>
      <c r="B93" s="8"/>
      <c r="AV93" s="7"/>
      <c r="CD93" s="833"/>
      <c r="CF93" s="2214" t="s">
        <v>623</v>
      </c>
      <c r="CG93" s="2214">
        <f>DB15</f>
        <v>21</v>
      </c>
      <c r="CH93" s="2212">
        <f>CG93</f>
        <v>21</v>
      </c>
      <c r="CR93" s="2288"/>
      <c r="DH93" s="1139">
        <v>49</v>
      </c>
      <c r="DI93" s="3017">
        <v>44562</v>
      </c>
      <c r="DJ93" s="3020" t="str">
        <f t="shared" si="13"/>
        <v/>
      </c>
      <c r="HK93" s="877"/>
      <c r="HL93" s="856"/>
      <c r="HM93" s="2354"/>
      <c r="HY93" s="843"/>
      <c r="HZ93" s="856"/>
      <c r="IA93" s="1482"/>
      <c r="IO93" s="834"/>
      <c r="IP93" s="1550">
        <v>74</v>
      </c>
      <c r="IQ93" s="1604" t="str">
        <f t="shared" si="61"/>
        <v/>
      </c>
      <c r="JD93" s="1457"/>
      <c r="JN93" s="1621">
        <v>80</v>
      </c>
      <c r="JO93" s="1622">
        <f t="shared" si="60"/>
        <v>44105</v>
      </c>
      <c r="JQ93" s="1139">
        <v>80</v>
      </c>
      <c r="JR93" s="1483">
        <v>44105</v>
      </c>
      <c r="JS93" s="831"/>
      <c r="MA93" s="834"/>
    </row>
    <row r="94" spans="1:354" ht="24.95" customHeight="1">
      <c r="A94" s="123"/>
      <c r="B94" s="8"/>
      <c r="AV94" s="7"/>
      <c r="CD94" s="833"/>
      <c r="CF94" s="2214" t="s">
        <v>182</v>
      </c>
      <c r="CG94" s="2214">
        <f>DC15</f>
        <v>5</v>
      </c>
      <c r="CH94" s="1688" t="str">
        <f>LOOKUP(DC15,$AE$21:$AE$32,$AG$21:$AG$32)</f>
        <v>May</v>
      </c>
      <c r="CR94" s="2288"/>
      <c r="DH94" s="1139">
        <v>50</v>
      </c>
      <c r="DI94" s="3017">
        <v>44593</v>
      </c>
      <c r="DJ94" s="3020" t="str">
        <f t="shared" si="13"/>
        <v/>
      </c>
      <c r="HK94" s="877"/>
      <c r="HL94" s="856"/>
      <c r="HM94" s="2326"/>
      <c r="HY94" s="843"/>
      <c r="IO94" s="834"/>
      <c r="JD94" s="1457"/>
      <c r="JN94" s="1621">
        <v>81</v>
      </c>
      <c r="JO94" s="1622">
        <f t="shared" si="60"/>
        <v>44136</v>
      </c>
      <c r="JQ94" s="1139">
        <v>81</v>
      </c>
      <c r="JR94" s="1483">
        <v>44136</v>
      </c>
      <c r="JS94" s="831"/>
      <c r="MA94" s="834"/>
    </row>
    <row r="95" spans="1:354" ht="24.95" customHeight="1">
      <c r="A95" s="123"/>
      <c r="B95" s="8"/>
      <c r="AV95" s="7"/>
      <c r="CD95" s="833"/>
      <c r="CF95" s="2214" t="s">
        <v>309</v>
      </c>
      <c r="CG95" s="2214" t="str">
        <f>DD15</f>
        <v>24</v>
      </c>
      <c r="CH95" s="2212" t="str">
        <f>CG95</f>
        <v>24</v>
      </c>
      <c r="CR95" s="2288"/>
      <c r="DH95" s="1139">
        <v>51</v>
      </c>
      <c r="DI95" s="3017">
        <v>44621</v>
      </c>
      <c r="DJ95" s="3020" t="str">
        <f t="shared" si="13"/>
        <v/>
      </c>
      <c r="HK95" s="877"/>
      <c r="HM95" s="2354"/>
      <c r="HY95" s="843"/>
      <c r="IO95" s="834"/>
      <c r="JD95" s="1457"/>
      <c r="JN95" s="1621">
        <v>82</v>
      </c>
      <c r="JO95" s="1622">
        <f t="shared" si="60"/>
        <v>44166</v>
      </c>
      <c r="JQ95" s="1139">
        <v>82</v>
      </c>
      <c r="JR95" s="1483">
        <v>44166</v>
      </c>
      <c r="JS95" s="831"/>
      <c r="MA95" s="834"/>
    </row>
    <row r="96" spans="1:354" ht="24.95" customHeight="1">
      <c r="A96" s="123"/>
      <c r="B96" s="8"/>
      <c r="AV96" s="7"/>
      <c r="CD96" s="833"/>
      <c r="CF96" s="1468"/>
      <c r="CG96" s="1468"/>
      <c r="CH96" s="1468"/>
      <c r="CR96" s="2288"/>
      <c r="DH96" s="1139">
        <v>52</v>
      </c>
      <c r="DI96" s="3017">
        <v>44652</v>
      </c>
      <c r="DJ96" s="3020" t="str">
        <f t="shared" si="13"/>
        <v/>
      </c>
      <c r="HK96" s="877"/>
      <c r="HM96" s="2326"/>
      <c r="HY96" s="843"/>
      <c r="IO96" s="834"/>
      <c r="JD96" s="1457"/>
      <c r="JF96" s="126"/>
      <c r="JG96" s="126"/>
      <c r="JH96" s="126"/>
      <c r="JI96" s="126"/>
      <c r="JJ96" s="126"/>
      <c r="JK96" s="126"/>
      <c r="JL96" s="126"/>
      <c r="JN96" s="1621">
        <v>83</v>
      </c>
      <c r="JO96" s="1622">
        <f t="shared" si="60"/>
        <v>44197</v>
      </c>
      <c r="JQ96" s="1139">
        <v>83</v>
      </c>
      <c r="JR96" s="1483">
        <v>44197</v>
      </c>
      <c r="JS96" s="831"/>
      <c r="MA96" s="834"/>
    </row>
    <row r="97" spans="1:339" ht="24.95" customHeight="1">
      <c r="A97" s="123"/>
      <c r="B97" s="8"/>
      <c r="AV97" s="7"/>
      <c r="CD97" s="833"/>
      <c r="CF97" s="2215">
        <v>1</v>
      </c>
      <c r="CG97" s="2212" t="str">
        <f>CM89</f>
        <v>Jan</v>
      </c>
      <c r="CH97" s="2215" t="str">
        <f>CH95</f>
        <v>24</v>
      </c>
      <c r="CJ97" s="2216">
        <f>DATEVALUE(CONCATENATE(CF97,"-",CG97,"-",CH97))</f>
        <v>45292</v>
      </c>
      <c r="CM97" s="2221">
        <f>IF(AND($CN$89=1,$CG$93=1,$CG$94=1),$CJ$97,IF(AND($CN$89=2,$CG$93&lt;=30,$CG$94&lt;=6),$CJ$97,$CJ$98))</f>
        <v>45658</v>
      </c>
      <c r="CR97" s="2288"/>
      <c r="DH97" s="1139">
        <v>53</v>
      </c>
      <c r="DI97" s="3017">
        <v>44682</v>
      </c>
      <c r="DJ97" s="3020" t="str">
        <f t="shared" si="13"/>
        <v/>
      </c>
      <c r="HK97" s="877"/>
      <c r="HM97" s="2354"/>
      <c r="HY97" s="843"/>
      <c r="IO97" s="834"/>
      <c r="JD97" s="1457"/>
      <c r="JN97" s="1621">
        <v>84</v>
      </c>
      <c r="JO97" s="1622">
        <f t="shared" si="60"/>
        <v>44228</v>
      </c>
      <c r="JQ97" s="1139">
        <v>84</v>
      </c>
      <c r="JR97" s="1483">
        <v>44228</v>
      </c>
      <c r="JS97" s="831"/>
      <c r="MA97" s="834"/>
    </row>
    <row r="98" spans="1:339" ht="24.95" customHeight="1">
      <c r="A98" s="123"/>
      <c r="B98" s="8"/>
      <c r="AV98" s="7"/>
      <c r="CD98" s="833"/>
      <c r="CF98" s="2215">
        <v>1</v>
      </c>
      <c r="CG98" s="2212" t="str">
        <f>CG97</f>
        <v>Jan</v>
      </c>
      <c r="CH98" s="2215">
        <f>CH95+1</f>
        <v>25</v>
      </c>
      <c r="CJ98" s="2216">
        <f>DATEVALUE(CONCATENATE(CF98,"-",CG98,"-",CH98))</f>
        <v>45658</v>
      </c>
      <c r="CR98" s="2288"/>
      <c r="DH98" s="1139">
        <v>54</v>
      </c>
      <c r="DI98" s="3017">
        <v>44713</v>
      </c>
      <c r="DJ98" s="3020" t="str">
        <f t="shared" si="13"/>
        <v/>
      </c>
      <c r="HK98" s="877"/>
      <c r="HY98" s="843"/>
      <c r="IO98" s="834"/>
      <c r="JD98" s="1457"/>
      <c r="JN98" s="1621">
        <v>85</v>
      </c>
      <c r="JO98" s="1622">
        <f t="shared" si="60"/>
        <v>44256</v>
      </c>
      <c r="JQ98" s="1139">
        <v>85</v>
      </c>
      <c r="JR98" s="1483">
        <v>44256</v>
      </c>
      <c r="JS98" s="831"/>
      <c r="MA98" s="834"/>
    </row>
    <row r="99" spans="1:339" ht="24.95" customHeight="1">
      <c r="A99" s="123"/>
      <c r="B99" s="8"/>
      <c r="AV99" s="7"/>
      <c r="CD99" s="833"/>
      <c r="CR99" s="2288"/>
      <c r="DH99" s="1139">
        <v>55</v>
      </c>
      <c r="DI99" s="3017">
        <v>44743</v>
      </c>
      <c r="DJ99" s="3020" t="str">
        <f t="shared" si="13"/>
        <v/>
      </c>
      <c r="HK99" s="877"/>
      <c r="HY99" s="843"/>
      <c r="IO99" s="834"/>
      <c r="JD99" s="1457"/>
      <c r="JN99" s="1621">
        <v>86</v>
      </c>
      <c r="JO99" s="1622">
        <f t="shared" si="60"/>
        <v>44287</v>
      </c>
      <c r="JQ99" s="1139">
        <v>86</v>
      </c>
      <c r="JR99" s="1483">
        <v>44287</v>
      </c>
      <c r="JS99" s="831"/>
      <c r="MA99" s="834"/>
    </row>
    <row r="100" spans="1:339" ht="37.5" customHeight="1" thickBot="1">
      <c r="A100" s="291"/>
      <c r="B100" s="291"/>
      <c r="C100" s="291"/>
      <c r="D100" s="291"/>
      <c r="E100" s="5515" t="s">
        <v>890</v>
      </c>
      <c r="F100" s="5515"/>
      <c r="G100" s="5515"/>
      <c r="H100" s="291"/>
      <c r="I100" s="291"/>
      <c r="J100" s="291"/>
      <c r="K100" s="291"/>
      <c r="L100" s="291"/>
      <c r="M100" s="291"/>
      <c r="N100" s="291"/>
      <c r="O100" s="291"/>
      <c r="P100" s="291"/>
      <c r="Q100" s="291"/>
      <c r="R100" s="291"/>
      <c r="S100" s="291"/>
      <c r="T100" s="291"/>
      <c r="U100" s="291"/>
      <c r="V100" s="291"/>
      <c r="W100" s="291"/>
      <c r="X100" s="291"/>
      <c r="Y100" s="291"/>
      <c r="Z100" s="291"/>
      <c r="AA100" s="291"/>
      <c r="AB100" s="291"/>
      <c r="AC100" s="291"/>
      <c r="AD100" s="291"/>
      <c r="AE100" s="291"/>
      <c r="AF100" s="291"/>
      <c r="AG100" s="291"/>
      <c r="AH100" s="291"/>
      <c r="AI100" s="291"/>
      <c r="AJ100" s="291"/>
      <c r="AK100" s="291"/>
      <c r="AL100" s="291"/>
      <c r="AM100" s="291"/>
      <c r="AN100" s="291"/>
      <c r="AO100" s="291"/>
      <c r="AP100" s="291"/>
      <c r="AQ100" s="291"/>
      <c r="AR100" s="291"/>
      <c r="AS100" s="291"/>
      <c r="AT100" s="291"/>
      <c r="AU100" s="291"/>
      <c r="AV100" s="291"/>
      <c r="AW100" s="291"/>
      <c r="AX100" s="291"/>
      <c r="AY100" s="291"/>
      <c r="AZ100" s="291"/>
      <c r="BA100" s="291"/>
      <c r="BB100" s="291"/>
      <c r="BC100" s="291"/>
      <c r="BD100" s="291"/>
      <c r="BE100" s="291"/>
      <c r="BF100" s="291"/>
      <c r="BG100" s="291"/>
      <c r="BH100" s="291"/>
      <c r="BI100" s="291"/>
      <c r="BJ100" s="291"/>
      <c r="BK100" s="291"/>
      <c r="BL100" s="291"/>
      <c r="BM100" s="291"/>
      <c r="BN100" s="291"/>
      <c r="BO100" s="291"/>
      <c r="BP100" s="291"/>
      <c r="BQ100" s="291"/>
      <c r="BR100" s="291"/>
      <c r="BS100" s="291"/>
      <c r="BT100" s="291"/>
      <c r="BU100" s="291"/>
      <c r="BV100" s="291"/>
      <c r="BW100" s="291"/>
      <c r="BX100" s="291"/>
      <c r="BY100" s="291"/>
      <c r="BZ100" s="291"/>
      <c r="CA100" s="291"/>
      <c r="CB100" s="291"/>
      <c r="CC100" s="291"/>
      <c r="CD100" s="291"/>
      <c r="CE100" s="291"/>
      <c r="CF100" s="291"/>
      <c r="CG100" s="291"/>
      <c r="CH100" s="291"/>
      <c r="CI100" s="291"/>
      <c r="CJ100" s="291"/>
      <c r="CK100" s="291"/>
      <c r="CL100" s="291"/>
      <c r="CM100" s="291"/>
      <c r="CN100" s="291"/>
      <c r="CO100" s="291"/>
      <c r="CP100" s="291"/>
      <c r="CQ100" s="291"/>
      <c r="CR100" s="291"/>
      <c r="CS100" s="291"/>
      <c r="CT100" s="291"/>
      <c r="CU100" s="291"/>
      <c r="CV100" s="291"/>
      <c r="CW100" s="291"/>
      <c r="CX100" s="291"/>
      <c r="CY100" s="291"/>
      <c r="CZ100" s="291"/>
      <c r="DA100" s="291"/>
      <c r="DB100" s="291"/>
      <c r="DC100" s="291"/>
      <c r="DD100" s="291"/>
      <c r="DE100" s="291"/>
      <c r="DF100" s="291"/>
      <c r="DG100" s="291"/>
      <c r="DH100" s="1139">
        <v>56</v>
      </c>
      <c r="DI100" s="3017">
        <v>44774</v>
      </c>
      <c r="DJ100" s="3020" t="str">
        <f t="shared" si="13"/>
        <v/>
      </c>
      <c r="DK100" s="291"/>
      <c r="DL100" s="291"/>
      <c r="DM100" s="291"/>
      <c r="DN100" s="291"/>
      <c r="DO100" s="291"/>
      <c r="DP100" s="291"/>
      <c r="DQ100" s="291"/>
      <c r="DR100" s="291"/>
      <c r="DS100" s="291"/>
      <c r="DT100" s="291"/>
      <c r="DU100" s="291"/>
      <c r="DV100" s="291"/>
      <c r="DW100" s="844"/>
      <c r="DX100" s="844"/>
      <c r="DY100" s="844"/>
      <c r="DZ100" s="844"/>
      <c r="EA100" s="844"/>
      <c r="EB100" s="844"/>
      <c r="EC100" s="844"/>
      <c r="ED100" s="844"/>
      <c r="EE100" s="844"/>
      <c r="EF100" s="844"/>
      <c r="EG100" s="844"/>
      <c r="EH100" s="844"/>
      <c r="EI100" s="844"/>
      <c r="EJ100" s="844"/>
      <c r="EK100" s="844"/>
      <c r="EL100" s="844"/>
      <c r="EM100" s="844"/>
      <c r="EN100" s="844"/>
      <c r="EO100" s="844"/>
      <c r="EP100" s="844"/>
      <c r="EQ100" s="844"/>
      <c r="ER100" s="844"/>
      <c r="ES100" s="844"/>
      <c r="ET100" s="844"/>
      <c r="EU100" s="844"/>
      <c r="EV100" s="844"/>
      <c r="EW100" s="844"/>
      <c r="EX100" s="844"/>
      <c r="EY100" s="844"/>
      <c r="EZ100" s="844"/>
      <c r="FA100" s="844"/>
      <c r="FB100" s="844"/>
      <c r="FC100" s="844"/>
      <c r="FD100" s="844"/>
      <c r="FE100" s="844"/>
      <c r="FF100" s="844"/>
      <c r="FG100" s="844"/>
      <c r="FH100" s="844"/>
      <c r="FI100" s="844"/>
      <c r="FJ100" s="844"/>
      <c r="FK100" s="844"/>
      <c r="FL100" s="844"/>
      <c r="FM100" s="844"/>
      <c r="FN100" s="844"/>
      <c r="FO100" s="844"/>
      <c r="FP100" s="844"/>
      <c r="FQ100" s="844"/>
      <c r="FR100" s="844"/>
      <c r="FS100" s="844"/>
      <c r="FT100" s="844"/>
      <c r="FU100" s="844"/>
      <c r="FV100" s="844"/>
      <c r="FW100" s="844"/>
      <c r="FX100" s="844"/>
      <c r="FY100" s="844"/>
      <c r="FZ100" s="844"/>
      <c r="GA100" s="844"/>
      <c r="GB100" s="844"/>
      <c r="GC100" s="844"/>
      <c r="GD100" s="844"/>
      <c r="GE100" s="844"/>
      <c r="GF100" s="844"/>
      <c r="GG100" s="844"/>
      <c r="GH100" s="844"/>
      <c r="GI100" s="844"/>
      <c r="GJ100" s="844"/>
      <c r="GK100" s="844"/>
      <c r="GL100" s="844"/>
      <c r="GM100" s="844"/>
      <c r="GN100" s="844"/>
      <c r="GO100" s="844"/>
      <c r="GP100" s="844"/>
      <c r="GQ100" s="844"/>
      <c r="GR100" s="844"/>
      <c r="GS100" s="844"/>
      <c r="GT100" s="844"/>
      <c r="GU100" s="844"/>
      <c r="GV100" s="844"/>
      <c r="GW100" s="844"/>
      <c r="GX100" s="844"/>
      <c r="GY100" s="844"/>
      <c r="GZ100" s="844"/>
      <c r="HA100" s="844"/>
      <c r="HB100" s="844"/>
      <c r="HC100" s="844"/>
      <c r="HD100" s="844"/>
      <c r="HE100" s="844"/>
      <c r="HF100" s="844"/>
      <c r="HG100" s="844"/>
      <c r="HH100" s="844"/>
      <c r="HI100" s="844"/>
      <c r="HJ100" s="844"/>
      <c r="HK100" s="844"/>
      <c r="HL100" s="844"/>
      <c r="HM100" s="844"/>
      <c r="HN100" s="844"/>
      <c r="HO100" s="844"/>
      <c r="HP100" s="844"/>
      <c r="HQ100" s="844"/>
      <c r="HR100" s="844"/>
      <c r="HS100" s="844"/>
      <c r="HT100" s="844"/>
      <c r="HU100" s="844"/>
      <c r="HV100" s="844"/>
      <c r="HW100" s="844"/>
      <c r="HX100" s="844"/>
      <c r="HY100" s="844"/>
      <c r="HZ100" s="844"/>
      <c r="IA100" s="844"/>
      <c r="IB100" s="844"/>
      <c r="IC100" s="844"/>
      <c r="ID100" s="844"/>
      <c r="IE100" s="844"/>
      <c r="IF100" s="844"/>
      <c r="IG100" s="844"/>
      <c r="IH100" s="844"/>
      <c r="II100" s="844"/>
      <c r="IJ100" s="844"/>
      <c r="IK100" s="844"/>
      <c r="IL100" s="844"/>
      <c r="IM100" s="844"/>
      <c r="IN100" s="844"/>
      <c r="IO100" s="844"/>
      <c r="IP100" s="844"/>
      <c r="IQ100" s="844"/>
      <c r="IR100" s="844"/>
      <c r="IS100" s="844"/>
      <c r="IT100" s="844"/>
      <c r="IU100" s="844"/>
      <c r="IV100" s="844"/>
      <c r="IW100" s="844"/>
      <c r="IX100" s="844"/>
      <c r="IY100" s="844"/>
      <c r="IZ100" s="844"/>
      <c r="JA100" s="844"/>
      <c r="JB100" s="844"/>
      <c r="JC100" s="844"/>
      <c r="JD100" s="844"/>
      <c r="JN100" s="1621">
        <v>87</v>
      </c>
      <c r="JO100" s="1622">
        <f t="shared" si="60"/>
        <v>44317</v>
      </c>
      <c r="JQ100" s="1139">
        <v>87</v>
      </c>
      <c r="JR100" s="1483">
        <v>44317</v>
      </c>
      <c r="JS100" s="864"/>
      <c r="JT100" s="834"/>
      <c r="JU100" s="834"/>
      <c r="JV100" s="834"/>
      <c r="JW100" s="834"/>
      <c r="JX100" s="834"/>
      <c r="JY100" s="834"/>
      <c r="JZ100" s="834"/>
      <c r="KA100" s="834"/>
      <c r="KB100" s="834"/>
      <c r="KC100" s="834"/>
      <c r="KD100" s="834"/>
      <c r="KE100" s="834"/>
      <c r="KF100" s="834"/>
      <c r="KG100" s="834"/>
      <c r="KH100" s="834"/>
      <c r="KI100" s="834"/>
      <c r="KJ100" s="834"/>
      <c r="KK100" s="834"/>
      <c r="KL100" s="834"/>
      <c r="KM100" s="834"/>
      <c r="KN100" s="834"/>
      <c r="KO100" s="834"/>
      <c r="KP100" s="834"/>
      <c r="KQ100" s="834"/>
      <c r="KR100" s="834"/>
      <c r="KS100" s="834"/>
      <c r="KT100" s="834"/>
      <c r="KU100" s="834"/>
      <c r="KV100" s="834"/>
      <c r="KW100" s="834"/>
      <c r="KX100" s="834"/>
      <c r="KY100" s="834"/>
      <c r="KZ100" s="834"/>
      <c r="LA100" s="834"/>
      <c r="LB100" s="834"/>
      <c r="LC100" s="834"/>
      <c r="LD100" s="834"/>
      <c r="LE100" s="834"/>
      <c r="LF100" s="834"/>
      <c r="LG100" s="834"/>
      <c r="LH100" s="834"/>
      <c r="LI100" s="834"/>
      <c r="LJ100" s="834"/>
      <c r="LK100" s="834"/>
      <c r="LL100" s="834"/>
      <c r="LM100" s="834"/>
      <c r="LN100" s="834"/>
      <c r="LO100" s="834"/>
      <c r="LP100" s="834"/>
      <c r="LQ100" s="834"/>
      <c r="LR100" s="834"/>
      <c r="LS100" s="834"/>
      <c r="LT100" s="834"/>
      <c r="LU100" s="834"/>
      <c r="LV100" s="834"/>
      <c r="LW100" s="834"/>
      <c r="LX100" s="834"/>
      <c r="LY100" s="834"/>
      <c r="LZ100" s="834"/>
      <c r="MA100" s="864"/>
    </row>
    <row r="101" spans="1:339" ht="39.75" customHeight="1" thickBot="1">
      <c r="AV101" s="864"/>
      <c r="CD101" s="833"/>
      <c r="CE101" s="941"/>
      <c r="CF101" s="5606" t="s">
        <v>1417</v>
      </c>
      <c r="CG101" s="5606"/>
      <c r="CH101" s="5607"/>
      <c r="CI101" s="2253" t="str">
        <f>DC18</f>
        <v>21-May-24</v>
      </c>
      <c r="CJ101" s="2255"/>
      <c r="CK101" s="2255"/>
      <c r="CL101" s="2255"/>
      <c r="CM101" s="2255"/>
      <c r="CN101" s="2255"/>
      <c r="CO101" s="2255"/>
      <c r="CP101" s="2255"/>
      <c r="CQ101" s="2255"/>
      <c r="CR101" s="2255"/>
      <c r="CS101" s="2255"/>
      <c r="CT101" s="2255"/>
      <c r="CU101" s="2255"/>
      <c r="CV101" s="2255"/>
      <c r="CW101" s="2255"/>
      <c r="CX101" s="2255"/>
      <c r="CY101" s="2255"/>
      <c r="CZ101" s="2255"/>
      <c r="DA101" s="2255"/>
      <c r="DB101" s="2255"/>
      <c r="DC101" s="2255"/>
      <c r="DD101" s="2255"/>
      <c r="DE101" s="2255"/>
      <c r="DF101" s="2255"/>
      <c r="DG101" s="2255"/>
      <c r="DH101" s="1139">
        <v>57</v>
      </c>
      <c r="DI101" s="3017">
        <v>44805</v>
      </c>
      <c r="DJ101" s="3020" t="str">
        <f t="shared" si="13"/>
        <v/>
      </c>
      <c r="DK101" s="2255"/>
      <c r="DL101" s="2255"/>
      <c r="DM101" s="2255"/>
      <c r="DN101" s="2255"/>
      <c r="DO101" s="2255"/>
      <c r="DP101" s="2255"/>
      <c r="DQ101" s="2255"/>
      <c r="DR101" s="2255"/>
      <c r="DS101" s="2255"/>
      <c r="DT101" s="2255"/>
      <c r="DU101" s="2255"/>
      <c r="DV101" s="2255"/>
      <c r="DW101" s="2255"/>
      <c r="DX101" s="2255"/>
      <c r="DY101" s="2255"/>
      <c r="DZ101" s="2255"/>
      <c r="EA101" s="2255"/>
      <c r="EB101" s="2255"/>
      <c r="EC101" s="2255"/>
      <c r="ED101" s="2255"/>
      <c r="EE101" s="2255"/>
      <c r="EF101" s="2255"/>
      <c r="EG101" s="2255"/>
      <c r="EH101" s="2255"/>
      <c r="EI101" s="2255"/>
      <c r="EJ101" s="2255"/>
      <c r="EK101" s="2255"/>
      <c r="EL101" s="2255"/>
      <c r="EM101" s="2255"/>
      <c r="EN101" s="2255"/>
      <c r="EO101" s="2255"/>
      <c r="EP101" s="2255"/>
      <c r="EQ101" s="2255"/>
      <c r="ER101" s="2255"/>
      <c r="ES101" s="2255"/>
      <c r="ET101" s="2255"/>
      <c r="EU101" s="2255"/>
      <c r="EV101" s="2255"/>
      <c r="EW101" s="2255"/>
      <c r="EX101" s="2255"/>
      <c r="EY101" s="2255"/>
      <c r="EZ101" s="2255"/>
      <c r="FA101" s="2255"/>
      <c r="FB101" s="2255"/>
      <c r="FC101" s="2255"/>
      <c r="FD101" s="2255"/>
      <c r="FE101" s="2255"/>
      <c r="FF101" s="2255"/>
      <c r="FG101" s="2255"/>
      <c r="FH101" s="2255"/>
      <c r="FI101" s="2255"/>
      <c r="FJ101" s="2255"/>
      <c r="FK101" s="2255"/>
      <c r="FL101" s="2255"/>
      <c r="FM101" s="2255"/>
      <c r="FN101" s="2255"/>
      <c r="FO101" s="2255"/>
      <c r="FP101" s="2255"/>
      <c r="FQ101" s="2255"/>
      <c r="FR101" s="2255"/>
      <c r="FS101" s="2255"/>
      <c r="FT101" s="2255"/>
      <c r="FU101" s="2255"/>
      <c r="FV101" s="2255"/>
      <c r="FW101" s="2255"/>
      <c r="FX101" s="2255"/>
      <c r="FY101" s="2255"/>
      <c r="FZ101" s="2255"/>
      <c r="GA101" s="2255"/>
      <c r="GB101" s="2255"/>
      <c r="GC101" s="2255"/>
      <c r="GD101" s="2255"/>
      <c r="GE101" s="2255"/>
      <c r="GF101" s="2255"/>
      <c r="GG101" s="2255"/>
      <c r="GH101" s="2255"/>
      <c r="GI101" s="2255"/>
      <c r="GJ101" s="2255"/>
      <c r="GK101" s="2255"/>
      <c r="GL101" s="2255"/>
      <c r="GM101" s="2255"/>
      <c r="GN101" s="2255"/>
      <c r="GO101" s="2255"/>
      <c r="GP101" s="2255"/>
      <c r="GQ101" s="2255"/>
      <c r="GR101" s="2255"/>
      <c r="GS101" s="2255"/>
      <c r="GT101" s="2255"/>
      <c r="GU101" s="2255"/>
      <c r="GV101" s="2255"/>
      <c r="GW101" s="2255"/>
      <c r="GX101" s="2255"/>
      <c r="GY101" s="2255"/>
      <c r="GZ101" s="2255"/>
      <c r="HA101" s="2255"/>
      <c r="HB101" s="2255"/>
      <c r="HC101" s="2255"/>
      <c r="HD101" s="2255"/>
      <c r="HE101" s="2255"/>
      <c r="HF101" s="2255"/>
      <c r="HG101" s="2255"/>
      <c r="HH101" s="2255"/>
      <c r="HI101" s="2255"/>
      <c r="HJ101" s="2255"/>
      <c r="HK101" s="877"/>
      <c r="HL101" s="1484" t="s">
        <v>176</v>
      </c>
      <c r="HM101" s="1484" t="s">
        <v>182</v>
      </c>
      <c r="HN101" s="1484" t="s">
        <v>226</v>
      </c>
      <c r="JN101" s="1621">
        <v>88</v>
      </c>
      <c r="JO101" s="1622" t="str">
        <f t="shared" si="60"/>
        <v/>
      </c>
      <c r="JQ101" s="1139">
        <v>88</v>
      </c>
      <c r="JR101" s="1483">
        <v>44348</v>
      </c>
      <c r="JS101" s="831"/>
      <c r="MA101" s="831"/>
    </row>
    <row r="102" spans="1:339" ht="27.95" customHeight="1" thickBot="1">
      <c r="X102" s="649"/>
      <c r="AV102" s="864"/>
      <c r="CD102" s="833"/>
      <c r="CE102" s="941"/>
      <c r="CF102" s="5606" t="s">
        <v>1418</v>
      </c>
      <c r="CG102" s="5606"/>
      <c r="CH102" s="5607"/>
      <c r="CI102" s="2254" t="str">
        <f>CR12</f>
        <v>Date of Promotion</v>
      </c>
      <c r="CJ102" s="2213">
        <f>CS12</f>
        <v>1</v>
      </c>
      <c r="CK102" s="2255"/>
      <c r="CL102" s="2255"/>
      <c r="CM102" s="2255"/>
      <c r="CN102" s="2255"/>
      <c r="CO102" s="2255"/>
      <c r="CP102" s="2255"/>
      <c r="CQ102" s="2255"/>
      <c r="CR102" s="2255"/>
      <c r="CS102" s="2255"/>
      <c r="CT102" s="2255"/>
      <c r="CU102" s="2255"/>
      <c r="CV102" s="2255"/>
      <c r="CW102" s="2255"/>
      <c r="CX102" s="2255"/>
      <c r="CY102" s="2255"/>
      <c r="CZ102" s="2255"/>
      <c r="DA102" s="2255"/>
      <c r="DB102" s="2255"/>
      <c r="DC102" s="2255"/>
      <c r="DD102" s="2255"/>
      <c r="DE102" s="2255"/>
      <c r="DF102" s="2255"/>
      <c r="DG102" s="2255"/>
      <c r="DH102" s="1139">
        <v>58</v>
      </c>
      <c r="DI102" s="3017">
        <v>44835</v>
      </c>
      <c r="DJ102" s="3020" t="str">
        <f t="shared" si="13"/>
        <v/>
      </c>
      <c r="DK102" s="2255"/>
      <c r="DL102" s="2255"/>
      <c r="DM102" s="2255"/>
      <c r="DN102" s="2255"/>
      <c r="DO102" s="2255"/>
      <c r="DP102" s="2255"/>
      <c r="DQ102" s="2255"/>
      <c r="DR102" s="2255"/>
      <c r="DS102" s="2255"/>
      <c r="DT102" s="2255"/>
      <c r="DU102" s="2255"/>
      <c r="DV102" s="2255"/>
      <c r="DW102" s="2255"/>
      <c r="DX102" s="2255"/>
      <c r="DY102" s="2255"/>
      <c r="DZ102" s="2255"/>
      <c r="EA102" s="2255"/>
      <c r="EB102" s="2255"/>
      <c r="EC102" s="2255"/>
      <c r="ED102" s="2255"/>
      <c r="EE102" s="2255"/>
      <c r="EF102" s="2255"/>
      <c r="EG102" s="2255"/>
      <c r="EH102" s="2255"/>
      <c r="EI102" s="2255"/>
      <c r="EJ102" s="2255"/>
      <c r="EK102" s="2255"/>
      <c r="EL102" s="2255"/>
      <c r="EM102" s="2255"/>
      <c r="EN102" s="2255"/>
      <c r="EO102" s="2255"/>
      <c r="EP102" s="2255"/>
      <c r="EQ102" s="2255"/>
      <c r="ER102" s="2255"/>
      <c r="ES102" s="2255"/>
      <c r="ET102" s="2255"/>
      <c r="EU102" s="2255"/>
      <c r="EV102" s="2255"/>
      <c r="EW102" s="2255"/>
      <c r="EX102" s="2255"/>
      <c r="EY102" s="2255"/>
      <c r="EZ102" s="2255"/>
      <c r="FA102" s="2255"/>
      <c r="FB102" s="2255"/>
      <c r="FC102" s="2255"/>
      <c r="FD102" s="2255"/>
      <c r="FE102" s="2255"/>
      <c r="FF102" s="2255"/>
      <c r="FG102" s="2255"/>
      <c r="FH102" s="2255"/>
      <c r="FI102" s="2255"/>
      <c r="FJ102" s="2255"/>
      <c r="FK102" s="2255"/>
      <c r="FL102" s="2255"/>
      <c r="FM102" s="2255"/>
      <c r="FN102" s="2255"/>
      <c r="FO102" s="2255"/>
      <c r="FP102" s="2255"/>
      <c r="FQ102" s="2255"/>
      <c r="FR102" s="2255"/>
      <c r="FS102" s="2255"/>
      <c r="FT102" s="2255"/>
      <c r="FU102" s="2255"/>
      <c r="FV102" s="2255"/>
      <c r="FW102" s="2255"/>
      <c r="FX102" s="2255"/>
      <c r="FY102" s="2255"/>
      <c r="FZ102" s="2255"/>
      <c r="GA102" s="2255"/>
      <c r="GB102" s="2255"/>
      <c r="GC102" s="2255"/>
      <c r="GD102" s="2255"/>
      <c r="GE102" s="2255"/>
      <c r="GF102" s="2255"/>
      <c r="GG102" s="2255"/>
      <c r="GH102" s="2255"/>
      <c r="GI102" s="2255"/>
      <c r="GJ102" s="2255"/>
      <c r="GK102" s="2255"/>
      <c r="GL102" s="2255"/>
      <c r="GM102" s="2255"/>
      <c r="GN102" s="2255"/>
      <c r="GO102" s="2255"/>
      <c r="GP102" s="2255"/>
      <c r="GQ102" s="2255"/>
      <c r="GR102" s="2255"/>
      <c r="GS102" s="2255"/>
      <c r="GT102" s="2255"/>
      <c r="GU102" s="2255"/>
      <c r="GV102" s="2255"/>
      <c r="GW102" s="2255"/>
      <c r="GX102" s="2255"/>
      <c r="GY102" s="2255"/>
      <c r="GZ102" s="2255"/>
      <c r="HA102" s="2255"/>
      <c r="HB102" s="2255"/>
      <c r="HC102" s="2255"/>
      <c r="HD102" s="2255"/>
      <c r="HE102" s="2255"/>
      <c r="HF102" s="2255"/>
      <c r="HG102" s="2255"/>
      <c r="HH102" s="2255"/>
      <c r="HI102" s="2255"/>
      <c r="HJ102" s="2255"/>
      <c r="HK102" s="877"/>
      <c r="HL102" s="1139">
        <v>1</v>
      </c>
      <c r="HM102" s="3017">
        <v>42370</v>
      </c>
      <c r="HN102" s="3018"/>
      <c r="JN102" s="1621">
        <v>89</v>
      </c>
      <c r="JO102" s="1622" t="str">
        <f t="shared" si="60"/>
        <v/>
      </c>
      <c r="JQ102" s="1139">
        <v>89</v>
      </c>
      <c r="JR102" s="1483">
        <v>44378</v>
      </c>
      <c r="JS102" s="831"/>
      <c r="MA102" s="831"/>
    </row>
    <row r="103" spans="1:339" ht="27.95" customHeight="1" thickBot="1">
      <c r="B103" s="653"/>
      <c r="X103" s="649"/>
      <c r="AV103" s="864"/>
      <c r="CD103" s="833"/>
      <c r="CE103" s="941"/>
      <c r="CF103" s="5606" t="s">
        <v>1419</v>
      </c>
      <c r="CG103" s="5606"/>
      <c r="CH103" s="5607"/>
      <c r="CI103" s="2285">
        <f>IF(AND(CJ102=1,CG111=1),CP119,IF(AND(CJ102=1,CG111=2),CP120,IF(AND(CJ102=1,CG111=3),CP120,IF(AND(CJ102=2,CG111=3),CP120,IF(AND(CJ102=1,CG111=4),CP121,CP122)))))</f>
        <v>45658</v>
      </c>
      <c r="CJ103" s="2255"/>
      <c r="CK103" s="2255"/>
      <c r="CL103" s="2255"/>
      <c r="CM103" s="2255"/>
      <c r="CN103" s="2255"/>
      <c r="CO103" s="2255"/>
      <c r="CP103" s="2255"/>
      <c r="CQ103" s="2255"/>
      <c r="CR103" s="2255"/>
      <c r="CS103" s="2255"/>
      <c r="CT103" s="2255"/>
      <c r="CU103" s="2255"/>
      <c r="CV103" s="2255"/>
      <c r="CW103" s="2255"/>
      <c r="CX103" s="2255"/>
      <c r="CY103" s="2255"/>
      <c r="CZ103" s="2255"/>
      <c r="DA103" s="2255"/>
      <c r="DB103" s="2255"/>
      <c r="DC103" s="2255"/>
      <c r="DD103" s="2255"/>
      <c r="DE103" s="2255"/>
      <c r="DF103" s="2255"/>
      <c r="DG103" s="2255"/>
      <c r="DH103" s="1139">
        <v>59</v>
      </c>
      <c r="DI103" s="3017">
        <v>44866</v>
      </c>
      <c r="DJ103" s="3020" t="str">
        <f t="shared" si="13"/>
        <v/>
      </c>
      <c r="DK103" s="2255"/>
      <c r="DL103" s="2255"/>
      <c r="DM103" s="2255"/>
      <c r="DN103" s="2255"/>
      <c r="DO103" s="2255"/>
      <c r="DP103" s="2255"/>
      <c r="DQ103" s="2255"/>
      <c r="DR103" s="2255"/>
      <c r="DS103" s="2255"/>
      <c r="DT103" s="2255"/>
      <c r="DU103" s="2255"/>
      <c r="DV103" s="2255"/>
      <c r="DW103" s="2255"/>
      <c r="DX103" s="2255"/>
      <c r="DY103" s="2255"/>
      <c r="DZ103" s="2255"/>
      <c r="EA103" s="2255"/>
      <c r="EB103" s="2255"/>
      <c r="EC103" s="2255"/>
      <c r="ED103" s="2255"/>
      <c r="EE103" s="2255"/>
      <c r="EF103" s="2255"/>
      <c r="EG103" s="2255"/>
      <c r="EH103" s="2255"/>
      <c r="EI103" s="2255"/>
      <c r="EJ103" s="2255"/>
      <c r="EK103" s="2255"/>
      <c r="EL103" s="2255"/>
      <c r="EM103" s="2255"/>
      <c r="EN103" s="2255"/>
      <c r="EO103" s="2255"/>
      <c r="EP103" s="2255"/>
      <c r="EQ103" s="2255"/>
      <c r="ER103" s="2255"/>
      <c r="ES103" s="2255"/>
      <c r="ET103" s="2255"/>
      <c r="EU103" s="2255"/>
      <c r="EV103" s="2255"/>
      <c r="EW103" s="2255"/>
      <c r="EX103" s="2255"/>
      <c r="EY103" s="2255"/>
      <c r="EZ103" s="2255"/>
      <c r="FA103" s="2255"/>
      <c r="FB103" s="2255"/>
      <c r="FC103" s="2255"/>
      <c r="FD103" s="2255"/>
      <c r="FE103" s="2255"/>
      <c r="FF103" s="2255"/>
      <c r="FG103" s="2255"/>
      <c r="FH103" s="2255"/>
      <c r="FI103" s="2255"/>
      <c r="FJ103" s="2255"/>
      <c r="FK103" s="2255"/>
      <c r="FL103" s="2255"/>
      <c r="FM103" s="2255"/>
      <c r="FN103" s="2255"/>
      <c r="FO103" s="2255"/>
      <c r="FP103" s="2255"/>
      <c r="FQ103" s="2255"/>
      <c r="FR103" s="2255"/>
      <c r="FS103" s="2255"/>
      <c r="FT103" s="2255"/>
      <c r="FU103" s="2255"/>
      <c r="FV103" s="2255"/>
      <c r="FW103" s="2255"/>
      <c r="FX103" s="2255"/>
      <c r="FY103" s="2255"/>
      <c r="FZ103" s="2255"/>
      <c r="GA103" s="2255"/>
      <c r="GB103" s="2255"/>
      <c r="GC103" s="2255"/>
      <c r="GD103" s="2255"/>
      <c r="GE103" s="2255"/>
      <c r="GF103" s="2255"/>
      <c r="GG103" s="2255"/>
      <c r="GH103" s="2255"/>
      <c r="GI103" s="2255"/>
      <c r="GJ103" s="2255"/>
      <c r="GK103" s="2255"/>
      <c r="GL103" s="2255"/>
      <c r="GM103" s="2255"/>
      <c r="GN103" s="2255"/>
      <c r="GO103" s="2255"/>
      <c r="GP103" s="2255"/>
      <c r="GQ103" s="2255"/>
      <c r="GR103" s="2255"/>
      <c r="GS103" s="2255"/>
      <c r="GT103" s="2255"/>
      <c r="GU103" s="2255"/>
      <c r="GV103" s="2255"/>
      <c r="GW103" s="2255"/>
      <c r="GX103" s="2255"/>
      <c r="GY103" s="2255"/>
      <c r="GZ103" s="2255"/>
      <c r="HA103" s="2255"/>
      <c r="HB103" s="2255"/>
      <c r="HC103" s="2255"/>
      <c r="HD103" s="2255"/>
      <c r="HE103" s="2255"/>
      <c r="HF103" s="2255"/>
      <c r="HG103" s="2255"/>
      <c r="HH103" s="2255"/>
      <c r="HI103" s="2255"/>
      <c r="HJ103" s="2255"/>
      <c r="HK103" s="877"/>
      <c r="HL103" s="1139">
        <v>2</v>
      </c>
      <c r="HM103" s="3017">
        <v>42401</v>
      </c>
      <c r="HN103" s="3018"/>
      <c r="JN103" s="1621">
        <v>90</v>
      </c>
      <c r="JO103" s="1622" t="str">
        <f t="shared" si="60"/>
        <v/>
      </c>
      <c r="JQ103" s="1139">
        <v>90</v>
      </c>
      <c r="JR103" s="1483">
        <v>44409</v>
      </c>
      <c r="JS103" s="831"/>
      <c r="MA103" s="831"/>
    </row>
    <row r="104" spans="1:339" ht="27.95" customHeight="1">
      <c r="A104" s="123"/>
      <c r="B104" s="653"/>
      <c r="X104" s="649"/>
      <c r="AV104" s="864"/>
      <c r="CD104" s="833"/>
      <c r="DH104" s="1139">
        <v>60</v>
      </c>
      <c r="DI104" s="3017">
        <v>44896</v>
      </c>
      <c r="DJ104" s="3020" t="str">
        <f t="shared" si="13"/>
        <v/>
      </c>
      <c r="HK104" s="877"/>
      <c r="HL104" s="1139">
        <v>3</v>
      </c>
      <c r="HM104" s="3017">
        <v>42430</v>
      </c>
      <c r="HN104" s="3018"/>
      <c r="JN104" s="1621">
        <v>91</v>
      </c>
      <c r="JO104" s="1622" t="str">
        <f t="shared" si="60"/>
        <v/>
      </c>
      <c r="JQ104" s="1139">
        <v>91</v>
      </c>
      <c r="JR104" s="1483">
        <v>44440</v>
      </c>
      <c r="JS104" s="831"/>
      <c r="MA104" s="831"/>
    </row>
    <row r="105" spans="1:339" ht="27.95" customHeight="1">
      <c r="A105" s="123"/>
      <c r="B105" s="653"/>
      <c r="O105" s="706" t="s">
        <v>888</v>
      </c>
      <c r="W105" s="706" t="s">
        <v>889</v>
      </c>
      <c r="X105" s="649"/>
      <c r="AV105" s="864"/>
      <c r="CD105" s="833"/>
      <c r="CF105" s="2214" t="s">
        <v>623</v>
      </c>
      <c r="CG105" s="2284">
        <f>DB15</f>
        <v>21</v>
      </c>
      <c r="CH105" s="2212">
        <f>CG105</f>
        <v>21</v>
      </c>
      <c r="CK105" s="1458"/>
      <c r="CL105" s="5609"/>
      <c r="CM105" s="5609"/>
      <c r="CN105" s="5609"/>
      <c r="CO105" s="5609"/>
      <c r="CP105" s="5609"/>
      <c r="DH105" s="1139">
        <v>61</v>
      </c>
      <c r="DI105" s="3017">
        <v>44927</v>
      </c>
      <c r="DJ105" s="3020" t="str">
        <f t="shared" si="13"/>
        <v/>
      </c>
      <c r="HK105" s="877"/>
      <c r="HL105" s="1139">
        <v>4</v>
      </c>
      <c r="HM105" s="3017">
        <v>42461</v>
      </c>
      <c r="HN105" s="3018"/>
      <c r="JN105" s="1621">
        <v>92</v>
      </c>
      <c r="JO105" s="1622" t="str">
        <f t="shared" si="60"/>
        <v/>
      </c>
      <c r="JQ105" s="1139">
        <v>92</v>
      </c>
      <c r="JR105" s="1483">
        <v>44470</v>
      </c>
      <c r="JS105" s="831"/>
      <c r="MA105" s="831"/>
    </row>
    <row r="106" spans="1:339" ht="27.95" customHeight="1">
      <c r="A106" s="123"/>
      <c r="B106" s="653"/>
      <c r="C106" s="5252" t="s">
        <v>510</v>
      </c>
      <c r="D106" s="5260" t="s">
        <v>182</v>
      </c>
      <c r="E106" s="5503" t="s">
        <v>524</v>
      </c>
      <c r="I106" s="3"/>
      <c r="J106" s="3"/>
      <c r="K106" s="3"/>
      <c r="L106" s="3"/>
      <c r="M106" s="703"/>
      <c r="N106" s="3"/>
      <c r="O106" s="741" t="s">
        <v>886</v>
      </c>
      <c r="P106" s="627"/>
      <c r="Q106" s="627"/>
      <c r="R106" s="627"/>
      <c r="S106" s="743" t="s">
        <v>887</v>
      </c>
      <c r="T106" s="627"/>
      <c r="U106" s="627"/>
      <c r="V106" s="627"/>
      <c r="W106" s="741" t="s">
        <v>886</v>
      </c>
      <c r="X106" s="649"/>
      <c r="AV106" s="864"/>
      <c r="CD106" s="833"/>
      <c r="CF106" s="2214" t="s">
        <v>182</v>
      </c>
      <c r="CG106" s="2284">
        <f>DC15</f>
        <v>5</v>
      </c>
      <c r="CH106" s="2217" t="str">
        <f>LOOKUP(CG106,$AE$21:$AE$32,$AG$21:$AG$32)</f>
        <v>May</v>
      </c>
      <c r="CK106" s="2256">
        <v>1</v>
      </c>
      <c r="CL106" s="2257">
        <v>1</v>
      </c>
      <c r="CM106" s="2258" t="s">
        <v>445</v>
      </c>
      <c r="CN106" s="2258" t="str">
        <f>CG107</f>
        <v>24</v>
      </c>
      <c r="CO106" s="1468"/>
      <c r="CP106" s="2259">
        <f>DATEVALUE(CONCATENATE(CL106,"-",CM106,"-",CN106))</f>
        <v>45292</v>
      </c>
      <c r="DH106" s="1139">
        <v>62</v>
      </c>
      <c r="DI106" s="3017">
        <v>44958</v>
      </c>
      <c r="DJ106" s="3020" t="str">
        <f t="shared" si="13"/>
        <v/>
      </c>
      <c r="HK106" s="877"/>
      <c r="HL106" s="1139">
        <v>5</v>
      </c>
      <c r="HM106" s="3017">
        <v>42491</v>
      </c>
      <c r="HN106" s="3018"/>
      <c r="JN106" s="1621">
        <v>93</v>
      </c>
      <c r="JO106" s="1622" t="str">
        <f t="shared" si="60"/>
        <v/>
      </c>
      <c r="JQ106" s="1139">
        <v>93</v>
      </c>
      <c r="JR106" s="1483">
        <v>44501</v>
      </c>
      <c r="JS106" s="831"/>
      <c r="MA106" s="831"/>
    </row>
    <row r="107" spans="1:339" ht="27.95" customHeight="1">
      <c r="A107" s="123"/>
      <c r="B107" s="653"/>
      <c r="C107" s="5253"/>
      <c r="D107" s="5260"/>
      <c r="E107" s="5503"/>
      <c r="I107" s="697" t="s">
        <v>525</v>
      </c>
      <c r="J107" s="698" t="s">
        <v>419</v>
      </c>
      <c r="K107" s="704" t="s">
        <v>183</v>
      </c>
      <c r="L107" s="3"/>
      <c r="M107" s="703"/>
      <c r="N107" s="3"/>
      <c r="O107" s="741" t="s">
        <v>885</v>
      </c>
      <c r="P107" s="627"/>
      <c r="Q107" s="627"/>
      <c r="R107" s="627"/>
      <c r="S107" s="741" t="s">
        <v>885</v>
      </c>
      <c r="T107" s="627"/>
      <c r="U107" s="627"/>
      <c r="V107" s="627"/>
      <c r="W107" s="741" t="s">
        <v>885</v>
      </c>
      <c r="X107" s="649"/>
      <c r="AV107" s="864"/>
      <c r="CD107" s="833"/>
      <c r="CF107" s="2214" t="s">
        <v>309</v>
      </c>
      <c r="CG107" s="2284" t="str">
        <f>DD15</f>
        <v>24</v>
      </c>
      <c r="CH107" s="2212" t="str">
        <f>CG107</f>
        <v>24</v>
      </c>
      <c r="CK107" s="5610"/>
      <c r="CL107" s="5611"/>
      <c r="CM107" s="5611"/>
      <c r="CN107" s="5611"/>
      <c r="CO107" s="1468"/>
      <c r="CP107" s="2260"/>
      <c r="DH107" s="1139">
        <v>63</v>
      </c>
      <c r="DI107" s="3017">
        <v>44986</v>
      </c>
      <c r="DJ107" s="3020" t="str">
        <f t="shared" si="13"/>
        <v/>
      </c>
      <c r="HK107" s="877"/>
      <c r="HL107" s="1139">
        <v>6</v>
      </c>
      <c r="HM107" s="3017">
        <v>42522</v>
      </c>
      <c r="HN107" s="3018"/>
      <c r="JN107" s="1621">
        <v>94</v>
      </c>
      <c r="JO107" s="1622" t="str">
        <f t="shared" si="60"/>
        <v/>
      </c>
      <c r="JQ107" s="1139">
        <v>94</v>
      </c>
      <c r="JR107" s="1483">
        <v>44531</v>
      </c>
      <c r="JS107" s="831"/>
      <c r="MA107" s="831"/>
    </row>
    <row r="108" spans="1:339" ht="27.95" customHeight="1">
      <c r="A108" s="123"/>
      <c r="B108" s="653"/>
      <c r="C108" s="290">
        <v>1</v>
      </c>
      <c r="D108" s="694">
        <v>45717</v>
      </c>
      <c r="E108" s="696">
        <v>31</v>
      </c>
      <c r="F108" s="695"/>
      <c r="I108" s="839">
        <v>1</v>
      </c>
      <c r="J108" s="694">
        <f>D108</f>
        <v>45717</v>
      </c>
      <c r="K108" s="936">
        <f>IF(AND($BG$5=2,J108&gt;=$BF$6),$BF$7,$BF$4)</f>
        <v>82300</v>
      </c>
      <c r="L108" s="824"/>
      <c r="M108" s="824"/>
      <c r="N108" s="824"/>
      <c r="O108" s="937">
        <f t="shared" ref="O108:O119" si="62">IF(AND($BW$2=2, J108&gt;=$BU$9),L1602,K108)</f>
        <v>82300</v>
      </c>
      <c r="P108" s="839"/>
      <c r="Q108" s="839"/>
      <c r="R108" s="839"/>
      <c r="S108" s="938">
        <f>IF(AND($CS$2=2,J108&gt;=$CR$5),DO45,O108)</f>
        <v>82300</v>
      </c>
      <c r="T108" s="839"/>
      <c r="U108" s="839"/>
      <c r="V108" s="839"/>
      <c r="W108" s="939">
        <f t="shared" ref="W108:W119" si="63">IF(AND($BW$2=1,$DT$2=2,J108&gt;=$DR$9),AA1602,S108)</f>
        <v>82300</v>
      </c>
      <c r="X108" s="744"/>
      <c r="Y108" s="9"/>
      <c r="AV108" s="864"/>
      <c r="CD108" s="833"/>
      <c r="CK108" s="2261">
        <v>2</v>
      </c>
      <c r="CL108" s="2262">
        <v>1</v>
      </c>
      <c r="CM108" s="2263" t="s">
        <v>456</v>
      </c>
      <c r="CN108" s="2263" t="str">
        <f>CG107</f>
        <v>24</v>
      </c>
      <c r="CO108" s="1468"/>
      <c r="CP108" s="2259">
        <f>DATEVALUE(CONCATENATE(CL108,"-",CM108,"-",CN108))</f>
        <v>45474</v>
      </c>
      <c r="DH108" s="1139">
        <v>64</v>
      </c>
      <c r="DI108" s="3017">
        <v>45017</v>
      </c>
      <c r="DJ108" s="3020" t="str">
        <f t="shared" si="13"/>
        <v/>
      </c>
      <c r="HK108" s="877"/>
      <c r="HL108" s="1139">
        <v>7</v>
      </c>
      <c r="HM108" s="3017">
        <v>42552</v>
      </c>
      <c r="HN108" s="3018"/>
      <c r="JN108" s="1621">
        <v>95</v>
      </c>
      <c r="JO108" s="1622" t="str">
        <f t="shared" si="60"/>
        <v/>
      </c>
      <c r="JQ108" s="1139">
        <v>95</v>
      </c>
      <c r="JR108" s="1483">
        <v>44562</v>
      </c>
      <c r="JS108" s="831"/>
      <c r="MA108" s="831"/>
    </row>
    <row r="109" spans="1:339" ht="27.95" customHeight="1">
      <c r="A109" s="123"/>
      <c r="B109" s="653"/>
      <c r="C109" s="290">
        <v>2</v>
      </c>
      <c r="D109" s="694">
        <v>45748</v>
      </c>
      <c r="E109" s="696">
        <v>30</v>
      </c>
      <c r="F109" s="695"/>
      <c r="I109" s="839">
        <v>2</v>
      </c>
      <c r="J109" s="694">
        <f t="shared" ref="J109:J119" si="64">D109</f>
        <v>45748</v>
      </c>
      <c r="K109" s="936">
        <f t="shared" ref="K109:K119" si="65">IF(AND($BG$5=2,J109&gt;=$BF$6),$BF$7,$BF$4)</f>
        <v>82300</v>
      </c>
      <c r="L109" s="824"/>
      <c r="M109" s="824"/>
      <c r="N109" s="824"/>
      <c r="O109" s="937">
        <f t="shared" si="62"/>
        <v>82300</v>
      </c>
      <c r="P109" s="839"/>
      <c r="Q109" s="839"/>
      <c r="R109" s="839"/>
      <c r="S109" s="938">
        <f t="shared" ref="S109:S119" si="66">IF(AND($CS$2=2,J109&gt;=$CR$5),DO46,O109)</f>
        <v>82300</v>
      </c>
      <c r="T109" s="839"/>
      <c r="U109" s="839"/>
      <c r="V109" s="839"/>
      <c r="W109" s="939">
        <f t="shared" si="63"/>
        <v>82300</v>
      </c>
      <c r="X109" s="744"/>
      <c r="Y109" s="9"/>
      <c r="AV109" s="864"/>
      <c r="CD109" s="833"/>
      <c r="CG109" s="2264">
        <f>DATEVALUE(CONCATENATE(CH105,"-",CH106,"-",CH107))</f>
        <v>45433</v>
      </c>
      <c r="CK109" s="5622"/>
      <c r="CL109" s="5623"/>
      <c r="CM109" s="5623"/>
      <c r="CN109" s="5623"/>
      <c r="CO109" s="1468"/>
      <c r="CP109" s="2265"/>
      <c r="DH109" s="1139">
        <v>65</v>
      </c>
      <c r="DI109" s="3017">
        <v>45047</v>
      </c>
      <c r="DJ109" s="3020" t="str">
        <f t="shared" si="13"/>
        <v/>
      </c>
      <c r="HK109" s="877"/>
      <c r="HL109" s="1139">
        <v>8</v>
      </c>
      <c r="HM109" s="3017">
        <v>42583</v>
      </c>
      <c r="HN109" s="3018"/>
      <c r="JN109" s="1621">
        <v>96</v>
      </c>
      <c r="JO109" s="1622" t="str">
        <f t="shared" si="60"/>
        <v/>
      </c>
      <c r="JQ109" s="1139">
        <v>96</v>
      </c>
      <c r="JR109" s="1483">
        <v>44593</v>
      </c>
      <c r="JS109" s="831"/>
      <c r="MA109" s="831"/>
    </row>
    <row r="110" spans="1:339" ht="27.95" customHeight="1">
      <c r="A110" s="123"/>
      <c r="B110" s="653"/>
      <c r="C110" s="290">
        <v>3</v>
      </c>
      <c r="D110" s="694">
        <v>45778</v>
      </c>
      <c r="E110" s="696">
        <v>31</v>
      </c>
      <c r="F110" s="695"/>
      <c r="I110" s="839">
        <v>3</v>
      </c>
      <c r="J110" s="694">
        <f t="shared" si="64"/>
        <v>45778</v>
      </c>
      <c r="K110" s="936">
        <f t="shared" si="65"/>
        <v>82300</v>
      </c>
      <c r="L110" s="824"/>
      <c r="M110" s="824"/>
      <c r="N110" s="824"/>
      <c r="O110" s="937">
        <f t="shared" si="62"/>
        <v>82300</v>
      </c>
      <c r="P110" s="839"/>
      <c r="Q110" s="839"/>
      <c r="R110" s="839"/>
      <c r="S110" s="938">
        <f t="shared" si="66"/>
        <v>82300</v>
      </c>
      <c r="T110" s="839"/>
      <c r="U110" s="839"/>
      <c r="V110" s="839"/>
      <c r="W110" s="939">
        <f t="shared" si="63"/>
        <v>82300</v>
      </c>
      <c r="X110" s="744"/>
      <c r="Y110" s="9"/>
      <c r="AV110" s="864"/>
      <c r="CD110" s="833"/>
      <c r="CK110" s="5624">
        <v>3</v>
      </c>
      <c r="CL110" s="2266">
        <v>2</v>
      </c>
      <c r="CM110" s="2267" t="s">
        <v>445</v>
      </c>
      <c r="CN110" s="2267" t="str">
        <f>CG107</f>
        <v>24</v>
      </c>
      <c r="CO110" s="1468"/>
      <c r="CP110" s="2268">
        <f>DATEVALUE(CONCATENATE(CL110,"-",CM110,"-",CN110))</f>
        <v>45293</v>
      </c>
      <c r="DH110" s="1139">
        <v>66</v>
      </c>
      <c r="DI110" s="3017">
        <v>45078</v>
      </c>
      <c r="DJ110" s="3020" t="str">
        <f t="shared" ref="DJ110:DJ142" si="67">IF(DI110&gt;=$CV$52,$CW$52,IF(DI110&gt;=$CV$51,$CW$51,IF(DI110&gt;=$CV$50,$CW$50,IF(DI110&gt;=$CV$49,$CW$49,IF(DI110&gt;=$CV$48,$CW$48,IF(DI110&gt;=$CV$47,$CW$47,IF(DI110&gt;=$CV$46,$CW$46,IF(DI110&gt;=$CV$45,$CW$45,""))))))))</f>
        <v/>
      </c>
      <c r="HK110" s="877"/>
      <c r="HL110" s="1139">
        <v>9</v>
      </c>
      <c r="HM110" s="3017">
        <v>42614</v>
      </c>
      <c r="HN110" s="3018"/>
      <c r="JS110" s="831"/>
      <c r="MA110" s="831"/>
    </row>
    <row r="111" spans="1:339" ht="27.95" customHeight="1">
      <c r="A111" s="123"/>
      <c r="B111" s="653"/>
      <c r="C111" s="290">
        <v>4</v>
      </c>
      <c r="D111" s="694">
        <v>45809</v>
      </c>
      <c r="E111" s="696">
        <v>30</v>
      </c>
      <c r="F111" s="695"/>
      <c r="I111" s="839">
        <v>4</v>
      </c>
      <c r="J111" s="694">
        <f t="shared" si="64"/>
        <v>45809</v>
      </c>
      <c r="K111" s="936">
        <f t="shared" si="65"/>
        <v>82300</v>
      </c>
      <c r="L111" s="824"/>
      <c r="M111" s="824"/>
      <c r="N111" s="824"/>
      <c r="O111" s="937">
        <f t="shared" si="62"/>
        <v>82300</v>
      </c>
      <c r="P111" s="839"/>
      <c r="Q111" s="839"/>
      <c r="R111" s="839"/>
      <c r="S111" s="938">
        <f t="shared" si="66"/>
        <v>82300</v>
      </c>
      <c r="T111" s="839"/>
      <c r="U111" s="839"/>
      <c r="V111" s="839"/>
      <c r="W111" s="939">
        <f t="shared" si="63"/>
        <v>82300</v>
      </c>
      <c r="X111" s="744"/>
      <c r="Y111" s="9"/>
      <c r="AV111" s="864"/>
      <c r="CD111" s="833"/>
      <c r="CF111" s="2269" t="s">
        <v>1420</v>
      </c>
      <c r="CG111" s="2270">
        <f>IF(AND($CG$109=CP106),1,IF(AND($CG$109=CP108),2,IF(AND(CP110&lt;=$CG$109,$CG$109&lt;=CP112),3,IF(AND(CP114&lt;=$CG$109,$CG$109&lt;=CP116),4))))</f>
        <v>3</v>
      </c>
      <c r="CK111" s="5625"/>
      <c r="CL111" s="2271"/>
      <c r="CM111" s="2271"/>
      <c r="CN111" s="2271"/>
      <c r="CO111" s="1468"/>
      <c r="CP111" s="2272" t="s">
        <v>308</v>
      </c>
      <c r="DH111" s="1139">
        <v>67</v>
      </c>
      <c r="DI111" s="3017">
        <v>45108</v>
      </c>
      <c r="DJ111" s="3020" t="str">
        <f t="shared" si="67"/>
        <v/>
      </c>
      <c r="HK111" s="877"/>
      <c r="HL111" s="1139">
        <v>10</v>
      </c>
      <c r="HM111" s="3017">
        <v>42644</v>
      </c>
      <c r="HN111" s="3018"/>
      <c r="JS111" s="831"/>
      <c r="MA111" s="831"/>
    </row>
    <row r="112" spans="1:339" ht="27.95" customHeight="1">
      <c r="A112" s="123"/>
      <c r="B112" s="653"/>
      <c r="C112" s="290">
        <v>5</v>
      </c>
      <c r="D112" s="694">
        <v>45839</v>
      </c>
      <c r="E112" s="696">
        <v>31</v>
      </c>
      <c r="F112" s="695"/>
      <c r="I112" s="839">
        <v>5</v>
      </c>
      <c r="J112" s="694">
        <f t="shared" si="64"/>
        <v>45839</v>
      </c>
      <c r="K112" s="936">
        <f t="shared" si="65"/>
        <v>82300</v>
      </c>
      <c r="L112" s="824"/>
      <c r="M112" s="824"/>
      <c r="N112" s="824"/>
      <c r="O112" s="937">
        <f t="shared" si="62"/>
        <v>82300</v>
      </c>
      <c r="P112" s="839"/>
      <c r="Q112" s="839"/>
      <c r="R112" s="839"/>
      <c r="S112" s="938">
        <f t="shared" si="66"/>
        <v>82300</v>
      </c>
      <c r="T112" s="839"/>
      <c r="U112" s="839"/>
      <c r="V112" s="839"/>
      <c r="W112" s="939">
        <f t="shared" si="63"/>
        <v>82300</v>
      </c>
      <c r="X112" s="744"/>
      <c r="Y112" s="9"/>
      <c r="AV112" s="864"/>
      <c r="CD112" s="833"/>
      <c r="CK112" s="5626"/>
      <c r="CL112" s="2273">
        <v>30</v>
      </c>
      <c r="CM112" s="2274" t="s">
        <v>454</v>
      </c>
      <c r="CN112" s="2274" t="str">
        <f>CG107</f>
        <v>24</v>
      </c>
      <c r="CP112" s="2275">
        <f>DATEVALUE(CONCATENATE(CL112,"-",CM112,"-",CN112))</f>
        <v>45473</v>
      </c>
      <c r="DH112" s="1139">
        <v>68</v>
      </c>
      <c r="DI112" s="3017">
        <v>45139</v>
      </c>
      <c r="DJ112" s="3020" t="str">
        <f t="shared" si="67"/>
        <v/>
      </c>
      <c r="HK112" s="877"/>
      <c r="HL112" s="1139">
        <v>11</v>
      </c>
      <c r="HM112" s="3017">
        <v>42675</v>
      </c>
      <c r="HN112" s="3018"/>
      <c r="JS112" s="831"/>
      <c r="MA112" s="831"/>
    </row>
    <row r="113" spans="1:339" ht="27.95" customHeight="1">
      <c r="A113" s="123"/>
      <c r="B113" s="653"/>
      <c r="C113" s="290">
        <v>6</v>
      </c>
      <c r="D113" s="694">
        <v>45870</v>
      </c>
      <c r="E113" s="696">
        <v>31</v>
      </c>
      <c r="F113" s="695"/>
      <c r="I113" s="839">
        <v>6</v>
      </c>
      <c r="J113" s="694">
        <f t="shared" si="64"/>
        <v>45870</v>
      </c>
      <c r="K113" s="936">
        <f t="shared" si="65"/>
        <v>82300</v>
      </c>
      <c r="L113" s="824"/>
      <c r="M113" s="824"/>
      <c r="N113" s="824"/>
      <c r="O113" s="937">
        <f t="shared" si="62"/>
        <v>82300</v>
      </c>
      <c r="P113" s="839"/>
      <c r="Q113" s="839"/>
      <c r="R113" s="839"/>
      <c r="S113" s="938">
        <f t="shared" si="66"/>
        <v>82300</v>
      </c>
      <c r="T113" s="839"/>
      <c r="U113" s="839"/>
      <c r="V113" s="839"/>
      <c r="W113" s="939">
        <f t="shared" si="63"/>
        <v>82300</v>
      </c>
      <c r="X113" s="744"/>
      <c r="Y113" s="9"/>
      <c r="AV113" s="864"/>
      <c r="CD113" s="833"/>
      <c r="CK113" s="5627"/>
      <c r="CL113" s="5628"/>
      <c r="CM113" s="5628"/>
      <c r="CN113" s="5628"/>
      <c r="CP113" s="1399"/>
      <c r="DH113" s="1139">
        <v>69</v>
      </c>
      <c r="DI113" s="3017">
        <v>45170</v>
      </c>
      <c r="DJ113" s="3020" t="str">
        <f t="shared" si="67"/>
        <v/>
      </c>
      <c r="HK113" s="877"/>
      <c r="HL113" s="1139">
        <v>12</v>
      </c>
      <c r="HM113" s="3017">
        <v>42705</v>
      </c>
      <c r="HN113" s="3018"/>
      <c r="JS113" s="831"/>
      <c r="MA113" s="831"/>
    </row>
    <row r="114" spans="1:339" ht="27.95" customHeight="1">
      <c r="A114" s="123"/>
      <c r="B114" s="653"/>
      <c r="C114" s="290">
        <v>7</v>
      </c>
      <c r="D114" s="694">
        <v>45901</v>
      </c>
      <c r="E114" s="696">
        <v>30</v>
      </c>
      <c r="F114" s="695"/>
      <c r="I114" s="940">
        <v>7</v>
      </c>
      <c r="J114" s="694">
        <f t="shared" si="64"/>
        <v>45901</v>
      </c>
      <c r="K114" s="936">
        <f t="shared" si="65"/>
        <v>82300</v>
      </c>
      <c r="L114" s="824"/>
      <c r="M114" s="824"/>
      <c r="N114" s="824"/>
      <c r="O114" s="937">
        <f t="shared" si="62"/>
        <v>82300</v>
      </c>
      <c r="P114" s="839"/>
      <c r="Q114" s="839"/>
      <c r="R114" s="839"/>
      <c r="S114" s="938">
        <f t="shared" si="66"/>
        <v>82300</v>
      </c>
      <c r="T114" s="839"/>
      <c r="U114" s="839"/>
      <c r="V114" s="839"/>
      <c r="W114" s="939">
        <f t="shared" si="63"/>
        <v>82300</v>
      </c>
      <c r="X114" s="744"/>
      <c r="Y114" s="9"/>
      <c r="AV114" s="864"/>
      <c r="CD114" s="833"/>
      <c r="CK114" s="5661">
        <v>4</v>
      </c>
      <c r="CL114" s="2276">
        <v>2</v>
      </c>
      <c r="CM114" s="2277" t="s">
        <v>456</v>
      </c>
      <c r="CN114" s="2278" t="str">
        <f>CG107</f>
        <v>24</v>
      </c>
      <c r="CP114" s="2268">
        <f>DATEVALUE(CONCATENATE(CL114,"-",CM114,"-",CN114))</f>
        <v>45475</v>
      </c>
      <c r="DH114" s="1139">
        <v>70</v>
      </c>
      <c r="DI114" s="3017">
        <v>45200</v>
      </c>
      <c r="DJ114" s="3020" t="str">
        <f t="shared" si="67"/>
        <v/>
      </c>
      <c r="HK114" s="877"/>
      <c r="HL114" s="1139">
        <v>13</v>
      </c>
      <c r="HM114" s="3017">
        <v>42736</v>
      </c>
      <c r="HN114" s="3018"/>
      <c r="JS114" s="831"/>
      <c r="MA114" s="831"/>
    </row>
    <row r="115" spans="1:339" ht="27.95" customHeight="1">
      <c r="A115" s="123"/>
      <c r="B115" s="653"/>
      <c r="C115" s="290">
        <v>8</v>
      </c>
      <c r="D115" s="694">
        <v>45931</v>
      </c>
      <c r="E115" s="696">
        <v>31</v>
      </c>
      <c r="F115" s="695"/>
      <c r="I115" s="839">
        <v>8</v>
      </c>
      <c r="J115" s="694">
        <f t="shared" si="64"/>
        <v>45931</v>
      </c>
      <c r="K115" s="936">
        <f t="shared" si="65"/>
        <v>82300</v>
      </c>
      <c r="L115" s="824"/>
      <c r="M115" s="824"/>
      <c r="N115" s="824"/>
      <c r="O115" s="937">
        <f t="shared" si="62"/>
        <v>82300</v>
      </c>
      <c r="P115" s="839"/>
      <c r="Q115" s="839"/>
      <c r="R115" s="839"/>
      <c r="S115" s="938">
        <f t="shared" si="66"/>
        <v>82300</v>
      </c>
      <c r="T115" s="839"/>
      <c r="U115" s="839"/>
      <c r="V115" s="839"/>
      <c r="W115" s="939">
        <f t="shared" si="63"/>
        <v>82300</v>
      </c>
      <c r="X115" s="744"/>
      <c r="Y115" s="9"/>
      <c r="AV115" s="864"/>
      <c r="CD115" s="833"/>
      <c r="CK115" s="5662"/>
      <c r="CL115" s="2279"/>
      <c r="CM115" s="2279"/>
      <c r="CN115" s="2279"/>
      <c r="CP115" s="2272" t="s">
        <v>308</v>
      </c>
      <c r="DH115" s="1139">
        <v>71</v>
      </c>
      <c r="DI115" s="3017">
        <v>45231</v>
      </c>
      <c r="DJ115" s="3020" t="str">
        <f t="shared" si="67"/>
        <v/>
      </c>
      <c r="HK115" s="877"/>
      <c r="HL115" s="1139">
        <v>14</v>
      </c>
      <c r="HM115" s="3017">
        <v>42767</v>
      </c>
      <c r="HN115" s="3018"/>
      <c r="JS115" s="831"/>
      <c r="MA115" s="831"/>
    </row>
    <row r="116" spans="1:339" ht="27.95" customHeight="1">
      <c r="A116" s="123"/>
      <c r="B116" s="653"/>
      <c r="C116" s="290">
        <v>9</v>
      </c>
      <c r="D116" s="694">
        <v>45962</v>
      </c>
      <c r="E116" s="696">
        <v>30</v>
      </c>
      <c r="F116" s="695"/>
      <c r="I116" s="839">
        <v>9</v>
      </c>
      <c r="J116" s="694">
        <f t="shared" si="64"/>
        <v>45962</v>
      </c>
      <c r="K116" s="936">
        <f t="shared" si="65"/>
        <v>82300</v>
      </c>
      <c r="L116" s="824"/>
      <c r="M116" s="824"/>
      <c r="N116" s="824"/>
      <c r="O116" s="937">
        <f t="shared" si="62"/>
        <v>82300</v>
      </c>
      <c r="P116" s="839"/>
      <c r="Q116" s="839"/>
      <c r="R116" s="839"/>
      <c r="S116" s="938">
        <f t="shared" si="66"/>
        <v>82300</v>
      </c>
      <c r="T116" s="839"/>
      <c r="U116" s="839"/>
      <c r="V116" s="839"/>
      <c r="W116" s="939">
        <f t="shared" si="63"/>
        <v>82300</v>
      </c>
      <c r="X116" s="744"/>
      <c r="Y116" s="9"/>
      <c r="AV116" s="864"/>
      <c r="CD116" s="833"/>
      <c r="CK116" s="5663"/>
      <c r="CL116" s="2280">
        <v>31</v>
      </c>
      <c r="CM116" s="2281" t="s">
        <v>467</v>
      </c>
      <c r="CN116" s="2281" t="str">
        <f>CG107</f>
        <v>24</v>
      </c>
      <c r="CP116" s="2275">
        <f>DATEVALUE(CONCATENATE(CL116,"-",CM116,"-",CN116))</f>
        <v>45657</v>
      </c>
      <c r="DH116" s="1139">
        <v>72</v>
      </c>
      <c r="DI116" s="3017">
        <v>45261</v>
      </c>
      <c r="DJ116" s="3020" t="str">
        <f t="shared" si="67"/>
        <v/>
      </c>
      <c r="HK116" s="877"/>
      <c r="HL116" s="1139">
        <v>15</v>
      </c>
      <c r="HM116" s="3017">
        <v>42795</v>
      </c>
      <c r="HN116" s="3018"/>
      <c r="JS116" s="831"/>
      <c r="MA116" s="831"/>
    </row>
    <row r="117" spans="1:339" ht="27.95" customHeight="1">
      <c r="A117" s="123"/>
      <c r="B117" s="653"/>
      <c r="C117" s="290">
        <v>10</v>
      </c>
      <c r="D117" s="694">
        <v>45992</v>
      </c>
      <c r="E117" s="696">
        <v>31</v>
      </c>
      <c r="F117" s="695"/>
      <c r="I117" s="839">
        <v>10</v>
      </c>
      <c r="J117" s="694">
        <f t="shared" si="64"/>
        <v>45992</v>
      </c>
      <c r="K117" s="936">
        <f t="shared" si="65"/>
        <v>82300</v>
      </c>
      <c r="L117" s="824"/>
      <c r="M117" s="824"/>
      <c r="N117" s="824"/>
      <c r="O117" s="937">
        <f t="shared" si="62"/>
        <v>82300</v>
      </c>
      <c r="P117" s="839"/>
      <c r="Q117" s="839"/>
      <c r="R117" s="839"/>
      <c r="S117" s="938">
        <f t="shared" si="66"/>
        <v>82300</v>
      </c>
      <c r="T117" s="839"/>
      <c r="U117" s="839"/>
      <c r="V117" s="839"/>
      <c r="W117" s="939">
        <f t="shared" si="63"/>
        <v>82300</v>
      </c>
      <c r="X117" s="744"/>
      <c r="Y117" s="9"/>
      <c r="AV117" s="864"/>
      <c r="CD117" s="833"/>
      <c r="DH117" s="1139">
        <v>73</v>
      </c>
      <c r="DI117" s="3017">
        <v>45292</v>
      </c>
      <c r="DJ117" s="3020" t="str">
        <f t="shared" si="67"/>
        <v/>
      </c>
      <c r="HK117" s="877"/>
      <c r="HL117" s="1139">
        <v>16</v>
      </c>
      <c r="HM117" s="3017">
        <v>42826</v>
      </c>
      <c r="HN117" s="3018"/>
      <c r="JS117" s="831"/>
      <c r="MA117" s="831"/>
    </row>
    <row r="118" spans="1:339" ht="27.95" customHeight="1">
      <c r="A118" s="123"/>
      <c r="B118" s="653"/>
      <c r="C118" s="290">
        <v>11</v>
      </c>
      <c r="D118" s="694">
        <v>46023</v>
      </c>
      <c r="E118" s="696">
        <v>31</v>
      </c>
      <c r="F118" s="695"/>
      <c r="I118" s="839">
        <v>11</v>
      </c>
      <c r="J118" s="694">
        <f t="shared" si="64"/>
        <v>46023</v>
      </c>
      <c r="K118" s="936">
        <f t="shared" si="65"/>
        <v>84800</v>
      </c>
      <c r="L118" s="824"/>
      <c r="M118" s="824"/>
      <c r="N118" s="824"/>
      <c r="O118" s="937">
        <f t="shared" si="62"/>
        <v>84800</v>
      </c>
      <c r="P118" s="839"/>
      <c r="Q118" s="839"/>
      <c r="R118" s="839"/>
      <c r="S118" s="938">
        <f t="shared" si="66"/>
        <v>84800</v>
      </c>
      <c r="T118" s="839"/>
      <c r="U118" s="839"/>
      <c r="V118" s="839"/>
      <c r="W118" s="939">
        <f t="shared" si="63"/>
        <v>84800</v>
      </c>
      <c r="X118" s="744"/>
      <c r="Y118" s="9"/>
      <c r="AV118" s="864"/>
      <c r="CD118" s="833"/>
      <c r="DH118" s="1139">
        <v>74</v>
      </c>
      <c r="DI118" s="3017">
        <v>45323</v>
      </c>
      <c r="DJ118" s="3020" t="str">
        <f t="shared" si="67"/>
        <v/>
      </c>
      <c r="HK118" s="877"/>
      <c r="HL118" s="1139">
        <v>17</v>
      </c>
      <c r="HM118" s="3017">
        <v>42856</v>
      </c>
      <c r="HN118" s="3018"/>
      <c r="JS118" s="831"/>
      <c r="MA118" s="831"/>
    </row>
    <row r="119" spans="1:339" ht="27.95" customHeight="1">
      <c r="A119" s="123"/>
      <c r="B119" s="653"/>
      <c r="C119" s="290">
        <v>12</v>
      </c>
      <c r="D119" s="694">
        <v>46054</v>
      </c>
      <c r="E119" s="2129">
        <v>28</v>
      </c>
      <c r="F119" s="695"/>
      <c r="I119" s="839">
        <v>12</v>
      </c>
      <c r="J119" s="694">
        <f t="shared" si="64"/>
        <v>46054</v>
      </c>
      <c r="K119" s="936">
        <f t="shared" si="65"/>
        <v>84800</v>
      </c>
      <c r="L119" s="824"/>
      <c r="M119" s="824"/>
      <c r="N119" s="824"/>
      <c r="O119" s="937">
        <f t="shared" si="62"/>
        <v>84800</v>
      </c>
      <c r="P119" s="839"/>
      <c r="Q119" s="839"/>
      <c r="R119" s="839"/>
      <c r="S119" s="938">
        <f t="shared" si="66"/>
        <v>84800</v>
      </c>
      <c r="T119" s="839"/>
      <c r="U119" s="839"/>
      <c r="V119" s="839"/>
      <c r="W119" s="939">
        <f t="shared" si="63"/>
        <v>84800</v>
      </c>
      <c r="X119" s="744"/>
      <c r="Y119" s="9"/>
      <c r="AV119" s="864"/>
      <c r="CD119" s="833"/>
      <c r="CK119" s="2282"/>
      <c r="CL119" s="2215">
        <v>1</v>
      </c>
      <c r="CM119" s="2212" t="s">
        <v>456</v>
      </c>
      <c r="CN119" s="2215" t="str">
        <f>CG107</f>
        <v>24</v>
      </c>
      <c r="CO119" s="2283"/>
      <c r="CP119" s="2216">
        <f>DATEVALUE(CONCATENATE(CL119,"-",CM119,"-",CN119))</f>
        <v>45474</v>
      </c>
      <c r="DH119" s="1139">
        <v>75</v>
      </c>
      <c r="DI119" s="3017">
        <v>45352</v>
      </c>
      <c r="DJ119" s="3020" t="str">
        <f t="shared" si="67"/>
        <v/>
      </c>
      <c r="HK119" s="877"/>
      <c r="HL119" s="1139">
        <v>18</v>
      </c>
      <c r="HM119" s="3017">
        <v>42887</v>
      </c>
      <c r="HN119" s="3018"/>
      <c r="JS119" s="831"/>
      <c r="MA119" s="831"/>
    </row>
    <row r="120" spans="1:339" ht="27.95" customHeight="1">
      <c r="A120" s="123"/>
      <c r="B120" s="653"/>
      <c r="C120" s="290">
        <v>13</v>
      </c>
      <c r="D120" s="2136"/>
      <c r="E120" s="2137"/>
      <c r="F120" s="695"/>
      <c r="I120" s="2138"/>
      <c r="J120" s="2132"/>
      <c r="K120" s="2139"/>
      <c r="L120" s="2139"/>
      <c r="M120" s="2139"/>
      <c r="N120" s="2139"/>
      <c r="O120" s="2139"/>
      <c r="P120" s="2138"/>
      <c r="Q120" s="2138"/>
      <c r="R120" s="2138"/>
      <c r="S120" s="2138"/>
      <c r="T120" s="2138"/>
      <c r="U120" s="2138"/>
      <c r="V120" s="2138"/>
      <c r="W120" s="2138"/>
      <c r="X120" s="744"/>
      <c r="AV120" s="864"/>
      <c r="CD120" s="833"/>
      <c r="CK120" s="2282"/>
      <c r="CL120" s="2215">
        <v>1</v>
      </c>
      <c r="CM120" s="2215" t="s">
        <v>445</v>
      </c>
      <c r="CN120" s="2215">
        <f>CG107+1</f>
        <v>25</v>
      </c>
      <c r="CO120" s="2283"/>
      <c r="CP120" s="2216">
        <f>DATEVALUE(CONCATENATE(CL120,"-",CM120,"-",CN120))</f>
        <v>45658</v>
      </c>
      <c r="DH120" s="1139">
        <v>76</v>
      </c>
      <c r="DI120" s="3017">
        <v>45383</v>
      </c>
      <c r="DJ120" s="3020" t="str">
        <f t="shared" si="67"/>
        <v/>
      </c>
      <c r="HK120" s="877"/>
      <c r="HL120" s="1139">
        <v>19</v>
      </c>
      <c r="HM120" s="3017">
        <v>42917</v>
      </c>
      <c r="HN120" s="3018"/>
      <c r="JS120" s="831"/>
      <c r="MA120" s="831"/>
    </row>
    <row r="121" spans="1:339" ht="27.95" customHeight="1">
      <c r="A121" s="123"/>
      <c r="B121" s="653"/>
      <c r="C121" s="290">
        <v>14</v>
      </c>
      <c r="D121" s="867"/>
      <c r="E121" s="868"/>
      <c r="F121" s="695"/>
      <c r="I121" s="2140"/>
      <c r="J121" s="960"/>
      <c r="K121" s="2141"/>
      <c r="L121" s="2141"/>
      <c r="M121" s="2141"/>
      <c r="N121" s="2141"/>
      <c r="O121" s="2141"/>
      <c r="P121" s="2140"/>
      <c r="Q121" s="2140"/>
      <c r="R121" s="2140"/>
      <c r="S121" s="2140"/>
      <c r="T121" s="2140"/>
      <c r="U121" s="2140"/>
      <c r="V121" s="2140"/>
      <c r="W121" s="2140"/>
      <c r="X121" s="744"/>
      <c r="AV121" s="864"/>
      <c r="CD121" s="833"/>
      <c r="CK121" s="2282"/>
      <c r="CL121" s="2215">
        <v>1</v>
      </c>
      <c r="CM121" s="2210" t="s">
        <v>456</v>
      </c>
      <c r="CN121" s="2215">
        <f>CG107+1</f>
        <v>25</v>
      </c>
      <c r="CO121" s="2283"/>
      <c r="CP121" s="2216">
        <f>DATEVALUE(CONCATENATE(CL121,"-",CM121,"-",CN121))</f>
        <v>45839</v>
      </c>
      <c r="DH121" s="1139">
        <v>77</v>
      </c>
      <c r="DI121" s="3017">
        <v>45413</v>
      </c>
      <c r="DJ121" s="3020">
        <f t="shared" si="67"/>
        <v>104100</v>
      </c>
      <c r="HK121" s="877"/>
      <c r="HL121" s="1139">
        <v>20</v>
      </c>
      <c r="HM121" s="3017">
        <v>42948</v>
      </c>
      <c r="HN121" s="3018"/>
      <c r="JS121" s="831"/>
      <c r="MA121" s="831"/>
    </row>
    <row r="122" spans="1:339" ht="27.95" customHeight="1">
      <c r="A122" s="123"/>
      <c r="B122" s="653"/>
      <c r="C122" s="290">
        <v>15</v>
      </c>
      <c r="X122" s="649"/>
      <c r="AV122" s="864"/>
      <c r="CD122" s="833"/>
      <c r="CK122" s="2282"/>
      <c r="CL122" s="2215">
        <v>1</v>
      </c>
      <c r="CM122" s="2215" t="s">
        <v>445</v>
      </c>
      <c r="CN122" s="1688">
        <f>CG107+2</f>
        <v>26</v>
      </c>
      <c r="CO122" s="2283"/>
      <c r="CP122" s="2216">
        <f>DATEVALUE(CONCATENATE(CL122,"-",CM122,"-",CN122))</f>
        <v>46023</v>
      </c>
      <c r="DH122" s="1139">
        <v>78</v>
      </c>
      <c r="DI122" s="3017">
        <v>45444</v>
      </c>
      <c r="DJ122" s="3020">
        <f t="shared" si="67"/>
        <v>104100</v>
      </c>
      <c r="HK122" s="877"/>
      <c r="HL122" s="1139">
        <v>21</v>
      </c>
      <c r="HM122" s="3017">
        <v>42979</v>
      </c>
      <c r="HN122" s="3018"/>
      <c r="JS122" s="831"/>
      <c r="MA122" s="831"/>
    </row>
    <row r="123" spans="1:339" ht="27.95" customHeight="1">
      <c r="A123" s="123"/>
      <c r="B123" s="653"/>
      <c r="C123" s="290">
        <v>16</v>
      </c>
      <c r="X123" s="649"/>
      <c r="AV123" s="864"/>
      <c r="CD123" s="833"/>
      <c r="CK123" s="955"/>
      <c r="CL123" s="2178"/>
      <c r="DH123" s="1139">
        <v>79</v>
      </c>
      <c r="DI123" s="3017">
        <v>45474</v>
      </c>
      <c r="DJ123" s="3020">
        <f t="shared" si="67"/>
        <v>104100</v>
      </c>
      <c r="HK123" s="877"/>
      <c r="HL123" s="1139">
        <v>22</v>
      </c>
      <c r="HM123" s="3017">
        <v>43009</v>
      </c>
      <c r="HN123" s="3018"/>
      <c r="JS123" s="831"/>
      <c r="MA123" s="831"/>
    </row>
    <row r="124" spans="1:339" ht="27.95" customHeight="1">
      <c r="A124" s="123"/>
      <c r="B124" s="653"/>
      <c r="C124" s="290">
        <v>17</v>
      </c>
      <c r="X124" s="649"/>
      <c r="AV124" s="864"/>
      <c r="CD124" s="833"/>
      <c r="DH124" s="1139">
        <v>80</v>
      </c>
      <c r="DI124" s="3017">
        <v>45505</v>
      </c>
      <c r="DJ124" s="3020">
        <f t="shared" si="67"/>
        <v>104100</v>
      </c>
      <c r="HK124" s="877"/>
      <c r="HL124" s="1139">
        <v>23</v>
      </c>
      <c r="HM124" s="3017">
        <v>43040</v>
      </c>
      <c r="HN124" s="3018"/>
      <c r="JS124" s="831"/>
      <c r="MA124" s="831"/>
    </row>
    <row r="125" spans="1:339" ht="27.95" customHeight="1">
      <c r="A125" s="123"/>
      <c r="B125" s="653"/>
      <c r="C125" s="290">
        <v>18</v>
      </c>
      <c r="X125" s="649"/>
      <c r="AV125" s="864"/>
      <c r="CD125" s="833"/>
      <c r="DH125" s="1139">
        <v>81</v>
      </c>
      <c r="DI125" s="3017">
        <v>45536</v>
      </c>
      <c r="DJ125" s="3020">
        <f t="shared" si="67"/>
        <v>104100</v>
      </c>
      <c r="HK125" s="877"/>
      <c r="HL125" s="1139">
        <v>24</v>
      </c>
      <c r="HM125" s="3017">
        <v>43070</v>
      </c>
      <c r="HN125" s="3018"/>
      <c r="JS125" s="831"/>
      <c r="MA125" s="831"/>
    </row>
    <row r="126" spans="1:339" ht="27.95" customHeight="1">
      <c r="A126" s="123"/>
      <c r="B126" s="653"/>
      <c r="C126" s="290">
        <v>19</v>
      </c>
      <c r="X126" s="649"/>
      <c r="AV126" s="864"/>
      <c r="CD126" s="833"/>
      <c r="DH126" s="1139">
        <v>82</v>
      </c>
      <c r="DI126" s="3017">
        <v>45566</v>
      </c>
      <c r="DJ126" s="3020">
        <f t="shared" si="67"/>
        <v>104100</v>
      </c>
      <c r="HK126" s="877"/>
      <c r="HL126" s="1139">
        <v>25</v>
      </c>
      <c r="HM126" s="3017">
        <v>43101</v>
      </c>
      <c r="HN126" s="3018"/>
      <c r="JS126" s="831"/>
      <c r="MA126" s="831"/>
    </row>
    <row r="127" spans="1:339" ht="27.95" customHeight="1">
      <c r="A127" s="123"/>
      <c r="B127" s="653"/>
      <c r="C127" s="290">
        <v>20</v>
      </c>
      <c r="X127" s="649"/>
      <c r="AV127" s="864"/>
      <c r="CD127" s="833"/>
      <c r="DH127" s="1139">
        <v>83</v>
      </c>
      <c r="DI127" s="3017">
        <v>45597</v>
      </c>
      <c r="DJ127" s="3020">
        <f t="shared" si="67"/>
        <v>104100</v>
      </c>
      <c r="HK127" s="877"/>
      <c r="HL127" s="1139">
        <v>26</v>
      </c>
      <c r="HM127" s="3017">
        <v>43132</v>
      </c>
      <c r="HN127" s="3018"/>
      <c r="JS127" s="831"/>
      <c r="MA127" s="831"/>
    </row>
    <row r="128" spans="1:339" ht="27.95" customHeight="1">
      <c r="A128" s="123"/>
      <c r="B128" s="653"/>
      <c r="C128" s="290">
        <v>21</v>
      </c>
      <c r="X128" s="649"/>
      <c r="AV128" s="864"/>
      <c r="CD128" s="833"/>
      <c r="DH128" s="1139">
        <v>84</v>
      </c>
      <c r="DI128" s="3017">
        <v>45627</v>
      </c>
      <c r="DJ128" s="3020">
        <f t="shared" si="67"/>
        <v>104100</v>
      </c>
      <c r="HK128" s="877"/>
      <c r="HL128" s="1139">
        <v>27</v>
      </c>
      <c r="HM128" s="3017">
        <v>43160</v>
      </c>
      <c r="HN128" s="3018"/>
      <c r="JS128" s="831"/>
      <c r="MA128" s="831"/>
    </row>
    <row r="129" spans="1:339" ht="27.95" customHeight="1">
      <c r="A129" s="123"/>
      <c r="B129" s="653"/>
      <c r="C129" s="290">
        <v>22</v>
      </c>
      <c r="X129" s="649"/>
      <c r="AV129" s="864"/>
      <c r="CD129" s="833"/>
      <c r="DH129" s="1139">
        <v>85</v>
      </c>
      <c r="DI129" s="3017">
        <v>45658</v>
      </c>
      <c r="DJ129" s="3020">
        <f t="shared" si="67"/>
        <v>107200</v>
      </c>
      <c r="HK129" s="877"/>
      <c r="HL129" s="1139">
        <v>28</v>
      </c>
      <c r="HM129" s="3017">
        <v>43191</v>
      </c>
      <c r="HN129" s="3018"/>
      <c r="JS129" s="831"/>
      <c r="MA129" s="831"/>
    </row>
    <row r="130" spans="1:339" ht="27.95" customHeight="1">
      <c r="A130" s="123"/>
      <c r="B130" s="653"/>
      <c r="C130" s="290">
        <v>23</v>
      </c>
      <c r="X130" s="649"/>
      <c r="AV130" s="864"/>
      <c r="CD130" s="833"/>
      <c r="DH130" s="1139">
        <v>86</v>
      </c>
      <c r="DI130" s="3017">
        <v>45689</v>
      </c>
      <c r="DJ130" s="3020">
        <f t="shared" si="67"/>
        <v>107200</v>
      </c>
      <c r="HK130" s="877"/>
      <c r="HL130" s="1139">
        <v>29</v>
      </c>
      <c r="HM130" s="3017">
        <v>43221</v>
      </c>
      <c r="HN130" s="3018"/>
      <c r="JS130" s="831"/>
      <c r="MA130" s="831"/>
    </row>
    <row r="131" spans="1:339" ht="27.95" customHeight="1">
      <c r="A131" s="123"/>
      <c r="B131" s="653"/>
      <c r="C131" s="290">
        <v>24</v>
      </c>
      <c r="X131" s="649"/>
      <c r="AV131" s="864"/>
      <c r="CD131" s="833"/>
      <c r="DH131" s="1139">
        <v>87</v>
      </c>
      <c r="DI131" s="3017">
        <v>45717</v>
      </c>
      <c r="DJ131" s="3020">
        <f t="shared" si="67"/>
        <v>107200</v>
      </c>
      <c r="HK131" s="877"/>
      <c r="HL131" s="1139">
        <v>30</v>
      </c>
      <c r="HM131" s="3017">
        <v>43252</v>
      </c>
      <c r="HN131" s="3018"/>
      <c r="JS131" s="831"/>
      <c r="MA131" s="831"/>
    </row>
    <row r="132" spans="1:339" ht="27.95" customHeight="1">
      <c r="A132" s="123"/>
      <c r="B132" s="653"/>
      <c r="C132" s="290">
        <v>25</v>
      </c>
      <c r="X132" s="649"/>
      <c r="AV132" s="864"/>
      <c r="CD132" s="833"/>
      <c r="DH132" s="1139">
        <v>88</v>
      </c>
      <c r="DI132" s="3017">
        <v>45748</v>
      </c>
      <c r="DJ132" s="3020">
        <f t="shared" si="67"/>
        <v>107200</v>
      </c>
      <c r="HK132" s="877"/>
      <c r="HL132" s="1139">
        <v>31</v>
      </c>
      <c r="HM132" s="3017">
        <v>43282</v>
      </c>
      <c r="HN132" s="3018"/>
      <c r="JS132" s="831"/>
      <c r="MA132" s="831"/>
    </row>
    <row r="133" spans="1:339" ht="27.95" customHeight="1">
      <c r="A133" s="123"/>
      <c r="B133" s="653"/>
      <c r="C133" s="290">
        <v>26</v>
      </c>
      <c r="X133" s="649"/>
      <c r="AV133" s="864"/>
      <c r="CD133" s="833"/>
      <c r="DH133" s="1139">
        <v>89</v>
      </c>
      <c r="DI133" s="3017">
        <v>45778</v>
      </c>
      <c r="DJ133" s="3020">
        <f t="shared" si="67"/>
        <v>107200</v>
      </c>
      <c r="HK133" s="877"/>
      <c r="HL133" s="1139">
        <v>32</v>
      </c>
      <c r="HM133" s="3017">
        <v>43313</v>
      </c>
      <c r="HN133" s="3018"/>
      <c r="JS133" s="831"/>
      <c r="MA133" s="831"/>
    </row>
    <row r="134" spans="1:339" ht="27.95" customHeight="1">
      <c r="A134" s="123"/>
      <c r="B134" s="653"/>
      <c r="C134" s="290">
        <v>27</v>
      </c>
      <c r="X134" s="649"/>
      <c r="AV134" s="864"/>
      <c r="CD134" s="833"/>
      <c r="DH134" s="1139">
        <v>90</v>
      </c>
      <c r="DI134" s="3017">
        <v>45809</v>
      </c>
      <c r="DJ134" s="3020">
        <f t="shared" si="67"/>
        <v>107200</v>
      </c>
      <c r="HK134" s="877"/>
      <c r="HL134" s="1139">
        <v>33</v>
      </c>
      <c r="HM134" s="3017">
        <v>43344</v>
      </c>
      <c r="HN134" s="3018"/>
      <c r="JS134" s="831"/>
      <c r="MA134" s="831"/>
    </row>
    <row r="135" spans="1:339" ht="27.95" customHeight="1">
      <c r="A135" s="123"/>
      <c r="B135" s="653"/>
      <c r="C135" s="290">
        <v>28</v>
      </c>
      <c r="X135" s="649"/>
      <c r="AV135" s="864"/>
      <c r="CD135" s="833"/>
      <c r="DH135" s="1139">
        <v>91</v>
      </c>
      <c r="DI135" s="3017">
        <v>45839</v>
      </c>
      <c r="DJ135" s="3020">
        <f t="shared" si="67"/>
        <v>107200</v>
      </c>
      <c r="HK135" s="877"/>
      <c r="HL135" s="1139">
        <v>34</v>
      </c>
      <c r="HM135" s="3017">
        <v>43374</v>
      </c>
      <c r="HN135" s="3018"/>
      <c r="JS135" s="831"/>
      <c r="MA135" s="831"/>
    </row>
    <row r="136" spans="1:339" ht="27.95" customHeight="1">
      <c r="A136" s="123"/>
      <c r="B136" s="653"/>
      <c r="C136" s="290">
        <v>29</v>
      </c>
      <c r="X136" s="649"/>
      <c r="AV136" s="864"/>
      <c r="CD136" s="833"/>
      <c r="DH136" s="1139">
        <v>92</v>
      </c>
      <c r="DI136" s="3017">
        <v>45870</v>
      </c>
      <c r="DJ136" s="3020">
        <f t="shared" si="67"/>
        <v>107200</v>
      </c>
      <c r="HK136" s="877"/>
      <c r="HL136" s="1139">
        <v>35</v>
      </c>
      <c r="HM136" s="3017">
        <v>43405</v>
      </c>
      <c r="HN136" s="3018"/>
      <c r="JS136" s="831"/>
      <c r="MA136" s="831"/>
    </row>
    <row r="137" spans="1:339" ht="27.95" customHeight="1">
      <c r="A137" s="123"/>
      <c r="B137" s="653"/>
      <c r="C137" s="290">
        <v>30</v>
      </c>
      <c r="X137" s="649"/>
      <c r="AV137" s="864"/>
      <c r="CD137" s="833"/>
      <c r="DH137" s="1139">
        <v>93</v>
      </c>
      <c r="DI137" s="3017">
        <v>45901</v>
      </c>
      <c r="DJ137" s="3020">
        <f t="shared" si="67"/>
        <v>107200</v>
      </c>
      <c r="HK137" s="877"/>
      <c r="HL137" s="1139">
        <v>36</v>
      </c>
      <c r="HM137" s="3017">
        <v>43435</v>
      </c>
      <c r="HN137" s="3018"/>
      <c r="JS137" s="831"/>
      <c r="MA137" s="831"/>
    </row>
    <row r="138" spans="1:339" ht="27.95" customHeight="1">
      <c r="A138" s="123"/>
      <c r="B138" s="653"/>
      <c r="C138" s="290">
        <v>31</v>
      </c>
      <c r="X138" s="649"/>
      <c r="AV138" s="864"/>
      <c r="CD138" s="833"/>
      <c r="DH138" s="1139">
        <v>94</v>
      </c>
      <c r="DI138" s="3017">
        <v>45931</v>
      </c>
      <c r="DJ138" s="3020">
        <f t="shared" si="67"/>
        <v>107200</v>
      </c>
      <c r="HK138" s="877"/>
      <c r="HL138" s="1139">
        <v>37</v>
      </c>
      <c r="HM138" s="3017">
        <v>43466</v>
      </c>
      <c r="HN138" s="3018"/>
      <c r="JS138" s="831"/>
      <c r="MA138" s="831"/>
    </row>
    <row r="139" spans="1:339" ht="27.95" customHeight="1">
      <c r="A139" s="123"/>
      <c r="B139" s="653"/>
      <c r="X139" s="649"/>
      <c r="AV139" s="864"/>
      <c r="CD139" s="833"/>
      <c r="DH139" s="1139">
        <v>95</v>
      </c>
      <c r="DI139" s="3017">
        <v>45962</v>
      </c>
      <c r="DJ139" s="3020">
        <f t="shared" si="67"/>
        <v>107200</v>
      </c>
      <c r="HK139" s="877"/>
      <c r="HL139" s="1139">
        <v>38</v>
      </c>
      <c r="HM139" s="3017">
        <v>43497</v>
      </c>
      <c r="HN139" s="3018"/>
      <c r="JS139" s="831"/>
      <c r="MA139" s="831"/>
    </row>
    <row r="140" spans="1:339" ht="27.95" customHeight="1">
      <c r="A140" s="123"/>
      <c r="B140" s="653"/>
      <c r="X140" s="649"/>
      <c r="AV140" s="864"/>
      <c r="CD140" s="833"/>
      <c r="DH140" s="1139">
        <v>96</v>
      </c>
      <c r="DI140" s="3017">
        <v>45992</v>
      </c>
      <c r="DJ140" s="3020">
        <f t="shared" si="67"/>
        <v>107200</v>
      </c>
      <c r="HK140" s="877"/>
      <c r="HL140" s="1139">
        <v>39</v>
      </c>
      <c r="HM140" s="3017">
        <v>43525</v>
      </c>
      <c r="HN140" s="3018"/>
      <c r="JS140" s="831"/>
      <c r="MA140" s="831"/>
    </row>
    <row r="141" spans="1:339" ht="27.95" customHeight="1">
      <c r="A141" s="123"/>
      <c r="B141" s="653"/>
      <c r="X141" s="649"/>
      <c r="AV141" s="864"/>
      <c r="CD141" s="833"/>
      <c r="DH141" s="1139">
        <v>97</v>
      </c>
      <c r="DI141" s="3017">
        <v>46023</v>
      </c>
      <c r="DJ141" s="3020">
        <f t="shared" si="67"/>
        <v>110400</v>
      </c>
      <c r="HK141" s="877"/>
      <c r="HL141" s="1139">
        <v>40</v>
      </c>
      <c r="HM141" s="3017">
        <v>43556</v>
      </c>
      <c r="HN141" s="3018"/>
      <c r="JS141" s="831"/>
      <c r="MA141" s="831"/>
    </row>
    <row r="142" spans="1:339" ht="27.95" customHeight="1">
      <c r="A142" s="123"/>
      <c r="B142" s="653"/>
      <c r="X142" s="649"/>
      <c r="AV142" s="864"/>
      <c r="CD142" s="833"/>
      <c r="DH142" s="1139">
        <v>98</v>
      </c>
      <c r="DI142" s="3017">
        <v>46054</v>
      </c>
      <c r="DJ142" s="3020">
        <f t="shared" si="67"/>
        <v>110400</v>
      </c>
      <c r="HK142" s="877"/>
      <c r="HL142" s="1139">
        <v>41</v>
      </c>
      <c r="HM142" s="3017">
        <v>43586</v>
      </c>
      <c r="HN142" s="3018"/>
      <c r="JS142" s="831"/>
      <c r="MA142" s="831"/>
    </row>
    <row r="143" spans="1:339" ht="27.95" customHeight="1">
      <c r="A143" s="123"/>
      <c r="B143" s="653"/>
      <c r="X143" s="649"/>
      <c r="AV143" s="864"/>
      <c r="CD143" s="833"/>
      <c r="HK143" s="877"/>
      <c r="HL143" s="1139">
        <v>42</v>
      </c>
      <c r="HM143" s="3017">
        <v>43617</v>
      </c>
      <c r="HN143" s="3018"/>
      <c r="JS143" s="831"/>
      <c r="MA143" s="831"/>
    </row>
    <row r="144" spans="1:339" ht="27.95" customHeight="1">
      <c r="A144" s="123"/>
      <c r="B144" s="653"/>
      <c r="X144" s="649"/>
      <c r="AV144" s="864"/>
      <c r="CD144" s="833"/>
      <c r="HK144" s="877"/>
      <c r="HL144" s="1139">
        <v>43</v>
      </c>
      <c r="HM144" s="3017">
        <v>43647</v>
      </c>
      <c r="HN144" s="3018"/>
      <c r="JS144" s="831"/>
      <c r="MA144" s="831"/>
    </row>
    <row r="145" spans="1:339" ht="27.95" customHeight="1">
      <c r="A145" s="123"/>
      <c r="B145" s="653"/>
      <c r="X145" s="649"/>
      <c r="AV145" s="864"/>
      <c r="CD145" s="833"/>
      <c r="HK145" s="877"/>
      <c r="HL145" s="1139">
        <v>44</v>
      </c>
      <c r="HM145" s="3017">
        <v>43678</v>
      </c>
      <c r="HN145" s="3018"/>
      <c r="JS145" s="831"/>
      <c r="MA145" s="831"/>
    </row>
    <row r="146" spans="1:339" ht="27.95" customHeight="1">
      <c r="A146" s="123"/>
      <c r="B146" s="653"/>
      <c r="X146" s="649"/>
      <c r="AV146" s="864"/>
      <c r="CD146" s="833"/>
      <c r="HK146" s="877"/>
      <c r="HL146" s="1139">
        <v>45</v>
      </c>
      <c r="HM146" s="3017">
        <v>43709</v>
      </c>
      <c r="HN146" s="3018"/>
      <c r="JS146" s="831"/>
      <c r="MA146" s="831"/>
    </row>
    <row r="147" spans="1:339" ht="27.95" customHeight="1">
      <c r="A147" s="123"/>
      <c r="B147" s="653"/>
      <c r="X147" s="649"/>
      <c r="AV147" s="864"/>
      <c r="CD147" s="833"/>
      <c r="HK147" s="877"/>
      <c r="HL147" s="1139">
        <v>46</v>
      </c>
      <c r="HM147" s="3017">
        <v>43739</v>
      </c>
      <c r="HN147" s="3018"/>
      <c r="JS147" s="831"/>
      <c r="MA147" s="831"/>
    </row>
    <row r="148" spans="1:339" ht="27.95" customHeight="1">
      <c r="A148" s="123"/>
      <c r="B148" s="653"/>
      <c r="X148" s="649"/>
      <c r="AV148" s="864"/>
      <c r="CD148" s="833"/>
      <c r="HK148" s="877"/>
      <c r="HL148" s="1139">
        <v>47</v>
      </c>
      <c r="HM148" s="3017">
        <v>43770</v>
      </c>
      <c r="HN148" s="3018"/>
      <c r="JS148" s="831"/>
      <c r="MA148" s="831"/>
    </row>
    <row r="149" spans="1:339" ht="27.95" customHeight="1">
      <c r="A149" s="123"/>
      <c r="B149" s="653"/>
      <c r="X149" s="649"/>
      <c r="AV149" s="864"/>
      <c r="CD149" s="833"/>
      <c r="HK149" s="877"/>
      <c r="HL149" s="1139">
        <v>48</v>
      </c>
      <c r="HM149" s="3017">
        <v>43800</v>
      </c>
      <c r="HN149" s="3018"/>
      <c r="JS149" s="831"/>
      <c r="MA149" s="831"/>
    </row>
    <row r="150" spans="1:339" ht="27.95" customHeight="1">
      <c r="A150" s="123"/>
      <c r="B150" s="653"/>
      <c r="X150" s="649"/>
      <c r="AV150" s="864"/>
      <c r="CD150" s="833"/>
      <c r="HK150" s="877"/>
      <c r="HL150" s="1139">
        <v>49</v>
      </c>
      <c r="HM150" s="3017">
        <v>43831</v>
      </c>
      <c r="HN150" s="3018"/>
      <c r="JS150" s="831"/>
      <c r="MA150" s="831"/>
    </row>
    <row r="151" spans="1:339" ht="27.95" customHeight="1">
      <c r="A151" s="123"/>
      <c r="B151" s="653"/>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942"/>
      <c r="DC151" s="942"/>
      <c r="DD151" s="942"/>
      <c r="DE151" s="942"/>
      <c r="DF151" s="942"/>
      <c r="DG151" s="942"/>
      <c r="DH151" s="942"/>
      <c r="DI151" s="942"/>
      <c r="DJ151" s="942"/>
      <c r="DK151" s="942"/>
      <c r="DL151" s="942"/>
      <c r="DM151" s="942"/>
      <c r="DN151" s="942"/>
      <c r="DO151" s="942"/>
      <c r="DP151" s="942"/>
      <c r="DQ151" s="942"/>
      <c r="DR151" s="942"/>
      <c r="DS151" s="942"/>
      <c r="DT151" s="942"/>
      <c r="DU151" s="942"/>
      <c r="DV151" s="942"/>
      <c r="DW151" s="942"/>
      <c r="DX151" s="942"/>
      <c r="DY151" s="942"/>
      <c r="DZ151" s="942"/>
      <c r="EA151" s="942"/>
      <c r="EB151" s="942"/>
      <c r="EC151" s="942"/>
      <c r="ED151" s="942"/>
      <c r="EE151" s="942"/>
      <c r="EF151" s="942"/>
      <c r="EG151" s="942"/>
      <c r="EH151" s="942"/>
      <c r="EI151" s="942"/>
      <c r="EJ151" s="942"/>
      <c r="EK151" s="942"/>
      <c r="EL151" s="942"/>
      <c r="EM151" s="942"/>
      <c r="EN151" s="942"/>
      <c r="EO151" s="942"/>
      <c r="EP151" s="942"/>
      <c r="EQ151" s="942"/>
      <c r="ER151" s="942"/>
      <c r="ES151" s="942"/>
      <c r="ET151" s="942"/>
      <c r="EU151" s="942"/>
      <c r="EV151" s="942"/>
      <c r="EW151" s="942"/>
      <c r="EX151" s="942"/>
      <c r="EY151" s="942"/>
      <c r="EZ151" s="942"/>
      <c r="FA151" s="942"/>
      <c r="FB151" s="942"/>
      <c r="FC151" s="942"/>
      <c r="FD151" s="942"/>
      <c r="FE151" s="942"/>
      <c r="FF151" s="942"/>
      <c r="FG151" s="942"/>
      <c r="FH151" s="942"/>
      <c r="FI151" s="942"/>
      <c r="FJ151" s="942"/>
      <c r="FK151" s="942"/>
      <c r="FL151" s="942"/>
      <c r="FM151" s="942"/>
      <c r="FN151" s="942"/>
      <c r="FO151" s="942"/>
      <c r="FP151" s="942"/>
      <c r="FQ151" s="942"/>
      <c r="FR151" s="942"/>
      <c r="FS151" s="942"/>
      <c r="FT151" s="942"/>
      <c r="FU151" s="942"/>
      <c r="FV151" s="942"/>
      <c r="FW151" s="942"/>
      <c r="FX151" s="942"/>
      <c r="FY151" s="942"/>
      <c r="FZ151" s="942"/>
      <c r="GA151" s="942"/>
      <c r="GB151" s="942"/>
      <c r="GC151" s="942"/>
      <c r="GD151" s="942"/>
      <c r="GE151" s="942"/>
      <c r="GF151" s="942"/>
      <c r="GG151" s="942"/>
      <c r="GH151" s="942"/>
      <c r="GI151" s="942"/>
      <c r="GJ151" s="942"/>
      <c r="GK151" s="942"/>
      <c r="GL151" s="942"/>
      <c r="GM151" s="942"/>
      <c r="GN151" s="942"/>
      <c r="GO151" s="942"/>
      <c r="GP151" s="942"/>
      <c r="GQ151" s="942"/>
      <c r="GR151" s="942"/>
      <c r="GS151" s="942"/>
      <c r="GT151" s="942"/>
      <c r="GU151" s="942"/>
      <c r="GV151" s="942"/>
      <c r="GW151" s="942"/>
      <c r="GX151" s="942"/>
      <c r="GY151" s="942"/>
      <c r="GZ151" s="942"/>
      <c r="HA151" s="942"/>
      <c r="HB151" s="942"/>
      <c r="HC151" s="942"/>
      <c r="HD151" s="942"/>
      <c r="HE151" s="942"/>
      <c r="HF151" s="942"/>
      <c r="HG151" s="942"/>
      <c r="HH151" s="942"/>
      <c r="HI151" s="942"/>
      <c r="HJ151" s="942"/>
      <c r="HK151" s="877"/>
      <c r="HL151" s="1139">
        <v>50</v>
      </c>
      <c r="HM151" s="3017">
        <v>43862</v>
      </c>
      <c r="HN151" s="3018"/>
      <c r="JS151" s="942"/>
      <c r="JT151" s="942"/>
      <c r="JU151" s="942"/>
      <c r="JV151" s="942"/>
      <c r="JW151" s="942"/>
      <c r="JX151" s="942"/>
      <c r="JY151" s="942"/>
      <c r="JZ151" s="942"/>
      <c r="KA151" s="942"/>
      <c r="KB151" s="942"/>
      <c r="KC151" s="942"/>
      <c r="KD151" s="942"/>
      <c r="KE151" s="942"/>
      <c r="KF151" s="942"/>
      <c r="KG151" s="942"/>
      <c r="KH151" s="942"/>
      <c r="KI151" s="942"/>
      <c r="KJ151" s="942"/>
      <c r="KK151" s="942"/>
      <c r="KL151" s="942"/>
      <c r="KM151" s="942"/>
      <c r="KN151" s="942"/>
      <c r="KO151" s="942"/>
      <c r="KP151" s="942"/>
      <c r="KQ151" s="942"/>
      <c r="KR151" s="942"/>
      <c r="KS151" s="942"/>
      <c r="KT151" s="942"/>
      <c r="KU151" s="942"/>
      <c r="KV151" s="942"/>
      <c r="KW151" s="942"/>
      <c r="KX151" s="942"/>
      <c r="KY151" s="942"/>
      <c r="KZ151" s="942"/>
      <c r="LA151" s="942"/>
      <c r="LB151" s="942"/>
      <c r="LC151" s="942"/>
      <c r="LD151" s="942"/>
      <c r="LE151" s="942"/>
      <c r="LF151" s="942"/>
      <c r="LG151" s="942"/>
      <c r="LH151" s="942"/>
      <c r="LI151" s="942"/>
      <c r="LJ151" s="942"/>
      <c r="LK151" s="942"/>
      <c r="LL151" s="942"/>
      <c r="LM151" s="942"/>
      <c r="LN151" s="942"/>
      <c r="LO151" s="942"/>
      <c r="LP151" s="942"/>
      <c r="LQ151" s="942"/>
      <c r="LR151" s="942"/>
      <c r="LS151" s="942"/>
      <c r="LT151" s="942"/>
      <c r="LU151" s="942"/>
      <c r="LV151" s="942"/>
      <c r="LW151" s="942"/>
      <c r="LX151" s="942"/>
      <c r="LY151" s="942"/>
      <c r="LZ151" s="942"/>
      <c r="MA151" s="864"/>
    </row>
    <row r="152" spans="1:339" ht="27.95" customHeight="1">
      <c r="A152" s="123"/>
      <c r="B152" s="653"/>
      <c r="C152" s="345"/>
      <c r="D152" s="5478" t="s">
        <v>927</v>
      </c>
      <c r="E152" s="5478"/>
      <c r="F152" s="5478"/>
      <c r="G152" s="5478"/>
      <c r="H152" s="345"/>
      <c r="I152" s="345"/>
      <c r="J152" s="345"/>
      <c r="K152" s="345"/>
      <c r="L152" s="345"/>
      <c r="M152" s="345"/>
      <c r="N152" s="345"/>
      <c r="O152" s="345"/>
      <c r="P152" s="345"/>
      <c r="Q152" s="345"/>
      <c r="R152" s="345"/>
      <c r="S152" s="345"/>
      <c r="T152" s="345"/>
      <c r="U152" s="345"/>
      <c r="V152" s="345"/>
      <c r="W152" s="345"/>
      <c r="X152" s="345"/>
      <c r="Y152" s="345"/>
      <c r="Z152" s="345"/>
      <c r="AA152" s="345"/>
      <c r="AB152" s="345"/>
      <c r="AC152" s="345"/>
      <c r="AD152" s="345"/>
      <c r="AE152" s="345"/>
      <c r="AF152" s="345"/>
      <c r="AG152" s="345"/>
      <c r="AH152" s="345"/>
      <c r="AI152" s="345"/>
      <c r="AJ152" s="5478" t="s">
        <v>941</v>
      </c>
      <c r="AK152" s="5478"/>
      <c r="AL152" s="5478"/>
      <c r="AM152" s="5478"/>
      <c r="AN152" s="5478"/>
      <c r="AO152" s="5478"/>
      <c r="AP152" s="345"/>
      <c r="AQ152" s="345"/>
      <c r="AR152" s="345"/>
      <c r="AS152" s="345"/>
      <c r="AT152" s="345"/>
      <c r="AU152" s="345"/>
      <c r="AV152" s="345"/>
      <c r="AW152" s="345"/>
      <c r="AX152" s="345"/>
      <c r="AY152" s="345"/>
      <c r="AZ152" s="345"/>
      <c r="BA152" s="345"/>
      <c r="BB152" s="345"/>
      <c r="BC152" s="345"/>
      <c r="BD152" s="345"/>
      <c r="BE152" s="345"/>
      <c r="BF152" s="345"/>
      <c r="BG152" s="345"/>
      <c r="BH152" s="345"/>
      <c r="BI152" s="345"/>
      <c r="BJ152" s="345"/>
      <c r="BK152" s="345"/>
      <c r="BL152" s="345"/>
      <c r="BM152" s="345"/>
      <c r="BN152" s="817"/>
      <c r="BO152" s="5478" t="s">
        <v>942</v>
      </c>
      <c r="BP152" s="5478"/>
      <c r="BQ152" s="5478"/>
      <c r="BR152" s="5478"/>
      <c r="BS152" s="345"/>
      <c r="BT152" s="345"/>
      <c r="BU152" s="345"/>
      <c r="BV152" s="345"/>
      <c r="BW152" s="345"/>
      <c r="BX152" s="345"/>
      <c r="BY152" s="345"/>
      <c r="BZ152" s="345"/>
      <c r="CA152" s="345"/>
      <c r="CB152" s="345"/>
      <c r="CC152" s="345"/>
      <c r="CD152" s="345"/>
      <c r="CE152" s="345"/>
      <c r="CF152" s="345"/>
      <c r="CG152" s="345"/>
      <c r="CH152" s="345"/>
      <c r="CI152" s="345"/>
      <c r="CJ152" s="345"/>
      <c r="CK152" s="345"/>
      <c r="CL152" s="345"/>
      <c r="CM152" s="345"/>
      <c r="CN152" s="345"/>
      <c r="CO152" s="345"/>
      <c r="CP152" s="345"/>
      <c r="CQ152" s="345"/>
      <c r="CR152" s="345"/>
      <c r="CS152" s="5478" t="s">
        <v>944</v>
      </c>
      <c r="CT152" s="5478"/>
      <c r="CU152" s="5478"/>
      <c r="CV152" s="5478"/>
      <c r="CW152" s="5478"/>
      <c r="CX152" s="5478"/>
      <c r="CY152" s="345"/>
      <c r="CZ152" s="345"/>
      <c r="DA152" s="345"/>
      <c r="DB152" s="345"/>
      <c r="DC152" s="345"/>
      <c r="DD152" s="345"/>
      <c r="DE152" s="345"/>
      <c r="DF152" s="345"/>
      <c r="DG152" s="345"/>
      <c r="DH152" s="345"/>
      <c r="DI152" s="345"/>
      <c r="DJ152" s="345"/>
      <c r="DK152" s="345"/>
      <c r="DL152" s="345"/>
      <c r="DM152" s="345"/>
      <c r="DN152" s="345"/>
      <c r="DO152" s="345"/>
      <c r="DP152" s="345"/>
      <c r="DQ152" s="840"/>
      <c r="DR152" s="840"/>
      <c r="DS152" s="840"/>
      <c r="DT152" s="840"/>
      <c r="DU152" s="840"/>
      <c r="DV152" s="833"/>
      <c r="HK152" s="877"/>
      <c r="HL152" s="1139">
        <v>51</v>
      </c>
      <c r="HM152" s="3017">
        <v>43891</v>
      </c>
      <c r="HN152" s="3018"/>
      <c r="MA152" s="831"/>
    </row>
    <row r="153" spans="1:339" ht="27.95" customHeight="1">
      <c r="A153" s="123"/>
      <c r="B153" s="653"/>
      <c r="C153" s="288"/>
      <c r="D153" s="705" t="s">
        <v>307</v>
      </c>
      <c r="E153" s="816">
        <f>BF6</f>
        <v>46023</v>
      </c>
      <c r="F153" s="705" t="s">
        <v>308</v>
      </c>
      <c r="G153" s="815">
        <f>BF9</f>
        <v>45870</v>
      </c>
      <c r="H153" s="786"/>
      <c r="I153" s="288"/>
      <c r="J153" s="288"/>
      <c r="K153" s="288"/>
      <c r="L153" s="288"/>
      <c r="M153" s="288"/>
      <c r="N153" s="288"/>
      <c r="O153" s="288"/>
      <c r="P153" s="288"/>
      <c r="Q153" s="288"/>
      <c r="R153" s="288"/>
      <c r="S153" s="288"/>
      <c r="T153" s="288"/>
      <c r="U153" s="288"/>
      <c r="V153" s="288"/>
      <c r="W153" s="288"/>
      <c r="X153" s="288"/>
      <c r="Y153" s="288"/>
      <c r="Z153" s="288"/>
      <c r="AA153" s="288"/>
      <c r="AB153" s="288"/>
      <c r="AC153" s="288"/>
      <c r="AD153" s="288"/>
      <c r="AE153" s="288"/>
      <c r="AF153" s="288"/>
      <c r="AG153" s="288"/>
      <c r="AH153" s="288"/>
      <c r="AI153" s="288"/>
      <c r="AJ153" s="705" t="s">
        <v>307</v>
      </c>
      <c r="AK153" s="816">
        <f>BW6</f>
        <v>45901</v>
      </c>
      <c r="AL153" s="705" t="s">
        <v>308</v>
      </c>
      <c r="AM153" s="816">
        <f>BU12</f>
        <v>45839</v>
      </c>
      <c r="AN153" s="288"/>
      <c r="AO153" s="288"/>
      <c r="AP153" s="288"/>
      <c r="AQ153" s="288"/>
      <c r="AR153" s="288"/>
      <c r="AS153" s="288"/>
      <c r="AT153" s="288"/>
      <c r="AU153" s="288"/>
      <c r="AV153" s="288"/>
      <c r="AW153" s="288"/>
      <c r="AX153" s="288"/>
      <c r="AY153" s="288"/>
      <c r="AZ153" s="288"/>
      <c r="BA153" s="288"/>
      <c r="BB153" s="288"/>
      <c r="BC153" s="288"/>
      <c r="BD153" s="288"/>
      <c r="BE153" s="288"/>
      <c r="BF153" s="288"/>
      <c r="BG153" s="288"/>
      <c r="BH153" s="288"/>
      <c r="BI153" s="288"/>
      <c r="BJ153" s="288"/>
      <c r="BK153" s="288"/>
      <c r="BL153" s="288"/>
      <c r="BM153" s="288"/>
      <c r="BN153" s="288"/>
      <c r="BO153" s="705"/>
      <c r="BP153" s="816"/>
      <c r="BQ153" s="705"/>
      <c r="BR153" s="2334"/>
      <c r="BS153" s="288"/>
      <c r="BT153" s="288"/>
      <c r="BU153" s="288"/>
      <c r="BV153" s="288"/>
      <c r="BW153" s="288"/>
      <c r="BX153" s="288"/>
      <c r="BY153" s="288"/>
      <c r="BZ153" s="288"/>
      <c r="CA153" s="288"/>
      <c r="CB153" s="288"/>
      <c r="CC153" s="288"/>
      <c r="CD153" s="288"/>
      <c r="CE153" s="288"/>
      <c r="CF153" s="288"/>
      <c r="CG153" s="288"/>
      <c r="CH153" s="288"/>
      <c r="CI153" s="288"/>
      <c r="CJ153" s="288"/>
      <c r="CK153" s="288"/>
      <c r="CL153" s="288"/>
      <c r="CM153" s="288"/>
      <c r="CN153" s="288"/>
      <c r="CO153" s="288"/>
      <c r="CP153" s="288"/>
      <c r="CQ153" s="288"/>
      <c r="CR153" s="288"/>
      <c r="CS153" s="705" t="s">
        <v>307</v>
      </c>
      <c r="CT153" s="816">
        <f>DR11</f>
        <v>45717</v>
      </c>
      <c r="CU153" s="705" t="s">
        <v>308</v>
      </c>
      <c r="CV153" s="816">
        <f>DR12</f>
        <v>45839</v>
      </c>
      <c r="CW153" s="288"/>
      <c r="CX153" s="288"/>
      <c r="CY153" s="288"/>
      <c r="CZ153" s="288"/>
      <c r="DA153" s="288"/>
      <c r="DB153" s="288"/>
      <c r="DC153" s="288"/>
      <c r="DD153" s="288"/>
      <c r="DE153" s="288"/>
      <c r="DF153" s="288"/>
      <c r="DG153" s="288"/>
      <c r="DH153" s="288"/>
      <c r="DI153" s="288"/>
      <c r="DJ153" s="288"/>
      <c r="DK153" s="288"/>
      <c r="DL153" s="288"/>
      <c r="DM153" s="288"/>
      <c r="DN153" s="288"/>
      <c r="DO153" s="288"/>
      <c r="DP153" s="288"/>
      <c r="DQ153" s="288"/>
      <c r="DR153" s="841"/>
      <c r="DS153" s="841"/>
      <c r="DT153" s="841"/>
      <c r="DU153" s="841"/>
      <c r="DV153" s="833"/>
      <c r="HK153" s="877"/>
      <c r="HL153" s="1139">
        <v>52</v>
      </c>
      <c r="HM153" s="3017">
        <v>43922</v>
      </c>
      <c r="HN153" s="3018"/>
      <c r="MA153" s="831"/>
    </row>
    <row r="154" spans="1:339" ht="27.95" customHeight="1">
      <c r="A154" s="123"/>
      <c r="B154" s="653"/>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842"/>
      <c r="DS154" s="842"/>
      <c r="DT154" s="842"/>
      <c r="DU154" s="842"/>
      <c r="DV154" s="833"/>
      <c r="HK154" s="877"/>
      <c r="HL154" s="1139">
        <v>53</v>
      </c>
      <c r="HM154" s="3017">
        <v>43952</v>
      </c>
      <c r="HN154" s="3018"/>
      <c r="MA154" s="831"/>
    </row>
    <row r="155" spans="1:339" ht="27.95" customHeight="1">
      <c r="A155" s="123"/>
      <c r="B155" s="653"/>
      <c r="C155" s="818"/>
      <c r="D155" s="5510" t="s">
        <v>892</v>
      </c>
      <c r="E155" s="5510"/>
      <c r="F155" s="5510"/>
      <c r="G155" s="819" t="str">
        <f>LOOKUP(H155,$AE$14:$AE$15,$AG$14:$AG$15)</f>
        <v>No</v>
      </c>
      <c r="H155" s="819">
        <f>EK3</f>
        <v>1</v>
      </c>
      <c r="I155" s="818"/>
      <c r="J155" s="818"/>
      <c r="K155" s="818"/>
      <c r="L155" s="818"/>
      <c r="M155" s="2333">
        <f>E153</f>
        <v>46023</v>
      </c>
      <c r="N155" s="818"/>
      <c r="O155" s="818"/>
      <c r="P155" s="818"/>
      <c r="Q155" s="2333">
        <f>EOMONTH(G153,0)</f>
        <v>45900</v>
      </c>
      <c r="R155" s="818"/>
      <c r="S155" s="818"/>
      <c r="T155" s="818"/>
      <c r="U155" s="818"/>
      <c r="V155" s="818"/>
      <c r="W155" s="818"/>
      <c r="X155" s="818"/>
      <c r="Y155" s="818"/>
      <c r="Z155" s="818"/>
      <c r="AA155" s="818"/>
      <c r="AB155" s="818"/>
      <c r="AC155" s="818"/>
      <c r="AD155" s="818"/>
      <c r="AE155" s="818"/>
      <c r="AF155" s="818"/>
      <c r="AG155" s="818"/>
      <c r="AH155" s="818"/>
      <c r="AI155" s="818"/>
      <c r="AJ155" s="5528" t="s">
        <v>892</v>
      </c>
      <c r="AK155" s="5528"/>
      <c r="AL155" s="5528"/>
      <c r="AM155" s="5528"/>
      <c r="AN155" s="820" t="str">
        <f>LOOKUP(AO155,$AE$14:$AE$15,$AG$14:$AG$15)</f>
        <v>No</v>
      </c>
      <c r="AO155" s="820">
        <f>EK3</f>
        <v>1</v>
      </c>
      <c r="AP155" s="818"/>
      <c r="AQ155" s="818"/>
      <c r="AR155" s="2339"/>
      <c r="AS155" s="2340" t="str">
        <f>BZ15</f>
        <v>6-Sep-25</v>
      </c>
      <c r="AT155" s="2341"/>
      <c r="AU155" s="2337"/>
      <c r="AV155" s="818"/>
      <c r="AW155" s="2332">
        <f>EOMONTH(BU12,0)</f>
        <v>45869</v>
      </c>
      <c r="AX155" s="818"/>
      <c r="AY155" s="2"/>
      <c r="AZ155" s="2"/>
      <c r="BA155" s="2"/>
      <c r="BB155" s="2"/>
      <c r="BC155" s="2"/>
      <c r="BD155" s="2"/>
      <c r="BE155" s="2"/>
      <c r="BF155" s="2"/>
      <c r="BG155" s="2"/>
      <c r="BH155" s="2"/>
      <c r="BI155" s="2"/>
      <c r="BJ155" s="2"/>
      <c r="BK155" s="2"/>
      <c r="BL155" s="2"/>
      <c r="BM155" s="2"/>
      <c r="BN155" s="2"/>
      <c r="BO155" s="2335" t="s">
        <v>307</v>
      </c>
      <c r="BP155" s="2336" t="str">
        <f>DC18</f>
        <v>21-May-24</v>
      </c>
      <c r="BQ155" s="2338" t="s">
        <v>308</v>
      </c>
      <c r="BR155" s="2337">
        <f>EOMONTH(CR14,0)</f>
        <v>45808</v>
      </c>
      <c r="BS155" s="819"/>
      <c r="BT155" s="819"/>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5528" t="s">
        <v>892</v>
      </c>
      <c r="CT155" s="5528"/>
      <c r="CU155" s="5528"/>
      <c r="CV155" s="5528"/>
      <c r="CW155" s="819" t="str">
        <f>LOOKUP(CX155,$AE$14:$AE$15,$AG$14:$AG$15)</f>
        <v>No</v>
      </c>
      <c r="CX155" s="820">
        <f>H155</f>
        <v>1</v>
      </c>
      <c r="CY155" s="818"/>
      <c r="CZ155" s="818"/>
      <c r="DA155" s="818"/>
      <c r="DB155" s="818"/>
      <c r="DC155" s="2340" t="str">
        <f>DX15</f>
        <v>1-Mar-25</v>
      </c>
      <c r="DD155" s="2341"/>
      <c r="DE155" s="2337"/>
      <c r="DF155" s="818"/>
      <c r="DG155" s="2332">
        <f>EOMONTH(CV153,0)</f>
        <v>45869</v>
      </c>
      <c r="DH155" s="2"/>
      <c r="DI155" s="2"/>
      <c r="DJ155" s="2"/>
      <c r="DK155" s="2"/>
      <c r="DL155" s="2"/>
      <c r="DM155" s="2"/>
      <c r="DN155" s="2"/>
      <c r="DO155" s="2"/>
      <c r="DP155" s="2"/>
      <c r="DQ155" s="843"/>
      <c r="DR155" s="843"/>
      <c r="DS155" s="843"/>
      <c r="DT155" s="843"/>
      <c r="DU155" s="843"/>
      <c r="DV155" s="833"/>
      <c r="HK155" s="877"/>
      <c r="HL155" s="1139">
        <v>54</v>
      </c>
      <c r="HM155" s="3017">
        <v>43983</v>
      </c>
      <c r="HN155" s="3018"/>
      <c r="MA155" s="831"/>
    </row>
    <row r="156" spans="1:339" ht="27.95" customHeight="1">
      <c r="A156" s="123"/>
      <c r="B156" s="653"/>
      <c r="C156" s="829"/>
      <c r="D156" s="5504" t="s">
        <v>934</v>
      </c>
      <c r="E156" s="5504"/>
      <c r="F156" s="5504"/>
      <c r="G156" s="829" t="str">
        <f>LOOKUP(H155,$AE$14:$AE$15,$AG$14:$AG$15)</f>
        <v>No</v>
      </c>
      <c r="H156" s="829">
        <f>IF(AND(E153&lt;=D160,D160&lt;=G153),2,1)</f>
        <v>1</v>
      </c>
      <c r="I156" s="830"/>
      <c r="J156" s="830"/>
      <c r="K156" s="830"/>
      <c r="L156" s="830"/>
      <c r="M156" s="828"/>
      <c r="N156" s="821"/>
      <c r="O156" s="821"/>
      <c r="P156" s="821"/>
      <c r="Q156" s="821"/>
      <c r="R156" s="821"/>
      <c r="S156" s="821"/>
      <c r="T156" s="821"/>
      <c r="U156" s="821"/>
      <c r="V156" s="821"/>
      <c r="W156" s="821"/>
      <c r="X156" s="821"/>
      <c r="Y156" s="821"/>
      <c r="Z156" s="821"/>
      <c r="AA156" s="821"/>
      <c r="AB156" s="821"/>
      <c r="AC156" s="821"/>
      <c r="AD156" s="821"/>
      <c r="AE156" s="821"/>
      <c r="AF156" s="821"/>
      <c r="AG156" s="821"/>
      <c r="AH156" s="830"/>
      <c r="AI156" s="830"/>
      <c r="AJ156" s="5491" t="s">
        <v>934</v>
      </c>
      <c r="AK156" s="5491"/>
      <c r="AL156" s="5491"/>
      <c r="AM156" s="5491"/>
      <c r="AN156" s="829" t="str">
        <f>LOOKUP(AO156,$AE$14:$AE$15,$AG$14:$AG$15)</f>
        <v>No</v>
      </c>
      <c r="AO156" s="829">
        <f>IF(AND(AK153&lt;=AJ160,AJ160&lt;=AM153),2,1)</f>
        <v>1</v>
      </c>
      <c r="AP156" s="830"/>
      <c r="AQ156" s="821"/>
      <c r="AR156" s="821"/>
      <c r="AS156" s="821"/>
      <c r="AT156" s="821"/>
      <c r="AU156" s="821"/>
      <c r="AV156" s="821"/>
      <c r="AW156" s="821"/>
      <c r="AX156" s="821"/>
      <c r="AY156" s="291"/>
      <c r="AZ156" s="291"/>
      <c r="BA156" s="291"/>
      <c r="BB156" s="291"/>
      <c r="BC156" s="291"/>
      <c r="BD156" s="291"/>
      <c r="BE156" s="291"/>
      <c r="BF156" s="291"/>
      <c r="BG156" s="291"/>
      <c r="BH156" s="291"/>
      <c r="BI156" s="291"/>
      <c r="BJ156" s="291"/>
      <c r="BK156" s="291"/>
      <c r="BL156" s="291"/>
      <c r="BM156" s="291"/>
      <c r="BN156" s="291"/>
      <c r="BO156" s="830"/>
      <c r="BP156" s="830"/>
      <c r="BQ156" s="830"/>
      <c r="BR156" s="830"/>
      <c r="BS156" s="830"/>
      <c r="BT156" s="830"/>
      <c r="BU156" s="830"/>
      <c r="BV156" s="291"/>
      <c r="BW156" s="291"/>
      <c r="BX156" s="291"/>
      <c r="BY156" s="291"/>
      <c r="BZ156" s="291"/>
      <c r="CA156" s="291"/>
      <c r="CB156" s="291"/>
      <c r="CC156" s="291"/>
      <c r="CD156" s="291"/>
      <c r="CE156" s="291"/>
      <c r="CF156" s="291"/>
      <c r="CG156" s="291"/>
      <c r="CH156" s="291"/>
      <c r="CI156" s="291"/>
      <c r="CJ156" s="291"/>
      <c r="CK156" s="291"/>
      <c r="CL156" s="291"/>
      <c r="CM156" s="291"/>
      <c r="CN156" s="291"/>
      <c r="CO156" s="291"/>
      <c r="CP156" s="291"/>
      <c r="CQ156" s="291"/>
      <c r="CR156" s="829"/>
      <c r="CS156" s="5491" t="s">
        <v>934</v>
      </c>
      <c r="CT156" s="5491"/>
      <c r="CU156" s="5491"/>
      <c r="CV156" s="5491"/>
      <c r="CW156" s="829" t="str">
        <f>LOOKUP(CX156,$AE$14:$AE$15,$AG$14:$AG$15)</f>
        <v>No</v>
      </c>
      <c r="CX156" s="829">
        <f>IF(AND(CT153&lt;=CS160,CS160&lt;=CV153),2,1)</f>
        <v>1</v>
      </c>
      <c r="CY156" s="830"/>
      <c r="CZ156" s="821"/>
      <c r="DA156" s="821"/>
      <c r="DB156" s="821"/>
      <c r="DC156" s="821"/>
      <c r="DD156" s="821"/>
      <c r="DE156" s="821"/>
      <c r="DF156" s="821"/>
      <c r="DG156" s="821"/>
      <c r="DH156" s="291"/>
      <c r="DI156" s="291"/>
      <c r="DJ156" s="291"/>
      <c r="DK156" s="291"/>
      <c r="DL156" s="291"/>
      <c r="DM156" s="291"/>
      <c r="DN156" s="291"/>
      <c r="DO156" s="291"/>
      <c r="DP156" s="291"/>
      <c r="DQ156" s="291"/>
      <c r="DR156" s="844"/>
      <c r="DS156" s="844"/>
      <c r="DT156" s="844"/>
      <c r="DU156" s="844"/>
      <c r="DV156" s="833"/>
      <c r="HK156" s="877"/>
      <c r="HL156" s="1139">
        <v>55</v>
      </c>
      <c r="HM156" s="3017">
        <v>44013</v>
      </c>
      <c r="HN156" s="3018"/>
      <c r="MA156" s="831"/>
    </row>
    <row r="157" spans="1:339" ht="32.25" customHeight="1">
      <c r="A157" s="123"/>
      <c r="B157" s="653"/>
      <c r="C157" s="729"/>
      <c r="D157" s="729"/>
      <c r="E157" s="729"/>
      <c r="F157" s="729"/>
      <c r="G157" s="729"/>
      <c r="H157" s="729"/>
      <c r="I157" s="729"/>
      <c r="J157" s="729"/>
      <c r="K157" s="729"/>
      <c r="L157" s="729"/>
      <c r="M157" s="729"/>
      <c r="N157" s="729"/>
      <c r="O157" s="729"/>
      <c r="P157" s="729"/>
      <c r="Q157" s="729"/>
      <c r="R157" s="729"/>
      <c r="S157" s="729"/>
      <c r="T157" s="729"/>
      <c r="U157" s="729"/>
      <c r="V157" s="729"/>
      <c r="W157" s="729"/>
      <c r="X157" s="729"/>
      <c r="Y157" s="729"/>
      <c r="Z157" s="729"/>
      <c r="AA157" s="729"/>
      <c r="AB157" s="729"/>
      <c r="AC157" s="729"/>
      <c r="AD157" s="729"/>
      <c r="AE157" s="729"/>
      <c r="AF157" s="729"/>
      <c r="AG157" s="729"/>
      <c r="AH157" s="823"/>
      <c r="AI157" s="729"/>
      <c r="AJ157" s="729"/>
      <c r="AK157" s="729"/>
      <c r="AL157" s="729"/>
      <c r="AM157" s="729"/>
      <c r="AN157" s="729"/>
      <c r="AO157" s="729"/>
      <c r="AP157" s="729"/>
      <c r="AQ157" s="729"/>
      <c r="AR157" s="729"/>
      <c r="AS157" s="729"/>
      <c r="AT157" s="729"/>
      <c r="AU157" s="729"/>
      <c r="AV157" s="729"/>
      <c r="AW157" s="729"/>
      <c r="AX157" s="729"/>
      <c r="BL157" s="8"/>
      <c r="CQ157" s="1"/>
      <c r="CS157" s="5635" t="str">
        <f>CONCATENATE("Have you already claimed "," ",DS3,"  ", "Incentive Increments Arrears in the part of the CAS Arrears")</f>
        <v>Have you already claimed  Ph.D  Incentive Increments Arrears in the part of the CAS Arrears</v>
      </c>
      <c r="CT157" s="5636"/>
      <c r="CU157" s="5636"/>
      <c r="CV157" s="5637"/>
      <c r="CW157" s="2878" t="str">
        <f>LOOKUP(CX157,$AE$14:$AE$15,$AG$14:$AG$15)</f>
        <v>No</v>
      </c>
      <c r="CX157" s="2881">
        <v>1</v>
      </c>
      <c r="CY157" s="729"/>
      <c r="CZ157" s="729"/>
      <c r="DA157" s="729"/>
      <c r="DB157" s="729"/>
      <c r="DC157" s="729"/>
      <c r="DD157" s="729"/>
      <c r="DE157" s="729"/>
      <c r="DF157" s="729"/>
      <c r="DG157" s="729"/>
      <c r="DV157" s="833"/>
      <c r="HK157" s="877"/>
      <c r="HL157" s="1139">
        <v>56</v>
      </c>
      <c r="HM157" s="3017">
        <v>44044</v>
      </c>
      <c r="HN157" s="3018"/>
      <c r="MA157" s="831"/>
    </row>
    <row r="158" spans="1:339" ht="27.95" customHeight="1">
      <c r="A158" s="123"/>
      <c r="B158" s="653"/>
      <c r="C158" s="729"/>
      <c r="D158" s="729"/>
      <c r="E158" s="729"/>
      <c r="F158" s="729"/>
      <c r="G158" s="729"/>
      <c r="H158" s="729"/>
      <c r="I158" s="729"/>
      <c r="J158" s="729"/>
      <c r="K158" s="729"/>
      <c r="L158" s="729"/>
      <c r="M158" s="729"/>
      <c r="N158" s="729"/>
      <c r="O158" s="729"/>
      <c r="P158" s="729"/>
      <c r="Q158" s="729"/>
      <c r="R158" s="729"/>
      <c r="S158" s="729"/>
      <c r="T158" s="729"/>
      <c r="U158" s="729"/>
      <c r="V158" s="729"/>
      <c r="W158" s="729"/>
      <c r="X158" s="739"/>
      <c r="Y158" s="729"/>
      <c r="Z158" s="729"/>
      <c r="AA158" s="729"/>
      <c r="AB158" s="729"/>
      <c r="AC158" s="729"/>
      <c r="AD158" s="729"/>
      <c r="AE158" s="729"/>
      <c r="AF158" s="729"/>
      <c r="AG158" s="729"/>
      <c r="AH158" s="823"/>
      <c r="AI158" s="729"/>
      <c r="AJ158" s="729"/>
      <c r="AK158" s="729"/>
      <c r="AL158" s="729"/>
      <c r="AM158" s="729"/>
      <c r="AN158" s="729"/>
      <c r="AO158" s="729"/>
      <c r="AP158" s="729"/>
      <c r="AQ158" s="729"/>
      <c r="AR158" s="729"/>
      <c r="AS158" s="729"/>
      <c r="AT158" s="729"/>
      <c r="AU158" s="729"/>
      <c r="AV158" s="729"/>
      <c r="AW158" s="729"/>
      <c r="AX158" s="729"/>
      <c r="BL158" s="8"/>
      <c r="BO158" s="710" t="s">
        <v>848</v>
      </c>
      <c r="BP158" s="711" t="s">
        <v>849</v>
      </c>
      <c r="BQ158" s="710" t="s">
        <v>850</v>
      </c>
      <c r="BR158" s="729"/>
      <c r="BS158" s="710" t="s">
        <v>848</v>
      </c>
      <c r="BT158" s="711" t="s">
        <v>849</v>
      </c>
      <c r="BU158" s="710" t="s">
        <v>850</v>
      </c>
      <c r="CQ158" s="1"/>
      <c r="CS158" s="2880"/>
      <c r="CT158" s="2880"/>
      <c r="CU158" s="2880"/>
      <c r="CV158" s="2880"/>
      <c r="CW158" s="729"/>
      <c r="CX158" s="729"/>
      <c r="CY158" s="729"/>
      <c r="CZ158" s="729"/>
      <c r="DA158" s="729"/>
      <c r="DB158" s="729"/>
      <c r="DC158" s="729"/>
      <c r="DD158" s="729"/>
      <c r="DE158" s="729"/>
      <c r="DF158" s="729"/>
      <c r="DG158" s="729"/>
      <c r="DV158" s="833"/>
      <c r="HK158" s="877"/>
      <c r="HL158" s="1139">
        <v>57</v>
      </c>
      <c r="HM158" s="3017">
        <v>44075</v>
      </c>
      <c r="HN158" s="3018"/>
      <c r="MA158" s="831"/>
    </row>
    <row r="159" spans="1:339" ht="33.75" customHeight="1">
      <c r="A159" s="123"/>
      <c r="B159" s="653"/>
      <c r="C159" s="729"/>
      <c r="D159" s="587" t="s">
        <v>182</v>
      </c>
      <c r="E159" s="708" t="s">
        <v>226</v>
      </c>
      <c r="F159" s="587" t="s">
        <v>894</v>
      </c>
      <c r="G159" s="630"/>
      <c r="H159" s="796" t="s">
        <v>897</v>
      </c>
      <c r="I159" s="796" t="s">
        <v>805</v>
      </c>
      <c r="J159" s="729"/>
      <c r="K159" s="729"/>
      <c r="L159" s="710" t="s">
        <v>848</v>
      </c>
      <c r="M159" s="711" t="s">
        <v>849</v>
      </c>
      <c r="N159" s="710" t="s">
        <v>850</v>
      </c>
      <c r="O159" s="729"/>
      <c r="P159" s="710" t="s">
        <v>848</v>
      </c>
      <c r="Q159" s="711" t="s">
        <v>849</v>
      </c>
      <c r="R159" s="710" t="s">
        <v>850</v>
      </c>
      <c r="S159" s="729"/>
      <c r="T159" s="729"/>
      <c r="U159" s="729"/>
      <c r="V159" s="729"/>
      <c r="W159" s="729"/>
      <c r="X159" s="739"/>
      <c r="Y159" s="729"/>
      <c r="Z159" s="729"/>
      <c r="AA159" s="729"/>
      <c r="AB159" s="729"/>
      <c r="AC159" s="729"/>
      <c r="AD159" s="729"/>
      <c r="AE159" s="729"/>
      <c r="AF159" s="729"/>
      <c r="AG159" s="729"/>
      <c r="AH159" s="823"/>
      <c r="AI159" s="729"/>
      <c r="AJ159" s="587" t="s">
        <v>182</v>
      </c>
      <c r="AK159" s="708" t="s">
        <v>226</v>
      </c>
      <c r="AL159" s="587" t="s">
        <v>894</v>
      </c>
      <c r="AM159" s="630"/>
      <c r="AN159" s="796" t="s">
        <v>897</v>
      </c>
      <c r="AO159" s="796" t="s">
        <v>805</v>
      </c>
      <c r="AP159" s="729"/>
      <c r="AQ159" s="729"/>
      <c r="AR159" s="710" t="s">
        <v>848</v>
      </c>
      <c r="AS159" s="711" t="s">
        <v>849</v>
      </c>
      <c r="AT159" s="710" t="s">
        <v>850</v>
      </c>
      <c r="AU159" s="729"/>
      <c r="AV159" s="710" t="s">
        <v>848</v>
      </c>
      <c r="AW159" s="711" t="s">
        <v>849</v>
      </c>
      <c r="AX159" s="710" t="s">
        <v>850</v>
      </c>
      <c r="BL159" s="8"/>
      <c r="BO159" s="710">
        <f>DAY(BP155)</f>
        <v>21</v>
      </c>
      <c r="BP159" s="662">
        <f>MONTH(BP155)</f>
        <v>5</v>
      </c>
      <c r="BQ159" s="662" t="str">
        <f>RIGHT(YEAR(BP155),2)</f>
        <v>24</v>
      </c>
      <c r="BR159" s="729"/>
      <c r="BS159" s="710">
        <f>DAY(BR155)</f>
        <v>31</v>
      </c>
      <c r="BT159" s="662">
        <f>MONTH(BR155)</f>
        <v>5</v>
      </c>
      <c r="BU159" s="662" t="str">
        <f>RIGHT(YEAR(BR155),2)</f>
        <v>25</v>
      </c>
      <c r="CQ159" s="1"/>
      <c r="CS159" s="587" t="s">
        <v>182</v>
      </c>
      <c r="CT159" s="708" t="s">
        <v>226</v>
      </c>
      <c r="CU159" s="587" t="s">
        <v>894</v>
      </c>
      <c r="CV159" s="630"/>
      <c r="CW159" s="796" t="s">
        <v>897</v>
      </c>
      <c r="CX159" s="796" t="s">
        <v>805</v>
      </c>
      <c r="CY159" s="729"/>
      <c r="CZ159" s="729"/>
      <c r="DA159" s="729"/>
      <c r="DB159" s="710" t="s">
        <v>848</v>
      </c>
      <c r="DC159" s="711" t="s">
        <v>849</v>
      </c>
      <c r="DD159" s="710" t="s">
        <v>850</v>
      </c>
      <c r="DE159" s="729"/>
      <c r="DF159" s="710" t="s">
        <v>848</v>
      </c>
      <c r="DG159" s="711" t="s">
        <v>849</v>
      </c>
      <c r="DH159" s="710" t="s">
        <v>850</v>
      </c>
      <c r="DV159" s="833"/>
      <c r="HK159" s="877"/>
      <c r="HL159" s="1139">
        <v>58</v>
      </c>
      <c r="HM159" s="3017">
        <v>44105</v>
      </c>
      <c r="HN159" s="3018"/>
      <c r="MA159" s="831"/>
    </row>
    <row r="160" spans="1:339" ht="27.95" customHeight="1">
      <c r="A160" s="123"/>
      <c r="B160" s="653"/>
      <c r="C160" s="729"/>
      <c r="D160" s="628">
        <f>EG13</f>
        <v>45931</v>
      </c>
      <c r="E160" s="744">
        <f>LOOKUP(D160,$I$173:$I$186,$J$173:$J$186)</f>
        <v>0</v>
      </c>
      <c r="F160" s="749">
        <f>EI13</f>
        <v>0.09</v>
      </c>
      <c r="G160" s="587">
        <f>ROUND($E$160*F160,0)</f>
        <v>0</v>
      </c>
      <c r="H160" s="630">
        <f>EK13</f>
        <v>5</v>
      </c>
      <c r="I160" s="630">
        <f>ROUND(G160*H160/$D$161,0)</f>
        <v>0</v>
      </c>
      <c r="J160" s="729"/>
      <c r="K160" s="729"/>
      <c r="L160" s="710">
        <f>DAY(M155)</f>
        <v>1</v>
      </c>
      <c r="M160" s="662">
        <f>MONTH(M155)</f>
        <v>1</v>
      </c>
      <c r="N160" s="662" t="str">
        <f>RIGHT(YEAR(M155),2)</f>
        <v>26</v>
      </c>
      <c r="O160" s="729"/>
      <c r="P160" s="710">
        <f>DAY(Q155)</f>
        <v>31</v>
      </c>
      <c r="Q160" s="662">
        <f>MONTH(Q155)</f>
        <v>8</v>
      </c>
      <c r="R160" s="662" t="str">
        <f>RIGHT(YEAR(Q155),2)</f>
        <v>25</v>
      </c>
      <c r="S160" s="729"/>
      <c r="T160" s="729"/>
      <c r="U160" s="729"/>
      <c r="V160" s="729"/>
      <c r="W160" s="729"/>
      <c r="X160" s="739"/>
      <c r="Y160" s="729"/>
      <c r="Z160" s="729"/>
      <c r="AA160" s="729"/>
      <c r="AB160" s="729"/>
      <c r="AC160" s="729"/>
      <c r="AD160" s="729"/>
      <c r="AE160" s="729"/>
      <c r="AF160" s="729"/>
      <c r="AG160" s="729"/>
      <c r="AH160" s="823"/>
      <c r="AI160" s="729"/>
      <c r="AJ160" s="628">
        <f>D160</f>
        <v>45931</v>
      </c>
      <c r="AK160" s="744">
        <f>LOOKUP(AJ160,AL173:AL186,AN173:AN186)</f>
        <v>0</v>
      </c>
      <c r="AL160" s="749">
        <f>F160</f>
        <v>0.09</v>
      </c>
      <c r="AM160" s="587">
        <f>ROUND($AK$160*AL160,0)</f>
        <v>0</v>
      </c>
      <c r="AN160" s="630">
        <f>H160</f>
        <v>5</v>
      </c>
      <c r="AO160" s="630">
        <f>ROUND(AM160*AN160/$AJ$161,0)</f>
        <v>0</v>
      </c>
      <c r="AP160" s="729"/>
      <c r="AQ160" s="729"/>
      <c r="AR160" s="710">
        <f>DAY(AS155)</f>
        <v>6</v>
      </c>
      <c r="AS160" s="662">
        <f>MONTH(AS155)</f>
        <v>9</v>
      </c>
      <c r="AT160" s="662" t="str">
        <f>RIGHT(YEAR(AS155),2)</f>
        <v>25</v>
      </c>
      <c r="AU160" s="729"/>
      <c r="AV160" s="710">
        <f>DAY(AW155)</f>
        <v>31</v>
      </c>
      <c r="AW160" s="662">
        <f>MONTH(AW155)</f>
        <v>7</v>
      </c>
      <c r="AX160" s="662" t="str">
        <f>RIGHT(YEAR(AW155),2)</f>
        <v>25</v>
      </c>
      <c r="BL160" s="8"/>
      <c r="BO160" s="710">
        <f>BO159</f>
        <v>21</v>
      </c>
      <c r="BP160" s="710" t="str">
        <f>LOOKUP(BP159,$AE$21:$AE$32,$AG$21:$AG$32)</f>
        <v>May</v>
      </c>
      <c r="BQ160" s="710" t="str">
        <f>BQ159</f>
        <v>24</v>
      </c>
      <c r="BR160" s="729"/>
      <c r="BS160" s="710">
        <f>BS159</f>
        <v>31</v>
      </c>
      <c r="BT160" s="710" t="str">
        <f>LOOKUP(BT159,$AE$21:$AE$32,$AG$21:$AG$32)</f>
        <v>May</v>
      </c>
      <c r="BU160" s="710" t="str">
        <f>BU159</f>
        <v>25</v>
      </c>
      <c r="CQ160" s="1"/>
      <c r="CS160" s="628">
        <f>D160</f>
        <v>45931</v>
      </c>
      <c r="CT160" s="744">
        <f>LOOKUP(CS160,CU173:CU186,CW173:CW186)</f>
        <v>0</v>
      </c>
      <c r="CU160" s="749">
        <f>F160</f>
        <v>0.09</v>
      </c>
      <c r="CV160" s="587">
        <f>ROUND($CT$160*CU160,0)</f>
        <v>0</v>
      </c>
      <c r="CW160" s="630">
        <f>H160</f>
        <v>5</v>
      </c>
      <c r="CX160" s="630">
        <f>ROUND(CV160*CW160/$CS$161,0)</f>
        <v>0</v>
      </c>
      <c r="CY160" s="729"/>
      <c r="CZ160" s="729"/>
      <c r="DA160" s="729"/>
      <c r="DB160" s="710">
        <f>DAY(DC155)</f>
        <v>1</v>
      </c>
      <c r="DC160" s="662">
        <f>MONTH(DC155)</f>
        <v>3</v>
      </c>
      <c r="DD160" s="662" t="str">
        <f>RIGHT(YEAR(DC155),2)</f>
        <v>25</v>
      </c>
      <c r="DE160" s="729"/>
      <c r="DF160" s="710">
        <f>DAY(DG155)</f>
        <v>31</v>
      </c>
      <c r="DG160" s="662">
        <f>MONTH(DG155)</f>
        <v>7</v>
      </c>
      <c r="DH160" s="662" t="str">
        <f>RIGHT(YEAR(DG155),2)</f>
        <v>25</v>
      </c>
      <c r="DV160" s="833"/>
      <c r="HK160" s="877"/>
      <c r="HL160" s="1139">
        <v>59</v>
      </c>
      <c r="HM160" s="3017">
        <v>44136</v>
      </c>
      <c r="HN160" s="3018"/>
      <c r="MA160" s="831"/>
    </row>
    <row r="161" spans="1:339" ht="27.95" customHeight="1">
      <c r="A161" s="123"/>
      <c r="B161" s="653"/>
      <c r="C161" s="729"/>
      <c r="D161" s="795">
        <f>LOOKUP(D160,$AX$47:$AX$60,$AY$47:$AY$60)</f>
        <v>31</v>
      </c>
      <c r="E161" s="631"/>
      <c r="F161" s="749">
        <f>EI14</f>
        <v>0.27</v>
      </c>
      <c r="G161" s="587">
        <f>ROUND($E$160*F161,0)</f>
        <v>0</v>
      </c>
      <c r="H161" s="630">
        <f>EK14</f>
        <v>26</v>
      </c>
      <c r="I161" s="630">
        <f>ROUND(G161*H161/$D$161,0)</f>
        <v>0</v>
      </c>
      <c r="J161" s="729"/>
      <c r="K161" s="729"/>
      <c r="L161" s="710">
        <f>L160</f>
        <v>1</v>
      </c>
      <c r="M161" s="710" t="str">
        <f>LOOKUP(M160,$AE$21:$AE$32,$AG$21:$AG$32)</f>
        <v>Jan</v>
      </c>
      <c r="N161" s="710" t="str">
        <f>N160</f>
        <v>26</v>
      </c>
      <c r="O161" s="729"/>
      <c r="P161" s="710">
        <f>P160</f>
        <v>31</v>
      </c>
      <c r="Q161" s="710" t="str">
        <f>LOOKUP(Q160,$AE$21:$AE$32,$AG$21:$AG$32)</f>
        <v>Aug</v>
      </c>
      <c r="R161" s="710" t="str">
        <f>R160</f>
        <v>25</v>
      </c>
      <c r="S161" s="729"/>
      <c r="T161" s="729"/>
      <c r="U161" s="729"/>
      <c r="V161" s="729"/>
      <c r="W161" s="729"/>
      <c r="X161" s="739"/>
      <c r="Y161" s="729"/>
      <c r="Z161" s="729"/>
      <c r="AA161" s="729"/>
      <c r="AB161" s="729"/>
      <c r="AC161" s="729"/>
      <c r="AD161" s="729"/>
      <c r="AE161" s="729"/>
      <c r="AF161" s="729"/>
      <c r="AG161" s="729"/>
      <c r="AH161" s="823"/>
      <c r="AI161" s="729"/>
      <c r="AJ161" s="795">
        <f>LOOKUP(AJ160,$AX$47:$AX$60,$AY$47:$AY$60)</f>
        <v>31</v>
      </c>
      <c r="AK161" s="631"/>
      <c r="AL161" s="749">
        <f>F161</f>
        <v>0.27</v>
      </c>
      <c r="AM161" s="587">
        <f>ROUND($AK$160*AL161,0)</f>
        <v>0</v>
      </c>
      <c r="AN161" s="630">
        <f>H161</f>
        <v>26</v>
      </c>
      <c r="AO161" s="630">
        <f>ROUND(AM161*AN161/$AJ$161,0)</f>
        <v>0</v>
      </c>
      <c r="AP161" s="729"/>
      <c r="AQ161" s="729"/>
      <c r="AR161" s="710">
        <f>AR160</f>
        <v>6</v>
      </c>
      <c r="AS161" s="710" t="str">
        <f>LOOKUP(AS160,$AE$21:$AE$32,$AG$21:$AG$32)</f>
        <v>Sep</v>
      </c>
      <c r="AT161" s="710" t="str">
        <f>AT160</f>
        <v>25</v>
      </c>
      <c r="AU161" s="729"/>
      <c r="AV161" s="710">
        <f>AV160</f>
        <v>31</v>
      </c>
      <c r="AW161" s="710" t="str">
        <f>LOOKUP(AW160,$AE$21:$AE$32,$AG$21:$AG$32)</f>
        <v>Jul</v>
      </c>
      <c r="AX161" s="710" t="str">
        <f>AX160</f>
        <v>25</v>
      </c>
      <c r="BL161" s="8"/>
      <c r="BO161" s="729"/>
      <c r="BP161" s="729"/>
      <c r="BQ161" s="729"/>
      <c r="BR161" s="729"/>
      <c r="BS161" s="729"/>
      <c r="BT161" s="729"/>
      <c r="BU161" s="729"/>
      <c r="CQ161" s="1"/>
      <c r="CS161" s="795">
        <f>LOOKUP(CS160,$AX$47:$AX$60,$AY$47:$AY$60)</f>
        <v>31</v>
      </c>
      <c r="CT161" s="631"/>
      <c r="CU161" s="749">
        <f>F161</f>
        <v>0.27</v>
      </c>
      <c r="CV161" s="587">
        <f>ROUND($CT$160*CU161,0)</f>
        <v>0</v>
      </c>
      <c r="CW161" s="630">
        <f>H161</f>
        <v>26</v>
      </c>
      <c r="CX161" s="630">
        <f>ROUND(CV161*CW161/$CS$161,0)</f>
        <v>0</v>
      </c>
      <c r="CY161" s="729"/>
      <c r="CZ161" s="729"/>
      <c r="DA161" s="729"/>
      <c r="DB161" s="710">
        <f>DB160</f>
        <v>1</v>
      </c>
      <c r="DC161" s="710" t="str">
        <f>LOOKUP(DC160,$AE$21:$AE$32,$AG$21:$AG$32)</f>
        <v>Mar</v>
      </c>
      <c r="DD161" s="710" t="str">
        <f>DD160</f>
        <v>25</v>
      </c>
      <c r="DE161" s="729"/>
      <c r="DF161" s="710">
        <f>DF160</f>
        <v>31</v>
      </c>
      <c r="DG161" s="710" t="str">
        <f>LOOKUP(DG160,$AE$21:$AE$32,$AG$21:$AG$32)</f>
        <v>Jul</v>
      </c>
      <c r="DH161" s="710" t="str">
        <f>DH160</f>
        <v>25</v>
      </c>
      <c r="DV161" s="833"/>
      <c r="HK161" s="877"/>
      <c r="HL161" s="1139">
        <v>60</v>
      </c>
      <c r="HM161" s="3017">
        <v>44166</v>
      </c>
      <c r="HN161" s="3018"/>
      <c r="MA161" s="831"/>
    </row>
    <row r="162" spans="1:339" ht="27.95" customHeight="1">
      <c r="A162" s="123"/>
      <c r="B162" s="653"/>
      <c r="C162" s="729"/>
      <c r="I162" s="587">
        <f>SUM(I160:I161)</f>
        <v>0</v>
      </c>
      <c r="J162" s="729"/>
      <c r="K162" s="729"/>
      <c r="L162" s="729"/>
      <c r="M162" s="729"/>
      <c r="N162" s="729"/>
      <c r="O162" s="729"/>
      <c r="P162" s="729"/>
      <c r="Q162" s="729"/>
      <c r="R162" s="729"/>
      <c r="S162" s="729"/>
      <c r="T162" s="729"/>
      <c r="U162" s="729"/>
      <c r="V162" s="729"/>
      <c r="W162" s="729"/>
      <c r="X162" s="739"/>
      <c r="Y162" s="729"/>
      <c r="Z162" s="729"/>
      <c r="AA162" s="729"/>
      <c r="AB162" s="729"/>
      <c r="AC162" s="729"/>
      <c r="AD162" s="729"/>
      <c r="AE162" s="729"/>
      <c r="AF162" s="729"/>
      <c r="AG162" s="729"/>
      <c r="AH162" s="823"/>
      <c r="AI162" s="729"/>
      <c r="AO162" s="587">
        <f>SUM(AO160:AO161)</f>
        <v>0</v>
      </c>
      <c r="AP162" s="729"/>
      <c r="AQ162" s="729"/>
      <c r="AR162" s="729"/>
      <c r="AS162" s="729"/>
      <c r="AT162" s="729"/>
      <c r="AU162" s="729"/>
      <c r="AV162" s="729"/>
      <c r="AW162" s="729"/>
      <c r="AX162" s="729"/>
      <c r="BL162" s="8"/>
      <c r="BO162" s="729"/>
      <c r="BP162" s="709" t="str">
        <f>CONCATENATE(BO160,"-",BP160,"-",BQ160)</f>
        <v>21-May-24</v>
      </c>
      <c r="BQ162" s="729"/>
      <c r="BR162" s="729"/>
      <c r="BS162" s="729"/>
      <c r="BT162" s="709" t="str">
        <f>CONCATENATE(BS160,"-",BT160,"-",BU160)</f>
        <v>31-May-25</v>
      </c>
      <c r="BU162" s="729"/>
      <c r="CQ162" s="1"/>
      <c r="CX162" s="587">
        <f>SUM(CX160:CX161)</f>
        <v>0</v>
      </c>
      <c r="CY162" s="729"/>
      <c r="CZ162" s="729"/>
      <c r="DA162" s="729"/>
      <c r="DB162" s="729"/>
      <c r="DC162" s="729"/>
      <c r="DD162" s="729"/>
      <c r="DE162" s="729"/>
      <c r="DF162" s="729"/>
      <c r="DG162" s="729"/>
      <c r="DH162" s="729"/>
      <c r="DV162" s="833"/>
      <c r="HK162" s="877"/>
      <c r="HL162" s="1139">
        <v>61</v>
      </c>
      <c r="HM162" s="3017">
        <v>44197</v>
      </c>
      <c r="HN162" s="3018"/>
      <c r="MA162" s="831"/>
    </row>
    <row r="163" spans="1:339" ht="27.95" customHeight="1">
      <c r="A163" s="123"/>
      <c r="B163" s="653"/>
      <c r="C163" s="729"/>
      <c r="D163" s="729"/>
      <c r="E163" s="729"/>
      <c r="F163" s="729"/>
      <c r="G163" s="729"/>
      <c r="H163" s="729"/>
      <c r="I163" s="729"/>
      <c r="J163" s="729"/>
      <c r="K163" s="729"/>
      <c r="L163" s="729"/>
      <c r="M163" s="709" t="str">
        <f>CONCATENATE(L161,"-",M161,"-",N161)</f>
        <v>1-Jan-26</v>
      </c>
      <c r="N163" s="729"/>
      <c r="O163" s="729"/>
      <c r="P163" s="729"/>
      <c r="Q163" s="709" t="str">
        <f>CONCATENATE(P161,"-",Q161,"-",R161)</f>
        <v>31-Aug-25</v>
      </c>
      <c r="R163" s="729"/>
      <c r="S163" s="729"/>
      <c r="T163" s="729"/>
      <c r="U163" s="729"/>
      <c r="V163" s="729"/>
      <c r="W163" s="729"/>
      <c r="X163" s="739"/>
      <c r="Y163" s="729"/>
      <c r="Z163" s="729"/>
      <c r="AA163" s="729"/>
      <c r="AB163" s="729"/>
      <c r="AC163" s="729"/>
      <c r="AD163" s="729"/>
      <c r="AE163" s="729"/>
      <c r="AF163" s="729"/>
      <c r="AG163" s="729"/>
      <c r="AH163" s="823"/>
      <c r="AI163" s="729"/>
      <c r="AJ163" s="729"/>
      <c r="AK163" s="729"/>
      <c r="AL163" s="729"/>
      <c r="AM163" s="729"/>
      <c r="AN163" s="729"/>
      <c r="AO163" s="729"/>
      <c r="AP163" s="729"/>
      <c r="AQ163" s="729"/>
      <c r="AR163" s="729"/>
      <c r="AS163" s="709" t="str">
        <f>CONCATENATE(AR161,"-",AS161,"-",AT161)</f>
        <v>6-Sep-25</v>
      </c>
      <c r="AT163" s="729"/>
      <c r="AU163" s="729"/>
      <c r="AV163" s="729"/>
      <c r="AW163" s="709" t="str">
        <f>CONCATENATE(AV161,"-",AW161,"-",AX161)</f>
        <v>31-Jul-25</v>
      </c>
      <c r="AX163" s="729"/>
      <c r="BL163" s="8"/>
      <c r="CQ163" s="1"/>
      <c r="CS163" s="729"/>
      <c r="CT163" s="729"/>
      <c r="CU163" s="729"/>
      <c r="CV163" s="729"/>
      <c r="CW163" s="729"/>
      <c r="CX163" s="729"/>
      <c r="CY163" s="729"/>
      <c r="CZ163" s="729"/>
      <c r="DA163" s="729"/>
      <c r="DB163" s="729"/>
      <c r="DC163" s="709" t="str">
        <f>CONCATENATE(DB161,"-",DC161,"-",DD161)</f>
        <v>1-Mar-25</v>
      </c>
      <c r="DD163" s="729"/>
      <c r="DE163" s="729"/>
      <c r="DF163" s="729"/>
      <c r="DG163" s="709" t="str">
        <f>CONCATENATE(DF161,"-",DG161,"-",DH161)</f>
        <v>31-Jul-25</v>
      </c>
      <c r="DH163" s="729"/>
      <c r="DV163" s="833"/>
      <c r="HK163" s="877"/>
      <c r="HL163" s="1139">
        <v>62</v>
      </c>
      <c r="HM163" s="3017">
        <v>44228</v>
      </c>
      <c r="HN163" s="3018"/>
      <c r="MA163" s="831"/>
    </row>
    <row r="164" spans="1:339" ht="27.95" customHeight="1">
      <c r="A164" s="123"/>
      <c r="B164" s="653"/>
      <c r="C164" s="729"/>
      <c r="D164" s="729"/>
      <c r="E164" s="729"/>
      <c r="F164" s="729"/>
      <c r="G164" s="729"/>
      <c r="H164" s="729"/>
      <c r="I164" s="729"/>
      <c r="J164" s="729"/>
      <c r="K164" s="729"/>
      <c r="L164" s="729"/>
      <c r="M164" s="729"/>
      <c r="N164" s="729"/>
      <c r="O164" s="729"/>
      <c r="P164" s="729"/>
      <c r="Q164" s="729"/>
      <c r="R164" s="729"/>
      <c r="S164" s="729"/>
      <c r="T164" s="729"/>
      <c r="U164" s="729"/>
      <c r="V164" s="729"/>
      <c r="W164" s="729"/>
      <c r="X164" s="739"/>
      <c r="Y164" s="729"/>
      <c r="Z164" s="729"/>
      <c r="AA164" s="729"/>
      <c r="AB164" s="729"/>
      <c r="AC164" s="729"/>
      <c r="AD164" s="729"/>
      <c r="AE164" s="729"/>
      <c r="AF164" s="729"/>
      <c r="AG164" s="729"/>
      <c r="AH164" s="823"/>
      <c r="AI164" s="729"/>
      <c r="AJ164" s="587" t="s">
        <v>182</v>
      </c>
      <c r="AK164" s="708" t="s">
        <v>226</v>
      </c>
      <c r="AL164" s="587" t="s">
        <v>894</v>
      </c>
      <c r="AM164" s="630"/>
      <c r="AN164" s="796" t="s">
        <v>897</v>
      </c>
      <c r="AO164" s="796" t="s">
        <v>805</v>
      </c>
      <c r="AP164" s="729"/>
      <c r="AQ164" s="729"/>
      <c r="AR164" s="729"/>
      <c r="AS164" s="729"/>
      <c r="AT164" s="729"/>
      <c r="AU164" s="729"/>
      <c r="AV164" s="729"/>
      <c r="AW164" s="729"/>
      <c r="AX164" s="729"/>
      <c r="BL164" s="8"/>
      <c r="CQ164" s="1"/>
      <c r="CS164" s="587" t="s">
        <v>182</v>
      </c>
      <c r="CT164" s="708" t="s">
        <v>226</v>
      </c>
      <c r="CU164" s="587" t="s">
        <v>894</v>
      </c>
      <c r="CV164" s="630"/>
      <c r="CW164" s="796" t="s">
        <v>897</v>
      </c>
      <c r="CX164" s="796" t="s">
        <v>805</v>
      </c>
      <c r="CY164" s="729"/>
      <c r="CZ164" s="729"/>
      <c r="DA164" s="729"/>
      <c r="DB164" s="729"/>
      <c r="DC164" s="729"/>
      <c r="DD164" s="729"/>
      <c r="DE164" s="729"/>
      <c r="DF164" s="729"/>
      <c r="DG164" s="729"/>
      <c r="DV164" s="833"/>
      <c r="HK164" s="877"/>
      <c r="HL164" s="1139">
        <v>63</v>
      </c>
      <c r="HM164" s="3017">
        <v>44256</v>
      </c>
      <c r="HN164" s="3018"/>
      <c r="MA164" s="831"/>
    </row>
    <row r="165" spans="1:339" ht="35.25" customHeight="1" thickBot="1">
      <c r="A165" s="123"/>
      <c r="B165" s="653"/>
      <c r="C165" s="729"/>
      <c r="D165" s="587" t="s">
        <v>182</v>
      </c>
      <c r="E165" s="708" t="s">
        <v>226</v>
      </c>
      <c r="F165" s="587" t="s">
        <v>894</v>
      </c>
      <c r="G165" s="630"/>
      <c r="H165" s="796" t="s">
        <v>897</v>
      </c>
      <c r="I165" s="796" t="s">
        <v>805</v>
      </c>
      <c r="J165" s="729"/>
      <c r="K165" s="729"/>
      <c r="L165" s="729"/>
      <c r="M165" s="729"/>
      <c r="N165" s="729"/>
      <c r="O165" s="729"/>
      <c r="P165" s="729"/>
      <c r="Q165" s="729"/>
      <c r="R165" s="729"/>
      <c r="S165" s="729"/>
      <c r="T165" s="729"/>
      <c r="U165" s="729"/>
      <c r="V165" s="729"/>
      <c r="W165" s="729"/>
      <c r="X165" s="739"/>
      <c r="Y165" s="729"/>
      <c r="Z165" s="729"/>
      <c r="AA165" s="729"/>
      <c r="AB165" s="729"/>
      <c r="AC165" s="729"/>
      <c r="AD165" s="729"/>
      <c r="AE165" s="729"/>
      <c r="AF165" s="729"/>
      <c r="AG165" s="729"/>
      <c r="AH165" s="823"/>
      <c r="AI165" s="729"/>
      <c r="AJ165" s="628">
        <f>AJ160</f>
        <v>45931</v>
      </c>
      <c r="AK165" s="744">
        <f>LOOKUP(AJ165,AL173:AL186,AW173:AW186)</f>
        <v>0</v>
      </c>
      <c r="AL165" s="749">
        <f>AL160</f>
        <v>0.09</v>
      </c>
      <c r="AM165" s="587">
        <f>ROUND($AK$165*AL165,0)</f>
        <v>0</v>
      </c>
      <c r="AN165" s="630">
        <f>AN160</f>
        <v>5</v>
      </c>
      <c r="AO165" s="630">
        <f>ROUND(AM165*AN165/$AJ$166,0)</f>
        <v>0</v>
      </c>
      <c r="AP165" s="729"/>
      <c r="AQ165" s="729"/>
      <c r="AR165" s="729"/>
      <c r="AS165" s="729"/>
      <c r="AT165" s="729"/>
      <c r="AU165" s="729"/>
      <c r="AV165" s="729"/>
      <c r="AW165" s="729"/>
      <c r="AX165" s="729"/>
      <c r="BL165" s="8"/>
      <c r="CQ165" s="1"/>
      <c r="CS165" s="628">
        <f>CS160</f>
        <v>45931</v>
      </c>
      <c r="CT165" s="744">
        <f>LOOKUP(CS165,CU173:CU186,DF173:DF186)</f>
        <v>0</v>
      </c>
      <c r="CU165" s="749">
        <f>CU160</f>
        <v>0.09</v>
      </c>
      <c r="CV165" s="587">
        <f>ROUND($CT$165*CU165,0)</f>
        <v>0</v>
      </c>
      <c r="CW165" s="630">
        <f>CW160</f>
        <v>5</v>
      </c>
      <c r="CX165" s="630">
        <f>ROUND(CV165*CW165/$CS$166,0)</f>
        <v>0</v>
      </c>
      <c r="CY165" s="729"/>
      <c r="CZ165" s="729"/>
      <c r="DA165" s="729"/>
      <c r="DB165" s="729"/>
      <c r="DC165" s="729"/>
      <c r="DD165" s="729"/>
      <c r="DE165" s="729"/>
      <c r="DF165" s="729"/>
      <c r="DG165" s="729"/>
      <c r="DV165" s="833"/>
      <c r="HK165" s="877"/>
      <c r="HL165" s="1139">
        <v>64</v>
      </c>
      <c r="HM165" s="3017">
        <v>44287</v>
      </c>
      <c r="HN165" s="3018"/>
      <c r="MA165" s="831"/>
    </row>
    <row r="166" spans="1:339" ht="27.95" customHeight="1" thickBot="1">
      <c r="A166" s="123"/>
      <c r="B166" s="653"/>
      <c r="C166" s="729"/>
      <c r="D166" s="628">
        <f>D160</f>
        <v>45931</v>
      </c>
      <c r="E166" s="744">
        <f>LOOKUP(D166,$I$173:$I$186,$R$173:$R$186)</f>
        <v>0</v>
      </c>
      <c r="F166" s="749">
        <f>F160</f>
        <v>0.09</v>
      </c>
      <c r="G166" s="587">
        <f>ROUND($E$166*F166,0)</f>
        <v>0</v>
      </c>
      <c r="H166" s="630">
        <f>H160</f>
        <v>5</v>
      </c>
      <c r="I166" s="630">
        <f>ROUND(G166*H166/$D$167,0)</f>
        <v>0</v>
      </c>
      <c r="J166" s="729"/>
      <c r="K166" s="729"/>
      <c r="L166" s="5507" t="str">
        <f>CONCATENATE("AGI Arrears for the period  from","  ",M163,"  ", "To","  ",Q163)</f>
        <v>AGI Arrears for the period  from  1-Jan-26  To  31-Aug-25</v>
      </c>
      <c r="M166" s="5508"/>
      <c r="N166" s="5508"/>
      <c r="O166" s="5508"/>
      <c r="P166" s="5508"/>
      <c r="Q166" s="5508"/>
      <c r="R166" s="5509"/>
      <c r="S166" s="729"/>
      <c r="T166" s="729"/>
      <c r="U166" s="729"/>
      <c r="V166" s="729"/>
      <c r="W166" s="729"/>
      <c r="X166" s="739"/>
      <c r="Y166" s="729"/>
      <c r="Z166" s="729"/>
      <c r="AA166" s="729"/>
      <c r="AB166" s="729"/>
      <c r="AC166" s="729"/>
      <c r="AD166" s="729"/>
      <c r="AE166" s="729"/>
      <c r="AF166" s="729"/>
      <c r="AG166" s="729"/>
      <c r="AH166" s="823"/>
      <c r="AI166" s="729"/>
      <c r="AJ166" s="795">
        <f>LOOKUP(AJ165,$AX$47:$AX$60,$AY$47:$AY$60)</f>
        <v>31</v>
      </c>
      <c r="AK166" s="631"/>
      <c r="AL166" s="749">
        <f>AL161</f>
        <v>0.27</v>
      </c>
      <c r="AM166" s="587">
        <f>ROUND($AK$165*AL166,0)</f>
        <v>0</v>
      </c>
      <c r="AN166" s="630">
        <f>AN161</f>
        <v>26</v>
      </c>
      <c r="AO166" s="630">
        <f>ROUND(AM166*AN166/$AJ$161,0)</f>
        <v>0</v>
      </c>
      <c r="AP166" s="729"/>
      <c r="AQ166" s="729"/>
      <c r="AR166" s="5490" t="str">
        <f>CONCATENATE(BV3," ", "Incentive  Increment Arrears for the period from","  ",AS163,"  ", "To","  ",AW163)</f>
        <v>Ph.D Incentive  Increment Arrears for the period from  6-Sep-25  To  31-Jul-25</v>
      </c>
      <c r="AS166" s="5490"/>
      <c r="AT166" s="5490"/>
      <c r="AU166" s="5490"/>
      <c r="AV166" s="5490"/>
      <c r="AW166" s="5490"/>
      <c r="AX166" s="5490"/>
      <c r="BL166" s="8"/>
      <c r="BO166" s="5487" t="str">
        <f>CONCATENATE("CAS  Arrears  for the period  from","  ",BP162,"  ", "To","  ",BT162)</f>
        <v>CAS  Arrears  for the period  from  21-May-24  To  31-May-25</v>
      </c>
      <c r="BP166" s="5488"/>
      <c r="BQ166" s="5488"/>
      <c r="BR166" s="5488"/>
      <c r="BS166" s="5488"/>
      <c r="BT166" s="5488"/>
      <c r="BU166" s="5489"/>
      <c r="CQ166" s="1"/>
      <c r="CS166" s="795">
        <f>LOOKUP(CS165,$AX$47:$AX$60,$AY$47:$AY$60)</f>
        <v>31</v>
      </c>
      <c r="CT166" s="631"/>
      <c r="CU166" s="749">
        <f>CU161</f>
        <v>0.27</v>
      </c>
      <c r="CV166" s="587">
        <f>ROUND($CT$165*CU166,0)</f>
        <v>0</v>
      </c>
      <c r="CW166" s="630">
        <f>CW161</f>
        <v>26</v>
      </c>
      <c r="CX166" s="630">
        <f>ROUND(CV166*CW166/$CS$166,0)</f>
        <v>0</v>
      </c>
      <c r="CY166" s="729"/>
      <c r="CZ166" s="729"/>
      <c r="DA166" s="729"/>
      <c r="DB166" s="5634" t="str">
        <f>CONCATENATE(DS3," ", "Incentive  Increment Arrears for the period from","  ",DC163,"  ", "To","  ",DG163)</f>
        <v>Ph.D Incentive  Increment Arrears for the period from  1-Mar-25  To  31-Jul-25</v>
      </c>
      <c r="DC166" s="5634"/>
      <c r="DD166" s="5634"/>
      <c r="DE166" s="5634"/>
      <c r="DF166" s="5634"/>
      <c r="DG166" s="5634"/>
      <c r="DH166" s="5634"/>
      <c r="DV166" s="833"/>
      <c r="HK166" s="877"/>
      <c r="HL166" s="1139">
        <v>65</v>
      </c>
      <c r="HM166" s="3017">
        <v>44317</v>
      </c>
      <c r="HN166" s="3018"/>
      <c r="MA166" s="831"/>
    </row>
    <row r="167" spans="1:339" ht="27.95" customHeight="1">
      <c r="A167" s="123"/>
      <c r="B167" s="653"/>
      <c r="C167" s="729"/>
      <c r="D167" s="795">
        <f>LOOKUP(D166,$AX$47:$AX$60,$AY$47:$AY$60)</f>
        <v>31</v>
      </c>
      <c r="E167" s="631"/>
      <c r="F167" s="749">
        <f>F161</f>
        <v>0.27</v>
      </c>
      <c r="G167" s="587">
        <f>ROUND($E$166*F167,0)</f>
        <v>0</v>
      </c>
      <c r="H167" s="630">
        <f>H161</f>
        <v>26</v>
      </c>
      <c r="I167" s="630">
        <f>ROUND(G167*H167/$D$167,0)</f>
        <v>0</v>
      </c>
      <c r="J167" s="729"/>
      <c r="K167" s="729"/>
      <c r="L167" s="729"/>
      <c r="M167" s="729"/>
      <c r="N167" s="729"/>
      <c r="O167" s="729"/>
      <c r="P167" s="729"/>
      <c r="Q167" s="729"/>
      <c r="R167" s="729"/>
      <c r="S167" s="729"/>
      <c r="T167" s="729"/>
      <c r="U167" s="729"/>
      <c r="V167" s="729"/>
      <c r="W167" s="729"/>
      <c r="X167" s="739"/>
      <c r="Y167" s="729"/>
      <c r="Z167" s="729"/>
      <c r="AA167" s="729"/>
      <c r="AB167" s="729"/>
      <c r="AC167" s="729"/>
      <c r="AD167" s="729"/>
      <c r="AE167" s="729"/>
      <c r="AF167" s="729"/>
      <c r="AG167" s="729"/>
      <c r="AH167" s="823"/>
      <c r="AI167" s="729"/>
      <c r="AO167" s="587">
        <f>SUM(AO165:AO166)</f>
        <v>0</v>
      </c>
      <c r="AP167" s="729"/>
      <c r="AQ167" s="729"/>
      <c r="AR167" s="729"/>
      <c r="AS167" s="729"/>
      <c r="AT167" s="729"/>
      <c r="AU167" s="729"/>
      <c r="AV167" s="729"/>
      <c r="AW167" s="729"/>
      <c r="AX167" s="729"/>
      <c r="BL167" s="8"/>
      <c r="CQ167" s="1"/>
      <c r="CX167" s="587">
        <f>SUM(CX165:CX166)</f>
        <v>0</v>
      </c>
      <c r="CY167" s="729"/>
      <c r="CZ167" s="729"/>
      <c r="DA167" s="729"/>
      <c r="DB167" s="729"/>
      <c r="DC167" s="729"/>
      <c r="DD167" s="729"/>
      <c r="DE167" s="729"/>
      <c r="DF167" s="729"/>
      <c r="DG167" s="729"/>
      <c r="DV167" s="833"/>
      <c r="HK167" s="877"/>
      <c r="HL167" s="1139">
        <v>66</v>
      </c>
      <c r="HM167" s="3017">
        <v>44348</v>
      </c>
      <c r="HN167" s="3018"/>
      <c r="MA167" s="831"/>
    </row>
    <row r="168" spans="1:339" ht="27.95" customHeight="1">
      <c r="A168" s="123"/>
      <c r="B168" s="653"/>
      <c r="C168" s="729"/>
      <c r="I168" s="587">
        <f>SUM(I166:I167)</f>
        <v>0</v>
      </c>
      <c r="J168" s="729"/>
      <c r="K168" s="729"/>
      <c r="L168" s="729"/>
      <c r="M168" s="729"/>
      <c r="N168" s="729"/>
      <c r="O168" s="729"/>
      <c r="P168" s="729"/>
      <c r="Q168" s="729"/>
      <c r="R168" s="729"/>
      <c r="S168" s="729"/>
      <c r="T168" s="729"/>
      <c r="U168" s="729"/>
      <c r="V168" s="729"/>
      <c r="W168" s="729"/>
      <c r="X168" s="739"/>
      <c r="Y168" s="729"/>
      <c r="Z168" s="729"/>
      <c r="AA168" s="729"/>
      <c r="AB168" s="729"/>
      <c r="AC168" s="729"/>
      <c r="AD168" s="729"/>
      <c r="AE168" s="729"/>
      <c r="AF168" s="729"/>
      <c r="AG168" s="729"/>
      <c r="AH168" s="832"/>
      <c r="AI168" s="729"/>
      <c r="AJ168" s="729"/>
      <c r="AK168" s="729"/>
      <c r="AL168" s="729"/>
      <c r="AM168" s="729"/>
      <c r="AN168" s="729"/>
      <c r="AO168" s="729"/>
      <c r="AP168" s="729"/>
      <c r="AQ168" s="729"/>
      <c r="AR168" s="5490" t="str">
        <f>CONCATENATE(BV3," ", "Incentive  Increment Arrears Details")</f>
        <v>Ph.D Incentive  Increment Arrears Details</v>
      </c>
      <c r="AS168" s="5490"/>
      <c r="AT168" s="5490"/>
      <c r="AU168" s="5490"/>
      <c r="AV168" s="5490"/>
      <c r="AW168" s="5490"/>
      <c r="AX168" s="5490"/>
      <c r="BL168" s="8"/>
      <c r="CQ168" s="1"/>
      <c r="CS168" s="729"/>
      <c r="CT168" s="729"/>
      <c r="CU168" s="729"/>
      <c r="CV168" s="729"/>
      <c r="CW168" s="729"/>
      <c r="CX168" s="729"/>
      <c r="CY168" s="729"/>
      <c r="CZ168" s="729"/>
      <c r="DA168" s="729"/>
      <c r="DB168" s="5634" t="str">
        <f>CONCATENATE(DS3," ", "Incentive  Increment Arrears Details")</f>
        <v>Ph.D Incentive  Increment Arrears Details</v>
      </c>
      <c r="DC168" s="5634"/>
      <c r="DD168" s="5634"/>
      <c r="DE168" s="5634"/>
      <c r="DF168" s="5634"/>
      <c r="DG168" s="5634"/>
      <c r="DH168" s="5634"/>
      <c r="DV168" s="833"/>
      <c r="HK168" s="877"/>
      <c r="HL168" s="1139">
        <v>67</v>
      </c>
      <c r="HM168" s="3017">
        <v>44378</v>
      </c>
      <c r="HN168" s="3018"/>
      <c r="MA168" s="831"/>
    </row>
    <row r="169" spans="1:339" ht="27.95" customHeight="1">
      <c r="A169" s="123"/>
      <c r="B169" s="653"/>
      <c r="C169" s="729"/>
      <c r="D169" s="729"/>
      <c r="E169" s="729"/>
      <c r="F169" s="729"/>
      <c r="G169" s="729"/>
      <c r="H169" s="729"/>
      <c r="I169" s="729"/>
      <c r="J169" s="729"/>
      <c r="K169" s="729"/>
      <c r="L169" s="729"/>
      <c r="M169" s="729"/>
      <c r="N169" s="729"/>
      <c r="O169" s="729"/>
      <c r="P169" s="729"/>
      <c r="Q169" s="729"/>
      <c r="R169" s="729"/>
      <c r="S169" s="729"/>
      <c r="T169" s="729"/>
      <c r="U169" s="729"/>
      <c r="V169" s="729"/>
      <c r="W169" s="729"/>
      <c r="X169" s="739"/>
      <c r="Y169" s="729"/>
      <c r="Z169" s="729"/>
      <c r="AA169" s="729"/>
      <c r="AB169" s="729"/>
      <c r="AC169" s="729"/>
      <c r="AD169" s="729"/>
      <c r="AE169" s="729"/>
      <c r="AF169" s="729"/>
      <c r="AG169" s="729"/>
      <c r="AH169" s="832"/>
      <c r="AI169" s="729"/>
      <c r="AJ169" s="729"/>
      <c r="AK169" s="729"/>
      <c r="AL169" s="729"/>
      <c r="AM169" s="729"/>
      <c r="AN169" s="729"/>
      <c r="AO169" s="729"/>
      <c r="AP169" s="729"/>
      <c r="AQ169" s="729"/>
      <c r="AR169" s="729"/>
      <c r="AS169" s="729"/>
      <c r="AT169" s="729"/>
      <c r="AU169" s="729"/>
      <c r="AV169" s="729"/>
      <c r="AW169" s="729"/>
      <c r="AX169" s="729"/>
      <c r="BL169" s="8"/>
      <c r="CQ169" s="1"/>
      <c r="CS169" s="729"/>
      <c r="CT169" s="729"/>
      <c r="CU169" s="729"/>
      <c r="CV169" s="729"/>
      <c r="CW169" s="729"/>
      <c r="CX169" s="729"/>
      <c r="CY169" s="729"/>
      <c r="CZ169" s="729"/>
      <c r="DA169" s="729"/>
      <c r="DB169" s="729"/>
      <c r="DC169" s="729"/>
      <c r="DD169" s="729"/>
      <c r="DE169" s="729"/>
      <c r="DF169" s="729"/>
      <c r="DG169" s="729"/>
      <c r="DV169" s="833"/>
      <c r="HK169" s="877"/>
      <c r="HL169" s="1139">
        <v>68</v>
      </c>
      <c r="HM169" s="3017">
        <v>44409</v>
      </c>
      <c r="HN169" s="3018"/>
      <c r="MA169" s="831"/>
    </row>
    <row r="170" spans="1:339" ht="27.95" customHeight="1">
      <c r="A170" s="123"/>
      <c r="B170" s="653"/>
      <c r="C170" s="729"/>
      <c r="D170" s="729"/>
      <c r="E170" s="729"/>
      <c r="F170" s="729"/>
      <c r="G170" s="729"/>
      <c r="H170" s="729"/>
      <c r="I170" s="729"/>
      <c r="J170" s="729"/>
      <c r="K170" s="729"/>
      <c r="L170" s="729"/>
      <c r="M170" s="729"/>
      <c r="N170" s="729"/>
      <c r="O170" s="729"/>
      <c r="P170" s="729"/>
      <c r="Q170" s="729"/>
      <c r="R170" s="729"/>
      <c r="S170" s="729"/>
      <c r="T170" s="729"/>
      <c r="U170" s="729"/>
      <c r="V170" s="729"/>
      <c r="W170" s="729"/>
      <c r="X170" s="739"/>
      <c r="Y170" s="729"/>
      <c r="Z170" s="729"/>
      <c r="AA170" s="729"/>
      <c r="AB170" s="729"/>
      <c r="AC170" s="729"/>
      <c r="AD170" s="729"/>
      <c r="AE170" s="729"/>
      <c r="AF170" s="729"/>
      <c r="AG170" s="729"/>
      <c r="AH170" s="832"/>
      <c r="AI170" s="729"/>
      <c r="AJ170" s="729"/>
      <c r="AK170" s="729"/>
      <c r="AL170" s="729"/>
      <c r="AM170" s="729"/>
      <c r="AN170" s="729"/>
      <c r="AO170" s="729"/>
      <c r="AP170" s="729"/>
      <c r="AQ170" s="729"/>
      <c r="AR170" s="729"/>
      <c r="AS170" s="729"/>
      <c r="AT170" s="729"/>
      <c r="AU170" s="729"/>
      <c r="AV170" s="729"/>
      <c r="AW170" s="729"/>
      <c r="AX170" s="729"/>
      <c r="BL170" s="835"/>
      <c r="CQ170" s="1"/>
      <c r="CS170" s="729"/>
      <c r="CT170" s="729"/>
      <c r="CU170" s="729"/>
      <c r="CV170" s="729"/>
      <c r="CW170" s="729"/>
      <c r="CX170" s="729"/>
      <c r="CY170" s="729"/>
      <c r="CZ170" s="729"/>
      <c r="DA170" s="729"/>
      <c r="DB170" s="729"/>
      <c r="DC170" s="729"/>
      <c r="DD170" s="729"/>
      <c r="DE170" s="729"/>
      <c r="DF170" s="729"/>
      <c r="DG170" s="729"/>
      <c r="DV170" s="833"/>
      <c r="HK170" s="877"/>
      <c r="HL170" s="1139">
        <v>69</v>
      </c>
      <c r="HM170" s="3017">
        <v>44440</v>
      </c>
      <c r="HN170" s="3018"/>
      <c r="MA170" s="831"/>
    </row>
    <row r="171" spans="1:339" ht="27.95" customHeight="1">
      <c r="A171" s="123"/>
      <c r="B171" s="653"/>
      <c r="C171" s="5257" t="s">
        <v>510</v>
      </c>
      <c r="D171" s="5257" t="s">
        <v>182</v>
      </c>
      <c r="E171" s="5523" t="s">
        <v>524</v>
      </c>
      <c r="F171" s="729"/>
      <c r="G171" s="729"/>
      <c r="H171" s="5524" t="s">
        <v>525</v>
      </c>
      <c r="I171" s="5526" t="s">
        <v>419</v>
      </c>
      <c r="J171" s="5513" t="s">
        <v>928</v>
      </c>
      <c r="K171" s="5521" t="s">
        <v>930</v>
      </c>
      <c r="L171" s="5513" t="s">
        <v>931</v>
      </c>
      <c r="M171" s="5511" t="s">
        <v>891</v>
      </c>
      <c r="N171" s="785"/>
      <c r="O171" s="5513" t="s">
        <v>929</v>
      </c>
      <c r="P171" s="5511" t="s">
        <v>932</v>
      </c>
      <c r="Q171" s="5511" t="s">
        <v>933</v>
      </c>
      <c r="R171" s="5513" t="s">
        <v>935</v>
      </c>
      <c r="S171" s="5521" t="s">
        <v>930</v>
      </c>
      <c r="T171" s="5513" t="s">
        <v>936</v>
      </c>
      <c r="U171" s="5511" t="s">
        <v>891</v>
      </c>
      <c r="V171" s="785"/>
      <c r="W171" s="5513" t="s">
        <v>937</v>
      </c>
      <c r="X171" s="5511" t="s">
        <v>938</v>
      </c>
      <c r="Y171" s="5511" t="s">
        <v>939</v>
      </c>
      <c r="Z171" s="5516" t="s">
        <v>940</v>
      </c>
      <c r="AA171" s="5517"/>
      <c r="AB171" s="5517"/>
      <c r="AC171" s="5517"/>
      <c r="AD171" s="5518"/>
      <c r="AE171" s="729"/>
      <c r="AF171" s="729"/>
      <c r="AG171" s="729"/>
      <c r="AH171" s="5638" t="s">
        <v>1598</v>
      </c>
      <c r="AI171" s="729"/>
      <c r="AJ171" s="729"/>
      <c r="AK171" s="5519" t="s">
        <v>525</v>
      </c>
      <c r="AL171" s="5616" t="s">
        <v>419</v>
      </c>
      <c r="AM171" s="703"/>
      <c r="AN171" s="703"/>
      <c r="AO171" s="5473" t="s">
        <v>928</v>
      </c>
      <c r="AP171" s="5476" t="s">
        <v>930</v>
      </c>
      <c r="AQ171" s="5473" t="s">
        <v>931</v>
      </c>
      <c r="AR171" s="5472" t="s">
        <v>891</v>
      </c>
      <c r="AS171" s="703"/>
      <c r="AT171" s="5473" t="s">
        <v>929</v>
      </c>
      <c r="AU171" s="5472" t="s">
        <v>932</v>
      </c>
      <c r="AV171" s="5472" t="s">
        <v>933</v>
      </c>
      <c r="AW171" s="703"/>
      <c r="AX171" s="5473" t="s">
        <v>935</v>
      </c>
      <c r="AY171" s="5476" t="s">
        <v>930</v>
      </c>
      <c r="AZ171" s="5473" t="s">
        <v>936</v>
      </c>
      <c r="BA171" s="5472" t="s">
        <v>891</v>
      </c>
      <c r="BB171" s="703"/>
      <c r="BC171" s="5473" t="s">
        <v>937</v>
      </c>
      <c r="BD171" s="5472" t="s">
        <v>938</v>
      </c>
      <c r="BE171" s="5472" t="s">
        <v>939</v>
      </c>
      <c r="BF171" s="5476" t="s">
        <v>940</v>
      </c>
      <c r="BG171" s="5476"/>
      <c r="BH171" s="5476"/>
      <c r="BI171" s="5476"/>
      <c r="BJ171" s="5476"/>
      <c r="BK171" s="678"/>
      <c r="BL171" s="5492" t="s">
        <v>943</v>
      </c>
      <c r="BN171" s="1481"/>
      <c r="BO171" s="1481"/>
      <c r="BP171" s="1481"/>
      <c r="BQ171" s="1481"/>
      <c r="BR171" s="1481"/>
      <c r="BS171" s="1481"/>
      <c r="BT171" s="1481"/>
      <c r="BU171" s="1481"/>
      <c r="BV171" s="1481"/>
      <c r="BW171" s="1481"/>
      <c r="BX171" s="1481"/>
      <c r="BY171" s="1481"/>
      <c r="BZ171" s="1481"/>
      <c r="CA171" s="1481"/>
      <c r="CB171" s="1481"/>
      <c r="CC171" s="856"/>
      <c r="CD171" s="1481"/>
      <c r="CE171" s="1481"/>
      <c r="CF171" s="1481"/>
      <c r="CG171" s="1481"/>
      <c r="CH171" s="1481"/>
      <c r="CI171" s="1481"/>
      <c r="CJ171" s="1481"/>
      <c r="CK171" s="1481"/>
      <c r="CL171" s="1481"/>
      <c r="CM171" s="1481"/>
      <c r="CN171" s="1481"/>
      <c r="CQ171" s="5620" t="s">
        <v>945</v>
      </c>
      <c r="CS171" s="729"/>
      <c r="CT171" s="5479" t="s">
        <v>525</v>
      </c>
      <c r="CU171" s="5479" t="s">
        <v>419</v>
      </c>
      <c r="CV171" s="5479"/>
      <c r="CW171" s="5479"/>
      <c r="CX171" s="5479" t="s">
        <v>928</v>
      </c>
      <c r="CY171" s="5479" t="s">
        <v>930</v>
      </c>
      <c r="CZ171" s="5479" t="s">
        <v>931</v>
      </c>
      <c r="DA171" s="5479" t="s">
        <v>891</v>
      </c>
      <c r="DB171" s="5479"/>
      <c r="DC171" s="5479" t="s">
        <v>929</v>
      </c>
      <c r="DD171" s="5479" t="s">
        <v>932</v>
      </c>
      <c r="DE171" s="5479" t="s">
        <v>933</v>
      </c>
      <c r="DF171" s="5479"/>
      <c r="DG171" s="5479" t="s">
        <v>935</v>
      </c>
      <c r="DH171" s="5479" t="s">
        <v>930</v>
      </c>
      <c r="DI171" s="5479" t="s">
        <v>936</v>
      </c>
      <c r="DJ171" s="5479" t="s">
        <v>891</v>
      </c>
      <c r="DK171" s="5479"/>
      <c r="DL171" s="5479" t="s">
        <v>937</v>
      </c>
      <c r="DM171" s="5479" t="s">
        <v>938</v>
      </c>
      <c r="DN171" s="5479" t="s">
        <v>939</v>
      </c>
      <c r="DO171" s="5479" t="s">
        <v>940</v>
      </c>
      <c r="DP171" s="5479"/>
      <c r="DQ171" s="5479"/>
      <c r="DR171" s="5479"/>
      <c r="DS171" s="5479"/>
      <c r="DV171" s="833"/>
      <c r="HK171" s="877"/>
      <c r="HL171" s="1139">
        <v>70</v>
      </c>
      <c r="HM171" s="3017">
        <v>44470</v>
      </c>
      <c r="HN171" s="3018"/>
      <c r="MA171" s="831"/>
    </row>
    <row r="172" spans="1:339" ht="27.95" customHeight="1">
      <c r="A172" s="123"/>
      <c r="B172" s="653"/>
      <c r="C172" s="5258"/>
      <c r="D172" s="5257"/>
      <c r="E172" s="5523"/>
      <c r="F172" s="729"/>
      <c r="G172" s="729"/>
      <c r="H172" s="5525"/>
      <c r="I172" s="5527"/>
      <c r="J172" s="5514"/>
      <c r="K172" s="5522"/>
      <c r="L172" s="5514"/>
      <c r="M172" s="5512"/>
      <c r="N172" s="785"/>
      <c r="O172" s="5514"/>
      <c r="P172" s="5511"/>
      <c r="Q172" s="5511"/>
      <c r="R172" s="5513"/>
      <c r="S172" s="5521"/>
      <c r="T172" s="5513"/>
      <c r="U172" s="5511"/>
      <c r="V172" s="785"/>
      <c r="W172" s="5513"/>
      <c r="X172" s="5511"/>
      <c r="Y172" s="5511"/>
      <c r="Z172" s="2149" t="s">
        <v>521</v>
      </c>
      <c r="AA172" s="2149" t="s">
        <v>188</v>
      </c>
      <c r="AB172" s="2149" t="s">
        <v>189</v>
      </c>
      <c r="AC172" s="2149" t="s">
        <v>31</v>
      </c>
      <c r="AD172" s="2149" t="s">
        <v>421</v>
      </c>
      <c r="AE172" s="729"/>
      <c r="AF172" s="729"/>
      <c r="AG172" s="729"/>
      <c r="AH172" s="5638"/>
      <c r="AI172" s="729"/>
      <c r="AJ172" s="729"/>
      <c r="AK172" s="5520"/>
      <c r="AL172" s="5617"/>
      <c r="AM172" s="703"/>
      <c r="AN172" s="703"/>
      <c r="AO172" s="5615"/>
      <c r="AP172" s="5477"/>
      <c r="AQ172" s="5615"/>
      <c r="AR172" s="5575"/>
      <c r="AS172" s="703"/>
      <c r="AT172" s="5615"/>
      <c r="AU172" s="5472"/>
      <c r="AV172" s="5472"/>
      <c r="AW172" s="703"/>
      <c r="AX172" s="5474"/>
      <c r="AY172" s="5476"/>
      <c r="AZ172" s="5474"/>
      <c r="BA172" s="5474"/>
      <c r="BB172" s="703"/>
      <c r="BC172" s="5474"/>
      <c r="BD172" s="5472"/>
      <c r="BE172" s="5472"/>
      <c r="BF172" s="836" t="s">
        <v>521</v>
      </c>
      <c r="BG172" s="836" t="s">
        <v>188</v>
      </c>
      <c r="BH172" s="836" t="s">
        <v>189</v>
      </c>
      <c r="BI172" s="836" t="s">
        <v>31</v>
      </c>
      <c r="BJ172" s="836" t="s">
        <v>421</v>
      </c>
      <c r="BK172" s="678"/>
      <c r="BL172" s="5492"/>
      <c r="BN172" s="1481"/>
      <c r="BO172" s="1481"/>
      <c r="BP172" s="1481"/>
      <c r="BQ172" s="1481"/>
      <c r="BR172" s="1481"/>
      <c r="BS172" s="1481"/>
      <c r="BT172" s="1481"/>
      <c r="BU172" s="1481"/>
      <c r="BV172" s="1481"/>
      <c r="BW172" s="1481"/>
      <c r="BX172" s="1481"/>
      <c r="BY172" s="1481"/>
      <c r="BZ172" s="1481"/>
      <c r="CA172" s="1481"/>
      <c r="CB172" s="1481"/>
      <c r="CC172" s="856"/>
      <c r="CD172" s="1481"/>
      <c r="CE172" s="1481"/>
      <c r="CF172" s="1481"/>
      <c r="CG172" s="1481"/>
      <c r="CH172" s="1481"/>
      <c r="CI172" s="1481"/>
      <c r="CJ172" s="856"/>
      <c r="CK172" s="856"/>
      <c r="CL172" s="856"/>
      <c r="CM172" s="856"/>
      <c r="CN172" s="856"/>
      <c r="CQ172" s="5620"/>
      <c r="CS172" s="729"/>
      <c r="CT172" s="5479"/>
      <c r="CU172" s="5479"/>
      <c r="CV172" s="5479"/>
      <c r="CW172" s="5479"/>
      <c r="CX172" s="5479"/>
      <c r="CY172" s="5479"/>
      <c r="CZ172" s="5479"/>
      <c r="DA172" s="5479"/>
      <c r="DB172" s="5479"/>
      <c r="DC172" s="5479"/>
      <c r="DD172" s="5479"/>
      <c r="DE172" s="5479"/>
      <c r="DF172" s="5479"/>
      <c r="DG172" s="5479"/>
      <c r="DH172" s="5479"/>
      <c r="DI172" s="5479"/>
      <c r="DJ172" s="5479"/>
      <c r="DK172" s="5479"/>
      <c r="DL172" s="5479"/>
      <c r="DM172" s="5479"/>
      <c r="DN172" s="5479"/>
      <c r="DO172" s="837" t="s">
        <v>521</v>
      </c>
      <c r="DP172" s="837" t="s">
        <v>188</v>
      </c>
      <c r="DQ172" s="837" t="s">
        <v>189</v>
      </c>
      <c r="DR172" s="837" t="s">
        <v>31</v>
      </c>
      <c r="DS172" s="837" t="s">
        <v>421</v>
      </c>
      <c r="DV172" s="833"/>
      <c r="DX172" s="944" t="s">
        <v>176</v>
      </c>
      <c r="DY172" s="309" t="s">
        <v>419</v>
      </c>
      <c r="DZ172" s="309" t="s">
        <v>226</v>
      </c>
      <c r="EA172" s="309" t="s">
        <v>530</v>
      </c>
      <c r="EB172" s="309" t="s">
        <v>228</v>
      </c>
      <c r="EC172" s="309" t="s">
        <v>189</v>
      </c>
      <c r="ED172" s="309" t="s">
        <v>229</v>
      </c>
      <c r="EE172" s="309" t="s">
        <v>230</v>
      </c>
      <c r="EF172" s="309" t="s">
        <v>531</v>
      </c>
      <c r="EG172" s="309" t="s">
        <v>232</v>
      </c>
      <c r="EH172" s="309" t="s">
        <v>233</v>
      </c>
      <c r="EI172" s="311" t="str">
        <f>ER8</f>
        <v>Principal Allowances</v>
      </c>
      <c r="EJ172" s="309" t="s">
        <v>532</v>
      </c>
      <c r="EK172" s="944" t="str">
        <f>N223</f>
        <v>GPF</v>
      </c>
      <c r="EL172" s="944" t="s">
        <v>671</v>
      </c>
      <c r="EM172" s="944" t="s">
        <v>320</v>
      </c>
      <c r="EN172" s="944" t="s">
        <v>237</v>
      </c>
      <c r="EO172" s="946" t="s">
        <v>533</v>
      </c>
      <c r="EP172" s="946" t="s">
        <v>239</v>
      </c>
      <c r="EQ172" s="944" t="s">
        <v>1434</v>
      </c>
      <c r="ER172" s="944" t="s">
        <v>534</v>
      </c>
      <c r="ES172" s="946" t="s">
        <v>200</v>
      </c>
      <c r="ET172" s="944" t="s">
        <v>241</v>
      </c>
      <c r="EU172" s="961"/>
      <c r="HK172" s="877"/>
      <c r="HL172" s="1139">
        <v>71</v>
      </c>
      <c r="HM172" s="3017">
        <v>44501</v>
      </c>
      <c r="HN172" s="3018"/>
      <c r="MA172" s="831"/>
    </row>
    <row r="173" spans="1:339" s="126" customFormat="1" ht="27.95" customHeight="1">
      <c r="A173" s="3725"/>
      <c r="B173" s="3726"/>
      <c r="C173" s="3727">
        <v>1</v>
      </c>
      <c r="D173" s="3728">
        <v>45717</v>
      </c>
      <c r="E173" s="724">
        <v>31</v>
      </c>
      <c r="F173" s="3729"/>
      <c r="G173" s="3729"/>
      <c r="H173" s="3730">
        <v>1</v>
      </c>
      <c r="I173" s="3728">
        <v>45717</v>
      </c>
      <c r="J173" s="587">
        <f t="shared" ref="J173" si="68">IF(AND($BG$5=2,$BG$8=2,I173&gt;=$BF$6,I173&lt;=$BF$9),K108,0)</f>
        <v>0</v>
      </c>
      <c r="K173" s="3731">
        <f t="shared" ref="K173" si="69">IF(AND($BG$5=2,$BG$8=2,I173&gt;=$BF$6,I173&lt;=$BF$9),K225,0)</f>
        <v>0</v>
      </c>
      <c r="L173" s="587">
        <f t="shared" ref="L173" si="70">ROUND(J173*K173,0)</f>
        <v>0</v>
      </c>
      <c r="M173" s="793">
        <f t="shared" ref="M173:M184" si="71">IF(AND($BG$5=2,$BG$8=2,I173&gt;=$BF$6,I173&lt;=$BF$9),BK47,0)</f>
        <v>0</v>
      </c>
      <c r="N173" s="587">
        <f t="shared" ref="N173" si="72">ROUND(J173*M173,0)</f>
        <v>0</v>
      </c>
      <c r="O173" s="587">
        <f t="shared" ref="O173" si="73">IF(AND($H$155=2,$H$156=2,I173=$D$160),$I$162,N173)</f>
        <v>0</v>
      </c>
      <c r="P173" s="888">
        <f t="shared" ref="P173" si="74">SUM(J173+L173+O173)</f>
        <v>0</v>
      </c>
      <c r="Q173" s="587">
        <f t="shared" ref="Q173" si="75">ROUND(SUM(J173+L173)*10%,0)</f>
        <v>0</v>
      </c>
      <c r="R173" s="587">
        <f t="shared" ref="R173:R184" si="76">IF(AND($BG$5=2,$BG$8=2,I173&gt;=$BF$6,I173&lt;=$BF$9),BE47,0)</f>
        <v>0</v>
      </c>
      <c r="S173" s="793">
        <f t="shared" ref="S173" si="77">K173</f>
        <v>0</v>
      </c>
      <c r="T173" s="587">
        <f t="shared" ref="T173" si="78">ROUND(R173*S173,0)</f>
        <v>0</v>
      </c>
      <c r="U173" s="793">
        <f t="shared" ref="U173" si="79">M173</f>
        <v>0</v>
      </c>
      <c r="V173" s="587">
        <f t="shared" ref="V173" si="80">ROUND(R173*U173,0)</f>
        <v>0</v>
      </c>
      <c r="W173" s="587">
        <f t="shared" ref="W173" si="81">IF(AND($H$155=2,$H$156=2,I173=$D$160),$I$168,V173)</f>
        <v>0</v>
      </c>
      <c r="X173" s="3732">
        <f t="shared" ref="X173" si="82">SUM(R173+T173+W173)</f>
        <v>0</v>
      </c>
      <c r="Y173" s="2118">
        <f t="shared" ref="Y173" si="83">ROUND(SUM(R173+T173)*10%,0)</f>
        <v>0</v>
      </c>
      <c r="Z173" s="587">
        <f t="shared" ref="Z173" si="84">SUM(J173-R173)</f>
        <v>0</v>
      </c>
      <c r="AA173" s="587">
        <f t="shared" ref="AA173" si="85">SUM(L173-T173)</f>
        <v>0</v>
      </c>
      <c r="AB173" s="587">
        <f t="shared" ref="AB173" si="86">SUM(O173-W173)</f>
        <v>0</v>
      </c>
      <c r="AC173" s="587">
        <f t="shared" ref="AC173" si="87">SUM(P173-X173)</f>
        <v>0</v>
      </c>
      <c r="AD173" s="587">
        <f t="shared" ref="AD173" si="88">SUM(Q173-Y173)</f>
        <v>0</v>
      </c>
      <c r="AE173" s="3729"/>
      <c r="AF173" s="3729"/>
      <c r="AG173" s="3729"/>
      <c r="AH173" s="5638"/>
      <c r="AI173" s="3729"/>
      <c r="AJ173" s="3729"/>
      <c r="AK173" s="3730">
        <v>1</v>
      </c>
      <c r="AL173" s="3728">
        <v>45717</v>
      </c>
      <c r="AM173" s="587">
        <f t="shared" ref="AM173" si="89">IF(AL173=$BW$6,SUM(E173-$BV$6+1),0)</f>
        <v>0</v>
      </c>
      <c r="AN173" s="3040">
        <f>IF(AND($BW$2=2,AL173&gt;=$AK$153,AL173&lt;=$AM$153),O108,0)</f>
        <v>0</v>
      </c>
      <c r="AO173" s="587">
        <f t="shared" ref="AO173" si="90">IF(AL173=$BW$6,ROUND(AN173*AM173/E173,0),AN173)</f>
        <v>0</v>
      </c>
      <c r="AP173" s="793">
        <f t="shared" ref="AP173:AP184" si="91">IF(AND($BW$2=2,AL173&gt;=$AK$153,AL173&lt;=$AM$153),K225,0)</f>
        <v>0</v>
      </c>
      <c r="AQ173" s="587">
        <f t="shared" ref="AQ173" si="92">ROUND(AO173*AP173,0)</f>
        <v>0</v>
      </c>
      <c r="AR173" s="793">
        <f>IF(AND($BW$2=2,AL173&gt;=$BW$6,AL173&lt;=$BU$12),BK47,0)</f>
        <v>0</v>
      </c>
      <c r="AS173" s="587">
        <f t="shared" ref="AS173" si="93">ROUND(AO173*AR173,0)</f>
        <v>0</v>
      </c>
      <c r="AT173" s="587">
        <f t="shared" ref="AT173" si="94">IF(AND($AO$155=2,$AO$156=2,AL173=$AJ$160),$AO$162,AS173)</f>
        <v>0</v>
      </c>
      <c r="AU173" s="3733">
        <f t="shared" ref="AU173" si="95">SUM(AO173+AQ173+AT173)</f>
        <v>0</v>
      </c>
      <c r="AV173" s="587">
        <f t="shared" ref="AV173" si="96">ROUND(SUM(AO173+AQ173)*10%,0)</f>
        <v>0</v>
      </c>
      <c r="AW173" s="587">
        <f>IF(AND($BW$2=2,AL173&gt;=$AK$153,AL173&lt;=$AM$153),BF47,0)</f>
        <v>0</v>
      </c>
      <c r="AX173" s="3040">
        <f t="shared" ref="AX173" si="97">IF(AL173=$BW$6,ROUND(AW173*AM173/E173,0),AW173)</f>
        <v>0</v>
      </c>
      <c r="AY173" s="3734">
        <f t="shared" ref="AY173" si="98">AP173</f>
        <v>0</v>
      </c>
      <c r="AZ173" s="587">
        <f t="shared" ref="AZ173" si="99">ROUND(AX173*AY173,0)</f>
        <v>0</v>
      </c>
      <c r="BA173" s="2172">
        <f t="shared" ref="BA173" si="100">AR173</f>
        <v>0</v>
      </c>
      <c r="BB173" s="587">
        <f t="shared" ref="BB173" si="101">ROUND(AX173*BA173,0)</f>
        <v>0</v>
      </c>
      <c r="BC173" s="296">
        <f t="shared" ref="BC173" si="102">IF(AND($AO$155=2,$AO$156=2,AL173=$AJ$160),$AO$167,BB173)</f>
        <v>0</v>
      </c>
      <c r="BD173" s="587">
        <f t="shared" ref="BD173" si="103">SUM(AX173+AZ173+BC173)</f>
        <v>0</v>
      </c>
      <c r="BE173" s="587">
        <f t="shared" ref="BE173" si="104">ROUND(SUM(AX173+AZ173)*10%,0)</f>
        <v>0</v>
      </c>
      <c r="BF173" s="587">
        <f t="shared" ref="BF173" si="105">SUM(AO173-AX173)</f>
        <v>0</v>
      </c>
      <c r="BG173" s="587">
        <f t="shared" ref="BG173" si="106">SUM(AQ173-AZ173)</f>
        <v>0</v>
      </c>
      <c r="BH173" s="587">
        <f t="shared" ref="BH173" si="107">SUM(AT173-BC173)</f>
        <v>0</v>
      </c>
      <c r="BI173" s="587">
        <f t="shared" ref="BI173" si="108">SUM(AU173-BD173)</f>
        <v>0</v>
      </c>
      <c r="BJ173" s="587">
        <f t="shared" ref="BJ173" si="109">SUM(AV173-BE173)</f>
        <v>0</v>
      </c>
      <c r="BK173" s="3735"/>
      <c r="BL173" s="5492"/>
      <c r="BN173" s="298"/>
      <c r="BO173" s="3736"/>
      <c r="BP173" s="632"/>
      <c r="BQ173" s="2141"/>
      <c r="BR173" s="632"/>
      <c r="BS173" s="3737"/>
      <c r="BT173" s="632"/>
      <c r="BU173" s="3737"/>
      <c r="BV173" s="632"/>
      <c r="BW173" s="632"/>
      <c r="BX173" s="632"/>
      <c r="BY173" s="632"/>
      <c r="BZ173" s="632"/>
      <c r="CA173" s="632"/>
      <c r="CB173" s="3737"/>
      <c r="CC173" s="3737"/>
      <c r="CD173" s="632"/>
      <c r="CE173" s="3737"/>
      <c r="CF173" s="632"/>
      <c r="CG173" s="632"/>
      <c r="CH173" s="632"/>
      <c r="CI173" s="632"/>
      <c r="CJ173" s="632"/>
      <c r="CK173" s="632"/>
      <c r="CL173" s="632"/>
      <c r="CM173" s="632"/>
      <c r="CN173" s="632"/>
      <c r="CQ173" s="5620"/>
      <c r="CS173" s="3729"/>
      <c r="CT173" s="3730">
        <v>1</v>
      </c>
      <c r="CU173" s="3728">
        <v>45717</v>
      </c>
      <c r="CV173" s="2249">
        <f>IF(CU173=$DT$6,SUM(E173-$DS$6+1),0)</f>
        <v>31</v>
      </c>
      <c r="CW173" s="587">
        <f>IF(AND($DT$2=2,CU173&gt;=$CT$153,CU173&lt;=$CV$153),W108,0)</f>
        <v>0</v>
      </c>
      <c r="CX173" s="587">
        <f t="shared" ref="CX173" si="110">IF(CU173=$DT$6,ROUND(CW173*CV173/E173,0),CW173)</f>
        <v>0</v>
      </c>
      <c r="CY173" s="3738">
        <f t="shared" ref="CY173" si="111">IF(AND($DT$2=2,CU173&gt;=$CT$153,CU173&lt;=$CV$153),K225,0)</f>
        <v>0</v>
      </c>
      <c r="CZ173" s="587">
        <f t="shared" ref="CZ173" si="112">ROUND(CX173*CY173,0)</f>
        <v>0</v>
      </c>
      <c r="DA173" s="793">
        <f t="shared" ref="DA173" si="113">IF(AND($DT$2=2,CU173&gt;=$CT$153,CU173&lt;=$CV$153),BK47,0)</f>
        <v>0</v>
      </c>
      <c r="DB173" s="587">
        <f t="shared" ref="DB173" si="114">ROUND(CX173*DA173,0)</f>
        <v>0</v>
      </c>
      <c r="DC173" s="587">
        <f t="shared" ref="DC173" si="115">IF(AND($CX$155=2,$CX$156=2,CU173=$CS$160),$CX$162,DB173)</f>
        <v>0</v>
      </c>
      <c r="DD173" s="587">
        <f t="shared" ref="DD173" si="116">SUM(CX173+CZ173+DC173)</f>
        <v>0</v>
      </c>
      <c r="DE173" s="587">
        <f t="shared" ref="DE173" si="117">ROUND(SUM(CX173+CZ173)*10%,0)</f>
        <v>0</v>
      </c>
      <c r="DF173" s="587">
        <f>IF(AND($DT$2=2,CU173&gt;=$CT$153,CU173&lt;=$CV$153),BH47,0)</f>
        <v>0</v>
      </c>
      <c r="DG173" s="587">
        <f t="shared" ref="DG173" si="118">IF(CU173=$DT$6,ROUND(DF173*CV173/E173,0),DF173)</f>
        <v>0</v>
      </c>
      <c r="DH173" s="3734">
        <f t="shared" ref="DH173" si="119">IF(AND($DT$2=2,CU173&gt;=$CT$153,CU173&lt;=$CV$153),K225,0)</f>
        <v>0</v>
      </c>
      <c r="DI173" s="587">
        <f t="shared" ref="DI173" si="120">ROUND(DG173*DH173,0)</f>
        <v>0</v>
      </c>
      <c r="DJ173" s="2172">
        <f t="shared" ref="DJ173" si="121">DA173</f>
        <v>0</v>
      </c>
      <c r="DK173" s="587">
        <f t="shared" ref="DK173" si="122">ROUND(DG173*DJ173,0)</f>
        <v>0</v>
      </c>
      <c r="DL173" s="296">
        <f t="shared" ref="DL173" si="123">IF(AND($CX$155=2,$CX$156=2,CU173=$CS$160),$CX$167,DK173)</f>
        <v>0</v>
      </c>
      <c r="DM173" s="587">
        <f t="shared" ref="DM173" si="124">SUM(DG173+DI173+DL173)</f>
        <v>0</v>
      </c>
      <c r="DN173" s="587">
        <f t="shared" ref="DN173" si="125">ROUND(SUM(DG173+DI173)*10%,0)</f>
        <v>0</v>
      </c>
      <c r="DO173" s="587">
        <f t="shared" ref="DO173" si="126">SUM(CX173-DG173)</f>
        <v>0</v>
      </c>
      <c r="DP173" s="587">
        <f t="shared" ref="DP173" si="127">SUM(CZ173-DI173)</f>
        <v>0</v>
      </c>
      <c r="DQ173" s="587">
        <f t="shared" ref="DQ173" si="128">SUM(DC173-DL173)</f>
        <v>0</v>
      </c>
      <c r="DR173" s="587">
        <f t="shared" ref="DR173" si="129">SUM(DD173-DM173)</f>
        <v>0</v>
      </c>
      <c r="DS173" s="587">
        <f t="shared" ref="DS173" si="130">SUM(DE173-DN173)</f>
        <v>0</v>
      </c>
      <c r="DV173" s="3739"/>
      <c r="DX173" s="824">
        <v>1</v>
      </c>
      <c r="DY173" s="310">
        <v>45717</v>
      </c>
      <c r="DZ173" s="1623">
        <f>BI47</f>
        <v>82300</v>
      </c>
      <c r="EA173" s="1623">
        <f>BO47</f>
        <v>0</v>
      </c>
      <c r="EB173" s="1623">
        <f>BJ47</f>
        <v>31274</v>
      </c>
      <c r="EC173" s="1623">
        <f>BM47</f>
        <v>7407</v>
      </c>
      <c r="ED173" s="3740">
        <f>BS47</f>
        <v>0</v>
      </c>
      <c r="EE173" s="1623">
        <f>BR47</f>
        <v>0</v>
      </c>
      <c r="EF173" s="1623">
        <f>BN47</f>
        <v>650</v>
      </c>
      <c r="EG173" s="1623">
        <f>BP47</f>
        <v>0</v>
      </c>
      <c r="EH173" s="1623">
        <f>BQ47</f>
        <v>0</v>
      </c>
      <c r="EI173" s="1623">
        <f>BT47</f>
        <v>0</v>
      </c>
      <c r="EJ173" s="949">
        <f>SUM(DZ173:EI173)</f>
        <v>121631</v>
      </c>
      <c r="EK173" s="1623">
        <f>N225</f>
        <v>6000</v>
      </c>
      <c r="EL173" s="1623">
        <f>BV47</f>
        <v>5000</v>
      </c>
      <c r="EM173" s="1623">
        <f>BW47</f>
        <v>120</v>
      </c>
      <c r="EN173" s="1623">
        <f>CC47</f>
        <v>200</v>
      </c>
      <c r="EO173" s="1623">
        <f>BY47</f>
        <v>50</v>
      </c>
      <c r="EP173" s="3741"/>
      <c r="EQ173" s="1623">
        <f>CA47</f>
        <v>0</v>
      </c>
      <c r="ER173" s="1623">
        <f>CB47</f>
        <v>20000</v>
      </c>
      <c r="ES173" s="949">
        <f>SUM(EK173:ER173)</f>
        <v>31370</v>
      </c>
      <c r="ET173" s="3742">
        <f>SUM(EJ173-ES173)</f>
        <v>90261</v>
      </c>
      <c r="HK173" s="3743"/>
      <c r="HL173" s="1139">
        <v>72</v>
      </c>
      <c r="HM173" s="3744">
        <v>44531</v>
      </c>
      <c r="HN173" s="3294"/>
      <c r="MA173" s="3745"/>
    </row>
    <row r="174" spans="1:339" ht="27.95" customHeight="1">
      <c r="A174" s="123"/>
      <c r="B174" s="653"/>
      <c r="C174" s="290">
        <v>2</v>
      </c>
      <c r="D174" s="694">
        <v>45748</v>
      </c>
      <c r="E174" s="696">
        <v>30</v>
      </c>
      <c r="F174" s="729"/>
      <c r="G174" s="729"/>
      <c r="H174" s="701">
        <v>2</v>
      </c>
      <c r="I174" s="694">
        <v>45748</v>
      </c>
      <c r="J174" s="587">
        <f t="shared" ref="J174:J184" si="131">IF(AND($BG$5=2,$BG$8=2,I174&gt;=$BF$6,I174&lt;=$BF$9),K109,0)</f>
        <v>0</v>
      </c>
      <c r="K174" s="1902">
        <f t="shared" ref="K174:K184" si="132">IF(AND($BG$5=2,$BG$8=2,I174&gt;=$BF$6,I174&lt;=$BF$9),K226,0)</f>
        <v>0</v>
      </c>
      <c r="L174" s="630">
        <f t="shared" ref="L174:L184" si="133">ROUND(J174*K174,0)</f>
        <v>0</v>
      </c>
      <c r="M174" s="749">
        <f t="shared" si="71"/>
        <v>0</v>
      </c>
      <c r="N174" s="630">
        <f t="shared" ref="N174:N184" si="134">ROUND(J174*M174,0)</f>
        <v>0</v>
      </c>
      <c r="O174" s="587">
        <f t="shared" ref="O174:O184" si="135">IF(AND($H$155=2,$H$156=2,I174=$D$160),$I$162,N174)</f>
        <v>0</v>
      </c>
      <c r="P174" s="2148">
        <f t="shared" ref="P174:P184" si="136">SUM(J174+L174+O174)</f>
        <v>0</v>
      </c>
      <c r="Q174" s="587">
        <f t="shared" ref="Q174:Q184" si="137">ROUND(SUM(J174+L174)*10%,0)</f>
        <v>0</v>
      </c>
      <c r="R174" s="630">
        <f t="shared" si="76"/>
        <v>0</v>
      </c>
      <c r="S174" s="749">
        <f t="shared" ref="S174:S184" si="138">K174</f>
        <v>0</v>
      </c>
      <c r="T174" s="630">
        <f t="shared" ref="T174:T184" si="139">ROUND(R174*S174,0)</f>
        <v>0</v>
      </c>
      <c r="U174" s="749">
        <f t="shared" ref="U174:U184" si="140">M174</f>
        <v>0</v>
      </c>
      <c r="V174" s="630">
        <f t="shared" ref="V174:V184" si="141">ROUND(R174*U174,0)</f>
        <v>0</v>
      </c>
      <c r="W174" s="630">
        <f t="shared" ref="W174:W184" si="142">IF(AND($H$155=2,$H$156=2,I174=$D$160),$I$168,V174)</f>
        <v>0</v>
      </c>
      <c r="X174" s="2150">
        <f t="shared" ref="X174:X184" si="143">SUM(R174+T174+W174)</f>
        <v>0</v>
      </c>
      <c r="Y174" s="2118">
        <f t="shared" ref="Y174:Y184" si="144">ROUND(SUM(R174+T174)*10%,0)</f>
        <v>0</v>
      </c>
      <c r="Z174" s="630">
        <f t="shared" ref="Z174:Z184" si="145">SUM(J174-R174)</f>
        <v>0</v>
      </c>
      <c r="AA174" s="630">
        <f t="shared" ref="AA174:AA184" si="146">SUM(L174-T174)</f>
        <v>0</v>
      </c>
      <c r="AB174" s="630">
        <f t="shared" ref="AB174:AB184" si="147">SUM(O174-W174)</f>
        <v>0</v>
      </c>
      <c r="AC174" s="630">
        <f t="shared" ref="AC174:AC184" si="148">SUM(P174-X174)</f>
        <v>0</v>
      </c>
      <c r="AD174" s="587">
        <f t="shared" ref="AD174:AD184" si="149">SUM(Q174-Y174)</f>
        <v>0</v>
      </c>
      <c r="AE174" s="729"/>
      <c r="AF174" s="729"/>
      <c r="AG174" s="729"/>
      <c r="AH174" s="5638"/>
      <c r="AI174" s="729"/>
      <c r="AJ174" s="729"/>
      <c r="AK174" s="701">
        <v>2</v>
      </c>
      <c r="AL174" s="694">
        <v>45748</v>
      </c>
      <c r="AM174" s="587">
        <f t="shared" ref="AM174:AM184" si="150">IF(AL174=$BW$6,SUM(E174-$BV$6+1),0)</f>
        <v>0</v>
      </c>
      <c r="AN174" s="3040">
        <f t="shared" ref="AN174:AN184" si="151">IF(AND($BW$2=2,AL174&gt;=$AK$153,AL174&lt;=$AM$153),O109,0)</f>
        <v>0</v>
      </c>
      <c r="AO174" s="630">
        <f t="shared" ref="AO174:AO184" si="152">IF(AL174=$BW$6,ROUND(AN174*AM174/E174,0),AN174)</f>
        <v>0</v>
      </c>
      <c r="AP174" s="749">
        <f t="shared" si="91"/>
        <v>0</v>
      </c>
      <c r="AQ174" s="630">
        <f t="shared" ref="AQ174:AQ184" si="153">ROUND(AO174*AP174,0)</f>
        <v>0</v>
      </c>
      <c r="AR174" s="749">
        <f t="shared" ref="AR174:AR184" si="154">IF(AND($BW$2=2,AL174&gt;=$BW$6,AL174&lt;=$BU$12),BK48,0)</f>
        <v>0</v>
      </c>
      <c r="AS174" s="630">
        <f t="shared" ref="AS174:AS184" si="155">ROUND(AO174*AR174,0)</f>
        <v>0</v>
      </c>
      <c r="AT174" s="587">
        <f t="shared" ref="AT174:AT184" si="156">IF(AND($AO$155=2,$AO$156=2,AL174=$AJ$160),$AO$162,AS174)</f>
        <v>0</v>
      </c>
      <c r="AU174" s="3038">
        <f t="shared" ref="AU174:AU184" si="157">SUM(AO174+AQ174+AT174)</f>
        <v>0</v>
      </c>
      <c r="AV174" s="587">
        <f t="shared" ref="AV174:AV184" si="158">ROUND(SUM(AO174+AQ174)*10%,0)</f>
        <v>0</v>
      </c>
      <c r="AW174" s="630">
        <f t="shared" ref="AW174:AW184" si="159">IF(AND($BW$2=2,AL174&gt;=$AK$153,AL174&lt;=$AM$153),BF48,0)</f>
        <v>0</v>
      </c>
      <c r="AX174" s="3039">
        <f t="shared" ref="AX174:AX184" si="160">IF(AL174=$BW$6,ROUND(AW174*AM174/E174,0),AW174)</f>
        <v>0</v>
      </c>
      <c r="AY174" s="1903">
        <f t="shared" ref="AY174:AY184" si="161">AP174</f>
        <v>0</v>
      </c>
      <c r="AZ174" s="630">
        <f t="shared" ref="AZ174:AZ184" si="162">ROUND(AX174*AY174,0)</f>
        <v>0</v>
      </c>
      <c r="BA174" s="2172">
        <f t="shared" ref="BA174:BA184" si="163">AR174</f>
        <v>0</v>
      </c>
      <c r="BB174" s="630">
        <f t="shared" ref="BB174:BB184" si="164">ROUND(AX174*BA174,0)</f>
        <v>0</v>
      </c>
      <c r="BC174" s="2119">
        <f t="shared" ref="BC174:BC184" si="165">IF(AND($AO$155=2,$AO$156=2,AL174=$AJ$160),$AO$167,BB174)</f>
        <v>0</v>
      </c>
      <c r="BD174" s="630">
        <f t="shared" ref="BD174:BD184" si="166">SUM(AX174+AZ174+BC174)</f>
        <v>0</v>
      </c>
      <c r="BE174" s="587">
        <f t="shared" ref="BE174:BE184" si="167">ROUND(SUM(AX174+AZ174)*10%,0)</f>
        <v>0</v>
      </c>
      <c r="BF174" s="630">
        <f t="shared" ref="BF174:BF184" si="168">SUM(AO174-AX174)</f>
        <v>0</v>
      </c>
      <c r="BG174" s="630">
        <f t="shared" ref="BG174:BG184" si="169">SUM(AQ174-AZ174)</f>
        <v>0</v>
      </c>
      <c r="BH174" s="630">
        <f t="shared" ref="BH174:BH184" si="170">SUM(AT174-BC174)</f>
        <v>0</v>
      </c>
      <c r="BI174" s="630">
        <f t="shared" ref="BI174:BI184" si="171">SUM(AU174-BD174)</f>
        <v>0</v>
      </c>
      <c r="BJ174" s="630">
        <f t="shared" ref="BJ174:BJ184" si="172">SUM(AV174-BE174)</f>
        <v>0</v>
      </c>
      <c r="BK174" s="678"/>
      <c r="BL174" s="5492"/>
      <c r="BN174" s="9"/>
      <c r="BO174" s="960"/>
      <c r="BP174" s="632"/>
      <c r="BQ174" s="632"/>
      <c r="BR174" s="692"/>
      <c r="BS174" s="2147"/>
      <c r="BT174" s="692"/>
      <c r="BU174" s="2147"/>
      <c r="BV174" s="692"/>
      <c r="BW174" s="632"/>
      <c r="BX174" s="692"/>
      <c r="BY174" s="632"/>
      <c r="BZ174" s="692"/>
      <c r="CA174" s="692"/>
      <c r="CB174" s="2147"/>
      <c r="CC174" s="2147"/>
      <c r="CD174" s="692"/>
      <c r="CE174" s="2147"/>
      <c r="CF174" s="692"/>
      <c r="CG174" s="692"/>
      <c r="CH174" s="692"/>
      <c r="CI174" s="632"/>
      <c r="CJ174" s="692"/>
      <c r="CK174" s="692"/>
      <c r="CL174" s="692"/>
      <c r="CM174" s="692"/>
      <c r="CN174" s="692"/>
      <c r="CQ174" s="5620"/>
      <c r="CS174" s="729"/>
      <c r="CT174" s="701">
        <v>2</v>
      </c>
      <c r="CU174" s="694">
        <v>45748</v>
      </c>
      <c r="CV174" s="2249">
        <f t="shared" ref="CV174:CV184" si="173">IF(CU174=$DT$6,SUM(E174-$DS$6+1),0)</f>
        <v>0</v>
      </c>
      <c r="CW174" s="587">
        <f t="shared" ref="CW174:CW184" si="174">IF(AND($DT$2=2,CU174&gt;=$CT$153,CU174&lt;=$CV$153),W109,0)</f>
        <v>0</v>
      </c>
      <c r="CX174" s="630">
        <f t="shared" ref="CX174:CX184" si="175">IF(CU174=$DT$6,ROUND(CW174*CV174/E174,0),CW174)</f>
        <v>0</v>
      </c>
      <c r="CY174" s="1904">
        <f t="shared" ref="CY174:CY184" si="176">IF(AND($DT$2=2,CU174&gt;=$CT$153,CU174&lt;=$CV$153),K226,0)</f>
        <v>0</v>
      </c>
      <c r="CZ174" s="630">
        <f t="shared" ref="CZ174:CZ184" si="177">ROUND(CX174*CY174,0)</f>
        <v>0</v>
      </c>
      <c r="DA174" s="749">
        <f t="shared" ref="DA174:DA184" si="178">IF(AND($DT$2=2,CU174&gt;=$CT$153,CU174&lt;=$CV$153),BK48,0)</f>
        <v>0</v>
      </c>
      <c r="DB174" s="630">
        <f t="shared" ref="DB174:DB184" si="179">ROUND(CX174*DA174,0)</f>
        <v>0</v>
      </c>
      <c r="DC174" s="587">
        <f t="shared" ref="DC174:DC184" si="180">IF(AND($CX$155=2,$CX$156=2,CU174=$CS$160),$CX$162,DB174)</f>
        <v>0</v>
      </c>
      <c r="DD174" s="630">
        <f t="shared" ref="DD174:DD184" si="181">SUM(CX174+CZ174+DC174)</f>
        <v>0</v>
      </c>
      <c r="DE174" s="587">
        <f t="shared" ref="DE174:DE184" si="182">ROUND(SUM(CX174+CZ174)*10%,0)</f>
        <v>0</v>
      </c>
      <c r="DF174" s="630">
        <f t="shared" ref="DF174:DF184" si="183">IF(AND($DT$2=2,CU174&gt;=$CT$153,CU174&lt;=$CV$153),BH48,0)</f>
        <v>0</v>
      </c>
      <c r="DG174" s="630">
        <f t="shared" ref="DG174:DG184" si="184">IF(CU174=$DT$6,ROUND(DF174*CV174/E174,0),DF174)</f>
        <v>0</v>
      </c>
      <c r="DH174" s="1903">
        <f t="shared" ref="DH174:DH184" si="185">IF(AND($DT$2=2,CU174&gt;=$CT$153,CU174&lt;=$CV$153),K226,0)</f>
        <v>0</v>
      </c>
      <c r="DI174" s="630">
        <f t="shared" ref="DI174:DI184" si="186">ROUND(DG174*DH174,0)</f>
        <v>0</v>
      </c>
      <c r="DJ174" s="825">
        <f t="shared" ref="DJ174:DJ184" si="187">DA174</f>
        <v>0</v>
      </c>
      <c r="DK174" s="630">
        <f t="shared" ref="DK174:DK184" si="188">ROUND(DG174*DJ174,0)</f>
        <v>0</v>
      </c>
      <c r="DL174" s="2119">
        <f t="shared" ref="DL174:DL184" si="189">IF(AND($CX$155=2,$CX$156=2,CU174=$CS$160),$CX$167,DK174)</f>
        <v>0</v>
      </c>
      <c r="DM174" s="630">
        <f t="shared" ref="DM174:DM184" si="190">SUM(DG174+DI174+DL174)</f>
        <v>0</v>
      </c>
      <c r="DN174" s="587">
        <f t="shared" ref="DN174:DN184" si="191">ROUND(SUM(DG174+DI174)*10%,0)</f>
        <v>0</v>
      </c>
      <c r="DO174" s="630">
        <f t="shared" ref="DO174:DO184" si="192">SUM(CX174-DG174)</f>
        <v>0</v>
      </c>
      <c r="DP174" s="630">
        <f t="shared" ref="DP174:DP184" si="193">SUM(CZ174-DI174)</f>
        <v>0</v>
      </c>
      <c r="DQ174" s="630">
        <f t="shared" ref="DQ174:DQ184" si="194">SUM(DC174-DL174)</f>
        <v>0</v>
      </c>
      <c r="DR174" s="630">
        <f t="shared" ref="DR174:DR184" si="195">SUM(DD174-DM174)</f>
        <v>0</v>
      </c>
      <c r="DS174" s="630">
        <f t="shared" ref="DS174:DS184" si="196">SUM(DE174-DN174)</f>
        <v>0</v>
      </c>
      <c r="DV174" s="833"/>
      <c r="DX174" s="824">
        <v>2</v>
      </c>
      <c r="DY174" s="310">
        <v>45748</v>
      </c>
      <c r="DZ174" s="827">
        <f t="shared" ref="DZ174:DZ183" si="197">BI48</f>
        <v>82300</v>
      </c>
      <c r="EA174" s="827">
        <f t="shared" ref="EA174:EA184" si="198">BO48</f>
        <v>0</v>
      </c>
      <c r="EB174" s="827">
        <f t="shared" ref="EB174:EB184" si="199">BJ48</f>
        <v>31274</v>
      </c>
      <c r="EC174" s="1623">
        <f t="shared" ref="EC174:EC184" si="200">BM48</f>
        <v>7407</v>
      </c>
      <c r="ED174" s="947">
        <f t="shared" ref="ED174:ED184" si="201">BS48</f>
        <v>0</v>
      </c>
      <c r="EE174" s="827">
        <f t="shared" ref="EE174:EE184" si="202">BR48</f>
        <v>0</v>
      </c>
      <c r="EF174" s="827">
        <f t="shared" ref="EF174:EF184" si="203">BN48</f>
        <v>650</v>
      </c>
      <c r="EG174" s="827">
        <f t="shared" ref="EG174:EH174" si="204">BP48</f>
        <v>0</v>
      </c>
      <c r="EH174" s="827">
        <f t="shared" si="204"/>
        <v>0</v>
      </c>
      <c r="EI174" s="827">
        <f t="shared" ref="EI174:EI184" si="205">BT48</f>
        <v>0</v>
      </c>
      <c r="EJ174" s="948">
        <f t="shared" ref="EJ174:EJ184" si="206">SUM(DZ174:EI174)</f>
        <v>121631</v>
      </c>
      <c r="EK174" s="827">
        <f t="shared" ref="EK174:EK184" si="207">N226</f>
        <v>6000</v>
      </c>
      <c r="EL174" s="827">
        <f t="shared" ref="EL174:EM174" si="208">BV48</f>
        <v>5000</v>
      </c>
      <c r="EM174" s="827">
        <f t="shared" si="208"/>
        <v>120</v>
      </c>
      <c r="EN174" s="827">
        <f t="shared" ref="EN174:EN184" si="209">CC48</f>
        <v>200</v>
      </c>
      <c r="EO174" s="827"/>
      <c r="EP174" s="945"/>
      <c r="EQ174" s="1623">
        <f t="shared" ref="EQ174:EQ184" si="210">CA48</f>
        <v>300</v>
      </c>
      <c r="ER174" s="1623">
        <f t="shared" ref="ER174:ER184" si="211">CB48</f>
        <v>20000</v>
      </c>
      <c r="ES174" s="949">
        <f t="shared" ref="ES174:ES196" si="212">SUM(EK174:ER174)</f>
        <v>31620</v>
      </c>
      <c r="ET174" s="962">
        <f t="shared" ref="ET174:ET196" si="213">SUM(EJ174-ES174)</f>
        <v>90011</v>
      </c>
      <c r="HK174" s="877"/>
      <c r="HL174" s="1139">
        <v>73</v>
      </c>
      <c r="HM174" s="3017">
        <v>44562</v>
      </c>
      <c r="HN174" s="3018"/>
      <c r="MA174" s="831"/>
    </row>
    <row r="175" spans="1:339" ht="27.95" customHeight="1">
      <c r="A175" s="123"/>
      <c r="B175" s="653"/>
      <c r="C175" s="290">
        <v>3</v>
      </c>
      <c r="D175" s="694">
        <v>45778</v>
      </c>
      <c r="E175" s="696">
        <v>31</v>
      </c>
      <c r="F175" s="729"/>
      <c r="G175" s="729"/>
      <c r="H175" s="701">
        <v>3</v>
      </c>
      <c r="I175" s="694">
        <v>45778</v>
      </c>
      <c r="J175" s="587">
        <f t="shared" si="131"/>
        <v>0</v>
      </c>
      <c r="K175" s="1902">
        <f t="shared" si="132"/>
        <v>0</v>
      </c>
      <c r="L175" s="630">
        <f t="shared" si="133"/>
        <v>0</v>
      </c>
      <c r="M175" s="749">
        <f t="shared" si="71"/>
        <v>0</v>
      </c>
      <c r="N175" s="630">
        <f t="shared" si="134"/>
        <v>0</v>
      </c>
      <c r="O175" s="587">
        <f t="shared" si="135"/>
        <v>0</v>
      </c>
      <c r="P175" s="2148">
        <f t="shared" si="136"/>
        <v>0</v>
      </c>
      <c r="Q175" s="587">
        <f t="shared" si="137"/>
        <v>0</v>
      </c>
      <c r="R175" s="630">
        <f t="shared" si="76"/>
        <v>0</v>
      </c>
      <c r="S175" s="749">
        <f t="shared" si="138"/>
        <v>0</v>
      </c>
      <c r="T175" s="630">
        <f t="shared" si="139"/>
        <v>0</v>
      </c>
      <c r="U175" s="749">
        <f t="shared" si="140"/>
        <v>0</v>
      </c>
      <c r="V175" s="630">
        <f t="shared" si="141"/>
        <v>0</v>
      </c>
      <c r="W175" s="630">
        <f t="shared" si="142"/>
        <v>0</v>
      </c>
      <c r="X175" s="2150">
        <f t="shared" si="143"/>
        <v>0</v>
      </c>
      <c r="Y175" s="2118">
        <f t="shared" si="144"/>
        <v>0</v>
      </c>
      <c r="Z175" s="630">
        <f t="shared" si="145"/>
        <v>0</v>
      </c>
      <c r="AA175" s="630">
        <f t="shared" si="146"/>
        <v>0</v>
      </c>
      <c r="AB175" s="630">
        <f t="shared" si="147"/>
        <v>0</v>
      </c>
      <c r="AC175" s="630">
        <f t="shared" si="148"/>
        <v>0</v>
      </c>
      <c r="AD175" s="587">
        <f t="shared" si="149"/>
        <v>0</v>
      </c>
      <c r="AE175" s="729"/>
      <c r="AF175" s="729"/>
      <c r="AG175" s="729"/>
      <c r="AH175" s="5638"/>
      <c r="AI175" s="729"/>
      <c r="AJ175" s="729"/>
      <c r="AK175" s="701">
        <v>3</v>
      </c>
      <c r="AL175" s="694">
        <v>45778</v>
      </c>
      <c r="AM175" s="587">
        <f t="shared" si="150"/>
        <v>0</v>
      </c>
      <c r="AN175" s="3040">
        <f t="shared" si="151"/>
        <v>0</v>
      </c>
      <c r="AO175" s="630">
        <f t="shared" si="152"/>
        <v>0</v>
      </c>
      <c r="AP175" s="749">
        <f t="shared" si="91"/>
        <v>0</v>
      </c>
      <c r="AQ175" s="630">
        <f t="shared" si="153"/>
        <v>0</v>
      </c>
      <c r="AR175" s="749">
        <f t="shared" si="154"/>
        <v>0</v>
      </c>
      <c r="AS175" s="630">
        <f t="shared" si="155"/>
        <v>0</v>
      </c>
      <c r="AT175" s="587">
        <f t="shared" si="156"/>
        <v>0</v>
      </c>
      <c r="AU175" s="3038">
        <f t="shared" si="157"/>
        <v>0</v>
      </c>
      <c r="AV175" s="587">
        <f t="shared" si="158"/>
        <v>0</v>
      </c>
      <c r="AW175" s="630">
        <f t="shared" si="159"/>
        <v>0</v>
      </c>
      <c r="AX175" s="3039">
        <f t="shared" si="160"/>
        <v>0</v>
      </c>
      <c r="AY175" s="1903">
        <f t="shared" si="161"/>
        <v>0</v>
      </c>
      <c r="AZ175" s="630">
        <f t="shared" si="162"/>
        <v>0</v>
      </c>
      <c r="BA175" s="2172">
        <f t="shared" si="163"/>
        <v>0</v>
      </c>
      <c r="BB175" s="630">
        <f t="shared" si="164"/>
        <v>0</v>
      </c>
      <c r="BC175" s="2119">
        <f t="shared" si="165"/>
        <v>0</v>
      </c>
      <c r="BD175" s="630">
        <f t="shared" si="166"/>
        <v>0</v>
      </c>
      <c r="BE175" s="587">
        <f t="shared" si="167"/>
        <v>0</v>
      </c>
      <c r="BF175" s="630">
        <f t="shared" si="168"/>
        <v>0</v>
      </c>
      <c r="BG175" s="630">
        <f t="shared" si="169"/>
        <v>0</v>
      </c>
      <c r="BH175" s="630">
        <f t="shared" si="170"/>
        <v>0</v>
      </c>
      <c r="BI175" s="630">
        <f t="shared" si="171"/>
        <v>0</v>
      </c>
      <c r="BJ175" s="630">
        <f t="shared" si="172"/>
        <v>0</v>
      </c>
      <c r="BK175" s="678"/>
      <c r="BL175" s="5492"/>
      <c r="BN175" s="9"/>
      <c r="BO175" s="960"/>
      <c r="BP175" s="632"/>
      <c r="BQ175" s="632"/>
      <c r="BR175" s="692"/>
      <c r="BS175" s="2147"/>
      <c r="BT175" s="692"/>
      <c r="BU175" s="2147"/>
      <c r="BV175" s="692"/>
      <c r="BW175" s="632"/>
      <c r="BX175" s="692"/>
      <c r="BY175" s="632"/>
      <c r="BZ175" s="692"/>
      <c r="CA175" s="692"/>
      <c r="CB175" s="2147"/>
      <c r="CC175" s="2147"/>
      <c r="CD175" s="692"/>
      <c r="CE175" s="2147"/>
      <c r="CF175" s="692"/>
      <c r="CG175" s="692"/>
      <c r="CH175" s="692"/>
      <c r="CI175" s="632"/>
      <c r="CJ175" s="692"/>
      <c r="CK175" s="692"/>
      <c r="CL175" s="692"/>
      <c r="CM175" s="692"/>
      <c r="CN175" s="692"/>
      <c r="CQ175" s="5620"/>
      <c r="CS175" s="729"/>
      <c r="CT175" s="701">
        <v>3</v>
      </c>
      <c r="CU175" s="694">
        <v>45778</v>
      </c>
      <c r="CV175" s="2249">
        <f t="shared" si="173"/>
        <v>0</v>
      </c>
      <c r="CW175" s="587">
        <f t="shared" si="174"/>
        <v>0</v>
      </c>
      <c r="CX175" s="630">
        <f t="shared" si="175"/>
        <v>0</v>
      </c>
      <c r="CY175" s="1904">
        <f t="shared" si="176"/>
        <v>0</v>
      </c>
      <c r="CZ175" s="630">
        <f t="shared" si="177"/>
        <v>0</v>
      </c>
      <c r="DA175" s="749">
        <f t="shared" si="178"/>
        <v>0</v>
      </c>
      <c r="DB175" s="630">
        <f t="shared" si="179"/>
        <v>0</v>
      </c>
      <c r="DC175" s="587">
        <f t="shared" si="180"/>
        <v>0</v>
      </c>
      <c r="DD175" s="630">
        <f t="shared" si="181"/>
        <v>0</v>
      </c>
      <c r="DE175" s="587">
        <f t="shared" si="182"/>
        <v>0</v>
      </c>
      <c r="DF175" s="630">
        <f>IF(AND($DT$2=2,CU175&gt;=$CT$153,CU175&lt;=$CV$153),BH49,0)</f>
        <v>0</v>
      </c>
      <c r="DG175" s="630">
        <f t="shared" si="184"/>
        <v>0</v>
      </c>
      <c r="DH175" s="1903">
        <f t="shared" si="185"/>
        <v>0</v>
      </c>
      <c r="DI175" s="630">
        <f t="shared" si="186"/>
        <v>0</v>
      </c>
      <c r="DJ175" s="825">
        <f t="shared" si="187"/>
        <v>0</v>
      </c>
      <c r="DK175" s="630">
        <f t="shared" si="188"/>
        <v>0</v>
      </c>
      <c r="DL175" s="2119">
        <f t="shared" si="189"/>
        <v>0</v>
      </c>
      <c r="DM175" s="630">
        <f t="shared" si="190"/>
        <v>0</v>
      </c>
      <c r="DN175" s="587">
        <f t="shared" si="191"/>
        <v>0</v>
      </c>
      <c r="DO175" s="630">
        <f t="shared" si="192"/>
        <v>0</v>
      </c>
      <c r="DP175" s="630">
        <f t="shared" si="193"/>
        <v>0</v>
      </c>
      <c r="DQ175" s="630">
        <f t="shared" si="194"/>
        <v>0</v>
      </c>
      <c r="DR175" s="630">
        <f t="shared" si="195"/>
        <v>0</v>
      </c>
      <c r="DS175" s="630">
        <f t="shared" si="196"/>
        <v>0</v>
      </c>
      <c r="DV175" s="833"/>
      <c r="DX175" s="824">
        <v>3</v>
      </c>
      <c r="DY175" s="310">
        <v>45778</v>
      </c>
      <c r="DZ175" s="827">
        <f t="shared" si="197"/>
        <v>82300</v>
      </c>
      <c r="EA175" s="827">
        <f t="shared" si="198"/>
        <v>0</v>
      </c>
      <c r="EB175" s="827">
        <f t="shared" si="199"/>
        <v>31274</v>
      </c>
      <c r="EC175" s="1623">
        <f t="shared" si="200"/>
        <v>7407</v>
      </c>
      <c r="ED175" s="947">
        <f t="shared" si="201"/>
        <v>0</v>
      </c>
      <c r="EE175" s="827">
        <f t="shared" si="202"/>
        <v>0</v>
      </c>
      <c r="EF175" s="827">
        <f t="shared" si="203"/>
        <v>650</v>
      </c>
      <c r="EG175" s="827">
        <f t="shared" ref="EG175:EH175" si="214">BP49</f>
        <v>0</v>
      </c>
      <c r="EH175" s="827">
        <f t="shared" si="214"/>
        <v>0</v>
      </c>
      <c r="EI175" s="827">
        <f t="shared" si="205"/>
        <v>0</v>
      </c>
      <c r="EJ175" s="948">
        <f t="shared" si="206"/>
        <v>121631</v>
      </c>
      <c r="EK175" s="827">
        <f t="shared" si="207"/>
        <v>6000</v>
      </c>
      <c r="EL175" s="827">
        <f t="shared" ref="EL175:EM175" si="215">BV49</f>
        <v>5000</v>
      </c>
      <c r="EM175" s="827">
        <f t="shared" si="215"/>
        <v>120</v>
      </c>
      <c r="EN175" s="827">
        <f t="shared" si="209"/>
        <v>200</v>
      </c>
      <c r="EO175" s="827"/>
      <c r="EP175" s="945"/>
      <c r="EQ175" s="1623">
        <f t="shared" si="210"/>
        <v>0</v>
      </c>
      <c r="ER175" s="1623">
        <f t="shared" si="211"/>
        <v>20000</v>
      </c>
      <c r="ES175" s="949">
        <f t="shared" si="212"/>
        <v>31320</v>
      </c>
      <c r="ET175" s="962">
        <f t="shared" si="213"/>
        <v>90311</v>
      </c>
      <c r="HK175" s="877"/>
      <c r="HL175" s="1139">
        <v>74</v>
      </c>
      <c r="HM175" s="3017">
        <v>44593</v>
      </c>
      <c r="HN175" s="3018"/>
      <c r="MA175" s="831"/>
    </row>
    <row r="176" spans="1:339" ht="27.95" customHeight="1">
      <c r="A176" s="123"/>
      <c r="B176" s="653"/>
      <c r="C176" s="290">
        <v>4</v>
      </c>
      <c r="D176" s="694">
        <v>45809</v>
      </c>
      <c r="E176" s="696">
        <v>30</v>
      </c>
      <c r="F176" s="729"/>
      <c r="G176" s="729"/>
      <c r="H176" s="701">
        <v>4</v>
      </c>
      <c r="I176" s="694">
        <v>45809</v>
      </c>
      <c r="J176" s="587">
        <f t="shared" si="131"/>
        <v>0</v>
      </c>
      <c r="K176" s="1902">
        <f t="shared" si="132"/>
        <v>0</v>
      </c>
      <c r="L176" s="630">
        <f t="shared" si="133"/>
        <v>0</v>
      </c>
      <c r="M176" s="749">
        <f t="shared" si="71"/>
        <v>0</v>
      </c>
      <c r="N176" s="630">
        <f t="shared" si="134"/>
        <v>0</v>
      </c>
      <c r="O176" s="587">
        <f t="shared" si="135"/>
        <v>0</v>
      </c>
      <c r="P176" s="2148">
        <f t="shared" si="136"/>
        <v>0</v>
      </c>
      <c r="Q176" s="587">
        <f t="shared" si="137"/>
        <v>0</v>
      </c>
      <c r="R176" s="630">
        <f t="shared" si="76"/>
        <v>0</v>
      </c>
      <c r="S176" s="749">
        <f t="shared" si="138"/>
        <v>0</v>
      </c>
      <c r="T176" s="630">
        <f t="shared" si="139"/>
        <v>0</v>
      </c>
      <c r="U176" s="749">
        <f t="shared" si="140"/>
        <v>0</v>
      </c>
      <c r="V176" s="630">
        <f t="shared" si="141"/>
        <v>0</v>
      </c>
      <c r="W176" s="630">
        <f t="shared" si="142"/>
        <v>0</v>
      </c>
      <c r="X176" s="2150">
        <f t="shared" si="143"/>
        <v>0</v>
      </c>
      <c r="Y176" s="2118">
        <f t="shared" si="144"/>
        <v>0</v>
      </c>
      <c r="Z176" s="630">
        <f t="shared" si="145"/>
        <v>0</v>
      </c>
      <c r="AA176" s="630">
        <f t="shared" si="146"/>
        <v>0</v>
      </c>
      <c r="AB176" s="630">
        <f t="shared" si="147"/>
        <v>0</v>
      </c>
      <c r="AC176" s="630">
        <f t="shared" si="148"/>
        <v>0</v>
      </c>
      <c r="AD176" s="587">
        <f t="shared" si="149"/>
        <v>0</v>
      </c>
      <c r="AE176" s="729"/>
      <c r="AF176" s="729"/>
      <c r="AG176" s="729"/>
      <c r="AH176" s="5638"/>
      <c r="AI176" s="729"/>
      <c r="AJ176" s="729"/>
      <c r="AK176" s="701">
        <v>4</v>
      </c>
      <c r="AL176" s="694">
        <v>45809</v>
      </c>
      <c r="AM176" s="587">
        <f>IF(AL176=$BW$6,SUM(E176-$BV$6+1),0)</f>
        <v>0</v>
      </c>
      <c r="AN176" s="3040">
        <f t="shared" si="151"/>
        <v>0</v>
      </c>
      <c r="AO176" s="630">
        <f t="shared" si="152"/>
        <v>0</v>
      </c>
      <c r="AP176" s="749">
        <f t="shared" si="91"/>
        <v>0</v>
      </c>
      <c r="AQ176" s="630">
        <f t="shared" si="153"/>
        <v>0</v>
      </c>
      <c r="AR176" s="749">
        <f t="shared" si="154"/>
        <v>0</v>
      </c>
      <c r="AS176" s="630">
        <f t="shared" si="155"/>
        <v>0</v>
      </c>
      <c r="AT176" s="587">
        <f t="shared" si="156"/>
        <v>0</v>
      </c>
      <c r="AU176" s="3038">
        <f t="shared" si="157"/>
        <v>0</v>
      </c>
      <c r="AV176" s="587">
        <f t="shared" si="158"/>
        <v>0</v>
      </c>
      <c r="AW176" s="630">
        <f>IF(AND($BW$2=2,AL176&gt;=$AK$153,AL176&lt;=$AM$153),BF50,0)</f>
        <v>0</v>
      </c>
      <c r="AX176" s="3039">
        <f t="shared" si="160"/>
        <v>0</v>
      </c>
      <c r="AY176" s="1903">
        <f t="shared" si="161"/>
        <v>0</v>
      </c>
      <c r="AZ176" s="630">
        <f t="shared" si="162"/>
        <v>0</v>
      </c>
      <c r="BA176" s="2172">
        <f t="shared" si="163"/>
        <v>0</v>
      </c>
      <c r="BB176" s="630">
        <f t="shared" si="164"/>
        <v>0</v>
      </c>
      <c r="BC176" s="2119">
        <f>IF(AND($AO$155=2,$AO$156=2,AL176=$AJ$160),$AO$167,BB176)</f>
        <v>0</v>
      </c>
      <c r="BD176" s="630">
        <f t="shared" si="166"/>
        <v>0</v>
      </c>
      <c r="BE176" s="587">
        <f t="shared" si="167"/>
        <v>0</v>
      </c>
      <c r="BF176" s="630">
        <f t="shared" si="168"/>
        <v>0</v>
      </c>
      <c r="BG176" s="630">
        <f t="shared" si="169"/>
        <v>0</v>
      </c>
      <c r="BH176" s="630">
        <f t="shared" si="170"/>
        <v>0</v>
      </c>
      <c r="BI176" s="630">
        <f t="shared" si="171"/>
        <v>0</v>
      </c>
      <c r="BJ176" s="630">
        <f t="shared" si="172"/>
        <v>0</v>
      </c>
      <c r="BK176" s="678"/>
      <c r="BL176" s="5492"/>
      <c r="BN176" s="9"/>
      <c r="BO176" s="960"/>
      <c r="BP176" s="632"/>
      <c r="BQ176" s="632"/>
      <c r="BR176" s="692"/>
      <c r="BS176" s="2147"/>
      <c r="BT176" s="692"/>
      <c r="BU176" s="2147"/>
      <c r="BV176" s="692"/>
      <c r="BW176" s="632"/>
      <c r="BX176" s="692"/>
      <c r="BY176" s="632"/>
      <c r="BZ176" s="692"/>
      <c r="CA176" s="692"/>
      <c r="CB176" s="2147"/>
      <c r="CC176" s="2147"/>
      <c r="CD176" s="692"/>
      <c r="CE176" s="2147"/>
      <c r="CF176" s="692"/>
      <c r="CG176" s="692"/>
      <c r="CH176" s="692"/>
      <c r="CI176" s="632"/>
      <c r="CJ176" s="692"/>
      <c r="CK176" s="692"/>
      <c r="CL176" s="692"/>
      <c r="CM176" s="692"/>
      <c r="CN176" s="692"/>
      <c r="CQ176" s="5620"/>
      <c r="CS176" s="729"/>
      <c r="CT176" s="701">
        <v>4</v>
      </c>
      <c r="CU176" s="694">
        <v>45809</v>
      </c>
      <c r="CV176" s="2249">
        <f t="shared" si="173"/>
        <v>0</v>
      </c>
      <c r="CW176" s="587">
        <f t="shared" si="174"/>
        <v>0</v>
      </c>
      <c r="CX176" s="630">
        <f t="shared" si="175"/>
        <v>0</v>
      </c>
      <c r="CY176" s="1904">
        <f t="shared" si="176"/>
        <v>0</v>
      </c>
      <c r="CZ176" s="630">
        <f t="shared" si="177"/>
        <v>0</v>
      </c>
      <c r="DA176" s="749">
        <f t="shared" si="178"/>
        <v>0</v>
      </c>
      <c r="DB176" s="630">
        <f t="shared" si="179"/>
        <v>0</v>
      </c>
      <c r="DC176" s="587">
        <f t="shared" si="180"/>
        <v>0</v>
      </c>
      <c r="DD176" s="630">
        <f t="shared" si="181"/>
        <v>0</v>
      </c>
      <c r="DE176" s="587">
        <f t="shared" si="182"/>
        <v>0</v>
      </c>
      <c r="DF176" s="630">
        <f t="shared" si="183"/>
        <v>0</v>
      </c>
      <c r="DG176" s="630">
        <f t="shared" si="184"/>
        <v>0</v>
      </c>
      <c r="DH176" s="1903">
        <f t="shared" si="185"/>
        <v>0</v>
      </c>
      <c r="DI176" s="630">
        <f t="shared" si="186"/>
        <v>0</v>
      </c>
      <c r="DJ176" s="825">
        <f t="shared" si="187"/>
        <v>0</v>
      </c>
      <c r="DK176" s="630">
        <f t="shared" si="188"/>
        <v>0</v>
      </c>
      <c r="DL176" s="2119">
        <f t="shared" si="189"/>
        <v>0</v>
      </c>
      <c r="DM176" s="630">
        <f t="shared" si="190"/>
        <v>0</v>
      </c>
      <c r="DN176" s="587">
        <f t="shared" si="191"/>
        <v>0</v>
      </c>
      <c r="DO176" s="630">
        <f t="shared" si="192"/>
        <v>0</v>
      </c>
      <c r="DP176" s="630">
        <f t="shared" si="193"/>
        <v>0</v>
      </c>
      <c r="DQ176" s="630">
        <f t="shared" si="194"/>
        <v>0</v>
      </c>
      <c r="DR176" s="630">
        <f t="shared" si="195"/>
        <v>0</v>
      </c>
      <c r="DS176" s="630">
        <f t="shared" si="196"/>
        <v>0</v>
      </c>
      <c r="DV176" s="833"/>
      <c r="DX176" s="824">
        <v>4</v>
      </c>
      <c r="DY176" s="310">
        <v>45809</v>
      </c>
      <c r="DZ176" s="827">
        <f t="shared" si="197"/>
        <v>82300</v>
      </c>
      <c r="EA176" s="827">
        <f t="shared" si="198"/>
        <v>0</v>
      </c>
      <c r="EB176" s="827">
        <f t="shared" si="199"/>
        <v>34566</v>
      </c>
      <c r="EC176" s="1623">
        <f t="shared" si="200"/>
        <v>7407</v>
      </c>
      <c r="ED176" s="947">
        <f t="shared" si="201"/>
        <v>0</v>
      </c>
      <c r="EE176" s="827">
        <f t="shared" si="202"/>
        <v>0</v>
      </c>
      <c r="EF176" s="827">
        <f t="shared" si="203"/>
        <v>650</v>
      </c>
      <c r="EG176" s="827">
        <f t="shared" ref="EG176:EH176" si="216">BP50</f>
        <v>0</v>
      </c>
      <c r="EH176" s="827">
        <f t="shared" si="216"/>
        <v>0</v>
      </c>
      <c r="EI176" s="827">
        <f t="shared" si="205"/>
        <v>0</v>
      </c>
      <c r="EJ176" s="948">
        <f t="shared" si="206"/>
        <v>124923</v>
      </c>
      <c r="EK176" s="827">
        <f t="shared" si="207"/>
        <v>6000</v>
      </c>
      <c r="EL176" s="827">
        <f t="shared" ref="EL176:EM176" si="217">BV50</f>
        <v>5000</v>
      </c>
      <c r="EM176" s="827">
        <f t="shared" si="217"/>
        <v>120</v>
      </c>
      <c r="EN176" s="827">
        <f t="shared" si="209"/>
        <v>200</v>
      </c>
      <c r="EO176" s="827"/>
      <c r="EP176" s="945"/>
      <c r="EQ176" s="1623">
        <f t="shared" si="210"/>
        <v>0</v>
      </c>
      <c r="ER176" s="1623">
        <f t="shared" si="211"/>
        <v>20000</v>
      </c>
      <c r="ES176" s="949">
        <f t="shared" si="212"/>
        <v>31320</v>
      </c>
      <c r="ET176" s="962">
        <f t="shared" si="213"/>
        <v>93603</v>
      </c>
      <c r="HK176" s="877"/>
      <c r="HL176" s="1139">
        <v>75</v>
      </c>
      <c r="HM176" s="3017">
        <v>44621</v>
      </c>
      <c r="HN176" s="3018"/>
      <c r="MA176" s="831"/>
    </row>
    <row r="177" spans="1:339" ht="27.95" customHeight="1">
      <c r="A177" s="123"/>
      <c r="B177" s="653"/>
      <c r="C177" s="290">
        <v>5</v>
      </c>
      <c r="D177" s="694">
        <v>45839</v>
      </c>
      <c r="E177" s="696">
        <v>31</v>
      </c>
      <c r="F177" s="729"/>
      <c r="G177" s="729"/>
      <c r="H177" s="701">
        <v>5</v>
      </c>
      <c r="I177" s="694">
        <v>45839</v>
      </c>
      <c r="J177" s="587">
        <f t="shared" si="131"/>
        <v>0</v>
      </c>
      <c r="K177" s="1902">
        <f t="shared" si="132"/>
        <v>0</v>
      </c>
      <c r="L177" s="630">
        <f t="shared" si="133"/>
        <v>0</v>
      </c>
      <c r="M177" s="749">
        <f t="shared" si="71"/>
        <v>0</v>
      </c>
      <c r="N177" s="630">
        <f t="shared" si="134"/>
        <v>0</v>
      </c>
      <c r="O177" s="587">
        <f t="shared" si="135"/>
        <v>0</v>
      </c>
      <c r="P177" s="2148">
        <f t="shared" si="136"/>
        <v>0</v>
      </c>
      <c r="Q177" s="587">
        <f t="shared" si="137"/>
        <v>0</v>
      </c>
      <c r="R177" s="630">
        <f t="shared" si="76"/>
        <v>0</v>
      </c>
      <c r="S177" s="749">
        <f t="shared" si="138"/>
        <v>0</v>
      </c>
      <c r="T177" s="630">
        <f t="shared" si="139"/>
        <v>0</v>
      </c>
      <c r="U177" s="749">
        <f t="shared" si="140"/>
        <v>0</v>
      </c>
      <c r="V177" s="630">
        <f t="shared" si="141"/>
        <v>0</v>
      </c>
      <c r="W177" s="630">
        <f t="shared" si="142"/>
        <v>0</v>
      </c>
      <c r="X177" s="2150">
        <f t="shared" si="143"/>
        <v>0</v>
      </c>
      <c r="Y177" s="2118">
        <f t="shared" si="144"/>
        <v>0</v>
      </c>
      <c r="Z177" s="630">
        <f t="shared" si="145"/>
        <v>0</v>
      </c>
      <c r="AA177" s="630">
        <f t="shared" si="146"/>
        <v>0</v>
      </c>
      <c r="AB177" s="630">
        <f t="shared" si="147"/>
        <v>0</v>
      </c>
      <c r="AC177" s="630">
        <f t="shared" si="148"/>
        <v>0</v>
      </c>
      <c r="AD177" s="587">
        <f t="shared" si="149"/>
        <v>0</v>
      </c>
      <c r="AE177" s="729"/>
      <c r="AF177" s="729"/>
      <c r="AG177" s="729"/>
      <c r="AH177" s="5638"/>
      <c r="AI177" s="729"/>
      <c r="AJ177" s="729"/>
      <c r="AK177" s="701">
        <v>5</v>
      </c>
      <c r="AL177" s="694">
        <v>45839</v>
      </c>
      <c r="AM177" s="587">
        <f t="shared" si="150"/>
        <v>0</v>
      </c>
      <c r="AN177" s="3040">
        <f t="shared" si="151"/>
        <v>0</v>
      </c>
      <c r="AO177" s="630">
        <f t="shared" si="152"/>
        <v>0</v>
      </c>
      <c r="AP177" s="749">
        <f t="shared" si="91"/>
        <v>0</v>
      </c>
      <c r="AQ177" s="630">
        <f t="shared" si="153"/>
        <v>0</v>
      </c>
      <c r="AR177" s="749">
        <f t="shared" si="154"/>
        <v>0</v>
      </c>
      <c r="AS177" s="630">
        <f t="shared" si="155"/>
        <v>0</v>
      </c>
      <c r="AT177" s="587">
        <f t="shared" si="156"/>
        <v>0</v>
      </c>
      <c r="AU177" s="3038">
        <f t="shared" si="157"/>
        <v>0</v>
      </c>
      <c r="AV177" s="587">
        <f t="shared" si="158"/>
        <v>0</v>
      </c>
      <c r="AW177" s="630">
        <f t="shared" si="159"/>
        <v>0</v>
      </c>
      <c r="AX177" s="3039">
        <f t="shared" si="160"/>
        <v>0</v>
      </c>
      <c r="AY177" s="1903">
        <f t="shared" si="161"/>
        <v>0</v>
      </c>
      <c r="AZ177" s="630">
        <f t="shared" si="162"/>
        <v>0</v>
      </c>
      <c r="BA177" s="2172">
        <f t="shared" si="163"/>
        <v>0</v>
      </c>
      <c r="BB177" s="630">
        <f t="shared" si="164"/>
        <v>0</v>
      </c>
      <c r="BC177" s="2119">
        <f t="shared" si="165"/>
        <v>0</v>
      </c>
      <c r="BD177" s="630">
        <f t="shared" si="166"/>
        <v>0</v>
      </c>
      <c r="BE177" s="587">
        <f t="shared" si="167"/>
        <v>0</v>
      </c>
      <c r="BF177" s="630">
        <f t="shared" si="168"/>
        <v>0</v>
      </c>
      <c r="BG177" s="630">
        <f t="shared" si="169"/>
        <v>0</v>
      </c>
      <c r="BH177" s="630">
        <f t="shared" si="170"/>
        <v>0</v>
      </c>
      <c r="BI177" s="630">
        <f t="shared" si="171"/>
        <v>0</v>
      </c>
      <c r="BJ177" s="630">
        <f t="shared" si="172"/>
        <v>0</v>
      </c>
      <c r="BK177" s="678"/>
      <c r="BL177" s="5492"/>
      <c r="BN177" s="9"/>
      <c r="BO177" s="960"/>
      <c r="BP177" s="632"/>
      <c r="BQ177" s="632"/>
      <c r="BR177" s="692"/>
      <c r="BS177" s="2147"/>
      <c r="BT177" s="692"/>
      <c r="BU177" s="2147"/>
      <c r="BV177" s="692"/>
      <c r="BW177" s="632"/>
      <c r="BX177" s="692"/>
      <c r="BY177" s="632"/>
      <c r="BZ177" s="692"/>
      <c r="CA177" s="692"/>
      <c r="CB177" s="2147"/>
      <c r="CC177" s="2147"/>
      <c r="CD177" s="692"/>
      <c r="CE177" s="2147"/>
      <c r="CF177" s="692"/>
      <c r="CG177" s="692"/>
      <c r="CH177" s="692"/>
      <c r="CI177" s="632"/>
      <c r="CJ177" s="692"/>
      <c r="CK177" s="692"/>
      <c r="CL177" s="692"/>
      <c r="CM177" s="692"/>
      <c r="CN177" s="692"/>
      <c r="CQ177" s="5620"/>
      <c r="CS177" s="729"/>
      <c r="CT177" s="701">
        <v>5</v>
      </c>
      <c r="CU177" s="694">
        <v>45839</v>
      </c>
      <c r="CV177" s="2249">
        <f t="shared" si="173"/>
        <v>0</v>
      </c>
      <c r="CW177" s="587">
        <f t="shared" si="174"/>
        <v>0</v>
      </c>
      <c r="CX177" s="630">
        <f t="shared" si="175"/>
        <v>0</v>
      </c>
      <c r="CY177" s="1904">
        <f t="shared" si="176"/>
        <v>0</v>
      </c>
      <c r="CZ177" s="630">
        <f t="shared" si="177"/>
        <v>0</v>
      </c>
      <c r="DA177" s="749">
        <f t="shared" si="178"/>
        <v>0</v>
      </c>
      <c r="DB177" s="630">
        <f t="shared" si="179"/>
        <v>0</v>
      </c>
      <c r="DC177" s="587">
        <f t="shared" si="180"/>
        <v>0</v>
      </c>
      <c r="DD177" s="630">
        <f t="shared" si="181"/>
        <v>0</v>
      </c>
      <c r="DE177" s="587">
        <f t="shared" si="182"/>
        <v>0</v>
      </c>
      <c r="DF177" s="630">
        <f t="shared" si="183"/>
        <v>0</v>
      </c>
      <c r="DG177" s="630">
        <f t="shared" si="184"/>
        <v>0</v>
      </c>
      <c r="DH177" s="1903">
        <f t="shared" si="185"/>
        <v>0</v>
      </c>
      <c r="DI177" s="630">
        <f t="shared" si="186"/>
        <v>0</v>
      </c>
      <c r="DJ177" s="825">
        <f t="shared" si="187"/>
        <v>0</v>
      </c>
      <c r="DK177" s="630">
        <f t="shared" si="188"/>
        <v>0</v>
      </c>
      <c r="DL177" s="2119">
        <f t="shared" si="189"/>
        <v>0</v>
      </c>
      <c r="DM177" s="630">
        <f t="shared" si="190"/>
        <v>0</v>
      </c>
      <c r="DN177" s="587">
        <f t="shared" si="191"/>
        <v>0</v>
      </c>
      <c r="DO177" s="630">
        <f t="shared" si="192"/>
        <v>0</v>
      </c>
      <c r="DP177" s="630">
        <f t="shared" si="193"/>
        <v>0</v>
      </c>
      <c r="DQ177" s="630">
        <f t="shared" si="194"/>
        <v>0</v>
      </c>
      <c r="DR177" s="630">
        <f t="shared" si="195"/>
        <v>0</v>
      </c>
      <c r="DS177" s="630">
        <f t="shared" si="196"/>
        <v>0</v>
      </c>
      <c r="DV177" s="833"/>
      <c r="DX177" s="824">
        <v>5</v>
      </c>
      <c r="DY177" s="310">
        <v>45839</v>
      </c>
      <c r="DZ177" s="827">
        <f t="shared" si="197"/>
        <v>82300</v>
      </c>
      <c r="EA177" s="827">
        <f t="shared" si="198"/>
        <v>0</v>
      </c>
      <c r="EB177" s="827">
        <f t="shared" si="199"/>
        <v>34566</v>
      </c>
      <c r="EC177" s="1623">
        <f t="shared" si="200"/>
        <v>7407</v>
      </c>
      <c r="ED177" s="947">
        <f t="shared" si="201"/>
        <v>0</v>
      </c>
      <c r="EE177" s="827">
        <f t="shared" si="202"/>
        <v>0</v>
      </c>
      <c r="EF177" s="827">
        <f t="shared" si="203"/>
        <v>650</v>
      </c>
      <c r="EG177" s="827">
        <f t="shared" ref="EG177:EH177" si="218">BP51</f>
        <v>0</v>
      </c>
      <c r="EH177" s="827">
        <f t="shared" si="218"/>
        <v>0</v>
      </c>
      <c r="EI177" s="827">
        <f t="shared" si="205"/>
        <v>0</v>
      </c>
      <c r="EJ177" s="948">
        <f t="shared" si="206"/>
        <v>124923</v>
      </c>
      <c r="EK177" s="827">
        <f t="shared" si="207"/>
        <v>6000</v>
      </c>
      <c r="EL177" s="827">
        <f t="shared" ref="EL177:EM177" si="219">BV51</f>
        <v>5000</v>
      </c>
      <c r="EM177" s="827">
        <f t="shared" si="219"/>
        <v>120</v>
      </c>
      <c r="EN177" s="827">
        <f t="shared" si="209"/>
        <v>200</v>
      </c>
      <c r="EO177" s="827"/>
      <c r="EP177" s="945"/>
      <c r="EQ177" s="1623">
        <f t="shared" si="210"/>
        <v>0</v>
      </c>
      <c r="ER177" s="1623">
        <f t="shared" si="211"/>
        <v>20000</v>
      </c>
      <c r="ES177" s="949">
        <f t="shared" si="212"/>
        <v>31320</v>
      </c>
      <c r="ET177" s="962">
        <f t="shared" si="213"/>
        <v>93603</v>
      </c>
      <c r="HK177" s="877"/>
      <c r="HL177" s="1139">
        <v>76</v>
      </c>
      <c r="HM177" s="3017">
        <v>44652</v>
      </c>
      <c r="HN177" s="3018"/>
      <c r="MA177" s="831"/>
    </row>
    <row r="178" spans="1:339" ht="27.95" customHeight="1">
      <c r="A178" s="123"/>
      <c r="B178" s="653"/>
      <c r="C178" s="290">
        <v>6</v>
      </c>
      <c r="D178" s="694">
        <v>45870</v>
      </c>
      <c r="E178" s="696">
        <v>31</v>
      </c>
      <c r="F178" s="729"/>
      <c r="G178" s="729"/>
      <c r="H178" s="701">
        <v>6</v>
      </c>
      <c r="I178" s="694">
        <v>45870</v>
      </c>
      <c r="J178" s="587">
        <f t="shared" si="131"/>
        <v>0</v>
      </c>
      <c r="K178" s="1902">
        <f t="shared" si="132"/>
        <v>0</v>
      </c>
      <c r="L178" s="630">
        <f t="shared" si="133"/>
        <v>0</v>
      </c>
      <c r="M178" s="749">
        <f t="shared" si="71"/>
        <v>0</v>
      </c>
      <c r="N178" s="630">
        <f t="shared" si="134"/>
        <v>0</v>
      </c>
      <c r="O178" s="587">
        <f t="shared" si="135"/>
        <v>0</v>
      </c>
      <c r="P178" s="2148">
        <f t="shared" si="136"/>
        <v>0</v>
      </c>
      <c r="Q178" s="587">
        <f t="shared" si="137"/>
        <v>0</v>
      </c>
      <c r="R178" s="630">
        <f t="shared" si="76"/>
        <v>0</v>
      </c>
      <c r="S178" s="749">
        <f t="shared" si="138"/>
        <v>0</v>
      </c>
      <c r="T178" s="630">
        <f t="shared" si="139"/>
        <v>0</v>
      </c>
      <c r="U178" s="749">
        <f t="shared" si="140"/>
        <v>0</v>
      </c>
      <c r="V178" s="630">
        <f t="shared" si="141"/>
        <v>0</v>
      </c>
      <c r="W178" s="630">
        <f t="shared" si="142"/>
        <v>0</v>
      </c>
      <c r="X178" s="2150">
        <f t="shared" si="143"/>
        <v>0</v>
      </c>
      <c r="Y178" s="2118">
        <f t="shared" si="144"/>
        <v>0</v>
      </c>
      <c r="Z178" s="630">
        <f t="shared" si="145"/>
        <v>0</v>
      </c>
      <c r="AA178" s="630">
        <f t="shared" si="146"/>
        <v>0</v>
      </c>
      <c r="AB178" s="630">
        <f t="shared" si="147"/>
        <v>0</v>
      </c>
      <c r="AC178" s="630">
        <f t="shared" si="148"/>
        <v>0</v>
      </c>
      <c r="AD178" s="587">
        <f t="shared" si="149"/>
        <v>0</v>
      </c>
      <c r="AE178" s="729"/>
      <c r="AF178" s="729"/>
      <c r="AG178" s="729"/>
      <c r="AH178" s="5638"/>
      <c r="AI178" s="729"/>
      <c r="AJ178" s="729"/>
      <c r="AK178" s="701">
        <v>6</v>
      </c>
      <c r="AL178" s="694">
        <v>45870</v>
      </c>
      <c r="AM178" s="587">
        <f t="shared" si="150"/>
        <v>0</v>
      </c>
      <c r="AN178" s="3040">
        <f t="shared" si="151"/>
        <v>0</v>
      </c>
      <c r="AO178" s="630">
        <f t="shared" si="152"/>
        <v>0</v>
      </c>
      <c r="AP178" s="749">
        <f t="shared" si="91"/>
        <v>0</v>
      </c>
      <c r="AQ178" s="630">
        <f t="shared" si="153"/>
        <v>0</v>
      </c>
      <c r="AR178" s="749">
        <f t="shared" si="154"/>
        <v>0</v>
      </c>
      <c r="AS178" s="630">
        <f t="shared" si="155"/>
        <v>0</v>
      </c>
      <c r="AT178" s="587">
        <f t="shared" si="156"/>
        <v>0</v>
      </c>
      <c r="AU178" s="3038">
        <f t="shared" si="157"/>
        <v>0</v>
      </c>
      <c r="AV178" s="587">
        <f t="shared" si="158"/>
        <v>0</v>
      </c>
      <c r="AW178" s="630">
        <f t="shared" si="159"/>
        <v>0</v>
      </c>
      <c r="AX178" s="3039">
        <f t="shared" si="160"/>
        <v>0</v>
      </c>
      <c r="AY178" s="1903">
        <f t="shared" si="161"/>
        <v>0</v>
      </c>
      <c r="AZ178" s="630">
        <f t="shared" si="162"/>
        <v>0</v>
      </c>
      <c r="BA178" s="2172">
        <f t="shared" si="163"/>
        <v>0</v>
      </c>
      <c r="BB178" s="630">
        <f t="shared" si="164"/>
        <v>0</v>
      </c>
      <c r="BC178" s="2119">
        <f t="shared" si="165"/>
        <v>0</v>
      </c>
      <c r="BD178" s="630">
        <f t="shared" si="166"/>
        <v>0</v>
      </c>
      <c r="BE178" s="587">
        <f t="shared" si="167"/>
        <v>0</v>
      </c>
      <c r="BF178" s="630">
        <f t="shared" si="168"/>
        <v>0</v>
      </c>
      <c r="BG178" s="630">
        <f t="shared" si="169"/>
        <v>0</v>
      </c>
      <c r="BH178" s="630">
        <f t="shared" si="170"/>
        <v>0</v>
      </c>
      <c r="BI178" s="630">
        <f t="shared" si="171"/>
        <v>0</v>
      </c>
      <c r="BJ178" s="630">
        <f t="shared" si="172"/>
        <v>0</v>
      </c>
      <c r="BK178" s="678"/>
      <c r="BL178" s="5492"/>
      <c r="BN178" s="9"/>
      <c r="BO178" s="960"/>
      <c r="BP178" s="632"/>
      <c r="BQ178" s="632"/>
      <c r="BR178" s="692"/>
      <c r="BS178" s="2147"/>
      <c r="BT178" s="692"/>
      <c r="BU178" s="2147"/>
      <c r="BV178" s="692"/>
      <c r="BW178" s="632"/>
      <c r="BX178" s="692"/>
      <c r="BY178" s="632"/>
      <c r="BZ178" s="692"/>
      <c r="CA178" s="692"/>
      <c r="CB178" s="2147"/>
      <c r="CC178" s="2147"/>
      <c r="CD178" s="692"/>
      <c r="CE178" s="2147"/>
      <c r="CF178" s="692"/>
      <c r="CG178" s="692"/>
      <c r="CH178" s="692"/>
      <c r="CI178" s="632"/>
      <c r="CJ178" s="692"/>
      <c r="CK178" s="692"/>
      <c r="CL178" s="692"/>
      <c r="CM178" s="692"/>
      <c r="CN178" s="692"/>
      <c r="CQ178" s="5620"/>
      <c r="CS178" s="729"/>
      <c r="CT178" s="701">
        <v>6</v>
      </c>
      <c r="CU178" s="694">
        <v>45870</v>
      </c>
      <c r="CV178" s="2249">
        <f t="shared" si="173"/>
        <v>0</v>
      </c>
      <c r="CW178" s="587">
        <f t="shared" si="174"/>
        <v>0</v>
      </c>
      <c r="CX178" s="630">
        <f t="shared" si="175"/>
        <v>0</v>
      </c>
      <c r="CY178" s="1904">
        <f t="shared" si="176"/>
        <v>0</v>
      </c>
      <c r="CZ178" s="630">
        <f t="shared" si="177"/>
        <v>0</v>
      </c>
      <c r="DA178" s="749">
        <f t="shared" si="178"/>
        <v>0</v>
      </c>
      <c r="DB178" s="630">
        <f t="shared" si="179"/>
        <v>0</v>
      </c>
      <c r="DC178" s="587">
        <f t="shared" si="180"/>
        <v>0</v>
      </c>
      <c r="DD178" s="630">
        <f t="shared" si="181"/>
        <v>0</v>
      </c>
      <c r="DE178" s="587">
        <f t="shared" si="182"/>
        <v>0</v>
      </c>
      <c r="DF178" s="630">
        <f t="shared" si="183"/>
        <v>0</v>
      </c>
      <c r="DG178" s="630">
        <f t="shared" si="184"/>
        <v>0</v>
      </c>
      <c r="DH178" s="1903">
        <f t="shared" si="185"/>
        <v>0</v>
      </c>
      <c r="DI178" s="630">
        <f t="shared" si="186"/>
        <v>0</v>
      </c>
      <c r="DJ178" s="825">
        <f t="shared" si="187"/>
        <v>0</v>
      </c>
      <c r="DK178" s="630">
        <f t="shared" si="188"/>
        <v>0</v>
      </c>
      <c r="DL178" s="2119">
        <f t="shared" si="189"/>
        <v>0</v>
      </c>
      <c r="DM178" s="630">
        <f t="shared" si="190"/>
        <v>0</v>
      </c>
      <c r="DN178" s="587">
        <f t="shared" si="191"/>
        <v>0</v>
      </c>
      <c r="DO178" s="630">
        <f t="shared" si="192"/>
        <v>0</v>
      </c>
      <c r="DP178" s="630">
        <f t="shared" si="193"/>
        <v>0</v>
      </c>
      <c r="DQ178" s="630">
        <f t="shared" si="194"/>
        <v>0</v>
      </c>
      <c r="DR178" s="630">
        <f t="shared" si="195"/>
        <v>0</v>
      </c>
      <c r="DS178" s="630">
        <f t="shared" si="196"/>
        <v>0</v>
      </c>
      <c r="DV178" s="833"/>
      <c r="DX178" s="824">
        <v>6</v>
      </c>
      <c r="DY178" s="310">
        <v>45870</v>
      </c>
      <c r="DZ178" s="827">
        <f t="shared" si="197"/>
        <v>82300</v>
      </c>
      <c r="EA178" s="827">
        <f t="shared" si="198"/>
        <v>0</v>
      </c>
      <c r="EB178" s="827">
        <f t="shared" si="199"/>
        <v>34566</v>
      </c>
      <c r="EC178" s="1623">
        <f t="shared" si="200"/>
        <v>7407</v>
      </c>
      <c r="ED178" s="947">
        <f t="shared" si="201"/>
        <v>0</v>
      </c>
      <c r="EE178" s="827">
        <f t="shared" si="202"/>
        <v>0</v>
      </c>
      <c r="EF178" s="827">
        <f t="shared" si="203"/>
        <v>650</v>
      </c>
      <c r="EG178" s="827">
        <f t="shared" ref="EG178:EH178" si="220">BP52</f>
        <v>0</v>
      </c>
      <c r="EH178" s="827">
        <f t="shared" si="220"/>
        <v>0</v>
      </c>
      <c r="EI178" s="827">
        <f t="shared" si="205"/>
        <v>0</v>
      </c>
      <c r="EJ178" s="948">
        <f t="shared" si="206"/>
        <v>124923</v>
      </c>
      <c r="EK178" s="827">
        <f t="shared" si="207"/>
        <v>6000</v>
      </c>
      <c r="EL178" s="827">
        <f t="shared" ref="EL178:EM178" si="221">BV52</f>
        <v>5000</v>
      </c>
      <c r="EM178" s="827">
        <f t="shared" si="221"/>
        <v>120</v>
      </c>
      <c r="EN178" s="827">
        <f t="shared" si="209"/>
        <v>200</v>
      </c>
      <c r="EO178" s="827"/>
      <c r="EP178" s="945"/>
      <c r="EQ178" s="1623">
        <f t="shared" si="210"/>
        <v>0</v>
      </c>
      <c r="ER178" s="1623">
        <f t="shared" si="211"/>
        <v>20000</v>
      </c>
      <c r="ES178" s="949">
        <f t="shared" si="212"/>
        <v>31320</v>
      </c>
      <c r="ET178" s="962">
        <f t="shared" si="213"/>
        <v>93603</v>
      </c>
      <c r="HK178" s="877"/>
      <c r="HL178" s="1139">
        <v>77</v>
      </c>
      <c r="HM178" s="3017">
        <v>44682</v>
      </c>
      <c r="HN178" s="3018"/>
      <c r="MA178" s="831"/>
    </row>
    <row r="179" spans="1:339" ht="27.95" customHeight="1">
      <c r="A179" s="123"/>
      <c r="B179" s="653"/>
      <c r="C179" s="290">
        <v>7</v>
      </c>
      <c r="D179" s="694">
        <v>45901</v>
      </c>
      <c r="E179" s="696">
        <v>30</v>
      </c>
      <c r="F179" s="729"/>
      <c r="G179" s="729"/>
      <c r="H179" s="702">
        <v>7</v>
      </c>
      <c r="I179" s="694">
        <v>45901</v>
      </c>
      <c r="J179" s="587">
        <f t="shared" si="131"/>
        <v>0</v>
      </c>
      <c r="K179" s="1902">
        <f t="shared" si="132"/>
        <v>0</v>
      </c>
      <c r="L179" s="630">
        <f t="shared" si="133"/>
        <v>0</v>
      </c>
      <c r="M179" s="749">
        <f t="shared" si="71"/>
        <v>0</v>
      </c>
      <c r="N179" s="630">
        <f t="shared" si="134"/>
        <v>0</v>
      </c>
      <c r="O179" s="587">
        <f t="shared" si="135"/>
        <v>0</v>
      </c>
      <c r="P179" s="2148">
        <f t="shared" si="136"/>
        <v>0</v>
      </c>
      <c r="Q179" s="587">
        <f t="shared" si="137"/>
        <v>0</v>
      </c>
      <c r="R179" s="630">
        <f t="shared" si="76"/>
        <v>0</v>
      </c>
      <c r="S179" s="749">
        <f t="shared" si="138"/>
        <v>0</v>
      </c>
      <c r="T179" s="630">
        <f t="shared" si="139"/>
        <v>0</v>
      </c>
      <c r="U179" s="749">
        <f t="shared" si="140"/>
        <v>0</v>
      </c>
      <c r="V179" s="630">
        <f t="shared" si="141"/>
        <v>0</v>
      </c>
      <c r="W179" s="630">
        <f t="shared" si="142"/>
        <v>0</v>
      </c>
      <c r="X179" s="2150">
        <f t="shared" si="143"/>
        <v>0</v>
      </c>
      <c r="Y179" s="2118">
        <f t="shared" si="144"/>
        <v>0</v>
      </c>
      <c r="Z179" s="630">
        <f t="shared" si="145"/>
        <v>0</v>
      </c>
      <c r="AA179" s="630">
        <f t="shared" si="146"/>
        <v>0</v>
      </c>
      <c r="AB179" s="630">
        <f t="shared" si="147"/>
        <v>0</v>
      </c>
      <c r="AC179" s="630">
        <f t="shared" si="148"/>
        <v>0</v>
      </c>
      <c r="AD179" s="587">
        <f t="shared" si="149"/>
        <v>0</v>
      </c>
      <c r="AE179" s="729"/>
      <c r="AF179" s="729"/>
      <c r="AG179" s="729"/>
      <c r="AH179" s="5638"/>
      <c r="AI179" s="729"/>
      <c r="AJ179" s="729"/>
      <c r="AK179" s="701">
        <v>7</v>
      </c>
      <c r="AL179" s="694">
        <v>45901</v>
      </c>
      <c r="AM179" s="587">
        <f t="shared" si="150"/>
        <v>25</v>
      </c>
      <c r="AN179" s="3040">
        <f t="shared" si="151"/>
        <v>0</v>
      </c>
      <c r="AO179" s="630">
        <f t="shared" si="152"/>
        <v>0</v>
      </c>
      <c r="AP179" s="749">
        <f t="shared" si="91"/>
        <v>0</v>
      </c>
      <c r="AQ179" s="630">
        <f t="shared" si="153"/>
        <v>0</v>
      </c>
      <c r="AR179" s="749">
        <f t="shared" si="154"/>
        <v>0</v>
      </c>
      <c r="AS179" s="630">
        <f t="shared" si="155"/>
        <v>0</v>
      </c>
      <c r="AT179" s="587">
        <f t="shared" si="156"/>
        <v>0</v>
      </c>
      <c r="AU179" s="3038">
        <f t="shared" si="157"/>
        <v>0</v>
      </c>
      <c r="AV179" s="587">
        <f t="shared" si="158"/>
        <v>0</v>
      </c>
      <c r="AW179" s="630">
        <f t="shared" si="159"/>
        <v>0</v>
      </c>
      <c r="AX179" s="3039">
        <f t="shared" si="160"/>
        <v>0</v>
      </c>
      <c r="AY179" s="1903">
        <f t="shared" si="161"/>
        <v>0</v>
      </c>
      <c r="AZ179" s="630">
        <f t="shared" si="162"/>
        <v>0</v>
      </c>
      <c r="BA179" s="2172">
        <f t="shared" si="163"/>
        <v>0</v>
      </c>
      <c r="BB179" s="630">
        <f t="shared" si="164"/>
        <v>0</v>
      </c>
      <c r="BC179" s="2119">
        <f t="shared" si="165"/>
        <v>0</v>
      </c>
      <c r="BD179" s="630">
        <f t="shared" si="166"/>
        <v>0</v>
      </c>
      <c r="BE179" s="587">
        <f t="shared" si="167"/>
        <v>0</v>
      </c>
      <c r="BF179" s="630">
        <f t="shared" si="168"/>
        <v>0</v>
      </c>
      <c r="BG179" s="630">
        <f t="shared" si="169"/>
        <v>0</v>
      </c>
      <c r="BH179" s="630">
        <f t="shared" si="170"/>
        <v>0</v>
      </c>
      <c r="BI179" s="630">
        <f t="shared" si="171"/>
        <v>0</v>
      </c>
      <c r="BJ179" s="630">
        <f t="shared" si="172"/>
        <v>0</v>
      </c>
      <c r="BK179" s="678"/>
      <c r="BL179" s="5492"/>
      <c r="BN179" s="9"/>
      <c r="BO179" s="960"/>
      <c r="BP179" s="632"/>
      <c r="BQ179" s="632"/>
      <c r="BR179" s="692"/>
      <c r="BS179" s="2147"/>
      <c r="BT179" s="692"/>
      <c r="BU179" s="2147"/>
      <c r="BV179" s="692"/>
      <c r="BW179" s="632"/>
      <c r="BX179" s="692"/>
      <c r="BY179" s="632"/>
      <c r="BZ179" s="692"/>
      <c r="CA179" s="692"/>
      <c r="CB179" s="2147"/>
      <c r="CC179" s="2147"/>
      <c r="CD179" s="692"/>
      <c r="CE179" s="2147"/>
      <c r="CF179" s="692"/>
      <c r="CG179" s="692"/>
      <c r="CH179" s="692"/>
      <c r="CI179" s="632"/>
      <c r="CJ179" s="692"/>
      <c r="CK179" s="692"/>
      <c r="CL179" s="692"/>
      <c r="CM179" s="692"/>
      <c r="CN179" s="692"/>
      <c r="CQ179" s="5620"/>
      <c r="CS179" s="729"/>
      <c r="CT179" s="701">
        <v>7</v>
      </c>
      <c r="CU179" s="694">
        <v>45901</v>
      </c>
      <c r="CV179" s="2249">
        <f t="shared" si="173"/>
        <v>0</v>
      </c>
      <c r="CW179" s="587">
        <f t="shared" si="174"/>
        <v>0</v>
      </c>
      <c r="CX179" s="630">
        <f t="shared" si="175"/>
        <v>0</v>
      </c>
      <c r="CY179" s="1904">
        <f t="shared" si="176"/>
        <v>0</v>
      </c>
      <c r="CZ179" s="630">
        <f t="shared" si="177"/>
        <v>0</v>
      </c>
      <c r="DA179" s="749">
        <f t="shared" si="178"/>
        <v>0</v>
      </c>
      <c r="DB179" s="630">
        <f t="shared" si="179"/>
        <v>0</v>
      </c>
      <c r="DC179" s="587">
        <f t="shared" si="180"/>
        <v>0</v>
      </c>
      <c r="DD179" s="630">
        <f t="shared" si="181"/>
        <v>0</v>
      </c>
      <c r="DE179" s="587">
        <f t="shared" si="182"/>
        <v>0</v>
      </c>
      <c r="DF179" s="630">
        <f t="shared" si="183"/>
        <v>0</v>
      </c>
      <c r="DG179" s="630">
        <f t="shared" si="184"/>
        <v>0</v>
      </c>
      <c r="DH179" s="1903">
        <f t="shared" si="185"/>
        <v>0</v>
      </c>
      <c r="DI179" s="630">
        <f t="shared" si="186"/>
        <v>0</v>
      </c>
      <c r="DJ179" s="825">
        <f t="shared" si="187"/>
        <v>0</v>
      </c>
      <c r="DK179" s="630">
        <f t="shared" si="188"/>
        <v>0</v>
      </c>
      <c r="DL179" s="2119">
        <f t="shared" si="189"/>
        <v>0</v>
      </c>
      <c r="DM179" s="630">
        <f t="shared" si="190"/>
        <v>0</v>
      </c>
      <c r="DN179" s="587">
        <f t="shared" si="191"/>
        <v>0</v>
      </c>
      <c r="DO179" s="630">
        <f t="shared" si="192"/>
        <v>0</v>
      </c>
      <c r="DP179" s="630">
        <f t="shared" si="193"/>
        <v>0</v>
      </c>
      <c r="DQ179" s="630">
        <f t="shared" si="194"/>
        <v>0</v>
      </c>
      <c r="DR179" s="630">
        <f t="shared" si="195"/>
        <v>0</v>
      </c>
      <c r="DS179" s="630">
        <f t="shared" si="196"/>
        <v>0</v>
      </c>
      <c r="DV179" s="833"/>
      <c r="DX179" s="824">
        <v>7</v>
      </c>
      <c r="DY179" s="310">
        <v>45901</v>
      </c>
      <c r="DZ179" s="827">
        <f t="shared" si="197"/>
        <v>82300</v>
      </c>
      <c r="EA179" s="827">
        <f t="shared" si="198"/>
        <v>0</v>
      </c>
      <c r="EB179" s="827">
        <f t="shared" si="199"/>
        <v>34566</v>
      </c>
      <c r="EC179" s="1623">
        <f t="shared" si="200"/>
        <v>7407</v>
      </c>
      <c r="ED179" s="947">
        <f t="shared" si="201"/>
        <v>0</v>
      </c>
      <c r="EE179" s="827">
        <f t="shared" si="202"/>
        <v>0</v>
      </c>
      <c r="EF179" s="827">
        <f t="shared" si="203"/>
        <v>650</v>
      </c>
      <c r="EG179" s="827">
        <f t="shared" ref="EG179:EH179" si="222">BP53</f>
        <v>0</v>
      </c>
      <c r="EH179" s="827">
        <f t="shared" si="222"/>
        <v>0</v>
      </c>
      <c r="EI179" s="827">
        <f t="shared" si="205"/>
        <v>0</v>
      </c>
      <c r="EJ179" s="948">
        <f t="shared" si="206"/>
        <v>124923</v>
      </c>
      <c r="EK179" s="827">
        <f t="shared" si="207"/>
        <v>6000</v>
      </c>
      <c r="EL179" s="827">
        <f t="shared" ref="EL179:EM179" si="223">BV53</f>
        <v>5000</v>
      </c>
      <c r="EM179" s="827">
        <f t="shared" si="223"/>
        <v>120</v>
      </c>
      <c r="EN179" s="827">
        <f t="shared" si="209"/>
        <v>200</v>
      </c>
      <c r="EO179" s="827"/>
      <c r="EP179" s="827">
        <f>BZ53</f>
        <v>0</v>
      </c>
      <c r="EQ179" s="1623">
        <f t="shared" si="210"/>
        <v>0</v>
      </c>
      <c r="ER179" s="1623">
        <f t="shared" si="211"/>
        <v>20000</v>
      </c>
      <c r="ES179" s="949">
        <f t="shared" si="212"/>
        <v>31320</v>
      </c>
      <c r="ET179" s="962">
        <f t="shared" si="213"/>
        <v>93603</v>
      </c>
      <c r="HK179" s="877"/>
      <c r="HL179" s="1139">
        <v>78</v>
      </c>
      <c r="HM179" s="3017">
        <v>44713</v>
      </c>
      <c r="HN179" s="3018"/>
      <c r="MA179" s="831"/>
    </row>
    <row r="180" spans="1:339" ht="27.95" customHeight="1">
      <c r="A180" s="123"/>
      <c r="B180" s="653"/>
      <c r="C180" s="290">
        <v>8</v>
      </c>
      <c r="D180" s="694">
        <v>45931</v>
      </c>
      <c r="E180" s="696">
        <v>31</v>
      </c>
      <c r="F180" s="729"/>
      <c r="G180" s="729"/>
      <c r="H180" s="701">
        <v>8</v>
      </c>
      <c r="I180" s="694">
        <v>45931</v>
      </c>
      <c r="J180" s="587">
        <f t="shared" si="131"/>
        <v>0</v>
      </c>
      <c r="K180" s="1902">
        <f t="shared" si="132"/>
        <v>0</v>
      </c>
      <c r="L180" s="630">
        <f t="shared" si="133"/>
        <v>0</v>
      </c>
      <c r="M180" s="749">
        <f t="shared" si="71"/>
        <v>0</v>
      </c>
      <c r="N180" s="630">
        <f t="shared" si="134"/>
        <v>0</v>
      </c>
      <c r="O180" s="587">
        <f t="shared" si="135"/>
        <v>0</v>
      </c>
      <c r="P180" s="2148">
        <f t="shared" si="136"/>
        <v>0</v>
      </c>
      <c r="Q180" s="587">
        <f t="shared" si="137"/>
        <v>0</v>
      </c>
      <c r="R180" s="630">
        <f t="shared" si="76"/>
        <v>0</v>
      </c>
      <c r="S180" s="749">
        <f t="shared" si="138"/>
        <v>0</v>
      </c>
      <c r="T180" s="630">
        <f t="shared" si="139"/>
        <v>0</v>
      </c>
      <c r="U180" s="749">
        <f t="shared" si="140"/>
        <v>0</v>
      </c>
      <c r="V180" s="630">
        <f t="shared" si="141"/>
        <v>0</v>
      </c>
      <c r="W180" s="630">
        <f t="shared" si="142"/>
        <v>0</v>
      </c>
      <c r="X180" s="2150">
        <f t="shared" si="143"/>
        <v>0</v>
      </c>
      <c r="Y180" s="2118">
        <f t="shared" si="144"/>
        <v>0</v>
      </c>
      <c r="Z180" s="630">
        <f t="shared" si="145"/>
        <v>0</v>
      </c>
      <c r="AA180" s="630">
        <f t="shared" si="146"/>
        <v>0</v>
      </c>
      <c r="AB180" s="630">
        <f t="shared" si="147"/>
        <v>0</v>
      </c>
      <c r="AC180" s="630">
        <f t="shared" si="148"/>
        <v>0</v>
      </c>
      <c r="AD180" s="587">
        <f t="shared" si="149"/>
        <v>0</v>
      </c>
      <c r="AE180" s="729"/>
      <c r="AF180" s="729"/>
      <c r="AG180" s="729"/>
      <c r="AH180" s="5638"/>
      <c r="AI180" s="729"/>
      <c r="AJ180" s="729"/>
      <c r="AK180" s="701">
        <v>8</v>
      </c>
      <c r="AL180" s="694">
        <v>45931</v>
      </c>
      <c r="AM180" s="587">
        <f t="shared" si="150"/>
        <v>0</v>
      </c>
      <c r="AN180" s="3040">
        <f t="shared" si="151"/>
        <v>0</v>
      </c>
      <c r="AO180" s="630">
        <f t="shared" si="152"/>
        <v>0</v>
      </c>
      <c r="AP180" s="749">
        <f t="shared" si="91"/>
        <v>0</v>
      </c>
      <c r="AQ180" s="630">
        <f t="shared" si="153"/>
        <v>0</v>
      </c>
      <c r="AR180" s="749">
        <f t="shared" si="154"/>
        <v>0</v>
      </c>
      <c r="AS180" s="630">
        <f t="shared" si="155"/>
        <v>0</v>
      </c>
      <c r="AT180" s="587">
        <f t="shared" si="156"/>
        <v>0</v>
      </c>
      <c r="AU180" s="3038">
        <f t="shared" si="157"/>
        <v>0</v>
      </c>
      <c r="AV180" s="587">
        <f t="shared" si="158"/>
        <v>0</v>
      </c>
      <c r="AW180" s="630">
        <f t="shared" si="159"/>
        <v>0</v>
      </c>
      <c r="AX180" s="3039">
        <f t="shared" si="160"/>
        <v>0</v>
      </c>
      <c r="AY180" s="1903">
        <f t="shared" si="161"/>
        <v>0</v>
      </c>
      <c r="AZ180" s="630">
        <f t="shared" si="162"/>
        <v>0</v>
      </c>
      <c r="BA180" s="2172">
        <f t="shared" si="163"/>
        <v>0</v>
      </c>
      <c r="BB180" s="630">
        <f t="shared" si="164"/>
        <v>0</v>
      </c>
      <c r="BC180" s="2119">
        <f t="shared" si="165"/>
        <v>0</v>
      </c>
      <c r="BD180" s="630">
        <f t="shared" si="166"/>
        <v>0</v>
      </c>
      <c r="BE180" s="587">
        <f t="shared" si="167"/>
        <v>0</v>
      </c>
      <c r="BF180" s="630">
        <f t="shared" si="168"/>
        <v>0</v>
      </c>
      <c r="BG180" s="630">
        <f t="shared" si="169"/>
        <v>0</v>
      </c>
      <c r="BH180" s="630">
        <f t="shared" si="170"/>
        <v>0</v>
      </c>
      <c r="BI180" s="630">
        <f t="shared" si="171"/>
        <v>0</v>
      </c>
      <c r="BJ180" s="630">
        <f t="shared" si="172"/>
        <v>0</v>
      </c>
      <c r="BK180" s="678"/>
      <c r="BL180" s="5492"/>
      <c r="BN180" s="9"/>
      <c r="BO180" s="960"/>
      <c r="BP180" s="632"/>
      <c r="BQ180" s="632"/>
      <c r="BR180" s="692"/>
      <c r="BS180" s="2147"/>
      <c r="BT180" s="692"/>
      <c r="BU180" s="2147"/>
      <c r="BV180" s="692"/>
      <c r="BW180" s="632"/>
      <c r="BX180" s="692"/>
      <c r="BY180" s="632"/>
      <c r="BZ180" s="692"/>
      <c r="CA180" s="692"/>
      <c r="CB180" s="2147"/>
      <c r="CC180" s="2147"/>
      <c r="CD180" s="692"/>
      <c r="CE180" s="2147"/>
      <c r="CF180" s="692"/>
      <c r="CG180" s="692"/>
      <c r="CH180" s="692"/>
      <c r="CI180" s="632"/>
      <c r="CJ180" s="692"/>
      <c r="CK180" s="692"/>
      <c r="CL180" s="692"/>
      <c r="CM180" s="692"/>
      <c r="CN180" s="692"/>
      <c r="CQ180" s="5620"/>
      <c r="CS180" s="729"/>
      <c r="CT180" s="701">
        <v>8</v>
      </c>
      <c r="CU180" s="694">
        <v>45931</v>
      </c>
      <c r="CV180" s="2249">
        <f t="shared" si="173"/>
        <v>0</v>
      </c>
      <c r="CW180" s="587">
        <f t="shared" si="174"/>
        <v>0</v>
      </c>
      <c r="CX180" s="630">
        <f t="shared" si="175"/>
        <v>0</v>
      </c>
      <c r="CY180" s="1904">
        <f t="shared" si="176"/>
        <v>0</v>
      </c>
      <c r="CZ180" s="630">
        <f t="shared" si="177"/>
        <v>0</v>
      </c>
      <c r="DA180" s="749">
        <f t="shared" si="178"/>
        <v>0</v>
      </c>
      <c r="DB180" s="630">
        <f t="shared" si="179"/>
        <v>0</v>
      </c>
      <c r="DC180" s="587">
        <f t="shared" si="180"/>
        <v>0</v>
      </c>
      <c r="DD180" s="630">
        <f t="shared" si="181"/>
        <v>0</v>
      </c>
      <c r="DE180" s="587">
        <f t="shared" si="182"/>
        <v>0</v>
      </c>
      <c r="DF180" s="630">
        <f t="shared" si="183"/>
        <v>0</v>
      </c>
      <c r="DG180" s="630">
        <f t="shared" si="184"/>
        <v>0</v>
      </c>
      <c r="DH180" s="1903">
        <f t="shared" si="185"/>
        <v>0</v>
      </c>
      <c r="DI180" s="630">
        <f t="shared" si="186"/>
        <v>0</v>
      </c>
      <c r="DJ180" s="825">
        <f t="shared" si="187"/>
        <v>0</v>
      </c>
      <c r="DK180" s="630">
        <f t="shared" si="188"/>
        <v>0</v>
      </c>
      <c r="DL180" s="2119">
        <f t="shared" si="189"/>
        <v>0</v>
      </c>
      <c r="DM180" s="630">
        <f t="shared" si="190"/>
        <v>0</v>
      </c>
      <c r="DN180" s="587">
        <f t="shared" si="191"/>
        <v>0</v>
      </c>
      <c r="DO180" s="630">
        <f t="shared" si="192"/>
        <v>0</v>
      </c>
      <c r="DP180" s="630">
        <f t="shared" si="193"/>
        <v>0</v>
      </c>
      <c r="DQ180" s="630">
        <f t="shared" si="194"/>
        <v>0</v>
      </c>
      <c r="DR180" s="630">
        <f t="shared" si="195"/>
        <v>0</v>
      </c>
      <c r="DS180" s="630">
        <f t="shared" si="196"/>
        <v>0</v>
      </c>
      <c r="DV180" s="833"/>
      <c r="DX180" s="824">
        <v>8</v>
      </c>
      <c r="DY180" s="310">
        <v>45931</v>
      </c>
      <c r="DZ180" s="827">
        <f t="shared" si="197"/>
        <v>82300</v>
      </c>
      <c r="EA180" s="827">
        <f t="shared" si="198"/>
        <v>0</v>
      </c>
      <c r="EB180" s="827">
        <f t="shared" si="199"/>
        <v>34566</v>
      </c>
      <c r="EC180" s="1623">
        <f t="shared" si="200"/>
        <v>7407</v>
      </c>
      <c r="ED180" s="947">
        <f t="shared" si="201"/>
        <v>0</v>
      </c>
      <c r="EE180" s="827">
        <f t="shared" si="202"/>
        <v>0</v>
      </c>
      <c r="EF180" s="827">
        <f t="shared" si="203"/>
        <v>650</v>
      </c>
      <c r="EG180" s="827">
        <f t="shared" ref="EG180:EH180" si="224">BP54</f>
        <v>0</v>
      </c>
      <c r="EH180" s="827">
        <f t="shared" si="224"/>
        <v>0</v>
      </c>
      <c r="EI180" s="827">
        <f t="shared" si="205"/>
        <v>0</v>
      </c>
      <c r="EJ180" s="948">
        <f t="shared" si="206"/>
        <v>124923</v>
      </c>
      <c r="EK180" s="827">
        <f t="shared" si="207"/>
        <v>6000</v>
      </c>
      <c r="EL180" s="827">
        <f t="shared" ref="EL180:EM180" si="225">BV54</f>
        <v>5000</v>
      </c>
      <c r="EM180" s="827">
        <f t="shared" si="225"/>
        <v>120</v>
      </c>
      <c r="EN180" s="827">
        <f t="shared" si="209"/>
        <v>200</v>
      </c>
      <c r="EO180" s="827"/>
      <c r="EP180" s="945"/>
      <c r="EQ180" s="1623">
        <f t="shared" si="210"/>
        <v>0</v>
      </c>
      <c r="ER180" s="1623">
        <f t="shared" si="211"/>
        <v>20000</v>
      </c>
      <c r="ES180" s="949">
        <f t="shared" si="212"/>
        <v>31320</v>
      </c>
      <c r="ET180" s="962">
        <f t="shared" si="213"/>
        <v>93603</v>
      </c>
      <c r="HK180" s="877"/>
      <c r="HL180" s="1139">
        <v>79</v>
      </c>
      <c r="HM180" s="3017">
        <v>44743</v>
      </c>
      <c r="HN180" s="3018"/>
      <c r="MA180" s="831"/>
    </row>
    <row r="181" spans="1:339" ht="27.95" customHeight="1">
      <c r="A181" s="123"/>
      <c r="B181" s="653"/>
      <c r="C181" s="290">
        <v>9</v>
      </c>
      <c r="D181" s="694">
        <v>45962</v>
      </c>
      <c r="E181" s="696">
        <v>30</v>
      </c>
      <c r="F181" s="729"/>
      <c r="G181" s="729"/>
      <c r="H181" s="701">
        <v>9</v>
      </c>
      <c r="I181" s="694">
        <v>45962</v>
      </c>
      <c r="J181" s="587">
        <f t="shared" si="131"/>
        <v>0</v>
      </c>
      <c r="K181" s="1902">
        <f t="shared" si="132"/>
        <v>0</v>
      </c>
      <c r="L181" s="630">
        <f t="shared" si="133"/>
        <v>0</v>
      </c>
      <c r="M181" s="749">
        <f t="shared" si="71"/>
        <v>0</v>
      </c>
      <c r="N181" s="630">
        <f t="shared" si="134"/>
        <v>0</v>
      </c>
      <c r="O181" s="587">
        <f t="shared" si="135"/>
        <v>0</v>
      </c>
      <c r="P181" s="2148">
        <f t="shared" si="136"/>
        <v>0</v>
      </c>
      <c r="Q181" s="587">
        <f t="shared" si="137"/>
        <v>0</v>
      </c>
      <c r="R181" s="630">
        <f t="shared" si="76"/>
        <v>0</v>
      </c>
      <c r="S181" s="749">
        <f t="shared" si="138"/>
        <v>0</v>
      </c>
      <c r="T181" s="630">
        <f t="shared" si="139"/>
        <v>0</v>
      </c>
      <c r="U181" s="749">
        <f t="shared" si="140"/>
        <v>0</v>
      </c>
      <c r="V181" s="630">
        <f t="shared" si="141"/>
        <v>0</v>
      </c>
      <c r="W181" s="630">
        <f t="shared" si="142"/>
        <v>0</v>
      </c>
      <c r="X181" s="2150">
        <f t="shared" si="143"/>
        <v>0</v>
      </c>
      <c r="Y181" s="2118">
        <f t="shared" si="144"/>
        <v>0</v>
      </c>
      <c r="Z181" s="630">
        <f t="shared" si="145"/>
        <v>0</v>
      </c>
      <c r="AA181" s="630">
        <f t="shared" si="146"/>
        <v>0</v>
      </c>
      <c r="AB181" s="630">
        <f t="shared" si="147"/>
        <v>0</v>
      </c>
      <c r="AC181" s="630">
        <f t="shared" si="148"/>
        <v>0</v>
      </c>
      <c r="AD181" s="587">
        <f t="shared" si="149"/>
        <v>0</v>
      </c>
      <c r="AE181" s="729"/>
      <c r="AF181" s="729"/>
      <c r="AG181" s="729"/>
      <c r="AH181" s="5638"/>
      <c r="AI181" s="729"/>
      <c r="AJ181" s="729"/>
      <c r="AK181" s="701">
        <v>9</v>
      </c>
      <c r="AL181" s="694">
        <v>45962</v>
      </c>
      <c r="AM181" s="587">
        <f t="shared" si="150"/>
        <v>0</v>
      </c>
      <c r="AN181" s="3040">
        <f t="shared" si="151"/>
        <v>0</v>
      </c>
      <c r="AO181" s="587">
        <f t="shared" si="152"/>
        <v>0</v>
      </c>
      <c r="AP181" s="749">
        <f t="shared" si="91"/>
        <v>0</v>
      </c>
      <c r="AQ181" s="630">
        <f t="shared" si="153"/>
        <v>0</v>
      </c>
      <c r="AR181" s="749">
        <f t="shared" si="154"/>
        <v>0</v>
      </c>
      <c r="AS181" s="630">
        <f t="shared" si="155"/>
        <v>0</v>
      </c>
      <c r="AT181" s="587">
        <f t="shared" si="156"/>
        <v>0</v>
      </c>
      <c r="AU181" s="3038">
        <f t="shared" si="157"/>
        <v>0</v>
      </c>
      <c r="AV181" s="587">
        <f t="shared" si="158"/>
        <v>0</v>
      </c>
      <c r="AW181" s="630">
        <f t="shared" si="159"/>
        <v>0</v>
      </c>
      <c r="AX181" s="3039">
        <f t="shared" si="160"/>
        <v>0</v>
      </c>
      <c r="AY181" s="1903">
        <f t="shared" si="161"/>
        <v>0</v>
      </c>
      <c r="AZ181" s="630">
        <f t="shared" si="162"/>
        <v>0</v>
      </c>
      <c r="BA181" s="2172">
        <f t="shared" si="163"/>
        <v>0</v>
      </c>
      <c r="BB181" s="630">
        <f t="shared" si="164"/>
        <v>0</v>
      </c>
      <c r="BC181" s="2119">
        <f t="shared" si="165"/>
        <v>0</v>
      </c>
      <c r="BD181" s="630">
        <f t="shared" si="166"/>
        <v>0</v>
      </c>
      <c r="BE181" s="587">
        <f t="shared" si="167"/>
        <v>0</v>
      </c>
      <c r="BF181" s="630">
        <f t="shared" si="168"/>
        <v>0</v>
      </c>
      <c r="BG181" s="630">
        <f t="shared" si="169"/>
        <v>0</v>
      </c>
      <c r="BH181" s="630">
        <f t="shared" si="170"/>
        <v>0</v>
      </c>
      <c r="BI181" s="630">
        <f t="shared" si="171"/>
        <v>0</v>
      </c>
      <c r="BJ181" s="630">
        <f t="shared" si="172"/>
        <v>0</v>
      </c>
      <c r="BK181" s="678"/>
      <c r="BL181" s="5492"/>
      <c r="BN181" s="9"/>
      <c r="BO181" s="960"/>
      <c r="BP181" s="632"/>
      <c r="BQ181" s="632"/>
      <c r="BR181" s="692"/>
      <c r="BS181" s="2147"/>
      <c r="BT181" s="692"/>
      <c r="BU181" s="2147"/>
      <c r="BV181" s="692"/>
      <c r="BW181" s="632"/>
      <c r="BX181" s="692"/>
      <c r="BY181" s="632"/>
      <c r="BZ181" s="692"/>
      <c r="CA181" s="692"/>
      <c r="CB181" s="2147"/>
      <c r="CC181" s="2147"/>
      <c r="CD181" s="692"/>
      <c r="CE181" s="2147"/>
      <c r="CF181" s="692"/>
      <c r="CG181" s="692"/>
      <c r="CH181" s="692"/>
      <c r="CI181" s="632"/>
      <c r="CJ181" s="692"/>
      <c r="CK181" s="692"/>
      <c r="CL181" s="692"/>
      <c r="CM181" s="692"/>
      <c r="CN181" s="692"/>
      <c r="CQ181" s="5620"/>
      <c r="CS181" s="729"/>
      <c r="CT181" s="701">
        <v>9</v>
      </c>
      <c r="CU181" s="694">
        <v>45962</v>
      </c>
      <c r="CV181" s="2249">
        <f t="shared" si="173"/>
        <v>0</v>
      </c>
      <c r="CW181" s="587">
        <f t="shared" si="174"/>
        <v>0</v>
      </c>
      <c r="CX181" s="630">
        <f t="shared" si="175"/>
        <v>0</v>
      </c>
      <c r="CY181" s="1904">
        <f t="shared" si="176"/>
        <v>0</v>
      </c>
      <c r="CZ181" s="630">
        <f t="shared" si="177"/>
        <v>0</v>
      </c>
      <c r="DA181" s="749">
        <f t="shared" si="178"/>
        <v>0</v>
      </c>
      <c r="DB181" s="630">
        <f t="shared" si="179"/>
        <v>0</v>
      </c>
      <c r="DC181" s="587">
        <f t="shared" si="180"/>
        <v>0</v>
      </c>
      <c r="DD181" s="630">
        <f t="shared" si="181"/>
        <v>0</v>
      </c>
      <c r="DE181" s="587">
        <f t="shared" si="182"/>
        <v>0</v>
      </c>
      <c r="DF181" s="630">
        <f t="shared" si="183"/>
        <v>0</v>
      </c>
      <c r="DG181" s="630">
        <f t="shared" si="184"/>
        <v>0</v>
      </c>
      <c r="DH181" s="1903">
        <f t="shared" si="185"/>
        <v>0</v>
      </c>
      <c r="DI181" s="630">
        <f t="shared" si="186"/>
        <v>0</v>
      </c>
      <c r="DJ181" s="825">
        <f t="shared" si="187"/>
        <v>0</v>
      </c>
      <c r="DK181" s="630">
        <f t="shared" si="188"/>
        <v>0</v>
      </c>
      <c r="DL181" s="2119">
        <f t="shared" si="189"/>
        <v>0</v>
      </c>
      <c r="DM181" s="630">
        <f t="shared" si="190"/>
        <v>0</v>
      </c>
      <c r="DN181" s="587">
        <f t="shared" si="191"/>
        <v>0</v>
      </c>
      <c r="DO181" s="630">
        <f t="shared" si="192"/>
        <v>0</v>
      </c>
      <c r="DP181" s="630">
        <f t="shared" si="193"/>
        <v>0</v>
      </c>
      <c r="DQ181" s="630">
        <f t="shared" si="194"/>
        <v>0</v>
      </c>
      <c r="DR181" s="630">
        <f t="shared" si="195"/>
        <v>0</v>
      </c>
      <c r="DS181" s="630">
        <f t="shared" si="196"/>
        <v>0</v>
      </c>
      <c r="DV181" s="833"/>
      <c r="DX181" s="824">
        <v>9</v>
      </c>
      <c r="DY181" s="310">
        <v>45962</v>
      </c>
      <c r="DZ181" s="827">
        <f t="shared" si="197"/>
        <v>82300</v>
      </c>
      <c r="EA181" s="827">
        <f t="shared" si="198"/>
        <v>0</v>
      </c>
      <c r="EB181" s="827">
        <f t="shared" si="199"/>
        <v>34566</v>
      </c>
      <c r="EC181" s="1623">
        <f t="shared" si="200"/>
        <v>7407</v>
      </c>
      <c r="ED181" s="947">
        <f t="shared" si="201"/>
        <v>0</v>
      </c>
      <c r="EE181" s="827">
        <f t="shared" si="202"/>
        <v>0</v>
      </c>
      <c r="EF181" s="827">
        <f t="shared" si="203"/>
        <v>650</v>
      </c>
      <c r="EG181" s="827">
        <f t="shared" ref="EG181:EH181" si="226">BP55</f>
        <v>0</v>
      </c>
      <c r="EH181" s="827">
        <f t="shared" si="226"/>
        <v>0</v>
      </c>
      <c r="EI181" s="827">
        <f t="shared" si="205"/>
        <v>0</v>
      </c>
      <c r="EJ181" s="948">
        <f t="shared" si="206"/>
        <v>124923</v>
      </c>
      <c r="EK181" s="827">
        <f t="shared" si="207"/>
        <v>6000</v>
      </c>
      <c r="EL181" s="827">
        <f t="shared" ref="EL181:EM181" si="227">BV55</f>
        <v>5000</v>
      </c>
      <c r="EM181" s="827">
        <f t="shared" si="227"/>
        <v>120</v>
      </c>
      <c r="EN181" s="827">
        <f t="shared" si="209"/>
        <v>200</v>
      </c>
      <c r="EO181" s="827"/>
      <c r="EP181" s="827"/>
      <c r="EQ181" s="1623">
        <f t="shared" si="210"/>
        <v>0</v>
      </c>
      <c r="ER181" s="1623">
        <f t="shared" si="211"/>
        <v>20000</v>
      </c>
      <c r="ES181" s="949">
        <f t="shared" si="212"/>
        <v>31320</v>
      </c>
      <c r="ET181" s="962">
        <f t="shared" si="213"/>
        <v>93603</v>
      </c>
      <c r="HK181" s="877"/>
      <c r="HL181" s="1139">
        <v>80</v>
      </c>
      <c r="HM181" s="3017">
        <v>44774</v>
      </c>
      <c r="HN181" s="3018"/>
      <c r="MA181" s="831"/>
    </row>
    <row r="182" spans="1:339" ht="27.95" customHeight="1">
      <c r="A182" s="123"/>
      <c r="B182" s="653"/>
      <c r="C182" s="290">
        <v>10</v>
      </c>
      <c r="D182" s="694">
        <v>45992</v>
      </c>
      <c r="E182" s="696">
        <v>31</v>
      </c>
      <c r="F182" s="729"/>
      <c r="G182" s="729"/>
      <c r="H182" s="701">
        <v>10</v>
      </c>
      <c r="I182" s="694">
        <v>45992</v>
      </c>
      <c r="J182" s="587">
        <f t="shared" si="131"/>
        <v>0</v>
      </c>
      <c r="K182" s="1902">
        <f t="shared" si="132"/>
        <v>0</v>
      </c>
      <c r="L182" s="630">
        <f t="shared" si="133"/>
        <v>0</v>
      </c>
      <c r="M182" s="749">
        <f t="shared" si="71"/>
        <v>0</v>
      </c>
      <c r="N182" s="630">
        <f t="shared" si="134"/>
        <v>0</v>
      </c>
      <c r="O182" s="587">
        <f t="shared" si="135"/>
        <v>0</v>
      </c>
      <c r="P182" s="2148">
        <f t="shared" si="136"/>
        <v>0</v>
      </c>
      <c r="Q182" s="587">
        <f t="shared" si="137"/>
        <v>0</v>
      </c>
      <c r="R182" s="630">
        <f t="shared" si="76"/>
        <v>0</v>
      </c>
      <c r="S182" s="749">
        <f t="shared" si="138"/>
        <v>0</v>
      </c>
      <c r="T182" s="630">
        <f t="shared" si="139"/>
        <v>0</v>
      </c>
      <c r="U182" s="749">
        <f t="shared" si="140"/>
        <v>0</v>
      </c>
      <c r="V182" s="630">
        <f t="shared" si="141"/>
        <v>0</v>
      </c>
      <c r="W182" s="630">
        <f t="shared" si="142"/>
        <v>0</v>
      </c>
      <c r="X182" s="2150">
        <f t="shared" si="143"/>
        <v>0</v>
      </c>
      <c r="Y182" s="2118">
        <f t="shared" si="144"/>
        <v>0</v>
      </c>
      <c r="Z182" s="630">
        <f t="shared" si="145"/>
        <v>0</v>
      </c>
      <c r="AA182" s="630">
        <f t="shared" si="146"/>
        <v>0</v>
      </c>
      <c r="AB182" s="630">
        <f t="shared" si="147"/>
        <v>0</v>
      </c>
      <c r="AC182" s="630">
        <f t="shared" si="148"/>
        <v>0</v>
      </c>
      <c r="AD182" s="587">
        <f t="shared" si="149"/>
        <v>0</v>
      </c>
      <c r="AE182" s="729"/>
      <c r="AF182" s="729"/>
      <c r="AG182" s="729"/>
      <c r="AH182" s="5638"/>
      <c r="AI182" s="729"/>
      <c r="AJ182" s="729"/>
      <c r="AK182" s="701">
        <v>10</v>
      </c>
      <c r="AL182" s="694">
        <v>45992</v>
      </c>
      <c r="AM182" s="587">
        <f t="shared" si="150"/>
        <v>0</v>
      </c>
      <c r="AN182" s="3040">
        <f t="shared" si="151"/>
        <v>0</v>
      </c>
      <c r="AO182" s="587">
        <f t="shared" si="152"/>
        <v>0</v>
      </c>
      <c r="AP182" s="749">
        <f t="shared" si="91"/>
        <v>0</v>
      </c>
      <c r="AQ182" s="630">
        <f t="shared" si="153"/>
        <v>0</v>
      </c>
      <c r="AR182" s="749">
        <f t="shared" si="154"/>
        <v>0</v>
      </c>
      <c r="AS182" s="630">
        <f t="shared" si="155"/>
        <v>0</v>
      </c>
      <c r="AT182" s="587">
        <f t="shared" si="156"/>
        <v>0</v>
      </c>
      <c r="AU182" s="3038">
        <f t="shared" si="157"/>
        <v>0</v>
      </c>
      <c r="AV182" s="587">
        <f t="shared" si="158"/>
        <v>0</v>
      </c>
      <c r="AW182" s="630">
        <f t="shared" si="159"/>
        <v>0</v>
      </c>
      <c r="AX182" s="3039">
        <f t="shared" si="160"/>
        <v>0</v>
      </c>
      <c r="AY182" s="1903">
        <f t="shared" si="161"/>
        <v>0</v>
      </c>
      <c r="AZ182" s="630">
        <f t="shared" si="162"/>
        <v>0</v>
      </c>
      <c r="BA182" s="2172">
        <f t="shared" si="163"/>
        <v>0</v>
      </c>
      <c r="BB182" s="630">
        <f t="shared" si="164"/>
        <v>0</v>
      </c>
      <c r="BC182" s="2119">
        <f t="shared" si="165"/>
        <v>0</v>
      </c>
      <c r="BD182" s="630">
        <f t="shared" si="166"/>
        <v>0</v>
      </c>
      <c r="BE182" s="587">
        <f t="shared" si="167"/>
        <v>0</v>
      </c>
      <c r="BF182" s="630">
        <f t="shared" si="168"/>
        <v>0</v>
      </c>
      <c r="BG182" s="630">
        <f t="shared" si="169"/>
        <v>0</v>
      </c>
      <c r="BH182" s="630">
        <f t="shared" si="170"/>
        <v>0</v>
      </c>
      <c r="BI182" s="630">
        <f t="shared" si="171"/>
        <v>0</v>
      </c>
      <c r="BJ182" s="630">
        <f t="shared" si="172"/>
        <v>0</v>
      </c>
      <c r="BK182" s="678"/>
      <c r="BL182" s="5492"/>
      <c r="BN182" s="9"/>
      <c r="BO182" s="960"/>
      <c r="BP182" s="632"/>
      <c r="BQ182" s="632"/>
      <c r="BR182" s="692"/>
      <c r="BS182" s="2147"/>
      <c r="BT182" s="692"/>
      <c r="BU182" s="2147"/>
      <c r="BV182" s="692"/>
      <c r="BW182" s="632"/>
      <c r="BX182" s="692"/>
      <c r="BY182" s="632"/>
      <c r="BZ182" s="692"/>
      <c r="CA182" s="692"/>
      <c r="CB182" s="2147"/>
      <c r="CC182" s="2147"/>
      <c r="CD182" s="692"/>
      <c r="CE182" s="2147"/>
      <c r="CF182" s="692"/>
      <c r="CG182" s="692"/>
      <c r="CH182" s="692"/>
      <c r="CI182" s="632"/>
      <c r="CJ182" s="692"/>
      <c r="CK182" s="692"/>
      <c r="CL182" s="692"/>
      <c r="CM182" s="692"/>
      <c r="CN182" s="692"/>
      <c r="CQ182" s="5620"/>
      <c r="CS182" s="729"/>
      <c r="CT182" s="701">
        <v>10</v>
      </c>
      <c r="CU182" s="694">
        <v>45992</v>
      </c>
      <c r="CV182" s="2249">
        <f t="shared" si="173"/>
        <v>0</v>
      </c>
      <c r="CW182" s="587">
        <f t="shared" si="174"/>
        <v>0</v>
      </c>
      <c r="CX182" s="630">
        <f t="shared" si="175"/>
        <v>0</v>
      </c>
      <c r="CY182" s="1904">
        <f t="shared" si="176"/>
        <v>0</v>
      </c>
      <c r="CZ182" s="630">
        <f t="shared" si="177"/>
        <v>0</v>
      </c>
      <c r="DA182" s="749">
        <f t="shared" si="178"/>
        <v>0</v>
      </c>
      <c r="DB182" s="630">
        <f t="shared" si="179"/>
        <v>0</v>
      </c>
      <c r="DC182" s="587">
        <f t="shared" si="180"/>
        <v>0</v>
      </c>
      <c r="DD182" s="630">
        <f t="shared" si="181"/>
        <v>0</v>
      </c>
      <c r="DE182" s="587">
        <f t="shared" si="182"/>
        <v>0</v>
      </c>
      <c r="DF182" s="630">
        <f t="shared" si="183"/>
        <v>0</v>
      </c>
      <c r="DG182" s="630">
        <f t="shared" si="184"/>
        <v>0</v>
      </c>
      <c r="DH182" s="1903">
        <f t="shared" si="185"/>
        <v>0</v>
      </c>
      <c r="DI182" s="630">
        <f t="shared" si="186"/>
        <v>0</v>
      </c>
      <c r="DJ182" s="825">
        <f t="shared" si="187"/>
        <v>0</v>
      </c>
      <c r="DK182" s="630">
        <f t="shared" si="188"/>
        <v>0</v>
      </c>
      <c r="DL182" s="2119">
        <f t="shared" si="189"/>
        <v>0</v>
      </c>
      <c r="DM182" s="630">
        <f t="shared" si="190"/>
        <v>0</v>
      </c>
      <c r="DN182" s="587">
        <f t="shared" si="191"/>
        <v>0</v>
      </c>
      <c r="DO182" s="630">
        <f t="shared" si="192"/>
        <v>0</v>
      </c>
      <c r="DP182" s="630">
        <f t="shared" si="193"/>
        <v>0</v>
      </c>
      <c r="DQ182" s="630">
        <f t="shared" si="194"/>
        <v>0</v>
      </c>
      <c r="DR182" s="630">
        <f t="shared" si="195"/>
        <v>0</v>
      </c>
      <c r="DS182" s="630">
        <f t="shared" si="196"/>
        <v>0</v>
      </c>
      <c r="DV182" s="833"/>
      <c r="DX182" s="824">
        <v>10</v>
      </c>
      <c r="DY182" s="310">
        <v>45992</v>
      </c>
      <c r="DZ182" s="827">
        <f t="shared" si="197"/>
        <v>82300</v>
      </c>
      <c r="EA182" s="827">
        <f t="shared" si="198"/>
        <v>0</v>
      </c>
      <c r="EB182" s="827">
        <f t="shared" si="199"/>
        <v>34566</v>
      </c>
      <c r="EC182" s="1623">
        <f t="shared" si="200"/>
        <v>7407</v>
      </c>
      <c r="ED182" s="947">
        <f t="shared" si="201"/>
        <v>0</v>
      </c>
      <c r="EE182" s="827">
        <f t="shared" si="202"/>
        <v>0</v>
      </c>
      <c r="EF182" s="827">
        <f t="shared" si="203"/>
        <v>650</v>
      </c>
      <c r="EG182" s="827">
        <f t="shared" ref="EG182:EH182" si="228">BP56</f>
        <v>0</v>
      </c>
      <c r="EH182" s="827">
        <f t="shared" si="228"/>
        <v>0</v>
      </c>
      <c r="EI182" s="827">
        <f t="shared" si="205"/>
        <v>0</v>
      </c>
      <c r="EJ182" s="948">
        <f t="shared" si="206"/>
        <v>124923</v>
      </c>
      <c r="EK182" s="827">
        <f t="shared" si="207"/>
        <v>6000</v>
      </c>
      <c r="EL182" s="827">
        <f t="shared" ref="EL182:EM182" si="229">BV56</f>
        <v>5000</v>
      </c>
      <c r="EM182" s="827">
        <f t="shared" si="229"/>
        <v>120</v>
      </c>
      <c r="EN182" s="827">
        <f t="shared" si="209"/>
        <v>200</v>
      </c>
      <c r="EO182" s="827">
        <f>BY56</f>
        <v>200</v>
      </c>
      <c r="EP182" s="945"/>
      <c r="EQ182" s="1623">
        <f t="shared" si="210"/>
        <v>0</v>
      </c>
      <c r="ER182" s="1623">
        <f t="shared" si="211"/>
        <v>14000</v>
      </c>
      <c r="ES182" s="949">
        <f t="shared" si="212"/>
        <v>25520</v>
      </c>
      <c r="ET182" s="962">
        <f t="shared" si="213"/>
        <v>99403</v>
      </c>
      <c r="HK182" s="877"/>
      <c r="HL182" s="1139">
        <v>81</v>
      </c>
      <c r="HM182" s="3017">
        <v>44805</v>
      </c>
      <c r="HN182" s="3018"/>
      <c r="MA182" s="831"/>
    </row>
    <row r="183" spans="1:339" ht="27.95" customHeight="1">
      <c r="A183" s="123"/>
      <c r="B183" s="653"/>
      <c r="C183" s="290">
        <v>11</v>
      </c>
      <c r="D183" s="694">
        <v>46023</v>
      </c>
      <c r="E183" s="696">
        <v>31</v>
      </c>
      <c r="F183" s="729"/>
      <c r="G183" s="729"/>
      <c r="H183" s="701">
        <v>11</v>
      </c>
      <c r="I183" s="694">
        <v>46023</v>
      </c>
      <c r="J183" s="587">
        <f t="shared" si="131"/>
        <v>0</v>
      </c>
      <c r="K183" s="1902">
        <f t="shared" si="132"/>
        <v>0</v>
      </c>
      <c r="L183" s="630">
        <f t="shared" si="133"/>
        <v>0</v>
      </c>
      <c r="M183" s="749">
        <f t="shared" si="71"/>
        <v>0</v>
      </c>
      <c r="N183" s="630">
        <f t="shared" si="134"/>
        <v>0</v>
      </c>
      <c r="O183" s="587">
        <f t="shared" si="135"/>
        <v>0</v>
      </c>
      <c r="P183" s="2148">
        <f t="shared" si="136"/>
        <v>0</v>
      </c>
      <c r="Q183" s="587">
        <f t="shared" si="137"/>
        <v>0</v>
      </c>
      <c r="R183" s="630">
        <f t="shared" si="76"/>
        <v>0</v>
      </c>
      <c r="S183" s="749">
        <f t="shared" si="138"/>
        <v>0</v>
      </c>
      <c r="T183" s="630">
        <f t="shared" si="139"/>
        <v>0</v>
      </c>
      <c r="U183" s="749">
        <f t="shared" si="140"/>
        <v>0</v>
      </c>
      <c r="V183" s="630">
        <f t="shared" si="141"/>
        <v>0</v>
      </c>
      <c r="W183" s="630">
        <f t="shared" si="142"/>
        <v>0</v>
      </c>
      <c r="X183" s="2150">
        <f t="shared" si="143"/>
        <v>0</v>
      </c>
      <c r="Y183" s="2118">
        <f t="shared" si="144"/>
        <v>0</v>
      </c>
      <c r="Z183" s="630">
        <f t="shared" si="145"/>
        <v>0</v>
      </c>
      <c r="AA183" s="630">
        <f t="shared" si="146"/>
        <v>0</v>
      </c>
      <c r="AB183" s="630">
        <f t="shared" si="147"/>
        <v>0</v>
      </c>
      <c r="AC183" s="630">
        <f t="shared" si="148"/>
        <v>0</v>
      </c>
      <c r="AD183" s="587">
        <f t="shared" si="149"/>
        <v>0</v>
      </c>
      <c r="AE183" s="729"/>
      <c r="AF183" s="729"/>
      <c r="AG183" s="729"/>
      <c r="AH183" s="5638"/>
      <c r="AI183" s="729"/>
      <c r="AJ183" s="729"/>
      <c r="AK183" s="701">
        <v>11</v>
      </c>
      <c r="AL183" s="694">
        <v>46023</v>
      </c>
      <c r="AM183" s="587">
        <f t="shared" si="150"/>
        <v>0</v>
      </c>
      <c r="AN183" s="3040">
        <f t="shared" si="151"/>
        <v>0</v>
      </c>
      <c r="AO183" s="630">
        <f t="shared" si="152"/>
        <v>0</v>
      </c>
      <c r="AP183" s="749">
        <f t="shared" si="91"/>
        <v>0</v>
      </c>
      <c r="AQ183" s="630">
        <f t="shared" si="153"/>
        <v>0</v>
      </c>
      <c r="AR183" s="749">
        <f t="shared" si="154"/>
        <v>0</v>
      </c>
      <c r="AS183" s="630">
        <f t="shared" si="155"/>
        <v>0</v>
      </c>
      <c r="AT183" s="587">
        <f t="shared" si="156"/>
        <v>0</v>
      </c>
      <c r="AU183" s="3038">
        <f t="shared" si="157"/>
        <v>0</v>
      </c>
      <c r="AV183" s="587">
        <f t="shared" si="158"/>
        <v>0</v>
      </c>
      <c r="AW183" s="630">
        <f t="shared" si="159"/>
        <v>0</v>
      </c>
      <c r="AX183" s="3039">
        <f t="shared" si="160"/>
        <v>0</v>
      </c>
      <c r="AY183" s="1903">
        <f t="shared" si="161"/>
        <v>0</v>
      </c>
      <c r="AZ183" s="630">
        <f t="shared" si="162"/>
        <v>0</v>
      </c>
      <c r="BA183" s="2172">
        <f t="shared" si="163"/>
        <v>0</v>
      </c>
      <c r="BB183" s="630">
        <f t="shared" si="164"/>
        <v>0</v>
      </c>
      <c r="BC183" s="2119">
        <f t="shared" si="165"/>
        <v>0</v>
      </c>
      <c r="BD183" s="630">
        <f t="shared" si="166"/>
        <v>0</v>
      </c>
      <c r="BE183" s="587">
        <f t="shared" si="167"/>
        <v>0</v>
      </c>
      <c r="BF183" s="630">
        <f t="shared" si="168"/>
        <v>0</v>
      </c>
      <c r="BG183" s="630">
        <f t="shared" si="169"/>
        <v>0</v>
      </c>
      <c r="BH183" s="630">
        <f t="shared" si="170"/>
        <v>0</v>
      </c>
      <c r="BI183" s="630">
        <f t="shared" si="171"/>
        <v>0</v>
      </c>
      <c r="BJ183" s="630">
        <f t="shared" si="172"/>
        <v>0</v>
      </c>
      <c r="BK183" s="678"/>
      <c r="BL183" s="5492"/>
      <c r="BN183" s="9"/>
      <c r="BO183" s="960"/>
      <c r="BP183" s="632"/>
      <c r="BQ183" s="632"/>
      <c r="BR183" s="692"/>
      <c r="BS183" s="2147"/>
      <c r="BT183" s="692"/>
      <c r="BU183" s="2147"/>
      <c r="BV183" s="692"/>
      <c r="BW183" s="632"/>
      <c r="BX183" s="692"/>
      <c r="BY183" s="632"/>
      <c r="BZ183" s="692"/>
      <c r="CA183" s="692"/>
      <c r="CB183" s="2147"/>
      <c r="CC183" s="2147"/>
      <c r="CD183" s="692"/>
      <c r="CE183" s="2147"/>
      <c r="CF183" s="692"/>
      <c r="CG183" s="692"/>
      <c r="CH183" s="692"/>
      <c r="CI183" s="632"/>
      <c r="CJ183" s="692"/>
      <c r="CK183" s="692"/>
      <c r="CL183" s="692"/>
      <c r="CM183" s="692"/>
      <c r="CN183" s="692"/>
      <c r="CQ183" s="5620"/>
      <c r="CS183" s="729"/>
      <c r="CT183" s="701">
        <v>11</v>
      </c>
      <c r="CU183" s="694">
        <v>46023</v>
      </c>
      <c r="CV183" s="2249">
        <f t="shared" si="173"/>
        <v>0</v>
      </c>
      <c r="CW183" s="587">
        <f t="shared" si="174"/>
        <v>0</v>
      </c>
      <c r="CX183" s="630">
        <f t="shared" si="175"/>
        <v>0</v>
      </c>
      <c r="CY183" s="1904">
        <f t="shared" si="176"/>
        <v>0</v>
      </c>
      <c r="CZ183" s="630">
        <f t="shared" si="177"/>
        <v>0</v>
      </c>
      <c r="DA183" s="749">
        <f t="shared" si="178"/>
        <v>0</v>
      </c>
      <c r="DB183" s="630">
        <f t="shared" si="179"/>
        <v>0</v>
      </c>
      <c r="DC183" s="587">
        <f t="shared" si="180"/>
        <v>0</v>
      </c>
      <c r="DD183" s="630">
        <f t="shared" si="181"/>
        <v>0</v>
      </c>
      <c r="DE183" s="587">
        <f t="shared" si="182"/>
        <v>0</v>
      </c>
      <c r="DF183" s="630">
        <f t="shared" si="183"/>
        <v>0</v>
      </c>
      <c r="DG183" s="630">
        <f t="shared" si="184"/>
        <v>0</v>
      </c>
      <c r="DH183" s="1903">
        <f t="shared" si="185"/>
        <v>0</v>
      </c>
      <c r="DI183" s="630">
        <f t="shared" si="186"/>
        <v>0</v>
      </c>
      <c r="DJ183" s="825">
        <f t="shared" si="187"/>
        <v>0</v>
      </c>
      <c r="DK183" s="630">
        <f t="shared" si="188"/>
        <v>0</v>
      </c>
      <c r="DL183" s="2119">
        <f t="shared" si="189"/>
        <v>0</v>
      </c>
      <c r="DM183" s="630">
        <f t="shared" si="190"/>
        <v>0</v>
      </c>
      <c r="DN183" s="587">
        <f t="shared" si="191"/>
        <v>0</v>
      </c>
      <c r="DO183" s="630">
        <f t="shared" si="192"/>
        <v>0</v>
      </c>
      <c r="DP183" s="630">
        <f t="shared" si="193"/>
        <v>0</v>
      </c>
      <c r="DQ183" s="630">
        <f t="shared" si="194"/>
        <v>0</v>
      </c>
      <c r="DR183" s="630">
        <f t="shared" si="195"/>
        <v>0</v>
      </c>
      <c r="DS183" s="630">
        <f t="shared" si="196"/>
        <v>0</v>
      </c>
      <c r="DV183" s="833"/>
      <c r="DX183" s="824">
        <v>11</v>
      </c>
      <c r="DY183" s="310">
        <v>46023</v>
      </c>
      <c r="DZ183" s="827">
        <f t="shared" si="197"/>
        <v>84800</v>
      </c>
      <c r="EA183" s="827">
        <f t="shared" si="198"/>
        <v>0</v>
      </c>
      <c r="EB183" s="827">
        <f t="shared" si="199"/>
        <v>39008</v>
      </c>
      <c r="EC183" s="1623">
        <f t="shared" si="200"/>
        <v>7632</v>
      </c>
      <c r="ED183" s="947">
        <f t="shared" si="201"/>
        <v>0</v>
      </c>
      <c r="EE183" s="827">
        <f t="shared" si="202"/>
        <v>0</v>
      </c>
      <c r="EF183" s="827">
        <f t="shared" si="203"/>
        <v>650</v>
      </c>
      <c r="EG183" s="827">
        <f t="shared" ref="EG183:EH183" si="230">BP57</f>
        <v>0</v>
      </c>
      <c r="EH183" s="827">
        <f t="shared" si="230"/>
        <v>0</v>
      </c>
      <c r="EI183" s="827">
        <f t="shared" si="205"/>
        <v>0</v>
      </c>
      <c r="EJ183" s="948">
        <f t="shared" si="206"/>
        <v>132090</v>
      </c>
      <c r="EK183" s="827">
        <f t="shared" si="207"/>
        <v>6000</v>
      </c>
      <c r="EL183" s="827">
        <f t="shared" ref="EL183:EM183" si="231">BV57</f>
        <v>5000</v>
      </c>
      <c r="EM183" s="827">
        <f t="shared" si="231"/>
        <v>120</v>
      </c>
      <c r="EN183" s="827">
        <f t="shared" si="209"/>
        <v>200</v>
      </c>
      <c r="EO183" s="827"/>
      <c r="EP183" s="945"/>
      <c r="EQ183" s="1623">
        <f t="shared" si="210"/>
        <v>0</v>
      </c>
      <c r="ER183" s="1623">
        <f t="shared" si="211"/>
        <v>0</v>
      </c>
      <c r="ES183" s="949">
        <f t="shared" si="212"/>
        <v>11320</v>
      </c>
      <c r="ET183" s="962">
        <f t="shared" si="213"/>
        <v>120770</v>
      </c>
      <c r="HK183" s="877"/>
      <c r="HL183" s="1139">
        <v>82</v>
      </c>
      <c r="HM183" s="3017">
        <v>44835</v>
      </c>
      <c r="HN183" s="3018"/>
      <c r="MA183" s="831"/>
    </row>
    <row r="184" spans="1:339" ht="27.95" customHeight="1">
      <c r="A184" s="123"/>
      <c r="B184" s="653"/>
      <c r="C184" s="290">
        <v>12</v>
      </c>
      <c r="D184" s="694">
        <v>46054</v>
      </c>
      <c r="E184" s="2129">
        <v>28</v>
      </c>
      <c r="F184" s="729"/>
      <c r="G184" s="729"/>
      <c r="H184" s="701">
        <v>12</v>
      </c>
      <c r="I184" s="694">
        <v>46054</v>
      </c>
      <c r="J184" s="587">
        <f t="shared" si="131"/>
        <v>0</v>
      </c>
      <c r="K184" s="1902">
        <f t="shared" si="132"/>
        <v>0</v>
      </c>
      <c r="L184" s="630">
        <f t="shared" si="133"/>
        <v>0</v>
      </c>
      <c r="M184" s="749">
        <f t="shared" si="71"/>
        <v>0</v>
      </c>
      <c r="N184" s="630">
        <f t="shared" si="134"/>
        <v>0</v>
      </c>
      <c r="O184" s="587">
        <f t="shared" si="135"/>
        <v>0</v>
      </c>
      <c r="P184" s="2148">
        <f t="shared" si="136"/>
        <v>0</v>
      </c>
      <c r="Q184" s="587">
        <f t="shared" si="137"/>
        <v>0</v>
      </c>
      <c r="R184" s="630">
        <f t="shared" si="76"/>
        <v>0</v>
      </c>
      <c r="S184" s="749">
        <f t="shared" si="138"/>
        <v>0</v>
      </c>
      <c r="T184" s="630">
        <f t="shared" si="139"/>
        <v>0</v>
      </c>
      <c r="U184" s="749">
        <f t="shared" si="140"/>
        <v>0</v>
      </c>
      <c r="V184" s="630">
        <f t="shared" si="141"/>
        <v>0</v>
      </c>
      <c r="W184" s="630">
        <f t="shared" si="142"/>
        <v>0</v>
      </c>
      <c r="X184" s="2150">
        <f t="shared" si="143"/>
        <v>0</v>
      </c>
      <c r="Y184" s="2118">
        <f t="shared" si="144"/>
        <v>0</v>
      </c>
      <c r="Z184" s="630">
        <f t="shared" si="145"/>
        <v>0</v>
      </c>
      <c r="AA184" s="630">
        <f t="shared" si="146"/>
        <v>0</v>
      </c>
      <c r="AB184" s="630">
        <f t="shared" si="147"/>
        <v>0</v>
      </c>
      <c r="AC184" s="630">
        <f t="shared" si="148"/>
        <v>0</v>
      </c>
      <c r="AD184" s="587">
        <f t="shared" si="149"/>
        <v>0</v>
      </c>
      <c r="AE184" s="729"/>
      <c r="AF184" s="729"/>
      <c r="AG184" s="729"/>
      <c r="AH184" s="5638"/>
      <c r="AI184" s="729"/>
      <c r="AJ184" s="729"/>
      <c r="AK184" s="701">
        <v>12</v>
      </c>
      <c r="AL184" s="694">
        <v>46054</v>
      </c>
      <c r="AM184" s="587">
        <f t="shared" si="150"/>
        <v>0</v>
      </c>
      <c r="AN184" s="3040">
        <f t="shared" si="151"/>
        <v>0</v>
      </c>
      <c r="AO184" s="630">
        <f t="shared" si="152"/>
        <v>0</v>
      </c>
      <c r="AP184" s="749">
        <f t="shared" si="91"/>
        <v>0</v>
      </c>
      <c r="AQ184" s="630">
        <f t="shared" si="153"/>
        <v>0</v>
      </c>
      <c r="AR184" s="749">
        <f t="shared" si="154"/>
        <v>0</v>
      </c>
      <c r="AS184" s="630">
        <f t="shared" si="155"/>
        <v>0</v>
      </c>
      <c r="AT184" s="587">
        <f t="shared" si="156"/>
        <v>0</v>
      </c>
      <c r="AU184" s="3038">
        <f t="shared" si="157"/>
        <v>0</v>
      </c>
      <c r="AV184" s="587">
        <f t="shared" si="158"/>
        <v>0</v>
      </c>
      <c r="AW184" s="630">
        <f t="shared" si="159"/>
        <v>0</v>
      </c>
      <c r="AX184" s="3039">
        <f t="shared" si="160"/>
        <v>0</v>
      </c>
      <c r="AY184" s="1903">
        <f t="shared" si="161"/>
        <v>0</v>
      </c>
      <c r="AZ184" s="630">
        <f t="shared" si="162"/>
        <v>0</v>
      </c>
      <c r="BA184" s="2172">
        <f t="shared" si="163"/>
        <v>0</v>
      </c>
      <c r="BB184" s="630">
        <f t="shared" si="164"/>
        <v>0</v>
      </c>
      <c r="BC184" s="2119">
        <f t="shared" si="165"/>
        <v>0</v>
      </c>
      <c r="BD184" s="630">
        <f t="shared" si="166"/>
        <v>0</v>
      </c>
      <c r="BE184" s="587">
        <f t="shared" si="167"/>
        <v>0</v>
      </c>
      <c r="BF184" s="630">
        <f t="shared" si="168"/>
        <v>0</v>
      </c>
      <c r="BG184" s="630">
        <f t="shared" si="169"/>
        <v>0</v>
      </c>
      <c r="BH184" s="630">
        <f t="shared" si="170"/>
        <v>0</v>
      </c>
      <c r="BI184" s="630">
        <f t="shared" si="171"/>
        <v>0</v>
      </c>
      <c r="BJ184" s="630">
        <f t="shared" si="172"/>
        <v>0</v>
      </c>
      <c r="BK184" s="678"/>
      <c r="BL184" s="5492"/>
      <c r="BN184" s="9"/>
      <c r="BO184" s="960"/>
      <c r="BP184" s="632"/>
      <c r="BQ184" s="632"/>
      <c r="BR184" s="692"/>
      <c r="BS184" s="2147"/>
      <c r="BT184" s="692"/>
      <c r="BU184" s="2147"/>
      <c r="BV184" s="692"/>
      <c r="BW184" s="632"/>
      <c r="BX184" s="692"/>
      <c r="BY184" s="632"/>
      <c r="BZ184" s="692"/>
      <c r="CA184" s="692"/>
      <c r="CB184" s="2147"/>
      <c r="CC184" s="2147"/>
      <c r="CD184" s="692"/>
      <c r="CE184" s="2147"/>
      <c r="CF184" s="692"/>
      <c r="CG184" s="692"/>
      <c r="CH184" s="692"/>
      <c r="CI184" s="632"/>
      <c r="CJ184" s="692"/>
      <c r="CK184" s="692"/>
      <c r="CL184" s="692"/>
      <c r="CM184" s="692"/>
      <c r="CN184" s="692"/>
      <c r="CQ184" s="5620"/>
      <c r="CS184" s="729"/>
      <c r="CT184" s="701">
        <v>12</v>
      </c>
      <c r="CU184" s="694">
        <v>46054</v>
      </c>
      <c r="CV184" s="2249">
        <f t="shared" si="173"/>
        <v>0</v>
      </c>
      <c r="CW184" s="587">
        <f t="shared" si="174"/>
        <v>0</v>
      </c>
      <c r="CX184" s="630">
        <f t="shared" si="175"/>
        <v>0</v>
      </c>
      <c r="CY184" s="1904">
        <f t="shared" si="176"/>
        <v>0</v>
      </c>
      <c r="CZ184" s="630">
        <f t="shared" si="177"/>
        <v>0</v>
      </c>
      <c r="DA184" s="749">
        <f t="shared" si="178"/>
        <v>0</v>
      </c>
      <c r="DB184" s="630">
        <f t="shared" si="179"/>
        <v>0</v>
      </c>
      <c r="DC184" s="587">
        <f t="shared" si="180"/>
        <v>0</v>
      </c>
      <c r="DD184" s="630">
        <f t="shared" si="181"/>
        <v>0</v>
      </c>
      <c r="DE184" s="587">
        <f t="shared" si="182"/>
        <v>0</v>
      </c>
      <c r="DF184" s="630">
        <f t="shared" si="183"/>
        <v>0</v>
      </c>
      <c r="DG184" s="630">
        <f t="shared" si="184"/>
        <v>0</v>
      </c>
      <c r="DH184" s="1903">
        <f t="shared" si="185"/>
        <v>0</v>
      </c>
      <c r="DI184" s="630">
        <f t="shared" si="186"/>
        <v>0</v>
      </c>
      <c r="DJ184" s="825">
        <f t="shared" si="187"/>
        <v>0</v>
      </c>
      <c r="DK184" s="630">
        <f t="shared" si="188"/>
        <v>0</v>
      </c>
      <c r="DL184" s="2119">
        <f t="shared" si="189"/>
        <v>0</v>
      </c>
      <c r="DM184" s="630">
        <f t="shared" si="190"/>
        <v>0</v>
      </c>
      <c r="DN184" s="587">
        <f t="shared" si="191"/>
        <v>0</v>
      </c>
      <c r="DO184" s="630">
        <f t="shared" si="192"/>
        <v>0</v>
      </c>
      <c r="DP184" s="630">
        <f t="shared" si="193"/>
        <v>0</v>
      </c>
      <c r="DQ184" s="630">
        <f t="shared" si="194"/>
        <v>0</v>
      </c>
      <c r="DR184" s="630">
        <f t="shared" si="195"/>
        <v>0</v>
      </c>
      <c r="DS184" s="630">
        <f t="shared" si="196"/>
        <v>0</v>
      </c>
      <c r="DV184" s="833"/>
      <c r="DX184" s="824">
        <v>12</v>
      </c>
      <c r="DY184" s="310">
        <v>46054</v>
      </c>
      <c r="DZ184" s="827">
        <f>BI58</f>
        <v>84800</v>
      </c>
      <c r="EA184" s="827">
        <f t="shared" si="198"/>
        <v>0</v>
      </c>
      <c r="EB184" s="827">
        <f t="shared" si="199"/>
        <v>39008</v>
      </c>
      <c r="EC184" s="1623">
        <f t="shared" si="200"/>
        <v>7632</v>
      </c>
      <c r="ED184" s="947">
        <f t="shared" si="201"/>
        <v>0</v>
      </c>
      <c r="EE184" s="827">
        <f t="shared" si="202"/>
        <v>0</v>
      </c>
      <c r="EF184" s="827">
        <f t="shared" si="203"/>
        <v>650</v>
      </c>
      <c r="EG184" s="827">
        <f t="shared" ref="EG184:EH184" si="232">BP58</f>
        <v>0</v>
      </c>
      <c r="EH184" s="827">
        <f t="shared" si="232"/>
        <v>0</v>
      </c>
      <c r="EI184" s="827">
        <f t="shared" si="205"/>
        <v>0</v>
      </c>
      <c r="EJ184" s="948">
        <f t="shared" si="206"/>
        <v>132090</v>
      </c>
      <c r="EK184" s="827">
        <f t="shared" si="207"/>
        <v>6000</v>
      </c>
      <c r="EL184" s="827">
        <f t="shared" ref="EL184" si="233">BV58</f>
        <v>5000</v>
      </c>
      <c r="EM184" s="827">
        <f t="shared" ref="EM184" si="234">BW58</f>
        <v>120</v>
      </c>
      <c r="EN184" s="827">
        <f t="shared" si="209"/>
        <v>200</v>
      </c>
      <c r="EO184" s="827"/>
      <c r="EP184" s="945"/>
      <c r="EQ184" s="1623">
        <f t="shared" si="210"/>
        <v>0</v>
      </c>
      <c r="ER184" s="1623">
        <f t="shared" si="211"/>
        <v>0</v>
      </c>
      <c r="ES184" s="949">
        <f t="shared" si="212"/>
        <v>11320</v>
      </c>
      <c r="ET184" s="962">
        <f t="shared" si="213"/>
        <v>120770</v>
      </c>
      <c r="HK184" s="877"/>
      <c r="HL184" s="1139">
        <v>83</v>
      </c>
      <c r="HM184" s="3017">
        <v>44866</v>
      </c>
      <c r="HN184" s="3018"/>
      <c r="MA184" s="831"/>
    </row>
    <row r="185" spans="1:339" ht="39.75" customHeight="1">
      <c r="A185" s="123"/>
      <c r="B185" s="653"/>
      <c r="C185" s="290">
        <v>13</v>
      </c>
      <c r="D185" s="2136"/>
      <c r="E185" s="2137"/>
      <c r="F185" s="729"/>
      <c r="G185" s="729"/>
      <c r="H185" s="2131"/>
      <c r="I185" s="2132"/>
      <c r="J185" s="2142"/>
      <c r="K185" s="2143"/>
      <c r="L185" s="2144"/>
      <c r="M185" s="2145"/>
      <c r="N185" s="2144"/>
      <c r="O185" s="2142"/>
      <c r="P185" s="2144"/>
      <c r="Q185" s="2142"/>
      <c r="R185" s="2144"/>
      <c r="S185" s="2145"/>
      <c r="T185" s="2144"/>
      <c r="U185" s="2145"/>
      <c r="V185" s="2144"/>
      <c r="W185" s="2144"/>
      <c r="X185" s="2144"/>
      <c r="Y185" s="3227" t="s">
        <v>22</v>
      </c>
      <c r="Z185" s="3227">
        <f>SUM(Z173:Z184)</f>
        <v>0</v>
      </c>
      <c r="AA185" s="3227">
        <f t="shared" ref="AA185:AD185" si="235">SUM(AA173:AA184)</f>
        <v>0</v>
      </c>
      <c r="AB185" s="3227">
        <f t="shared" si="235"/>
        <v>0</v>
      </c>
      <c r="AC185" s="3227">
        <f t="shared" si="235"/>
        <v>0</v>
      </c>
      <c r="AD185" s="3227">
        <f t="shared" si="235"/>
        <v>0</v>
      </c>
      <c r="AE185" s="729"/>
      <c r="AF185" s="729"/>
      <c r="AG185" s="729"/>
      <c r="AH185" s="5638"/>
      <c r="AI185" s="729"/>
      <c r="AJ185" s="729"/>
      <c r="AK185" s="2131"/>
      <c r="AL185" s="2132"/>
      <c r="AM185" s="2142"/>
      <c r="AN185" s="2142"/>
      <c r="AO185" s="2144"/>
      <c r="AP185" s="2145"/>
      <c r="AQ185" s="2144"/>
      <c r="AR185" s="2145"/>
      <c r="AS185" s="2144"/>
      <c r="AT185" s="2142"/>
      <c r="AU185" s="2144"/>
      <c r="AV185" s="2142"/>
      <c r="AW185" s="2144"/>
      <c r="AX185" s="2144"/>
      <c r="AY185" s="2166"/>
      <c r="AZ185" s="2144"/>
      <c r="BA185" s="2167"/>
      <c r="BB185" s="2144"/>
      <c r="BC185" s="2168"/>
      <c r="BD185" s="2144"/>
      <c r="BE185" s="2173" t="s">
        <v>31</v>
      </c>
      <c r="BF185" s="2173">
        <f>SUM(BF173:BF184)</f>
        <v>0</v>
      </c>
      <c r="BG185" s="2173">
        <f t="shared" ref="BG185:BJ185" si="236">SUM(BG173:BG184)</f>
        <v>0</v>
      </c>
      <c r="BH185" s="2173">
        <f t="shared" si="236"/>
        <v>0</v>
      </c>
      <c r="BI185" s="2173">
        <f t="shared" si="236"/>
        <v>0</v>
      </c>
      <c r="BJ185" s="2173">
        <f t="shared" si="236"/>
        <v>0</v>
      </c>
      <c r="BK185" s="678"/>
      <c r="BL185" s="5492"/>
      <c r="BN185" s="9"/>
      <c r="BO185" s="960"/>
      <c r="BP185" s="632"/>
      <c r="BQ185" s="632"/>
      <c r="BR185" s="692"/>
      <c r="BS185" s="2147"/>
      <c r="BT185" s="692"/>
      <c r="BU185" s="2147"/>
      <c r="BV185" s="692"/>
      <c r="BW185" s="632"/>
      <c r="BX185" s="692"/>
      <c r="BY185" s="632"/>
      <c r="BZ185" s="692"/>
      <c r="CA185" s="692"/>
      <c r="CB185" s="2147"/>
      <c r="CC185" s="2147"/>
      <c r="CD185" s="692"/>
      <c r="CE185" s="2147"/>
      <c r="CF185" s="692"/>
      <c r="CG185" s="692"/>
      <c r="CH185" s="692"/>
      <c r="CI185" s="632"/>
      <c r="CJ185" s="692"/>
      <c r="CK185" s="692"/>
      <c r="CL185" s="692"/>
      <c r="CM185" s="692"/>
      <c r="CN185" s="692"/>
      <c r="CQ185" s="5620"/>
      <c r="CS185" s="729"/>
      <c r="CT185" s="2131"/>
      <c r="CU185" s="2132"/>
      <c r="CV185" s="2142"/>
      <c r="CW185" s="2142"/>
      <c r="CX185" s="2144"/>
      <c r="CY185" s="2303"/>
      <c r="CZ185" s="2144"/>
      <c r="DA185" s="2145"/>
      <c r="DB185" s="2144"/>
      <c r="DC185" s="2142"/>
      <c r="DD185" s="2144"/>
      <c r="DE185" s="2142"/>
      <c r="DF185" s="2144"/>
      <c r="DG185" s="2144"/>
      <c r="DH185" s="2166"/>
      <c r="DI185" s="2144"/>
      <c r="DJ185" s="2304"/>
      <c r="DK185" s="2144"/>
      <c r="DL185" s="2168"/>
      <c r="DM185" s="2144"/>
      <c r="DN185" s="2307" t="s">
        <v>31</v>
      </c>
      <c r="DO185" s="2307">
        <f>SUM(DO173:DO184)</f>
        <v>0</v>
      </c>
      <c r="DP185" s="2307">
        <f t="shared" ref="DP185:DS185" si="237">SUM(DP173:DP184)</f>
        <v>0</v>
      </c>
      <c r="DQ185" s="2307">
        <f t="shared" si="237"/>
        <v>0</v>
      </c>
      <c r="DR185" s="2307">
        <f t="shared" si="237"/>
        <v>0</v>
      </c>
      <c r="DS185" s="2307">
        <f t="shared" si="237"/>
        <v>0</v>
      </c>
      <c r="DV185" s="833"/>
      <c r="DX185" s="914">
        <v>13</v>
      </c>
      <c r="DY185" s="3787" t="str">
        <f>IF(AND($BG$5=2,$BG$8=2),AK220,"")</f>
        <v/>
      </c>
      <c r="DZ185" s="1598">
        <f>AN220</f>
        <v>0</v>
      </c>
      <c r="EA185" s="3344"/>
      <c r="EB185" s="1558">
        <f t="shared" ref="EB185:EC188" si="238">AO220</f>
        <v>0</v>
      </c>
      <c r="EC185" s="1598">
        <f t="shared" si="238"/>
        <v>0</v>
      </c>
      <c r="ED185" s="3344"/>
      <c r="EE185" s="3344"/>
      <c r="EF185" s="3344"/>
      <c r="EG185" s="3344"/>
      <c r="EH185" s="3344"/>
      <c r="EI185" s="3344"/>
      <c r="EJ185" s="1643">
        <f t="shared" ref="EJ185:EJ194" si="239">SUM(DZ185:EI185)</f>
        <v>0</v>
      </c>
      <c r="EK185" s="1598">
        <f>IF($GE$3=2,AS220,0)</f>
        <v>0</v>
      </c>
      <c r="EL185" s="3344"/>
      <c r="EM185" s="3344"/>
      <c r="EN185" s="3344"/>
      <c r="EO185" s="3344"/>
      <c r="EP185" s="3344"/>
      <c r="EQ185" s="3344"/>
      <c r="ER185" s="1598"/>
      <c r="ES185" s="1643">
        <f t="shared" si="212"/>
        <v>0</v>
      </c>
      <c r="ET185" s="3345">
        <f t="shared" si="213"/>
        <v>0</v>
      </c>
      <c r="HK185" s="877"/>
      <c r="HL185" s="1139">
        <v>84</v>
      </c>
      <c r="HM185" s="3017">
        <v>44896</v>
      </c>
      <c r="HN185" s="3018"/>
      <c r="MA185" s="831"/>
    </row>
    <row r="186" spans="1:339" ht="39" customHeight="1">
      <c r="A186" s="123"/>
      <c r="B186" s="653"/>
      <c r="C186" s="290">
        <v>14</v>
      </c>
      <c r="D186" s="867"/>
      <c r="E186" s="868"/>
      <c r="F186" s="729"/>
      <c r="G186" s="729"/>
      <c r="H186" s="2133"/>
      <c r="I186" s="960"/>
      <c r="J186" s="632"/>
      <c r="K186" s="2146"/>
      <c r="L186" s="692"/>
      <c r="M186" s="2147"/>
      <c r="N186" s="692"/>
      <c r="O186" s="632"/>
      <c r="P186" s="692"/>
      <c r="Q186" s="632"/>
      <c r="R186" s="692"/>
      <c r="S186" s="2147"/>
      <c r="T186" s="692"/>
      <c r="U186" s="2147"/>
      <c r="V186" s="692"/>
      <c r="W186" s="692"/>
      <c r="X186" s="692"/>
      <c r="Y186" s="632"/>
      <c r="Z186" s="692"/>
      <c r="AA186" s="692"/>
      <c r="AB186" s="692"/>
      <c r="AC186" s="692"/>
      <c r="AD186" s="632"/>
      <c r="AE186" s="729"/>
      <c r="AF186" s="729"/>
      <c r="AG186" s="729"/>
      <c r="AH186" s="5638"/>
      <c r="AI186" s="729"/>
      <c r="AJ186" s="729"/>
      <c r="AK186" s="2133"/>
      <c r="AL186" s="960"/>
      <c r="AM186" s="632"/>
      <c r="AN186" s="632"/>
      <c r="AO186" s="692"/>
      <c r="AP186" s="2147"/>
      <c r="AQ186" s="692"/>
      <c r="AR186" s="2147"/>
      <c r="AS186" s="692"/>
      <c r="AT186" s="632"/>
      <c r="AU186" s="692"/>
      <c r="AV186" s="632"/>
      <c r="AW186" s="692"/>
      <c r="AX186" s="692"/>
      <c r="AY186" s="2169"/>
      <c r="AZ186" s="692"/>
      <c r="BA186" s="2170"/>
      <c r="BB186" s="692"/>
      <c r="BC186" s="2171"/>
      <c r="BD186" s="692"/>
      <c r="BE186" s="632"/>
      <c r="BF186" s="692"/>
      <c r="BG186" s="692"/>
      <c r="BH186" s="692"/>
      <c r="BI186" s="692"/>
      <c r="BJ186" s="692"/>
      <c r="BK186" s="678"/>
      <c r="BL186" s="5492"/>
      <c r="BN186" s="9"/>
      <c r="BO186" s="960"/>
      <c r="BP186" s="632"/>
      <c r="BQ186" s="632"/>
      <c r="BR186" s="692"/>
      <c r="BS186" s="2147"/>
      <c r="BT186" s="692"/>
      <c r="BU186" s="2147"/>
      <c r="BV186" s="692"/>
      <c r="BW186" s="632"/>
      <c r="BX186" s="692"/>
      <c r="BY186" s="632"/>
      <c r="BZ186" s="692"/>
      <c r="CA186" s="692"/>
      <c r="CB186" s="2147"/>
      <c r="CC186" s="2147"/>
      <c r="CD186" s="692"/>
      <c r="CE186" s="2147"/>
      <c r="CF186" s="692"/>
      <c r="CG186" s="692"/>
      <c r="CH186" s="692"/>
      <c r="CI186" s="632"/>
      <c r="CJ186" s="692"/>
      <c r="CK186" s="692"/>
      <c r="CL186" s="692"/>
      <c r="CM186" s="692"/>
      <c r="CN186" s="692"/>
      <c r="CQ186" s="5620"/>
      <c r="CS186" s="729"/>
      <c r="CT186" s="2133"/>
      <c r="CU186" s="960"/>
      <c r="CV186" s="632"/>
      <c r="CW186" s="632"/>
      <c r="CX186" s="692"/>
      <c r="CY186" s="2305"/>
      <c r="CZ186" s="692"/>
      <c r="DA186" s="2147"/>
      <c r="DB186" s="692"/>
      <c r="DC186" s="3228"/>
      <c r="DD186" s="692"/>
      <c r="DE186" s="632"/>
      <c r="DF186" s="692"/>
      <c r="DG186" s="692"/>
      <c r="DH186" s="2169"/>
      <c r="DI186" s="692"/>
      <c r="DJ186" s="2306"/>
      <c r="DK186" s="692"/>
      <c r="DL186" s="2171"/>
      <c r="DM186" s="692"/>
      <c r="DN186" s="2142"/>
      <c r="DO186" s="2144"/>
      <c r="DP186" s="2144"/>
      <c r="DQ186" s="2144"/>
      <c r="DR186" s="2144"/>
      <c r="DS186" s="2144"/>
      <c r="DV186" s="833"/>
      <c r="DX186" s="914">
        <v>14</v>
      </c>
      <c r="DY186" s="3346" t="str">
        <f>IF($BW$2=2,AK221,"")</f>
        <v/>
      </c>
      <c r="DZ186" s="1598">
        <f>AN221</f>
        <v>0</v>
      </c>
      <c r="EA186" s="1642"/>
      <c r="EB186" s="1558">
        <f t="shared" si="238"/>
        <v>0</v>
      </c>
      <c r="EC186" s="1598">
        <f t="shared" si="238"/>
        <v>0</v>
      </c>
      <c r="ED186" s="1642"/>
      <c r="EE186" s="1642"/>
      <c r="EF186" s="1642"/>
      <c r="EG186" s="1642"/>
      <c r="EH186" s="1642"/>
      <c r="EI186" s="1642"/>
      <c r="EJ186" s="1643">
        <f t="shared" si="239"/>
        <v>0</v>
      </c>
      <c r="EK186" s="1598">
        <f>IF($GE$3=2,AS221,0)</f>
        <v>0</v>
      </c>
      <c r="EL186" s="1642"/>
      <c r="EM186" s="1642"/>
      <c r="EN186" s="1642"/>
      <c r="EO186" s="1642"/>
      <c r="EP186" s="1642"/>
      <c r="EQ186" s="1642"/>
      <c r="ER186" s="1598">
        <f>AR221</f>
        <v>0</v>
      </c>
      <c r="ES186" s="1643">
        <f t="shared" si="212"/>
        <v>0</v>
      </c>
      <c r="ET186" s="3345">
        <f t="shared" si="213"/>
        <v>0</v>
      </c>
      <c r="HK186" s="877"/>
      <c r="HL186" s="1139">
        <v>85</v>
      </c>
      <c r="HM186" s="3017">
        <v>44927</v>
      </c>
      <c r="HN186" s="3018"/>
      <c r="MA186" s="831"/>
    </row>
    <row r="187" spans="1:339" ht="39" customHeight="1">
      <c r="A187" s="123"/>
      <c r="B187" s="653"/>
      <c r="C187" s="290">
        <v>15</v>
      </c>
      <c r="F187" s="729"/>
      <c r="G187" s="729"/>
      <c r="H187" s="729"/>
      <c r="I187" s="729"/>
      <c r="J187" s="729"/>
      <c r="K187" s="729"/>
      <c r="L187" s="729"/>
      <c r="M187" s="729"/>
      <c r="N187" s="729"/>
      <c r="O187" s="729"/>
      <c r="P187" s="729"/>
      <c r="Q187" s="729"/>
      <c r="R187" s="729"/>
      <c r="S187" s="729"/>
      <c r="T187" s="729"/>
      <c r="U187" s="729"/>
      <c r="V187" s="729"/>
      <c r="W187" s="729"/>
      <c r="X187" s="739"/>
      <c r="Y187" s="868"/>
      <c r="Z187" s="868"/>
      <c r="AA187" s="868"/>
      <c r="AB187" s="868"/>
      <c r="AC187" s="868"/>
      <c r="AD187" s="868"/>
      <c r="AE187" s="729"/>
      <c r="AF187" s="729"/>
      <c r="AG187" s="729"/>
      <c r="AH187" s="5638"/>
      <c r="AI187" s="729"/>
      <c r="AJ187" s="729"/>
      <c r="AK187" s="729"/>
      <c r="AL187" s="729"/>
      <c r="AM187" s="729"/>
      <c r="AN187" s="729"/>
      <c r="AO187" s="729"/>
      <c r="AP187" s="729"/>
      <c r="AQ187" s="729"/>
      <c r="AR187" s="729"/>
      <c r="AS187" s="729"/>
      <c r="AT187" s="729"/>
      <c r="AU187" s="729"/>
      <c r="AV187" s="729"/>
      <c r="AW187" s="729"/>
      <c r="AX187" s="729"/>
      <c r="BE187" s="690"/>
      <c r="BF187" s="690"/>
      <c r="BG187" s="690"/>
      <c r="BH187" s="690"/>
      <c r="BI187" s="690"/>
      <c r="BJ187" s="690"/>
      <c r="BL187" s="5492"/>
      <c r="CI187" s="690"/>
      <c r="CJ187" s="690"/>
      <c r="CK187" s="690"/>
      <c r="CL187" s="690"/>
      <c r="CM187" s="690"/>
      <c r="CN187" s="690"/>
      <c r="CQ187" s="5620"/>
      <c r="CS187" s="729"/>
      <c r="CT187" s="729"/>
      <c r="CU187" s="729"/>
      <c r="CV187" s="729"/>
      <c r="CW187" s="729"/>
      <c r="CX187" s="729"/>
      <c r="CY187" s="729"/>
      <c r="CZ187" s="729"/>
      <c r="DA187" s="729"/>
      <c r="DB187" s="729"/>
      <c r="DC187" s="729"/>
      <c r="DD187" s="729"/>
      <c r="DE187" s="729"/>
      <c r="DF187" s="729"/>
      <c r="DG187" s="729"/>
      <c r="DN187" s="690"/>
      <c r="DO187" s="690"/>
      <c r="DP187" s="690"/>
      <c r="DQ187" s="690"/>
      <c r="DR187" s="690"/>
      <c r="DS187" s="690"/>
      <c r="DV187" s="833"/>
      <c r="DX187" s="914">
        <v>15</v>
      </c>
      <c r="DY187" s="3346" t="str">
        <f>IF($CS$2=2,AK222,"")</f>
        <v/>
      </c>
      <c r="DZ187" s="1598">
        <f>AN222</f>
        <v>0</v>
      </c>
      <c r="EA187" s="1598"/>
      <c r="EB187" s="1558">
        <f t="shared" si="238"/>
        <v>0</v>
      </c>
      <c r="EC187" s="1598">
        <f t="shared" si="238"/>
        <v>0</v>
      </c>
      <c r="ED187" s="1598"/>
      <c r="EE187" s="1598"/>
      <c r="EF187" s="1598"/>
      <c r="EG187" s="1598"/>
      <c r="EH187" s="1598"/>
      <c r="EI187" s="1598"/>
      <c r="EJ187" s="1643">
        <f t="shared" si="239"/>
        <v>0</v>
      </c>
      <c r="EK187" s="1598">
        <f>IF($GE$3=2,AS222,0)</f>
        <v>0</v>
      </c>
      <c r="EL187" s="1598"/>
      <c r="EM187" s="1598"/>
      <c r="EN187" s="1598"/>
      <c r="EO187" s="1598"/>
      <c r="EP187" s="1598"/>
      <c r="EQ187" s="1598"/>
      <c r="ER187" s="1598">
        <f>AR222</f>
        <v>0</v>
      </c>
      <c r="ES187" s="1643">
        <f t="shared" si="212"/>
        <v>0</v>
      </c>
      <c r="ET187" s="3345">
        <f t="shared" si="213"/>
        <v>0</v>
      </c>
      <c r="HK187" s="877"/>
      <c r="HL187" s="1139">
        <v>86</v>
      </c>
      <c r="HM187" s="3017">
        <v>44958</v>
      </c>
      <c r="HN187" s="3018"/>
      <c r="MA187" s="831"/>
    </row>
    <row r="188" spans="1:339" ht="43.5" customHeight="1">
      <c r="A188" s="123"/>
      <c r="B188" s="653"/>
      <c r="C188" s="290">
        <v>16</v>
      </c>
      <c r="F188" s="729"/>
      <c r="G188" s="729"/>
      <c r="H188" s="729"/>
      <c r="I188" s="729"/>
      <c r="J188" s="729"/>
      <c r="K188" s="729"/>
      <c r="L188" s="729"/>
      <c r="M188" s="729"/>
      <c r="N188" s="729"/>
      <c r="O188" s="729"/>
      <c r="P188" s="729"/>
      <c r="Q188" s="729"/>
      <c r="R188" s="729"/>
      <c r="S188" s="729"/>
      <c r="T188" s="729"/>
      <c r="U188" s="729"/>
      <c r="V188" s="729"/>
      <c r="W188" s="729"/>
      <c r="X188" s="739"/>
      <c r="Y188" s="729"/>
      <c r="Z188" s="729"/>
      <c r="AA188" s="729"/>
      <c r="AB188" s="729"/>
      <c r="AC188" s="729"/>
      <c r="AD188" s="729"/>
      <c r="AE188" s="729"/>
      <c r="AF188" s="729"/>
      <c r="AG188" s="729"/>
      <c r="AH188" s="5638"/>
      <c r="AI188" s="729"/>
      <c r="AJ188" s="729"/>
      <c r="AK188" s="729"/>
      <c r="AL188" s="729"/>
      <c r="AM188" s="729"/>
      <c r="AN188" s="729"/>
      <c r="AO188" s="729"/>
      <c r="AP188" s="729"/>
      <c r="AQ188" s="729"/>
      <c r="AR188" s="729"/>
      <c r="AS188" s="729"/>
      <c r="AT188" s="729"/>
      <c r="AU188" s="729"/>
      <c r="AV188" s="729"/>
      <c r="AW188" s="729"/>
      <c r="AX188" s="729"/>
      <c r="BL188" s="8"/>
      <c r="CQ188" s="5620"/>
      <c r="DV188" s="833"/>
      <c r="DX188" s="914">
        <v>16</v>
      </c>
      <c r="DY188" s="3346" t="str">
        <f>IF(AND($DT$2=2,Formula!CX157=1),AK223,"")</f>
        <v/>
      </c>
      <c r="DZ188" s="1598">
        <f>AN223</f>
        <v>0</v>
      </c>
      <c r="EA188" s="1598"/>
      <c r="EB188" s="1558">
        <f t="shared" si="238"/>
        <v>0</v>
      </c>
      <c r="EC188" s="1598">
        <f t="shared" si="238"/>
        <v>0</v>
      </c>
      <c r="ED188" s="1598"/>
      <c r="EE188" s="1598"/>
      <c r="EF188" s="1598"/>
      <c r="EG188" s="1598"/>
      <c r="EH188" s="1598"/>
      <c r="EI188" s="1598"/>
      <c r="EJ188" s="1643">
        <f t="shared" si="239"/>
        <v>0</v>
      </c>
      <c r="EK188" s="1598">
        <f>IF($GE$3=2,AS223,0)</f>
        <v>0</v>
      </c>
      <c r="EL188" s="1598"/>
      <c r="EM188" s="1598"/>
      <c r="EN188" s="1598"/>
      <c r="EO188" s="1598"/>
      <c r="EP188" s="1598"/>
      <c r="EQ188" s="1598"/>
      <c r="ER188" s="1598">
        <f>AR223</f>
        <v>0</v>
      </c>
      <c r="ES188" s="1643">
        <f t="shared" si="212"/>
        <v>0</v>
      </c>
      <c r="ET188" s="3345">
        <f t="shared" si="213"/>
        <v>0</v>
      </c>
      <c r="HK188" s="877"/>
      <c r="HL188" s="1139">
        <v>87</v>
      </c>
      <c r="HM188" s="3017">
        <v>44986</v>
      </c>
      <c r="HN188" s="3018"/>
      <c r="MA188" s="831"/>
    </row>
    <row r="189" spans="1:339" ht="32.1" customHeight="1">
      <c r="A189" s="123"/>
      <c r="B189" s="653"/>
      <c r="C189" s="290">
        <v>17</v>
      </c>
      <c r="F189" s="729"/>
      <c r="G189" s="729"/>
      <c r="H189" s="729"/>
      <c r="I189" s="729"/>
      <c r="J189" s="729"/>
      <c r="K189" s="729"/>
      <c r="L189" s="729"/>
      <c r="M189" s="729"/>
      <c r="N189" s="729"/>
      <c r="O189" s="729"/>
      <c r="P189" s="729"/>
      <c r="Q189" s="729"/>
      <c r="R189" s="729"/>
      <c r="S189" s="729"/>
      <c r="T189" s="729"/>
      <c r="U189" s="729"/>
      <c r="V189" s="729"/>
      <c r="W189" s="729"/>
      <c r="X189" s="739"/>
      <c r="Y189" s="729"/>
      <c r="Z189" s="729"/>
      <c r="AA189" s="729"/>
      <c r="AB189" s="729"/>
      <c r="AC189" s="729"/>
      <c r="AD189" s="729"/>
      <c r="AE189" s="729"/>
      <c r="AF189" s="729"/>
      <c r="AG189" s="729"/>
      <c r="AH189" s="5638"/>
      <c r="AI189" s="729"/>
      <c r="AJ189" s="729"/>
      <c r="AK189" s="729"/>
      <c r="AL189" s="729"/>
      <c r="AM189" s="729"/>
      <c r="AN189" s="729"/>
      <c r="AO189" s="729"/>
      <c r="AP189" s="729"/>
      <c r="AQ189" s="729"/>
      <c r="AR189" s="729"/>
      <c r="AS189" s="729"/>
      <c r="AT189" s="729"/>
      <c r="AU189" s="729"/>
      <c r="AV189" s="729"/>
      <c r="AW189" s="729"/>
      <c r="AX189" s="729"/>
      <c r="BL189" s="8"/>
      <c r="CQ189" s="5620"/>
      <c r="DV189" s="833"/>
      <c r="DW189" s="1270"/>
      <c r="DX189" s="914">
        <v>17</v>
      </c>
      <c r="DY189" s="3346" t="str">
        <f>IF('Data Sheet-II'!X76&gt;0,"Principal(FAC) Allowences","")</f>
        <v/>
      </c>
      <c r="DZ189" s="1848">
        <f>'Data Sheet-II'!X76</f>
        <v>0</v>
      </c>
      <c r="EA189" s="1848"/>
      <c r="EB189" s="1558">
        <f>'Data Sheet-II'!Y76</f>
        <v>0</v>
      </c>
      <c r="EC189" s="2215">
        <f>'Data Sheet-II'!Z76</f>
        <v>0</v>
      </c>
      <c r="ED189" s="1848"/>
      <c r="EE189" s="1848"/>
      <c r="EF189" s="1848"/>
      <c r="EG189" s="1848"/>
      <c r="EH189" s="1848"/>
      <c r="EI189" s="1848"/>
      <c r="EJ189" s="3347">
        <f t="shared" si="239"/>
        <v>0</v>
      </c>
      <c r="EK189" s="1598">
        <f>IF($GE$3=2,'Data Sheet-II'!AB76,0)</f>
        <v>0</v>
      </c>
      <c r="EL189" s="1848"/>
      <c r="EM189" s="1848"/>
      <c r="EN189" s="1848"/>
      <c r="EO189" s="1848"/>
      <c r="EP189" s="1848"/>
      <c r="EQ189" s="1848"/>
      <c r="ER189" s="1848"/>
      <c r="ES189" s="3347">
        <f t="shared" si="212"/>
        <v>0</v>
      </c>
      <c r="ET189" s="3348">
        <f t="shared" si="213"/>
        <v>0</v>
      </c>
      <c r="HK189" s="877"/>
      <c r="HL189" s="1139">
        <v>88</v>
      </c>
      <c r="HM189" s="3017">
        <v>45017</v>
      </c>
      <c r="HN189" s="3018"/>
      <c r="MA189" s="831"/>
    </row>
    <row r="190" spans="1:339" ht="37.5" customHeight="1">
      <c r="A190" s="123"/>
      <c r="B190" s="653"/>
      <c r="C190" s="290">
        <v>18</v>
      </c>
      <c r="F190" s="729"/>
      <c r="G190" s="729"/>
      <c r="H190" s="729"/>
      <c r="I190" s="729"/>
      <c r="J190" s="729"/>
      <c r="K190" s="729"/>
      <c r="L190" s="729"/>
      <c r="M190" s="729"/>
      <c r="N190" s="729"/>
      <c r="O190" s="729"/>
      <c r="P190" s="729"/>
      <c r="Q190" s="729"/>
      <c r="R190" s="729"/>
      <c r="S190" s="729"/>
      <c r="T190" s="729"/>
      <c r="U190" s="729"/>
      <c r="V190" s="729"/>
      <c r="W190" s="729"/>
      <c r="X190" s="739"/>
      <c r="Y190" s="729"/>
      <c r="Z190" s="729"/>
      <c r="AA190" s="729"/>
      <c r="AB190" s="729"/>
      <c r="AC190" s="729"/>
      <c r="AD190" s="729"/>
      <c r="AE190" s="729"/>
      <c r="AF190" s="729"/>
      <c r="AG190" s="729"/>
      <c r="AH190" s="5638"/>
      <c r="AI190" s="729"/>
      <c r="AJ190" s="729"/>
      <c r="AK190" s="729"/>
      <c r="AL190" s="729"/>
      <c r="AM190" s="729"/>
      <c r="AN190" s="729"/>
      <c r="AO190" s="729"/>
      <c r="AP190" s="729"/>
      <c r="AQ190" s="729"/>
      <c r="AR190" s="729"/>
      <c r="AS190" s="729"/>
      <c r="AT190" s="729"/>
      <c r="AU190" s="729"/>
      <c r="AV190" s="729"/>
      <c r="AW190" s="729"/>
      <c r="AX190" s="729"/>
      <c r="BL190" s="8"/>
      <c r="CQ190" s="5620"/>
      <c r="DV190" s="833"/>
      <c r="DX190" s="914">
        <v>18</v>
      </c>
      <c r="DY190" s="3346" t="str">
        <f>IF('Data Sheet-II'!X77&gt;0,'Data Sheet-II'!Q77,"")</f>
        <v/>
      </c>
      <c r="DZ190" s="1848">
        <f>'Data Sheet-II'!X77</f>
        <v>0</v>
      </c>
      <c r="EA190" s="1598"/>
      <c r="EB190" s="1558">
        <f>'Data Sheet-II'!Y77</f>
        <v>0</v>
      </c>
      <c r="EC190" s="2215">
        <f>'Data Sheet-II'!Z77</f>
        <v>0</v>
      </c>
      <c r="ED190" s="1642"/>
      <c r="EE190" s="1642"/>
      <c r="EF190" s="1642"/>
      <c r="EG190" s="1642"/>
      <c r="EH190" s="1642"/>
      <c r="EI190" s="1642"/>
      <c r="EJ190" s="1643">
        <f t="shared" si="239"/>
        <v>0</v>
      </c>
      <c r="EK190" s="1598">
        <f>IF($GE$3=2,'Data Sheet-II'!AB77,0)</f>
        <v>0</v>
      </c>
      <c r="EL190" s="1642"/>
      <c r="EM190" s="1642"/>
      <c r="EN190" s="1642"/>
      <c r="EO190" s="1642"/>
      <c r="EP190" s="1642"/>
      <c r="EQ190" s="1642"/>
      <c r="ER190" s="1642"/>
      <c r="ES190" s="1643">
        <f t="shared" si="212"/>
        <v>0</v>
      </c>
      <c r="ET190" s="3345">
        <f t="shared" si="213"/>
        <v>0</v>
      </c>
      <c r="HK190" s="877"/>
      <c r="HL190" s="1139">
        <v>89</v>
      </c>
      <c r="HM190" s="3017">
        <v>45047</v>
      </c>
      <c r="HN190" s="3018"/>
      <c r="MA190" s="831"/>
    </row>
    <row r="191" spans="1:339" ht="41.25" customHeight="1">
      <c r="A191" s="123"/>
      <c r="B191" s="653"/>
      <c r="C191" s="290">
        <v>19</v>
      </c>
      <c r="X191" s="649"/>
      <c r="AH191" s="822"/>
      <c r="BL191" s="8"/>
      <c r="CQ191" s="833"/>
      <c r="DV191" s="833"/>
      <c r="DX191" s="914">
        <v>19</v>
      </c>
      <c r="DY191" s="3346" t="str">
        <f>IF(AK224&gt;0,AK224,"")</f>
        <v/>
      </c>
      <c r="DZ191" s="1598"/>
      <c r="EA191" s="1598"/>
      <c r="EB191" s="1598">
        <f>AO224</f>
        <v>0</v>
      </c>
      <c r="EC191" s="1598"/>
      <c r="ED191" s="3344"/>
      <c r="EE191" s="3344"/>
      <c r="EF191" s="3344"/>
      <c r="EG191" s="3344"/>
      <c r="EH191" s="3344"/>
      <c r="EI191" s="3344"/>
      <c r="EJ191" s="1643">
        <f t="shared" si="239"/>
        <v>0</v>
      </c>
      <c r="EK191" s="1598">
        <f>IF($GE$3=2,AS224,AT224)</f>
        <v>0</v>
      </c>
      <c r="EL191" s="3344"/>
      <c r="EM191" s="3344"/>
      <c r="EN191" s="3344"/>
      <c r="EO191" s="3344"/>
      <c r="EP191" s="3344"/>
      <c r="EQ191" s="1598"/>
      <c r="ER191" s="1598"/>
      <c r="ES191" s="1643">
        <f t="shared" si="212"/>
        <v>0</v>
      </c>
      <c r="ET191" s="3345">
        <f t="shared" si="213"/>
        <v>0</v>
      </c>
      <c r="HK191" s="877"/>
      <c r="HL191" s="1139">
        <v>90</v>
      </c>
      <c r="HM191" s="3017">
        <v>45078</v>
      </c>
      <c r="HN191" s="3018"/>
      <c r="MA191" s="831"/>
    </row>
    <row r="192" spans="1:339" ht="40.5" customHeight="1">
      <c r="A192" s="123"/>
      <c r="B192" s="653"/>
      <c r="C192" s="290">
        <v>20</v>
      </c>
      <c r="X192" s="649"/>
      <c r="AH192" s="822"/>
      <c r="BL192" s="8"/>
      <c r="CQ192" s="1"/>
      <c r="DV192" s="833"/>
      <c r="DX192" s="914">
        <v>20</v>
      </c>
      <c r="DY192" s="3346" t="str">
        <f>IF(AK225&gt;0,AK225,"")</f>
        <v/>
      </c>
      <c r="DZ192" s="3790"/>
      <c r="EA192" s="1598"/>
      <c r="EB192" s="1598">
        <f t="shared" ref="EB192:EB196" si="240">AO225</f>
        <v>0</v>
      </c>
      <c r="EC192" s="1598"/>
      <c r="ED192" s="1598"/>
      <c r="EE192" s="1598"/>
      <c r="EF192" s="1598"/>
      <c r="EG192" s="1598"/>
      <c r="EH192" s="1598"/>
      <c r="EI192" s="1598"/>
      <c r="EJ192" s="1643">
        <f t="shared" si="239"/>
        <v>0</v>
      </c>
      <c r="EK192" s="1598">
        <f t="shared" ref="EK192:EK196" si="241">IF($GE$3=2,AS225,AT225)</f>
        <v>0</v>
      </c>
      <c r="EL192" s="3344"/>
      <c r="EM192" s="3344"/>
      <c r="EN192" s="3344"/>
      <c r="EO192" s="3344"/>
      <c r="EP192" s="3344"/>
      <c r="EQ192" s="1598"/>
      <c r="ER192" s="1598"/>
      <c r="ES192" s="1643">
        <f t="shared" si="212"/>
        <v>0</v>
      </c>
      <c r="ET192" s="3345">
        <f t="shared" si="213"/>
        <v>0</v>
      </c>
      <c r="HK192" s="877"/>
      <c r="HL192" s="1139">
        <v>91</v>
      </c>
      <c r="HM192" s="3017">
        <v>45108</v>
      </c>
      <c r="HN192" s="3018"/>
      <c r="MA192" s="831"/>
    </row>
    <row r="193" spans="1:339" ht="39.75" customHeight="1">
      <c r="A193" s="123"/>
      <c r="B193" s="653"/>
      <c r="C193" s="290">
        <v>21</v>
      </c>
      <c r="X193" s="955"/>
      <c r="AH193" s="822"/>
      <c r="BL193" s="8"/>
      <c r="CQ193" s="1"/>
      <c r="DV193" s="833"/>
      <c r="DX193" s="914">
        <v>21</v>
      </c>
      <c r="DY193" s="3346" t="str">
        <f t="shared" ref="DY193:DY196" si="242">IF(AK226&gt;0,AK226,"")</f>
        <v/>
      </c>
      <c r="DZ193" s="1598"/>
      <c r="EA193" s="1598"/>
      <c r="EB193" s="1598">
        <f t="shared" si="240"/>
        <v>0</v>
      </c>
      <c r="EC193" s="1598"/>
      <c r="ED193" s="3344"/>
      <c r="EE193" s="3344"/>
      <c r="EF193" s="3344"/>
      <c r="EG193" s="3344"/>
      <c r="EH193" s="3344"/>
      <c r="EI193" s="3344"/>
      <c r="EJ193" s="1643">
        <f t="shared" si="239"/>
        <v>0</v>
      </c>
      <c r="EK193" s="1598">
        <f t="shared" si="241"/>
        <v>0</v>
      </c>
      <c r="EL193" s="3344"/>
      <c r="EM193" s="3344"/>
      <c r="EN193" s="3344"/>
      <c r="EO193" s="3344"/>
      <c r="EP193" s="3344"/>
      <c r="EQ193" s="3344"/>
      <c r="ER193" s="1598"/>
      <c r="ES193" s="1643">
        <f t="shared" si="212"/>
        <v>0</v>
      </c>
      <c r="ET193" s="3345">
        <f t="shared" si="213"/>
        <v>0</v>
      </c>
      <c r="HK193" s="877"/>
      <c r="HL193" s="1139">
        <v>92</v>
      </c>
      <c r="HM193" s="3017">
        <v>45139</v>
      </c>
      <c r="HN193" s="3018"/>
      <c r="MA193" s="831"/>
    </row>
    <row r="194" spans="1:339" ht="32.1" customHeight="1">
      <c r="A194" s="123"/>
      <c r="B194" s="653"/>
      <c r="C194" s="290">
        <v>22</v>
      </c>
      <c r="X194" s="955"/>
      <c r="AH194" s="822"/>
      <c r="BL194" s="8"/>
      <c r="CQ194" s="1"/>
      <c r="DV194" s="833"/>
      <c r="DX194" s="914">
        <v>22</v>
      </c>
      <c r="DY194" s="3346" t="str">
        <f t="shared" si="242"/>
        <v/>
      </c>
      <c r="DZ194" s="1598"/>
      <c r="EA194" s="3344"/>
      <c r="EB194" s="1598">
        <f t="shared" si="240"/>
        <v>0</v>
      </c>
      <c r="EC194" s="1598"/>
      <c r="ED194" s="3344"/>
      <c r="EE194" s="3344"/>
      <c r="EF194" s="3344"/>
      <c r="EG194" s="3344"/>
      <c r="EH194" s="3344"/>
      <c r="EI194" s="3344"/>
      <c r="EJ194" s="1643">
        <f t="shared" si="239"/>
        <v>0</v>
      </c>
      <c r="EK194" s="1598">
        <f t="shared" si="241"/>
        <v>0</v>
      </c>
      <c r="EL194" s="3344"/>
      <c r="EM194" s="3344"/>
      <c r="EN194" s="3344"/>
      <c r="EO194" s="3344"/>
      <c r="EP194" s="3344"/>
      <c r="EQ194" s="1598"/>
      <c r="ER194" s="1598"/>
      <c r="ES194" s="1643">
        <f t="shared" si="212"/>
        <v>0</v>
      </c>
      <c r="ET194" s="3345">
        <f t="shared" si="213"/>
        <v>0</v>
      </c>
      <c r="HK194" s="877"/>
      <c r="HL194" s="1139">
        <v>93</v>
      </c>
      <c r="HM194" s="3017">
        <v>45170</v>
      </c>
      <c r="HN194" s="3018"/>
      <c r="MA194" s="831"/>
    </row>
    <row r="195" spans="1:339" ht="32.1" customHeight="1">
      <c r="A195" s="123"/>
      <c r="B195" s="653"/>
      <c r="C195" s="290">
        <v>23</v>
      </c>
      <c r="AH195" s="822"/>
      <c r="BL195" s="8"/>
      <c r="CQ195" s="1"/>
      <c r="DV195" s="833"/>
      <c r="DW195" s="1270"/>
      <c r="DX195" s="914">
        <v>23</v>
      </c>
      <c r="DY195" s="3346" t="str">
        <f t="shared" si="242"/>
        <v/>
      </c>
      <c r="DZ195" s="1598"/>
      <c r="EA195" s="3344"/>
      <c r="EB195" s="1598">
        <f t="shared" si="240"/>
        <v>0</v>
      </c>
      <c r="EC195" s="1598"/>
      <c r="ED195" s="3344"/>
      <c r="EE195" s="3344"/>
      <c r="EF195" s="3344"/>
      <c r="EG195" s="3344"/>
      <c r="EH195" s="3344"/>
      <c r="EI195" s="3344"/>
      <c r="EJ195" s="1643">
        <f>SUM(DZ195:EI195)</f>
        <v>0</v>
      </c>
      <c r="EK195" s="1598">
        <f t="shared" si="241"/>
        <v>0</v>
      </c>
      <c r="EL195" s="3344"/>
      <c r="EM195" s="3344"/>
      <c r="EN195" s="3344"/>
      <c r="EO195" s="3344"/>
      <c r="EP195" s="3344"/>
      <c r="EQ195" s="3344"/>
      <c r="ER195" s="1598"/>
      <c r="ES195" s="1643">
        <f t="shared" si="212"/>
        <v>0</v>
      </c>
      <c r="ET195" s="3345">
        <f t="shared" si="213"/>
        <v>0</v>
      </c>
      <c r="HK195" s="877"/>
      <c r="HL195" s="1139">
        <v>94</v>
      </c>
      <c r="HM195" s="3017">
        <v>45200</v>
      </c>
      <c r="HN195" s="3018"/>
      <c r="MA195" s="831"/>
    </row>
    <row r="196" spans="1:339" ht="32.1" customHeight="1">
      <c r="A196" s="123"/>
      <c r="B196" s="653"/>
      <c r="C196" s="290">
        <v>24</v>
      </c>
      <c r="AH196" s="822"/>
      <c r="BL196" s="8"/>
      <c r="CQ196" s="1"/>
      <c r="DV196" s="833"/>
      <c r="DW196" s="1270"/>
      <c r="DX196" s="914">
        <v>24</v>
      </c>
      <c r="DY196" s="3346" t="str">
        <f t="shared" si="242"/>
        <v/>
      </c>
      <c r="DZ196" s="1598"/>
      <c r="EA196" s="3344"/>
      <c r="EB196" s="1598">
        <f t="shared" si="240"/>
        <v>0</v>
      </c>
      <c r="EC196" s="1598"/>
      <c r="ED196" s="3344"/>
      <c r="EE196" s="3344"/>
      <c r="EF196" s="3344"/>
      <c r="EG196" s="3344"/>
      <c r="EH196" s="3344"/>
      <c r="EI196" s="3344"/>
      <c r="EJ196" s="1643">
        <f>SUM(DZ196:EI196)</f>
        <v>0</v>
      </c>
      <c r="EK196" s="1598">
        <f t="shared" si="241"/>
        <v>0</v>
      </c>
      <c r="EL196" s="3344"/>
      <c r="EM196" s="3344"/>
      <c r="EN196" s="3344"/>
      <c r="EO196" s="3344"/>
      <c r="EP196" s="3344"/>
      <c r="EQ196" s="3344"/>
      <c r="ER196" s="1598"/>
      <c r="ES196" s="1643">
        <f t="shared" si="212"/>
        <v>0</v>
      </c>
      <c r="ET196" s="3345">
        <f t="shared" si="213"/>
        <v>0</v>
      </c>
      <c r="HK196" s="877"/>
      <c r="HL196" s="1139">
        <v>95</v>
      </c>
      <c r="HM196" s="3017">
        <v>45231</v>
      </c>
      <c r="HN196" s="3018"/>
      <c r="MA196" s="831"/>
    </row>
    <row r="197" spans="1:339" ht="32.1" customHeight="1">
      <c r="A197" s="123"/>
      <c r="B197" s="653"/>
      <c r="C197" s="290">
        <v>25</v>
      </c>
      <c r="X197" s="955"/>
      <c r="AH197" s="822"/>
      <c r="BL197" s="8"/>
      <c r="CQ197" s="1"/>
      <c r="DV197" s="833"/>
      <c r="DW197" s="1270"/>
      <c r="DX197" s="914">
        <v>25</v>
      </c>
      <c r="DY197" s="3788"/>
      <c r="DZ197" s="1302"/>
      <c r="EA197" s="1302"/>
      <c r="EB197" s="1302"/>
      <c r="EC197" s="1302"/>
      <c r="ED197" s="1302"/>
      <c r="EE197" s="1302"/>
      <c r="EF197" s="1302"/>
      <c r="EG197" s="1302"/>
      <c r="EH197" s="1302"/>
      <c r="EI197" s="1302"/>
      <c r="EJ197" s="3225">
        <f t="shared" ref="EJ197:EJ222" si="243">SUM(DZ197:EI197)</f>
        <v>0</v>
      </c>
      <c r="EK197" s="1302">
        <f t="shared" ref="EK197:EK199" si="244">AS230</f>
        <v>0</v>
      </c>
      <c r="EL197" s="1302"/>
      <c r="EM197" s="1302"/>
      <c r="EN197" s="1302"/>
      <c r="EO197" s="1302"/>
      <c r="EP197" s="1302"/>
      <c r="EQ197" s="1302"/>
      <c r="ER197" s="1302"/>
      <c r="ES197" s="3225">
        <f>SUM(EK197:ER197)</f>
        <v>0</v>
      </c>
      <c r="ET197" s="3226">
        <f t="shared" ref="ET197" si="245">SUM(EJ197-ES197)</f>
        <v>0</v>
      </c>
      <c r="HK197" s="877"/>
      <c r="HL197" s="1139">
        <v>96</v>
      </c>
      <c r="HM197" s="3017">
        <v>45261</v>
      </c>
      <c r="HN197" s="3018"/>
      <c r="MA197" s="831"/>
    </row>
    <row r="198" spans="1:339" ht="32.1" customHeight="1">
      <c r="A198" s="123"/>
      <c r="B198" s="653"/>
      <c r="C198" s="290">
        <v>26</v>
      </c>
      <c r="AH198" s="822"/>
      <c r="BL198" s="8"/>
      <c r="CQ198" s="1"/>
      <c r="DV198" s="833"/>
      <c r="DW198" s="1270"/>
      <c r="DX198" s="914">
        <v>26</v>
      </c>
      <c r="DY198" s="3788"/>
      <c r="DZ198" s="1302"/>
      <c r="EA198" s="1302"/>
      <c r="EB198" s="1302"/>
      <c r="EC198" s="1302"/>
      <c r="ED198" s="1302"/>
      <c r="EE198" s="1302"/>
      <c r="EF198" s="1302"/>
      <c r="EG198" s="1302"/>
      <c r="EH198" s="1302"/>
      <c r="EI198" s="1302"/>
      <c r="EJ198" s="3225">
        <f t="shared" si="243"/>
        <v>0</v>
      </c>
      <c r="EK198" s="1302">
        <f t="shared" si="244"/>
        <v>0</v>
      </c>
      <c r="EL198" s="1302"/>
      <c r="EM198" s="1302"/>
      <c r="EN198" s="1302"/>
      <c r="EO198" s="1302"/>
      <c r="EP198" s="1302"/>
      <c r="EQ198" s="1302"/>
      <c r="ER198" s="1302"/>
      <c r="ES198" s="3225">
        <f t="shared" ref="ES198" si="246">SUM(EK198:ER198)</f>
        <v>0</v>
      </c>
      <c r="ET198" s="3226">
        <f t="shared" ref="ET198" si="247">SUM(EJ198-ES198)</f>
        <v>0</v>
      </c>
      <c r="HK198" s="877"/>
      <c r="HL198" s="1139">
        <v>97</v>
      </c>
      <c r="HM198" s="3017">
        <v>45292</v>
      </c>
      <c r="HN198" s="3018"/>
      <c r="MA198" s="831"/>
    </row>
    <row r="199" spans="1:339" ht="32.1" customHeight="1">
      <c r="A199" s="123"/>
      <c r="B199" s="653"/>
      <c r="C199" s="290">
        <v>27</v>
      </c>
      <c r="X199" s="856"/>
      <c r="AH199" s="822"/>
      <c r="BL199" s="8"/>
      <c r="CQ199" s="1"/>
      <c r="DV199" s="833"/>
      <c r="DW199" s="1270"/>
      <c r="DX199" s="914">
        <v>27</v>
      </c>
      <c r="DY199" s="3788"/>
      <c r="DZ199" s="1302"/>
      <c r="EA199" s="3245"/>
      <c r="EB199" s="1302"/>
      <c r="EC199" s="1302"/>
      <c r="ED199" s="3245"/>
      <c r="EE199" s="3245"/>
      <c r="EF199" s="3245"/>
      <c r="EG199" s="3245"/>
      <c r="EH199" s="3245"/>
      <c r="EI199" s="3245"/>
      <c r="EJ199" s="3225">
        <f t="shared" si="243"/>
        <v>0</v>
      </c>
      <c r="EK199" s="1302">
        <f t="shared" si="244"/>
        <v>0</v>
      </c>
      <c r="EL199" s="1302"/>
      <c r="EM199" s="1302"/>
      <c r="EN199" s="1302"/>
      <c r="EO199" s="1302"/>
      <c r="EP199" s="1302"/>
      <c r="EQ199" s="1302"/>
      <c r="ER199" s="1302"/>
      <c r="ES199" s="3230">
        <f t="shared" ref="ES199" si="248">SUM(EK199:ER199)</f>
        <v>0</v>
      </c>
      <c r="ET199" s="3226">
        <f t="shared" ref="ET199" si="249">SUM(EJ199-ES199)</f>
        <v>0</v>
      </c>
      <c r="HK199" s="877"/>
      <c r="HL199" s="1139">
        <v>98</v>
      </c>
      <c r="HM199" s="3017">
        <v>45323</v>
      </c>
      <c r="HN199" s="3018"/>
      <c r="MA199" s="831"/>
    </row>
    <row r="200" spans="1:339" ht="32.1" customHeight="1">
      <c r="A200" s="123"/>
      <c r="B200" s="653"/>
      <c r="C200" s="290">
        <v>28</v>
      </c>
      <c r="AH200" s="822"/>
      <c r="BL200" s="8"/>
      <c r="CQ200" s="1"/>
      <c r="DV200" s="833"/>
      <c r="DX200" s="914">
        <v>28</v>
      </c>
      <c r="DY200" s="3232"/>
      <c r="DZ200" s="3791"/>
      <c r="EA200" s="3233"/>
      <c r="EB200" s="3233"/>
      <c r="EC200" s="3233"/>
      <c r="ED200" s="3233"/>
      <c r="EE200" s="3233"/>
      <c r="EF200" s="3233"/>
      <c r="EG200" s="3233"/>
      <c r="EH200" s="3233"/>
      <c r="EI200" s="3233"/>
      <c r="EJ200" s="3225">
        <f t="shared" si="243"/>
        <v>0</v>
      </c>
      <c r="EK200" s="3233"/>
      <c r="EL200" s="3233"/>
      <c r="EM200" s="3233"/>
      <c r="EN200" s="3233"/>
      <c r="EO200" s="3233"/>
      <c r="EP200" s="3233"/>
      <c r="EQ200" s="3233"/>
      <c r="ER200" s="3233"/>
      <c r="ES200" s="3233"/>
      <c r="ET200" s="3233"/>
      <c r="HK200" s="877"/>
      <c r="MA200" s="831"/>
    </row>
    <row r="201" spans="1:339" ht="32.1" customHeight="1">
      <c r="A201" s="123"/>
      <c r="B201" s="653"/>
      <c r="C201" s="290">
        <v>29</v>
      </c>
      <c r="AH201" s="822"/>
      <c r="BL201" s="8"/>
      <c r="CQ201" s="1"/>
      <c r="DV201" s="833"/>
      <c r="DX201" s="914">
        <v>29</v>
      </c>
      <c r="DY201" s="3232"/>
      <c r="DZ201" s="3792"/>
      <c r="EA201" s="3792"/>
      <c r="EB201" s="3233"/>
      <c r="EC201" s="3792"/>
      <c r="ED201" s="3792"/>
      <c r="EE201" s="3792"/>
      <c r="EF201" s="3792"/>
      <c r="EG201" s="3792"/>
      <c r="EH201" s="3792"/>
      <c r="EI201" s="3792"/>
      <c r="EJ201" s="3225">
        <f t="shared" si="243"/>
        <v>0</v>
      </c>
      <c r="EK201" s="3233"/>
      <c r="EL201" s="3792"/>
      <c r="EM201" s="3792"/>
      <c r="EN201" s="3792"/>
      <c r="EO201" s="3792"/>
      <c r="EP201" s="3792"/>
      <c r="EQ201" s="3792"/>
      <c r="ER201" s="3792"/>
      <c r="ES201" s="3233"/>
      <c r="ET201" s="3233"/>
      <c r="HK201" s="877"/>
      <c r="MA201" s="831"/>
    </row>
    <row r="202" spans="1:339" ht="32.1" customHeight="1">
      <c r="A202" s="123"/>
      <c r="B202" s="653"/>
      <c r="C202" s="290">
        <v>30</v>
      </c>
      <c r="AH202" s="822"/>
      <c r="BL202" s="8"/>
      <c r="CQ202" s="1"/>
      <c r="DV202" s="833"/>
      <c r="DX202" s="914">
        <v>30</v>
      </c>
      <c r="DY202" s="3232"/>
      <c r="DZ202" s="3792"/>
      <c r="EA202" s="3792"/>
      <c r="EB202" s="3233"/>
      <c r="EC202" s="3234"/>
      <c r="ED202" s="3234"/>
      <c r="EE202" s="3234"/>
      <c r="EF202" s="3234"/>
      <c r="EG202" s="3234"/>
      <c r="EH202" s="3234"/>
      <c r="EI202" s="3234"/>
      <c r="EJ202" s="3225">
        <f t="shared" si="243"/>
        <v>0</v>
      </c>
      <c r="EK202" s="3233"/>
      <c r="EL202" s="3234"/>
      <c r="EM202" s="3234"/>
      <c r="EN202" s="3234"/>
      <c r="EO202" s="3234"/>
      <c r="EP202" s="3234"/>
      <c r="EQ202" s="3234"/>
      <c r="ER202" s="3234"/>
      <c r="ES202" s="3233"/>
      <c r="ET202" s="3233"/>
      <c r="EU202" s="2444"/>
      <c r="EV202" s="2444"/>
      <c r="EW202" s="2444"/>
      <c r="HK202" s="877"/>
      <c r="MA202" s="831"/>
    </row>
    <row r="203" spans="1:339" ht="32.1" customHeight="1">
      <c r="A203" s="123"/>
      <c r="B203" s="653"/>
      <c r="C203" s="290">
        <v>31</v>
      </c>
      <c r="AH203" s="822"/>
      <c r="BL203" s="8"/>
      <c r="CQ203" s="1"/>
      <c r="DV203" s="833"/>
      <c r="DX203" s="914">
        <v>31</v>
      </c>
      <c r="DY203" s="3232"/>
      <c r="DZ203" s="3234"/>
      <c r="EA203" s="3234"/>
      <c r="EB203" s="3233"/>
      <c r="EC203" s="3234"/>
      <c r="ED203" s="3234"/>
      <c r="EE203" s="3234"/>
      <c r="EF203" s="3234"/>
      <c r="EG203" s="3234"/>
      <c r="EH203" s="3234"/>
      <c r="EI203" s="3234"/>
      <c r="EJ203" s="3225">
        <f t="shared" si="243"/>
        <v>0</v>
      </c>
      <c r="EK203" s="3229">
        <f t="shared" ref="EK203:EK217" si="250">AS236</f>
        <v>0</v>
      </c>
      <c r="EL203" s="3234"/>
      <c r="EM203" s="3234"/>
      <c r="EN203" s="3234"/>
      <c r="EO203" s="3234"/>
      <c r="EP203" s="3234"/>
      <c r="EQ203" s="3234"/>
      <c r="ER203" s="3234"/>
      <c r="ES203" s="3233">
        <f t="shared" ref="ES203:ES222" si="251">SUM(EK203:ER203)</f>
        <v>0</v>
      </c>
      <c r="ET203" s="3233">
        <f t="shared" ref="ET203:ET222" si="252">SUM(EJ203-ES203)</f>
        <v>0</v>
      </c>
      <c r="EU203" s="2444"/>
      <c r="EV203" s="2444"/>
      <c r="EW203" s="2444"/>
      <c r="HK203" s="877"/>
      <c r="MA203" s="831"/>
    </row>
    <row r="204" spans="1:339" ht="32.1" customHeight="1">
      <c r="A204" s="123"/>
      <c r="B204" s="653"/>
      <c r="C204" s="2175"/>
      <c r="AH204" s="822"/>
      <c r="BL204" s="8"/>
      <c r="CQ204" s="1"/>
      <c r="DV204" s="833"/>
      <c r="DX204" s="914">
        <v>32</v>
      </c>
      <c r="DY204" s="3232"/>
      <c r="DZ204" s="3234"/>
      <c r="EA204" s="3234"/>
      <c r="EB204" s="3233"/>
      <c r="EC204" s="3234"/>
      <c r="ED204" s="3234"/>
      <c r="EE204" s="3234"/>
      <c r="EF204" s="3234"/>
      <c r="EG204" s="3234"/>
      <c r="EH204" s="3234"/>
      <c r="EI204" s="3234"/>
      <c r="EJ204" s="3225">
        <f t="shared" si="243"/>
        <v>0</v>
      </c>
      <c r="EK204" s="3229">
        <f t="shared" si="250"/>
        <v>0</v>
      </c>
      <c r="EL204" s="3234"/>
      <c r="EM204" s="3234"/>
      <c r="EN204" s="3234"/>
      <c r="EO204" s="3234"/>
      <c r="EP204" s="3234"/>
      <c r="EQ204" s="3234"/>
      <c r="ER204" s="3234"/>
      <c r="ES204" s="3233">
        <f t="shared" si="251"/>
        <v>0</v>
      </c>
      <c r="ET204" s="3233">
        <f t="shared" si="252"/>
        <v>0</v>
      </c>
      <c r="EU204" s="2444"/>
      <c r="EV204" s="2444"/>
      <c r="EW204" s="2444"/>
      <c r="HK204" s="877"/>
      <c r="MA204" s="831"/>
    </row>
    <row r="205" spans="1:339" ht="32.1" customHeight="1">
      <c r="A205" s="123"/>
      <c r="B205" s="653"/>
      <c r="C205" s="2176"/>
      <c r="X205" s="1481"/>
      <c r="AH205" s="822"/>
      <c r="BL205" s="8"/>
      <c r="CQ205" s="1"/>
      <c r="DV205" s="833"/>
      <c r="DX205" s="914">
        <v>33</v>
      </c>
      <c r="DY205" s="3232"/>
      <c r="DZ205" s="3234"/>
      <c r="EA205" s="3234"/>
      <c r="EB205" s="3233"/>
      <c r="EC205" s="3234"/>
      <c r="ED205" s="3234"/>
      <c r="EE205" s="3234"/>
      <c r="EF205" s="3234"/>
      <c r="EG205" s="3234"/>
      <c r="EH205" s="3234"/>
      <c r="EI205" s="3234"/>
      <c r="EJ205" s="3225">
        <f t="shared" si="243"/>
        <v>0</v>
      </c>
      <c r="EK205" s="3229">
        <f t="shared" si="250"/>
        <v>0</v>
      </c>
      <c r="EL205" s="3234"/>
      <c r="EM205" s="3234"/>
      <c r="EN205" s="3234"/>
      <c r="EO205" s="3234"/>
      <c r="EP205" s="3234"/>
      <c r="EQ205" s="3234"/>
      <c r="ER205" s="3234"/>
      <c r="ES205" s="3233">
        <f t="shared" si="251"/>
        <v>0</v>
      </c>
      <c r="ET205" s="3233">
        <f t="shared" si="252"/>
        <v>0</v>
      </c>
      <c r="EU205" s="2444"/>
      <c r="EV205" s="2444"/>
      <c r="EW205" s="2444"/>
      <c r="HK205" s="877"/>
      <c r="MA205" s="831"/>
    </row>
    <row r="206" spans="1:339" ht="32.1" customHeight="1">
      <c r="A206" s="123"/>
      <c r="B206" s="653"/>
      <c r="C206" s="2176"/>
      <c r="AH206" s="822"/>
      <c r="BL206" s="8"/>
      <c r="CQ206" s="1"/>
      <c r="DV206" s="833"/>
      <c r="DX206" s="914">
        <v>34</v>
      </c>
      <c r="DY206" s="3232"/>
      <c r="DZ206" s="3234"/>
      <c r="EA206" s="3234"/>
      <c r="EB206" s="3233"/>
      <c r="EC206" s="3234"/>
      <c r="ED206" s="3234"/>
      <c r="EE206" s="3234"/>
      <c r="EF206" s="3234"/>
      <c r="EG206" s="3234"/>
      <c r="EH206" s="3234"/>
      <c r="EI206" s="3234"/>
      <c r="EJ206" s="3225">
        <f t="shared" si="243"/>
        <v>0</v>
      </c>
      <c r="EK206" s="3229">
        <f t="shared" si="250"/>
        <v>0</v>
      </c>
      <c r="EL206" s="3234"/>
      <c r="EM206" s="3234"/>
      <c r="EN206" s="3234"/>
      <c r="EO206" s="3234"/>
      <c r="EP206" s="3234"/>
      <c r="EQ206" s="3234"/>
      <c r="ER206" s="3234"/>
      <c r="ES206" s="3233">
        <f t="shared" si="251"/>
        <v>0</v>
      </c>
      <c r="ET206" s="3233">
        <f t="shared" si="252"/>
        <v>0</v>
      </c>
      <c r="EU206" s="2444"/>
      <c r="EV206" s="2444"/>
      <c r="EW206" s="2444"/>
      <c r="HK206" s="877"/>
      <c r="MA206" s="831"/>
    </row>
    <row r="207" spans="1:339" ht="32.1" customHeight="1">
      <c r="A207" s="123"/>
      <c r="B207" s="653"/>
      <c r="C207" s="2176"/>
      <c r="AH207" s="822"/>
      <c r="BL207" s="8"/>
      <c r="CQ207" s="1"/>
      <c r="DV207" s="833"/>
      <c r="DX207" s="914">
        <v>35</v>
      </c>
      <c r="DY207" s="3232"/>
      <c r="DZ207" s="3234"/>
      <c r="EA207" s="3234"/>
      <c r="EB207" s="3233"/>
      <c r="EC207" s="3234"/>
      <c r="ED207" s="3234"/>
      <c r="EE207" s="3234"/>
      <c r="EF207" s="3234"/>
      <c r="EG207" s="3234"/>
      <c r="EH207" s="3234"/>
      <c r="EI207" s="3234"/>
      <c r="EJ207" s="3225">
        <f t="shared" si="243"/>
        <v>0</v>
      </c>
      <c r="EK207" s="3229">
        <f t="shared" si="250"/>
        <v>0</v>
      </c>
      <c r="EL207" s="3234"/>
      <c r="EM207" s="3234"/>
      <c r="EN207" s="3234"/>
      <c r="EO207" s="3234"/>
      <c r="EP207" s="3234"/>
      <c r="EQ207" s="3234"/>
      <c r="ER207" s="3234"/>
      <c r="ES207" s="3233">
        <f t="shared" si="251"/>
        <v>0</v>
      </c>
      <c r="ET207" s="3233">
        <f t="shared" si="252"/>
        <v>0</v>
      </c>
      <c r="EU207" s="2444"/>
      <c r="EV207" s="2444"/>
      <c r="EW207" s="2444"/>
      <c r="HK207" s="877"/>
      <c r="MA207" s="831"/>
    </row>
    <row r="208" spans="1:339" ht="32.1" customHeight="1">
      <c r="A208" s="123"/>
      <c r="B208" s="653"/>
      <c r="C208" s="2176"/>
      <c r="AH208" s="822"/>
      <c r="BL208" s="8"/>
      <c r="CQ208" s="1"/>
      <c r="DV208" s="833"/>
      <c r="DX208" s="914">
        <v>36</v>
      </c>
      <c r="DY208" s="3232"/>
      <c r="DZ208" s="3234"/>
      <c r="EA208" s="3234"/>
      <c r="EB208" s="3233"/>
      <c r="EC208" s="3234"/>
      <c r="ED208" s="3234"/>
      <c r="EE208" s="3234"/>
      <c r="EF208" s="3234"/>
      <c r="EG208" s="3234"/>
      <c r="EH208" s="3234"/>
      <c r="EI208" s="3234"/>
      <c r="EJ208" s="3225">
        <f t="shared" si="243"/>
        <v>0</v>
      </c>
      <c r="EK208" s="3229">
        <f t="shared" si="250"/>
        <v>0</v>
      </c>
      <c r="EL208" s="3234"/>
      <c r="EM208" s="3234"/>
      <c r="EN208" s="3234"/>
      <c r="EO208" s="3234"/>
      <c r="EP208" s="3234"/>
      <c r="EQ208" s="3234"/>
      <c r="ER208" s="3234"/>
      <c r="ES208" s="3233">
        <f t="shared" si="251"/>
        <v>0</v>
      </c>
      <c r="ET208" s="3233">
        <f t="shared" si="252"/>
        <v>0</v>
      </c>
      <c r="EU208" s="3231"/>
      <c r="EV208" s="3231"/>
      <c r="EW208" s="3231"/>
      <c r="EX208" s="1270"/>
      <c r="EY208" s="1270"/>
      <c r="EZ208" s="1270"/>
      <c r="FA208" s="1270"/>
      <c r="FB208" s="1270"/>
      <c r="FC208" s="1270"/>
      <c r="FD208" s="1270"/>
      <c r="FE208" s="1270"/>
      <c r="FF208" s="1270"/>
      <c r="FG208" s="1270"/>
      <c r="FH208" s="1270"/>
      <c r="FI208" s="1270"/>
      <c r="FJ208" s="1270"/>
      <c r="FK208" s="1270"/>
      <c r="FL208" s="1270"/>
      <c r="FM208" s="1270"/>
      <c r="FN208" s="1270"/>
      <c r="FO208" s="1270"/>
      <c r="FP208" s="1270"/>
      <c r="FQ208" s="1270"/>
      <c r="FR208" s="1270"/>
      <c r="FS208" s="1270"/>
      <c r="FT208" s="1270"/>
      <c r="FU208" s="1270"/>
      <c r="FV208" s="1270"/>
      <c r="FW208" s="1270"/>
      <c r="FX208" s="1270"/>
      <c r="FY208" s="1270"/>
      <c r="FZ208" s="1270"/>
      <c r="GA208" s="1270"/>
      <c r="GB208" s="1270"/>
      <c r="GC208" s="1270"/>
      <c r="GD208" s="1270"/>
      <c r="GE208" s="1270"/>
      <c r="GF208" s="1270"/>
      <c r="GG208" s="1270"/>
      <c r="GH208" s="1270"/>
      <c r="GI208" s="1270"/>
      <c r="GJ208" s="1270"/>
      <c r="GK208" s="1270"/>
      <c r="GL208" s="1270"/>
      <c r="GM208" s="1270"/>
      <c r="GN208" s="1270"/>
      <c r="GO208" s="1270"/>
      <c r="GP208" s="1270"/>
      <c r="GQ208" s="1270"/>
      <c r="GR208" s="1270"/>
      <c r="GS208" s="1270"/>
      <c r="GT208" s="1270"/>
      <c r="GU208" s="1270"/>
      <c r="GV208" s="1270"/>
      <c r="GW208" s="1270"/>
      <c r="GX208" s="1270"/>
      <c r="GY208" s="1270"/>
      <c r="GZ208" s="1270"/>
      <c r="HA208" s="1270"/>
      <c r="HB208" s="1270"/>
      <c r="HC208" s="1270"/>
      <c r="HD208" s="1270"/>
      <c r="HE208" s="1270"/>
      <c r="HF208" s="1270"/>
      <c r="HG208" s="1270"/>
      <c r="HH208" s="1270"/>
      <c r="HI208" s="1270"/>
      <c r="HJ208" s="1270"/>
      <c r="HK208" s="877"/>
      <c r="MA208" s="831"/>
    </row>
    <row r="209" spans="1:339" ht="32.1" customHeight="1">
      <c r="A209" s="123"/>
      <c r="B209" s="653"/>
      <c r="X209" s="1626"/>
      <c r="AH209" s="822"/>
      <c r="BL209" s="8"/>
      <c r="CQ209" s="1"/>
      <c r="DV209" s="833"/>
      <c r="DW209" s="1270"/>
      <c r="DX209" s="914">
        <v>37</v>
      </c>
      <c r="DY209" s="3232"/>
      <c r="DZ209" s="3246"/>
      <c r="EA209" s="3246"/>
      <c r="EB209" s="3233"/>
      <c r="EC209" s="3246"/>
      <c r="ED209" s="3246"/>
      <c r="EE209" s="3246"/>
      <c r="EF209" s="3246"/>
      <c r="EG209" s="3246"/>
      <c r="EH209" s="3246"/>
      <c r="EI209" s="3246"/>
      <c r="EJ209" s="3225">
        <f t="shared" si="243"/>
        <v>0</v>
      </c>
      <c r="EK209" s="3229">
        <f t="shared" si="250"/>
        <v>0</v>
      </c>
      <c r="EL209" s="3246"/>
      <c r="EM209" s="3246"/>
      <c r="EN209" s="3246"/>
      <c r="EO209" s="3246"/>
      <c r="EP209" s="3246"/>
      <c r="EQ209" s="3246"/>
      <c r="ER209" s="3246"/>
      <c r="ES209" s="3233">
        <f t="shared" si="251"/>
        <v>0</v>
      </c>
      <c r="ET209" s="3233">
        <f t="shared" si="252"/>
        <v>0</v>
      </c>
      <c r="EU209" s="1270"/>
      <c r="EV209" s="1270"/>
      <c r="EW209" s="1270"/>
      <c r="EX209" s="1270"/>
      <c r="EY209" s="1270"/>
      <c r="EZ209" s="1270"/>
      <c r="FA209" s="1270"/>
      <c r="FB209" s="1270"/>
      <c r="FC209" s="1270"/>
      <c r="FD209" s="1270"/>
      <c r="FE209" s="1270"/>
      <c r="FF209" s="1270"/>
      <c r="FG209" s="1270"/>
      <c r="FH209" s="1270"/>
      <c r="FI209" s="1270"/>
      <c r="FJ209" s="1270"/>
      <c r="FK209" s="1270"/>
      <c r="FL209" s="1270"/>
      <c r="FM209" s="1270"/>
      <c r="FN209" s="1270"/>
      <c r="FO209" s="1270"/>
      <c r="FP209" s="1270"/>
      <c r="FQ209" s="1270"/>
      <c r="FR209" s="1270"/>
      <c r="FS209" s="1270"/>
      <c r="FT209" s="1270"/>
      <c r="FU209" s="1270"/>
      <c r="FV209" s="1270"/>
      <c r="FW209" s="1270"/>
      <c r="FX209" s="1270"/>
      <c r="FY209" s="1270"/>
      <c r="FZ209" s="1270"/>
      <c r="GA209" s="1270"/>
      <c r="GB209" s="1270"/>
      <c r="GC209" s="1270"/>
      <c r="GD209" s="1270"/>
      <c r="GE209" s="1270"/>
      <c r="GF209" s="1270"/>
      <c r="GG209" s="1270"/>
      <c r="GH209" s="1270"/>
      <c r="GI209" s="1270"/>
      <c r="GJ209" s="1270"/>
      <c r="GK209" s="1270"/>
      <c r="GL209" s="1270"/>
      <c r="GM209" s="1270"/>
      <c r="GN209" s="1270"/>
      <c r="GO209" s="1270"/>
      <c r="GP209" s="1270"/>
      <c r="GQ209" s="1270"/>
      <c r="GR209" s="1270"/>
      <c r="GS209" s="1270"/>
      <c r="GT209" s="1270"/>
      <c r="GU209" s="1270"/>
      <c r="GV209" s="1270"/>
      <c r="GW209" s="1270"/>
      <c r="GX209" s="1270"/>
      <c r="GY209" s="1270"/>
      <c r="GZ209" s="1270"/>
      <c r="HA209" s="1270"/>
      <c r="HB209" s="1270"/>
      <c r="HC209" s="1270"/>
      <c r="HD209" s="1270"/>
      <c r="HE209" s="1270"/>
      <c r="HF209" s="1270"/>
      <c r="HG209" s="1270"/>
      <c r="HH209" s="1270"/>
      <c r="HI209" s="1270"/>
      <c r="HJ209" s="1270"/>
      <c r="HK209" s="877"/>
      <c r="MA209" s="831"/>
    </row>
    <row r="210" spans="1:339" ht="32.1" customHeight="1">
      <c r="A210" s="123"/>
      <c r="B210" s="653"/>
      <c r="C210" s="1226"/>
      <c r="D210" s="1226"/>
      <c r="E210" s="1226"/>
      <c r="F210" s="1226"/>
      <c r="G210" s="1226"/>
      <c r="H210" s="1226"/>
      <c r="I210" s="1226"/>
      <c r="J210" s="1226"/>
      <c r="K210" s="1226"/>
      <c r="L210" s="1226"/>
      <c r="M210" s="1226"/>
      <c r="N210" s="1226"/>
      <c r="O210" s="1226"/>
      <c r="P210" s="1226"/>
      <c r="Q210" s="1226"/>
      <c r="R210" s="1226"/>
      <c r="S210" s="1226"/>
      <c r="T210" s="1226"/>
      <c r="U210" s="1226"/>
      <c r="V210" s="1226"/>
      <c r="W210" s="1226"/>
      <c r="X210" s="1226"/>
      <c r="Y210" s="1226"/>
      <c r="Z210" s="1226"/>
      <c r="AA210" s="1226"/>
      <c r="AB210" s="1226"/>
      <c r="AC210" s="1226"/>
      <c r="AD210" s="1226"/>
      <c r="AE210" s="1226"/>
      <c r="AF210" s="1226"/>
      <c r="AG210" s="1226"/>
      <c r="AH210" s="822"/>
      <c r="BL210" s="8"/>
      <c r="CQ210" s="1"/>
      <c r="DV210" s="833"/>
      <c r="DW210" s="1270"/>
      <c r="DX210" s="914">
        <v>38</v>
      </c>
      <c r="DY210" s="3232"/>
      <c r="DZ210" s="3246"/>
      <c r="EA210" s="3246"/>
      <c r="EB210" s="3233"/>
      <c r="EC210" s="3246"/>
      <c r="ED210" s="3246"/>
      <c r="EE210" s="3246"/>
      <c r="EF210" s="3246"/>
      <c r="EG210" s="3246"/>
      <c r="EH210" s="3246"/>
      <c r="EI210" s="3246"/>
      <c r="EJ210" s="3225">
        <f t="shared" si="243"/>
        <v>0</v>
      </c>
      <c r="EK210" s="3229">
        <f t="shared" si="250"/>
        <v>0</v>
      </c>
      <c r="EL210" s="3246"/>
      <c r="EM210" s="3246"/>
      <c r="EN210" s="3246"/>
      <c r="EO210" s="3246"/>
      <c r="EP210" s="3246"/>
      <c r="EQ210" s="3246"/>
      <c r="ER210" s="3246"/>
      <c r="ES210" s="3233">
        <f t="shared" si="251"/>
        <v>0</v>
      </c>
      <c r="ET210" s="3233">
        <f t="shared" si="252"/>
        <v>0</v>
      </c>
      <c r="EU210" s="1270"/>
      <c r="EV210" s="1270"/>
      <c r="EW210" s="1270"/>
      <c r="EX210" s="1270"/>
      <c r="EY210" s="1270"/>
      <c r="EZ210" s="1270"/>
      <c r="FA210" s="1270"/>
      <c r="FB210" s="1270"/>
      <c r="FC210" s="1270"/>
      <c r="FD210" s="1270"/>
      <c r="FE210" s="1270"/>
      <c r="FF210" s="1270"/>
      <c r="FG210" s="1270"/>
      <c r="FH210" s="1270"/>
      <c r="FI210" s="1270"/>
      <c r="FJ210" s="1270"/>
      <c r="FK210" s="1270"/>
      <c r="FL210" s="1270"/>
      <c r="FM210" s="1270"/>
      <c r="FN210" s="1270"/>
      <c r="FO210" s="1270"/>
      <c r="FP210" s="1270"/>
      <c r="FQ210" s="1270"/>
      <c r="FR210" s="1270"/>
      <c r="FS210" s="1270"/>
      <c r="FT210" s="1270"/>
      <c r="FU210" s="1270"/>
      <c r="FV210" s="1270"/>
      <c r="FW210" s="1270"/>
      <c r="FX210" s="1270"/>
      <c r="FY210" s="1270"/>
      <c r="FZ210" s="1270"/>
      <c r="GA210" s="1270"/>
      <c r="GB210" s="1270"/>
      <c r="GC210" s="1270"/>
      <c r="GD210" s="1270"/>
      <c r="GE210" s="1270"/>
      <c r="GF210" s="1270"/>
      <c r="GG210" s="1270"/>
      <c r="GH210" s="1270"/>
      <c r="GI210" s="1270"/>
      <c r="GJ210" s="1270"/>
      <c r="GK210" s="1270"/>
      <c r="GL210" s="1270"/>
      <c r="GM210" s="1270"/>
      <c r="GN210" s="1270"/>
      <c r="GO210" s="1270"/>
      <c r="GP210" s="1270"/>
      <c r="GQ210" s="1270"/>
      <c r="GR210" s="1270"/>
      <c r="GS210" s="1270"/>
      <c r="GT210" s="1270"/>
      <c r="GU210" s="1270"/>
      <c r="GV210" s="1270"/>
      <c r="GW210" s="1270"/>
      <c r="GX210" s="1270"/>
      <c r="GY210" s="1270"/>
      <c r="GZ210" s="1270"/>
      <c r="HA210" s="1270"/>
      <c r="HB210" s="1270"/>
      <c r="HC210" s="1270"/>
      <c r="HD210" s="1270"/>
      <c r="HE210" s="1270"/>
      <c r="HF210" s="1270"/>
      <c r="HG210" s="1270"/>
      <c r="HH210" s="1270"/>
      <c r="HI210" s="1270"/>
      <c r="HJ210" s="1270"/>
      <c r="HK210" s="877"/>
      <c r="MA210" s="831"/>
    </row>
    <row r="211" spans="1:339" ht="32.1" customHeight="1">
      <c r="A211" s="123"/>
      <c r="B211" s="653"/>
      <c r="C211" s="1"/>
      <c r="D211" s="1"/>
      <c r="E211" s="1"/>
      <c r="F211" s="1"/>
      <c r="G211" s="1"/>
      <c r="H211" s="1"/>
      <c r="I211" s="1"/>
      <c r="J211" s="1"/>
      <c r="K211" s="1"/>
      <c r="L211" s="1"/>
      <c r="M211" s="1"/>
      <c r="N211" s="1"/>
      <c r="O211" s="1"/>
      <c r="P211" s="1"/>
      <c r="Q211" s="1"/>
      <c r="R211" s="1"/>
      <c r="S211" s="1"/>
      <c r="T211" s="1"/>
      <c r="U211" s="1"/>
      <c r="V211" s="1"/>
      <c r="W211" s="1"/>
      <c r="X211" s="1"/>
      <c r="Y211" s="1"/>
      <c r="Z211" s="5241" t="s">
        <v>1188</v>
      </c>
      <c r="AA211" s="5241"/>
      <c r="AB211" s="5241"/>
      <c r="AC211" s="5241"/>
      <c r="AD211" s="5241"/>
      <c r="AE211" s="1630" t="str">
        <f>LOOKUP(AG211,$AE$14:$AE$15,$AG$14:$AG$15)</f>
        <v>No</v>
      </c>
      <c r="AF211" s="1630"/>
      <c r="AG211" s="1630">
        <v>1</v>
      </c>
      <c r="AH211" s="1629"/>
      <c r="AI211" s="1629"/>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833"/>
      <c r="DW211" s="1270"/>
      <c r="DX211" s="914">
        <v>39</v>
      </c>
      <c r="DY211" s="3232"/>
      <c r="DZ211" s="3246"/>
      <c r="EA211" s="3246"/>
      <c r="EB211" s="3233"/>
      <c r="EC211" s="3246"/>
      <c r="ED211" s="3246"/>
      <c r="EE211" s="3246"/>
      <c r="EF211" s="3246"/>
      <c r="EG211" s="3246"/>
      <c r="EH211" s="3246"/>
      <c r="EI211" s="3246"/>
      <c r="EJ211" s="3225">
        <f t="shared" si="243"/>
        <v>0</v>
      </c>
      <c r="EK211" s="3229">
        <f t="shared" si="250"/>
        <v>0</v>
      </c>
      <c r="EL211" s="3246"/>
      <c r="EM211" s="3246"/>
      <c r="EN211" s="3246"/>
      <c r="EO211" s="3246"/>
      <c r="EP211" s="3246"/>
      <c r="EQ211" s="3246"/>
      <c r="ER211" s="3246"/>
      <c r="ES211" s="3233">
        <f t="shared" si="251"/>
        <v>0</v>
      </c>
      <c r="ET211" s="3233">
        <f t="shared" si="252"/>
        <v>0</v>
      </c>
      <c r="EU211" s="1270"/>
      <c r="EV211" s="1270"/>
      <c r="EW211" s="1270"/>
      <c r="EX211" s="1270"/>
      <c r="EY211" s="1270"/>
      <c r="EZ211" s="1270"/>
      <c r="FA211" s="1270"/>
      <c r="FB211" s="1270"/>
      <c r="FC211" s="1270"/>
      <c r="FD211" s="1270"/>
      <c r="FE211" s="1270"/>
      <c r="FF211" s="1270"/>
      <c r="FG211" s="1270"/>
      <c r="FH211" s="1270"/>
      <c r="FI211" s="1270"/>
      <c r="FJ211" s="1270"/>
      <c r="FK211" s="1270"/>
      <c r="FL211" s="1270"/>
      <c r="FM211" s="1270"/>
      <c r="FN211" s="1270"/>
      <c r="FO211" s="1270"/>
      <c r="FP211" s="1270"/>
      <c r="FQ211" s="1270"/>
      <c r="FR211" s="1270"/>
      <c r="FS211" s="1270"/>
      <c r="FT211" s="1270"/>
      <c r="FU211" s="1270"/>
      <c r="FV211" s="1270"/>
      <c r="FW211" s="1270"/>
      <c r="FX211" s="1270"/>
      <c r="FY211" s="1270"/>
      <c r="FZ211" s="1270"/>
      <c r="GA211" s="1270"/>
      <c r="GB211" s="1270"/>
      <c r="GC211" s="1270"/>
      <c r="GD211" s="1270"/>
      <c r="GE211" s="1270"/>
      <c r="GF211" s="1270"/>
      <c r="GG211" s="1270"/>
      <c r="GH211" s="1270"/>
      <c r="GI211" s="1270"/>
      <c r="GJ211" s="1270"/>
      <c r="GK211" s="1270"/>
      <c r="GL211" s="1270"/>
      <c r="GM211" s="1270"/>
      <c r="GN211" s="1270"/>
      <c r="GO211" s="1270"/>
      <c r="GP211" s="1270"/>
      <c r="GQ211" s="1270"/>
      <c r="GR211" s="1270"/>
      <c r="GS211" s="1270"/>
      <c r="GT211" s="1270"/>
      <c r="GU211" s="1270"/>
      <c r="GV211" s="1270"/>
      <c r="GW211" s="1270"/>
      <c r="GX211" s="1270"/>
      <c r="GY211" s="1270"/>
      <c r="GZ211" s="1270"/>
      <c r="HA211" s="1270"/>
      <c r="HB211" s="1270"/>
      <c r="HC211" s="1270"/>
      <c r="HD211" s="1270"/>
      <c r="HE211" s="1270"/>
      <c r="HF211" s="1270"/>
      <c r="HG211" s="1270"/>
      <c r="HH211" s="1270"/>
      <c r="HI211" s="1270"/>
      <c r="HJ211" s="1270"/>
      <c r="HK211" s="833"/>
      <c r="HL211" s="833"/>
      <c r="HM211" s="833"/>
      <c r="HN211" s="833"/>
      <c r="HO211" s="833"/>
      <c r="HP211" s="833"/>
      <c r="HQ211" s="833"/>
      <c r="HR211" s="833"/>
      <c r="HS211" s="833"/>
      <c r="HT211" s="833"/>
      <c r="HU211" s="833"/>
      <c r="HV211" s="833"/>
      <c r="HW211" s="833"/>
      <c r="HX211" s="833"/>
      <c r="HY211" s="833"/>
      <c r="HZ211" s="833"/>
      <c r="IA211" s="833"/>
      <c r="IB211" s="833"/>
      <c r="IC211" s="833"/>
      <c r="ID211" s="833"/>
      <c r="IE211" s="833"/>
      <c r="IF211" s="833"/>
      <c r="IG211" s="833"/>
      <c r="IH211" s="833"/>
      <c r="II211" s="833"/>
      <c r="IJ211" s="833"/>
      <c r="IK211" s="833"/>
      <c r="IL211" s="833"/>
      <c r="IM211" s="833"/>
      <c r="IN211" s="833"/>
      <c r="IO211" s="833"/>
      <c r="IP211" s="833"/>
      <c r="IQ211" s="833"/>
      <c r="IR211" s="833"/>
      <c r="IS211" s="833"/>
      <c r="IT211" s="833"/>
      <c r="IU211" s="833"/>
      <c r="IV211" s="833"/>
      <c r="IW211" s="833"/>
      <c r="IX211" s="833"/>
      <c r="IY211" s="833"/>
      <c r="IZ211" s="833"/>
      <c r="JA211" s="833"/>
      <c r="JB211" s="833"/>
      <c r="JC211" s="833"/>
      <c r="JD211" s="833"/>
      <c r="JE211" s="833"/>
      <c r="JF211" s="833"/>
      <c r="JG211" s="833"/>
      <c r="JH211" s="833"/>
      <c r="JI211" s="833"/>
      <c r="JJ211" s="833"/>
      <c r="JK211" s="833"/>
      <c r="JL211" s="833"/>
      <c r="JM211" s="833"/>
      <c r="JN211" s="833"/>
      <c r="JO211" s="833"/>
      <c r="JP211" s="833"/>
      <c r="JQ211" s="833"/>
      <c r="JR211" s="833"/>
      <c r="JS211" s="833"/>
      <c r="JT211" s="833"/>
      <c r="JU211" s="833"/>
      <c r="JV211" s="833"/>
      <c r="JW211" s="833"/>
      <c r="JX211" s="833"/>
      <c r="JY211" s="833"/>
      <c r="JZ211" s="833"/>
      <c r="KA211" s="833"/>
      <c r="KB211" s="833"/>
      <c r="KC211" s="833"/>
      <c r="KD211" s="833"/>
      <c r="KE211" s="833"/>
      <c r="KF211" s="833"/>
      <c r="KG211" s="833"/>
      <c r="KH211" s="833"/>
      <c r="KI211" s="833"/>
      <c r="KJ211" s="833"/>
      <c r="KK211" s="833"/>
      <c r="KL211" s="833"/>
      <c r="KM211" s="833"/>
      <c r="KN211" s="833"/>
      <c r="KO211" s="833"/>
      <c r="KP211" s="833"/>
      <c r="KQ211" s="833"/>
      <c r="KR211" s="833"/>
      <c r="KS211" s="833"/>
      <c r="KT211" s="833"/>
      <c r="KU211" s="833"/>
      <c r="KV211" s="833"/>
      <c r="KW211" s="833"/>
      <c r="KX211" s="833"/>
      <c r="KY211" s="833"/>
      <c r="KZ211" s="833"/>
      <c r="LA211" s="833"/>
      <c r="LB211" s="833"/>
      <c r="LC211" s="833"/>
      <c r="LD211" s="833"/>
      <c r="LE211" s="833"/>
      <c r="LF211" s="833"/>
      <c r="LG211" s="833"/>
      <c r="LH211" s="833"/>
      <c r="LI211" s="833"/>
      <c r="LJ211" s="833"/>
      <c r="LK211" s="833"/>
      <c r="LL211" s="833"/>
      <c r="LM211" s="833"/>
      <c r="LN211" s="833"/>
      <c r="LO211" s="833"/>
      <c r="LP211" s="833"/>
      <c r="LQ211" s="833"/>
      <c r="LR211" s="833"/>
      <c r="LS211" s="833"/>
      <c r="LT211" s="833"/>
      <c r="LU211" s="833"/>
      <c r="LV211" s="833"/>
      <c r="LW211" s="833"/>
      <c r="LX211" s="833"/>
      <c r="LY211" s="833"/>
      <c r="LZ211" s="833"/>
      <c r="MA211" s="833"/>
    </row>
    <row r="212" spans="1:339" ht="32.1" customHeight="1">
      <c r="A212" s="123"/>
      <c r="B212" s="653"/>
      <c r="C212" s="838"/>
      <c r="D212" s="838"/>
      <c r="E212" s="838"/>
      <c r="F212" s="838"/>
      <c r="G212" s="838"/>
      <c r="H212" s="838"/>
      <c r="I212" s="838"/>
      <c r="J212" s="838"/>
      <c r="K212" s="838"/>
      <c r="L212" s="838"/>
      <c r="M212" s="838"/>
      <c r="N212" s="838"/>
      <c r="O212" s="838"/>
      <c r="P212" s="838"/>
      <c r="Q212" s="838"/>
      <c r="R212" s="838"/>
      <c r="S212" s="838"/>
      <c r="T212" s="838"/>
      <c r="U212" s="838"/>
      <c r="V212" s="838"/>
      <c r="W212" s="838"/>
      <c r="X212" s="838"/>
      <c r="Y212" s="838"/>
      <c r="Z212" s="5242" t="s">
        <v>1189</v>
      </c>
      <c r="AA212" s="5242"/>
      <c r="AB212" s="5242"/>
      <c r="AC212" s="5242"/>
      <c r="AD212" s="5242"/>
      <c r="AE212" s="1631">
        <v>3</v>
      </c>
      <c r="AF212" s="1631"/>
      <c r="AG212" s="838"/>
      <c r="AH212" s="838"/>
      <c r="AI212" s="838"/>
      <c r="AJ212" s="838"/>
      <c r="AK212" s="838"/>
      <c r="AL212" s="838"/>
      <c r="AM212" s="838"/>
      <c r="AN212" s="838"/>
      <c r="AO212" s="838"/>
      <c r="AP212" s="838"/>
      <c r="AQ212" s="838"/>
      <c r="AR212" s="838"/>
      <c r="AS212" s="838"/>
      <c r="AT212" s="838"/>
      <c r="AU212" s="838"/>
      <c r="AV212" s="838"/>
      <c r="AW212" s="838"/>
      <c r="AX212" s="838"/>
      <c r="AY212" s="838"/>
      <c r="AZ212" s="838"/>
      <c r="BA212" s="838"/>
      <c r="BB212" s="838"/>
      <c r="BC212" s="838"/>
      <c r="BD212" s="838"/>
      <c r="BE212" s="838"/>
      <c r="BF212" s="838"/>
      <c r="BG212" s="838"/>
      <c r="BH212" s="838"/>
      <c r="BI212" s="838"/>
      <c r="BJ212" s="838"/>
      <c r="BK212" s="838"/>
      <c r="BL212" s="838"/>
      <c r="BM212" s="838"/>
      <c r="BN212" s="838"/>
      <c r="BO212" s="838"/>
      <c r="BP212" s="838"/>
      <c r="BQ212" s="838"/>
      <c r="BR212" s="838"/>
      <c r="BS212" s="838"/>
      <c r="BT212" s="838"/>
      <c r="BU212" s="838"/>
      <c r="BV212" s="838"/>
      <c r="BW212" s="838"/>
      <c r="BX212" s="838"/>
      <c r="BY212" s="838"/>
      <c r="BZ212" s="838"/>
      <c r="CA212" s="838"/>
      <c r="CB212" s="838"/>
      <c r="CC212" s="838"/>
      <c r="CD212" s="838"/>
      <c r="CE212" s="838"/>
      <c r="CF212" s="838"/>
      <c r="CG212" s="838"/>
      <c r="CH212" s="838"/>
      <c r="CI212" s="838"/>
      <c r="CJ212" s="838"/>
      <c r="CK212" s="838"/>
      <c r="CL212" s="838"/>
      <c r="CM212" s="838"/>
      <c r="CN212" s="838"/>
      <c r="CO212" s="838"/>
      <c r="CP212" s="838"/>
      <c r="CQ212" s="838"/>
      <c r="CR212" s="838"/>
      <c r="CS212" s="838"/>
      <c r="CT212" s="838"/>
      <c r="CU212" s="838"/>
      <c r="CV212" s="838"/>
      <c r="CW212" s="838"/>
      <c r="CX212" s="838"/>
      <c r="CY212" s="838"/>
      <c r="CZ212" s="838"/>
      <c r="DA212" s="838"/>
      <c r="DB212" s="838"/>
      <c r="DC212" s="838"/>
      <c r="DD212" s="838"/>
      <c r="DE212" s="838"/>
      <c r="DF212" s="838"/>
      <c r="DG212" s="838"/>
      <c r="DH212" s="838"/>
      <c r="DI212" s="838"/>
      <c r="DJ212" s="838"/>
      <c r="DK212" s="838"/>
      <c r="DL212" s="838"/>
      <c r="DM212" s="838"/>
      <c r="DN212" s="838"/>
      <c r="DO212" s="838"/>
      <c r="DP212" s="838"/>
      <c r="DQ212" s="838"/>
      <c r="DR212" s="838"/>
      <c r="DS212" s="838"/>
      <c r="DT212" s="943"/>
      <c r="DU212" s="838"/>
      <c r="DV212" s="833"/>
      <c r="DW212" s="1270"/>
      <c r="DX212" s="914">
        <v>40</v>
      </c>
      <c r="DY212" s="3232"/>
      <c r="DZ212" s="3246"/>
      <c r="EA212" s="3246"/>
      <c r="EB212" s="3233"/>
      <c r="EC212" s="3246"/>
      <c r="ED212" s="3246"/>
      <c r="EE212" s="3246"/>
      <c r="EF212" s="3246"/>
      <c r="EG212" s="3246"/>
      <c r="EH212" s="3246"/>
      <c r="EI212" s="3246"/>
      <c r="EJ212" s="3225">
        <f t="shared" si="243"/>
        <v>0</v>
      </c>
      <c r="EK212" s="3229">
        <f t="shared" si="250"/>
        <v>0</v>
      </c>
      <c r="EL212" s="3246"/>
      <c r="EM212" s="3246"/>
      <c r="EN212" s="3246"/>
      <c r="EO212" s="3246"/>
      <c r="EP212" s="3246"/>
      <c r="EQ212" s="3246"/>
      <c r="ER212" s="3246"/>
      <c r="ES212" s="3233">
        <f t="shared" si="251"/>
        <v>0</v>
      </c>
      <c r="ET212" s="3233">
        <f t="shared" si="252"/>
        <v>0</v>
      </c>
      <c r="EU212" s="1270"/>
      <c r="EV212" s="1270"/>
      <c r="EW212" s="1270"/>
      <c r="EX212" s="1270"/>
      <c r="EY212" s="1270"/>
      <c r="EZ212" s="1270"/>
      <c r="FA212" s="1270"/>
      <c r="FB212" s="1270"/>
      <c r="FC212" s="1270"/>
      <c r="FD212" s="1270"/>
      <c r="FE212" s="1270"/>
      <c r="FF212" s="1270"/>
      <c r="FG212" s="1270"/>
      <c r="FH212" s="1270"/>
      <c r="FI212" s="1270"/>
      <c r="FJ212" s="1270"/>
      <c r="FK212" s="1270"/>
      <c r="FL212" s="1270"/>
      <c r="FM212" s="1270"/>
      <c r="FN212" s="1270"/>
      <c r="FO212" s="1270"/>
      <c r="FP212" s="1270"/>
      <c r="FQ212" s="1270"/>
      <c r="FR212" s="1270"/>
      <c r="FS212" s="1270"/>
      <c r="FT212" s="1270"/>
      <c r="FU212" s="1270"/>
      <c r="FV212" s="1270"/>
      <c r="FW212" s="1270"/>
      <c r="FX212" s="1270"/>
      <c r="FY212" s="1270"/>
      <c r="FZ212" s="1270"/>
      <c r="GA212" s="1270"/>
      <c r="GB212" s="1270"/>
      <c r="GC212" s="1270"/>
      <c r="GD212" s="1270"/>
      <c r="GE212" s="1270"/>
      <c r="GF212" s="1270"/>
      <c r="GG212" s="1270"/>
      <c r="GH212" s="1270"/>
      <c r="GI212" s="1270"/>
      <c r="GJ212" s="1270"/>
      <c r="GK212" s="1270"/>
      <c r="GL212" s="1270"/>
      <c r="GM212" s="1270"/>
      <c r="GN212" s="1270"/>
      <c r="GO212" s="1270"/>
      <c r="GP212" s="1270"/>
      <c r="GQ212" s="1270"/>
      <c r="GR212" s="1270"/>
      <c r="GS212" s="1270"/>
      <c r="GT212" s="1270"/>
      <c r="GU212" s="1270"/>
      <c r="GV212" s="1270"/>
      <c r="GW212" s="1270"/>
      <c r="GX212" s="1270"/>
      <c r="GY212" s="1270"/>
      <c r="GZ212" s="1270"/>
      <c r="HA212" s="1270"/>
      <c r="HB212" s="1270"/>
      <c r="HC212" s="1270"/>
      <c r="HD212" s="1270"/>
      <c r="HE212" s="1270"/>
      <c r="HF212" s="1270"/>
      <c r="HG212" s="1270"/>
      <c r="HH212" s="1270"/>
      <c r="HI212" s="1270"/>
      <c r="HJ212" s="1270"/>
      <c r="HK212" s="943"/>
      <c r="HL212" s="943"/>
      <c r="HM212" s="943"/>
      <c r="HN212" s="943"/>
      <c r="HO212" s="943"/>
      <c r="HP212" s="943"/>
      <c r="HQ212" s="943"/>
      <c r="HR212" s="943"/>
      <c r="HS212" s="943"/>
      <c r="HT212" s="943"/>
      <c r="HU212" s="943"/>
      <c r="HV212" s="943"/>
      <c r="HW212" s="943"/>
      <c r="HX212" s="943"/>
      <c r="HY212" s="943"/>
      <c r="HZ212" s="943"/>
      <c r="IA212" s="943"/>
      <c r="IB212" s="943"/>
      <c r="IC212" s="943"/>
      <c r="ID212" s="943"/>
      <c r="IE212" s="943"/>
      <c r="IF212" s="943"/>
      <c r="IG212" s="943"/>
      <c r="IH212" s="943"/>
      <c r="II212" s="943"/>
      <c r="IJ212" s="943"/>
      <c r="IK212" s="943"/>
      <c r="IL212" s="943"/>
      <c r="IM212" s="943"/>
      <c r="IN212" s="943"/>
      <c r="IO212" s="943"/>
      <c r="IP212" s="943"/>
      <c r="IQ212" s="943"/>
      <c r="IR212" s="943"/>
      <c r="IS212" s="943"/>
      <c r="IT212" s="943"/>
      <c r="IU212" s="943"/>
      <c r="IV212" s="943"/>
      <c r="IW212" s="943"/>
      <c r="IX212" s="943"/>
      <c r="IY212" s="943"/>
      <c r="IZ212" s="943"/>
      <c r="JA212" s="943"/>
      <c r="JB212" s="943"/>
      <c r="JC212" s="943"/>
      <c r="JD212" s="943"/>
      <c r="JE212" s="943"/>
      <c r="JF212" s="943"/>
      <c r="JG212" s="943"/>
      <c r="JH212" s="943"/>
      <c r="JI212" s="943"/>
      <c r="JJ212" s="943"/>
      <c r="JK212" s="943"/>
      <c r="JL212" s="943"/>
      <c r="JM212" s="943"/>
      <c r="JN212" s="943"/>
      <c r="JO212" s="943"/>
      <c r="JP212" s="943"/>
      <c r="JQ212" s="943"/>
      <c r="JR212" s="943"/>
      <c r="JS212" s="943"/>
      <c r="JT212" s="943"/>
      <c r="JU212" s="943"/>
      <c r="JV212" s="943"/>
      <c r="JW212" s="943"/>
      <c r="JX212" s="943"/>
      <c r="JY212" s="943"/>
      <c r="JZ212" s="943"/>
      <c r="KA212" s="943"/>
      <c r="KB212" s="943"/>
      <c r="KC212" s="943"/>
      <c r="KD212" s="943"/>
      <c r="KE212" s="943"/>
      <c r="KF212" s="943"/>
      <c r="KG212" s="943"/>
      <c r="KH212" s="943"/>
      <c r="KI212" s="943"/>
      <c r="KJ212" s="943"/>
      <c r="KK212" s="943"/>
      <c r="KL212" s="943"/>
      <c r="KM212" s="943"/>
      <c r="KN212" s="943"/>
      <c r="KO212" s="943"/>
      <c r="KP212" s="943"/>
      <c r="KQ212" s="943"/>
      <c r="KR212" s="943"/>
      <c r="KS212" s="943"/>
      <c r="KT212" s="943"/>
      <c r="KU212" s="943"/>
      <c r="KV212" s="943"/>
      <c r="KW212" s="943"/>
      <c r="KX212" s="943"/>
      <c r="KY212" s="943"/>
      <c r="KZ212" s="943"/>
      <c r="LA212" s="943"/>
      <c r="LB212" s="943"/>
      <c r="LC212" s="943"/>
      <c r="LD212" s="943"/>
      <c r="LE212" s="943"/>
      <c r="LF212" s="943"/>
      <c r="LG212" s="943"/>
      <c r="LH212" s="943"/>
      <c r="LI212" s="943"/>
      <c r="LJ212" s="943"/>
      <c r="LK212" s="943"/>
      <c r="LL212" s="943"/>
      <c r="LM212" s="943"/>
      <c r="LN212" s="943"/>
      <c r="LO212" s="943"/>
      <c r="LP212" s="943"/>
      <c r="LQ212" s="943"/>
      <c r="LR212" s="943"/>
      <c r="LS212" s="943"/>
      <c r="LT212" s="943"/>
      <c r="LU212" s="943"/>
      <c r="LV212" s="943"/>
      <c r="LW212" s="943"/>
      <c r="LX212" s="943"/>
      <c r="LY212" s="943"/>
      <c r="LZ212" s="943"/>
      <c r="MA212" s="943"/>
    </row>
    <row r="213" spans="1:339" ht="32.1" customHeight="1">
      <c r="A213" s="123"/>
      <c r="B213" s="653"/>
      <c r="C213" s="8"/>
      <c r="D213" s="8"/>
      <c r="E213" s="8"/>
      <c r="F213" s="8"/>
      <c r="G213" s="8"/>
      <c r="H213" s="8"/>
      <c r="I213" s="8"/>
      <c r="J213" s="8"/>
      <c r="K213" s="8"/>
      <c r="L213" s="8"/>
      <c r="M213" s="8"/>
      <c r="N213" s="8"/>
      <c r="O213" s="8"/>
      <c r="P213" s="8"/>
      <c r="Q213" s="8"/>
      <c r="R213" s="8"/>
      <c r="S213" s="8"/>
      <c r="T213" s="8"/>
      <c r="U213" s="8"/>
      <c r="V213" s="8"/>
      <c r="W213" s="834"/>
      <c r="X213" s="950"/>
      <c r="Y213" s="834"/>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c r="CT213" s="8"/>
      <c r="CU213" s="8"/>
      <c r="CV213" s="8"/>
      <c r="CW213" s="8"/>
      <c r="CX213" s="8"/>
      <c r="CY213" s="8"/>
      <c r="CZ213" s="8"/>
      <c r="DA213" s="8"/>
      <c r="DB213" s="8"/>
      <c r="DC213" s="8"/>
      <c r="DD213" s="8"/>
      <c r="DE213" s="8"/>
      <c r="DF213" s="8"/>
      <c r="DG213" s="8"/>
      <c r="DH213" s="8"/>
      <c r="DI213" s="8"/>
      <c r="DJ213" s="8"/>
      <c r="DK213" s="8"/>
      <c r="DL213" s="8"/>
      <c r="DM213" s="8"/>
      <c r="DN213" s="8"/>
      <c r="DO213" s="8"/>
      <c r="DP213" s="8"/>
      <c r="DQ213" s="8"/>
      <c r="DR213" s="8"/>
      <c r="DS213" s="8"/>
      <c r="DT213" s="879"/>
      <c r="DU213" s="8"/>
      <c r="DV213" s="833"/>
      <c r="DW213" s="1270"/>
      <c r="DX213" s="914">
        <v>41</v>
      </c>
      <c r="DY213" s="3232"/>
      <c r="DZ213" s="3246"/>
      <c r="EA213" s="3246"/>
      <c r="EB213" s="3233"/>
      <c r="EC213" s="3246"/>
      <c r="ED213" s="3246"/>
      <c r="EE213" s="3246"/>
      <c r="EF213" s="3246"/>
      <c r="EG213" s="3246"/>
      <c r="EH213" s="3246"/>
      <c r="EI213" s="3246"/>
      <c r="EJ213" s="3225">
        <f t="shared" si="243"/>
        <v>0</v>
      </c>
      <c r="EK213" s="3229">
        <f t="shared" si="250"/>
        <v>0</v>
      </c>
      <c r="EL213" s="3246"/>
      <c r="EM213" s="3246"/>
      <c r="EN213" s="3246"/>
      <c r="EO213" s="3246"/>
      <c r="EP213" s="3246"/>
      <c r="EQ213" s="3246"/>
      <c r="ER213" s="3246"/>
      <c r="ES213" s="3233">
        <f t="shared" si="251"/>
        <v>0</v>
      </c>
      <c r="ET213" s="3233">
        <f t="shared" si="252"/>
        <v>0</v>
      </c>
      <c r="EU213" s="1270"/>
      <c r="EV213" s="1270"/>
      <c r="EW213" s="1270"/>
      <c r="EX213" s="1270"/>
      <c r="EY213" s="1270"/>
      <c r="EZ213" s="1270"/>
      <c r="FA213" s="1270"/>
      <c r="FB213" s="1270"/>
      <c r="FC213" s="1270"/>
      <c r="FD213" s="1270"/>
      <c r="FE213" s="1270"/>
      <c r="FF213" s="1270"/>
      <c r="FG213" s="1270"/>
      <c r="FH213" s="1270"/>
      <c r="FI213" s="1270"/>
      <c r="FJ213" s="1270"/>
      <c r="FK213" s="1270"/>
      <c r="FL213" s="1270"/>
      <c r="FM213" s="1270"/>
      <c r="FN213" s="1270"/>
      <c r="FO213" s="1270"/>
      <c r="FP213" s="1270"/>
      <c r="FQ213" s="1270"/>
      <c r="FR213" s="1270"/>
      <c r="FS213" s="1270"/>
      <c r="FT213" s="1270"/>
      <c r="FU213" s="1270"/>
      <c r="FV213" s="1270"/>
      <c r="FW213" s="1270"/>
      <c r="FX213" s="1270"/>
      <c r="FY213" s="1270"/>
      <c r="FZ213" s="1270"/>
      <c r="GA213" s="1270"/>
      <c r="GB213" s="1270"/>
      <c r="GC213" s="1270"/>
      <c r="GD213" s="1270"/>
      <c r="GE213" s="1270"/>
      <c r="GF213" s="1270"/>
      <c r="GG213" s="1270"/>
      <c r="GH213" s="1270"/>
      <c r="GI213" s="1270"/>
      <c r="GJ213" s="1270"/>
      <c r="GK213" s="1270"/>
      <c r="GL213" s="1270"/>
      <c r="GM213" s="1270"/>
      <c r="GN213" s="1270"/>
      <c r="GO213" s="1270"/>
      <c r="GP213" s="1270"/>
      <c r="GQ213" s="1270"/>
      <c r="GR213" s="1270"/>
      <c r="GS213" s="1270"/>
      <c r="GT213" s="1270"/>
      <c r="GU213" s="1270"/>
      <c r="GV213" s="1270"/>
      <c r="GW213" s="1270"/>
      <c r="GX213" s="1270"/>
      <c r="GY213" s="1270"/>
      <c r="GZ213" s="1270"/>
      <c r="HA213" s="1270"/>
      <c r="HB213" s="1270"/>
      <c r="HC213" s="1270"/>
      <c r="HD213" s="1270"/>
      <c r="HE213" s="1270"/>
      <c r="HF213" s="1270"/>
      <c r="HG213" s="1270"/>
      <c r="HH213" s="1270"/>
      <c r="HI213" s="1270"/>
      <c r="HJ213" s="1270"/>
      <c r="HK213" s="879"/>
      <c r="HL213" s="879"/>
      <c r="HM213" s="879"/>
      <c r="HN213" s="879"/>
      <c r="HO213" s="879"/>
      <c r="HP213" s="879"/>
      <c r="HQ213" s="879"/>
      <c r="HR213" s="879"/>
      <c r="HS213" s="879"/>
      <c r="HT213" s="879"/>
      <c r="HU213" s="879"/>
      <c r="HV213" s="879"/>
      <c r="HW213" s="879"/>
      <c r="HX213" s="879"/>
      <c r="HY213" s="879"/>
      <c r="HZ213" s="879"/>
      <c r="IA213" s="879"/>
      <c r="IB213" s="879"/>
      <c r="IC213" s="879"/>
      <c r="ID213" s="879"/>
      <c r="IE213" s="879"/>
      <c r="IF213" s="879"/>
      <c r="IG213" s="879"/>
      <c r="IH213" s="879"/>
      <c r="II213" s="879"/>
      <c r="IJ213" s="879"/>
      <c r="IK213" s="879"/>
      <c r="IL213" s="879"/>
      <c r="IM213" s="879"/>
      <c r="IN213" s="879"/>
      <c r="IO213" s="879"/>
      <c r="IP213" s="879"/>
      <c r="IQ213" s="879"/>
      <c r="IR213" s="879"/>
      <c r="IS213" s="879"/>
      <c r="IT213" s="879"/>
      <c r="IU213" s="879"/>
      <c r="IV213" s="879"/>
      <c r="IW213" s="879"/>
      <c r="IX213" s="879"/>
      <c r="IY213" s="879"/>
      <c r="IZ213" s="879"/>
      <c r="JA213" s="879"/>
      <c r="JB213" s="879"/>
      <c r="JC213" s="879"/>
      <c r="JD213" s="879"/>
      <c r="JE213" s="879"/>
      <c r="JF213" s="879"/>
      <c r="JG213" s="879"/>
      <c r="JH213" s="879"/>
      <c r="JI213" s="879"/>
      <c r="JJ213" s="879"/>
      <c r="JK213" s="879"/>
      <c r="JL213" s="879"/>
      <c r="JM213" s="879"/>
      <c r="JN213" s="879"/>
      <c r="JO213" s="879"/>
      <c r="JP213" s="879"/>
      <c r="JQ213" s="879"/>
      <c r="JR213" s="879"/>
      <c r="JS213" s="879"/>
      <c r="JT213" s="879"/>
      <c r="JU213" s="879"/>
      <c r="JV213" s="879"/>
      <c r="JW213" s="879"/>
      <c r="JX213" s="879"/>
      <c r="JY213" s="879"/>
      <c r="JZ213" s="879"/>
      <c r="KA213" s="879"/>
      <c r="KB213" s="879"/>
      <c r="KC213" s="879"/>
      <c r="KD213" s="879"/>
      <c r="KE213" s="879"/>
      <c r="KF213" s="879"/>
      <c r="KG213" s="879"/>
      <c r="KH213" s="879"/>
      <c r="KI213" s="879"/>
      <c r="KJ213" s="879"/>
      <c r="KK213" s="879"/>
      <c r="KL213" s="879"/>
      <c r="KM213" s="879"/>
      <c r="KN213" s="879"/>
      <c r="KO213" s="879"/>
      <c r="KP213" s="879"/>
      <c r="KQ213" s="879"/>
      <c r="KR213" s="879"/>
      <c r="KS213" s="879"/>
      <c r="KT213" s="879"/>
      <c r="KU213" s="879"/>
      <c r="KV213" s="879"/>
      <c r="KW213" s="879"/>
      <c r="KX213" s="879"/>
      <c r="KY213" s="879"/>
      <c r="KZ213" s="879"/>
      <c r="LA213" s="879"/>
      <c r="LB213" s="879"/>
      <c r="LC213" s="879"/>
      <c r="LD213" s="879"/>
      <c r="LE213" s="879"/>
      <c r="LF213" s="879"/>
      <c r="LG213" s="879"/>
      <c r="LH213" s="879"/>
      <c r="LI213" s="879"/>
      <c r="LJ213" s="879"/>
      <c r="LK213" s="879"/>
      <c r="LL213" s="879"/>
      <c r="LM213" s="879"/>
      <c r="LN213" s="879"/>
      <c r="LO213" s="879"/>
      <c r="LP213" s="879"/>
      <c r="LQ213" s="879"/>
      <c r="LR213" s="879"/>
      <c r="LS213" s="879"/>
      <c r="LT213" s="879"/>
      <c r="LU213" s="879"/>
      <c r="LV213" s="879"/>
      <c r="LW213" s="879"/>
      <c r="LX213" s="879"/>
      <c r="LY213" s="879"/>
      <c r="LZ213" s="879"/>
      <c r="MA213" s="879"/>
    </row>
    <row r="214" spans="1:339" ht="32.1" customHeight="1">
      <c r="A214" s="123"/>
      <c r="B214" s="653"/>
      <c r="C214" s="1"/>
      <c r="D214" s="1"/>
      <c r="E214" s="1"/>
      <c r="F214" s="1"/>
      <c r="G214" s="1"/>
      <c r="H214" s="1"/>
      <c r="I214" s="1"/>
      <c r="J214" s="1"/>
      <c r="K214" s="1"/>
      <c r="L214" s="1"/>
      <c r="M214" s="1"/>
      <c r="N214" s="1"/>
      <c r="O214" s="1"/>
      <c r="P214" s="1"/>
      <c r="Q214" s="1"/>
      <c r="R214" s="1"/>
      <c r="S214" s="1"/>
      <c r="T214" s="1"/>
      <c r="U214" s="1"/>
      <c r="V214" s="1"/>
      <c r="W214" s="830"/>
      <c r="X214" s="829"/>
      <c r="Y214" s="830"/>
      <c r="Z214" s="830"/>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842"/>
      <c r="DU214" s="1"/>
      <c r="DV214" s="833"/>
      <c r="DW214" s="1270"/>
      <c r="DX214" s="914">
        <v>42</v>
      </c>
      <c r="DY214" s="3232"/>
      <c r="DZ214" s="3246"/>
      <c r="EA214" s="3246"/>
      <c r="EB214" s="3233"/>
      <c r="EC214" s="3246"/>
      <c r="ED214" s="3246"/>
      <c r="EE214" s="3246"/>
      <c r="EF214" s="3246"/>
      <c r="EG214" s="3246"/>
      <c r="EH214" s="3246"/>
      <c r="EI214" s="3246"/>
      <c r="EJ214" s="3225">
        <f t="shared" si="243"/>
        <v>0</v>
      </c>
      <c r="EK214" s="3229">
        <f t="shared" si="250"/>
        <v>0</v>
      </c>
      <c r="EL214" s="3246"/>
      <c r="EM214" s="3246"/>
      <c r="EN214" s="3246"/>
      <c r="EO214" s="3246"/>
      <c r="EP214" s="3246"/>
      <c r="EQ214" s="3246"/>
      <c r="ER214" s="3246"/>
      <c r="ES214" s="3233">
        <f t="shared" si="251"/>
        <v>0</v>
      </c>
      <c r="ET214" s="3233">
        <f t="shared" si="252"/>
        <v>0</v>
      </c>
      <c r="EU214" s="1270"/>
      <c r="EV214" s="1270"/>
      <c r="EW214" s="1270"/>
      <c r="EX214" s="1270"/>
      <c r="EY214" s="1270"/>
      <c r="EZ214" s="1270"/>
      <c r="FA214" s="1270"/>
      <c r="FB214" s="1270"/>
      <c r="FC214" s="1270"/>
      <c r="FD214" s="1270"/>
      <c r="FE214" s="1270"/>
      <c r="FF214" s="1270"/>
      <c r="FG214" s="1270"/>
      <c r="FH214" s="1270"/>
      <c r="FI214" s="1270"/>
      <c r="FJ214" s="1270"/>
      <c r="FK214" s="1270"/>
      <c r="FL214" s="1270"/>
      <c r="FM214" s="1270"/>
      <c r="FN214" s="1270"/>
      <c r="FO214" s="1270"/>
      <c r="FP214" s="1270"/>
      <c r="FQ214" s="1270"/>
      <c r="FR214" s="1270"/>
      <c r="FS214" s="1270"/>
      <c r="FT214" s="1270"/>
      <c r="FU214" s="1270"/>
      <c r="FV214" s="1270"/>
      <c r="FW214" s="1270"/>
      <c r="FX214" s="1270"/>
      <c r="FY214" s="1270"/>
      <c r="FZ214" s="1270"/>
      <c r="GA214" s="1270"/>
      <c r="GB214" s="1270"/>
      <c r="GC214" s="1270"/>
      <c r="GD214" s="1270"/>
      <c r="GE214" s="1270"/>
      <c r="GF214" s="1270"/>
      <c r="GG214" s="1270"/>
      <c r="GH214" s="1270"/>
      <c r="GI214" s="1270"/>
      <c r="GJ214" s="1270"/>
      <c r="GK214" s="1270"/>
      <c r="GL214" s="1270"/>
      <c r="GM214" s="1270"/>
      <c r="GN214" s="1270"/>
      <c r="GO214" s="1270"/>
      <c r="GP214" s="1270"/>
      <c r="GQ214" s="1270"/>
      <c r="GR214" s="1270"/>
      <c r="GS214" s="1270"/>
      <c r="GT214" s="1270"/>
      <c r="GU214" s="1270"/>
      <c r="GV214" s="1270"/>
      <c r="GW214" s="1270"/>
      <c r="GX214" s="1270"/>
      <c r="GY214" s="1270"/>
      <c r="GZ214" s="1270"/>
      <c r="HA214" s="1270"/>
      <c r="HB214" s="1270"/>
      <c r="HC214" s="1270"/>
      <c r="HD214" s="1270"/>
      <c r="HE214" s="1270"/>
      <c r="HF214" s="1270"/>
      <c r="HG214" s="1270"/>
      <c r="HH214" s="1270"/>
      <c r="HI214" s="1270"/>
      <c r="HJ214" s="1270"/>
      <c r="HK214" s="842"/>
      <c r="HL214" s="842"/>
      <c r="HM214" s="842"/>
      <c r="HN214" s="842"/>
      <c r="HO214" s="842"/>
      <c r="HP214" s="842"/>
      <c r="HQ214" s="842"/>
      <c r="HR214" s="842"/>
      <c r="HS214" s="842"/>
      <c r="HT214" s="842"/>
      <c r="HU214" s="842"/>
      <c r="HV214" s="842"/>
      <c r="HW214" s="842"/>
      <c r="HX214" s="842"/>
      <c r="HY214" s="842"/>
      <c r="HZ214" s="842"/>
      <c r="IA214" s="842"/>
      <c r="IB214" s="842"/>
      <c r="IC214" s="842"/>
      <c r="ID214" s="842"/>
      <c r="IE214" s="842"/>
      <c r="IF214" s="842"/>
      <c r="IG214" s="842"/>
      <c r="IH214" s="842"/>
      <c r="II214" s="842"/>
      <c r="IJ214" s="842"/>
      <c r="IK214" s="842"/>
      <c r="IL214" s="842"/>
      <c r="IM214" s="842"/>
      <c r="IN214" s="842"/>
      <c r="IO214" s="842"/>
      <c r="IP214" s="842"/>
      <c r="IQ214" s="842"/>
      <c r="IR214" s="842"/>
      <c r="IS214" s="842"/>
      <c r="IT214" s="842"/>
      <c r="IU214" s="842"/>
      <c r="IV214" s="842"/>
      <c r="IW214" s="842"/>
      <c r="IX214" s="842"/>
      <c r="IY214" s="842"/>
      <c r="IZ214" s="842"/>
      <c r="JA214" s="842"/>
      <c r="JB214" s="842"/>
      <c r="JC214" s="842"/>
      <c r="JD214" s="842"/>
      <c r="JE214" s="842"/>
      <c r="JF214" s="842"/>
      <c r="JG214" s="842"/>
      <c r="JH214" s="842"/>
      <c r="JI214" s="842"/>
      <c r="JJ214" s="842"/>
      <c r="JK214" s="842"/>
      <c r="JL214" s="842"/>
      <c r="JM214" s="842"/>
      <c r="JN214" s="842"/>
      <c r="JO214" s="842"/>
      <c r="JP214" s="842"/>
      <c r="JQ214" s="842"/>
      <c r="JR214" s="842"/>
      <c r="JS214" s="842"/>
      <c r="JT214" s="842"/>
      <c r="JU214" s="842"/>
      <c r="JV214" s="842"/>
      <c r="JW214" s="842"/>
      <c r="JX214" s="842"/>
      <c r="JY214" s="842"/>
      <c r="JZ214" s="842"/>
      <c r="KA214" s="842"/>
      <c r="KB214" s="842"/>
      <c r="KC214" s="842"/>
      <c r="KD214" s="842"/>
      <c r="KE214" s="842"/>
      <c r="KF214" s="842"/>
      <c r="KG214" s="842"/>
      <c r="KH214" s="842"/>
      <c r="KI214" s="842"/>
      <c r="KJ214" s="842"/>
      <c r="KK214" s="842"/>
      <c r="KL214" s="842"/>
      <c r="KM214" s="842"/>
      <c r="KN214" s="842"/>
      <c r="KO214" s="842"/>
      <c r="KP214" s="842"/>
      <c r="KQ214" s="842"/>
      <c r="KR214" s="842"/>
      <c r="KS214" s="842"/>
      <c r="KT214" s="842"/>
      <c r="KU214" s="842"/>
      <c r="KV214" s="842"/>
      <c r="KW214" s="842"/>
      <c r="KX214" s="842"/>
      <c r="KY214" s="842"/>
      <c r="KZ214" s="842"/>
      <c r="LA214" s="842"/>
      <c r="LB214" s="842"/>
      <c r="LC214" s="842"/>
      <c r="LD214" s="842"/>
      <c r="LE214" s="842"/>
      <c r="LF214" s="842"/>
      <c r="LG214" s="842"/>
      <c r="LH214" s="842"/>
      <c r="LI214" s="842"/>
      <c r="LJ214" s="842"/>
      <c r="LK214" s="842"/>
      <c r="LL214" s="842"/>
      <c r="LM214" s="842"/>
      <c r="LN214" s="842"/>
      <c r="LO214" s="842"/>
      <c r="LP214" s="842"/>
      <c r="LQ214" s="842"/>
      <c r="LR214" s="842"/>
      <c r="LS214" s="842"/>
      <c r="LT214" s="842"/>
      <c r="LU214" s="842"/>
      <c r="LV214" s="842"/>
      <c r="LW214" s="842"/>
      <c r="LX214" s="842"/>
      <c r="LY214" s="842"/>
      <c r="LZ214" s="842"/>
      <c r="MA214" s="842"/>
    </row>
    <row r="215" spans="1:339" ht="32.1" customHeight="1">
      <c r="A215" s="123"/>
      <c r="B215" s="653"/>
      <c r="AA215" s="856"/>
      <c r="AH215" s="831"/>
      <c r="DV215" s="831"/>
      <c r="DW215" s="1270"/>
      <c r="DX215" s="914">
        <v>43</v>
      </c>
      <c r="DY215" s="3232"/>
      <c r="DZ215" s="3246"/>
      <c r="EA215" s="3246"/>
      <c r="EB215" s="3233"/>
      <c r="EC215" s="3246"/>
      <c r="ED215" s="3246"/>
      <c r="EE215" s="3246"/>
      <c r="EF215" s="3246"/>
      <c r="EG215" s="3246"/>
      <c r="EH215" s="3246"/>
      <c r="EI215" s="3246"/>
      <c r="EJ215" s="3225">
        <f t="shared" si="243"/>
        <v>0</v>
      </c>
      <c r="EK215" s="3229">
        <f t="shared" si="250"/>
        <v>0</v>
      </c>
      <c r="EL215" s="3246"/>
      <c r="EM215" s="3246"/>
      <c r="EN215" s="3246"/>
      <c r="EO215" s="3246"/>
      <c r="EP215" s="3246"/>
      <c r="EQ215" s="3246"/>
      <c r="ER215" s="3246"/>
      <c r="ES215" s="3233">
        <f t="shared" si="251"/>
        <v>0</v>
      </c>
      <c r="ET215" s="3233">
        <f t="shared" si="252"/>
        <v>0</v>
      </c>
      <c r="EU215" s="1270"/>
      <c r="EV215" s="1270"/>
      <c r="EW215" s="1270"/>
      <c r="EX215" s="1270"/>
      <c r="EY215" s="1270"/>
      <c r="EZ215" s="1270"/>
      <c r="FA215" s="1270"/>
      <c r="FB215" s="1270"/>
      <c r="FC215" s="1270"/>
      <c r="FD215" s="1270"/>
      <c r="FE215" s="1270"/>
      <c r="FF215" s="1270"/>
      <c r="FG215" s="1270"/>
      <c r="FH215" s="1270"/>
      <c r="FI215" s="1270"/>
      <c r="FJ215" s="1270"/>
      <c r="FK215" s="1270"/>
      <c r="FL215" s="1270"/>
      <c r="FM215" s="1270"/>
      <c r="FN215" s="1270"/>
      <c r="FO215" s="1270"/>
      <c r="FP215" s="1270"/>
      <c r="FQ215" s="1270"/>
      <c r="FR215" s="1270"/>
      <c r="FS215" s="1270"/>
      <c r="FT215" s="1270"/>
      <c r="FU215" s="1270"/>
      <c r="FV215" s="1270"/>
      <c r="FW215" s="1270"/>
      <c r="FX215" s="1270"/>
      <c r="FY215" s="1270"/>
      <c r="FZ215" s="1270"/>
      <c r="GA215" s="1270"/>
      <c r="GB215" s="1270"/>
      <c r="GC215" s="1270"/>
      <c r="GD215" s="1270"/>
      <c r="GE215" s="1270"/>
      <c r="GF215" s="1270"/>
      <c r="GG215" s="1270"/>
      <c r="GH215" s="1270"/>
      <c r="GI215" s="1270"/>
      <c r="GJ215" s="1270"/>
      <c r="GK215" s="1270"/>
      <c r="GL215" s="1270"/>
      <c r="GM215" s="1270"/>
      <c r="GN215" s="1270"/>
      <c r="GO215" s="1270"/>
      <c r="GP215" s="1270"/>
      <c r="GQ215" s="1270"/>
      <c r="GR215" s="1270"/>
      <c r="GS215" s="1270"/>
      <c r="GT215" s="1270"/>
      <c r="GU215" s="1270"/>
      <c r="GV215" s="1270"/>
      <c r="GW215" s="1270"/>
      <c r="GX215" s="1270"/>
      <c r="GY215" s="1270"/>
      <c r="GZ215" s="1270"/>
      <c r="HA215" s="1270"/>
      <c r="HB215" s="1270"/>
      <c r="HC215" s="1270"/>
      <c r="HD215" s="1270"/>
      <c r="HE215" s="1270"/>
      <c r="HF215" s="1270"/>
      <c r="HG215" s="1270"/>
      <c r="HH215" s="1270"/>
      <c r="HI215" s="1270"/>
      <c r="HJ215" s="1270"/>
      <c r="MA215" s="831"/>
    </row>
    <row r="216" spans="1:339" ht="32.1" customHeight="1">
      <c r="A216" s="123"/>
      <c r="B216" s="653"/>
      <c r="AA216" s="959"/>
      <c r="AB216" s="1579" t="s">
        <v>176</v>
      </c>
      <c r="AC216" s="1579" t="s">
        <v>182</v>
      </c>
      <c r="AD216" s="1579" t="s">
        <v>1191</v>
      </c>
      <c r="AE216" s="959"/>
      <c r="AF216" s="959"/>
      <c r="AH216" s="831"/>
      <c r="DV216" s="831"/>
      <c r="DW216" s="1270"/>
      <c r="DX216" s="914">
        <v>44</v>
      </c>
      <c r="DY216" s="3232"/>
      <c r="DZ216" s="3246"/>
      <c r="EA216" s="3246"/>
      <c r="EB216" s="3233"/>
      <c r="EC216" s="3246"/>
      <c r="ED216" s="3246"/>
      <c r="EE216" s="3246"/>
      <c r="EF216" s="3246"/>
      <c r="EG216" s="3246"/>
      <c r="EH216" s="3246"/>
      <c r="EI216" s="3246"/>
      <c r="EJ216" s="3225">
        <f t="shared" si="243"/>
        <v>0</v>
      </c>
      <c r="EK216" s="3229">
        <f t="shared" si="250"/>
        <v>0</v>
      </c>
      <c r="EL216" s="3246"/>
      <c r="EM216" s="3246"/>
      <c r="EN216" s="3246"/>
      <c r="EO216" s="3246"/>
      <c r="EP216" s="3246"/>
      <c r="EQ216" s="3246"/>
      <c r="ER216" s="3246"/>
      <c r="ES216" s="3233">
        <f t="shared" si="251"/>
        <v>0</v>
      </c>
      <c r="ET216" s="3233">
        <f t="shared" si="252"/>
        <v>0</v>
      </c>
      <c r="EU216" s="1270"/>
      <c r="EV216" s="1270"/>
      <c r="EW216" s="1270"/>
      <c r="EX216" s="1270"/>
      <c r="EY216" s="1270"/>
      <c r="EZ216" s="1270"/>
      <c r="FA216" s="1270"/>
      <c r="FB216" s="1270"/>
      <c r="FC216" s="1270"/>
      <c r="FD216" s="1270"/>
      <c r="FE216" s="1270"/>
      <c r="FF216" s="1270"/>
      <c r="FG216" s="1270"/>
      <c r="FH216" s="1270"/>
      <c r="FI216" s="1270"/>
      <c r="FJ216" s="1270"/>
      <c r="FK216" s="1270"/>
      <c r="FL216" s="1270"/>
      <c r="FM216" s="1270"/>
      <c r="FN216" s="1270"/>
      <c r="FO216" s="1270"/>
      <c r="FP216" s="1270"/>
      <c r="FQ216" s="1270"/>
      <c r="FR216" s="1270"/>
      <c r="FS216" s="1270"/>
      <c r="FT216" s="1270"/>
      <c r="FU216" s="1270"/>
      <c r="FV216" s="1270"/>
      <c r="FW216" s="1270"/>
      <c r="FX216" s="1270"/>
      <c r="FY216" s="1270"/>
      <c r="FZ216" s="1270"/>
      <c r="GA216" s="1270"/>
      <c r="GB216" s="1270"/>
      <c r="GC216" s="1270"/>
      <c r="GD216" s="1270"/>
      <c r="GE216" s="1270"/>
      <c r="GF216" s="1270"/>
      <c r="GG216" s="1270"/>
      <c r="GH216" s="1270"/>
      <c r="GI216" s="1270"/>
      <c r="GJ216" s="1270"/>
      <c r="GK216" s="1270"/>
      <c r="GL216" s="1270"/>
      <c r="GM216" s="1270"/>
      <c r="GN216" s="1270"/>
      <c r="GO216" s="1270"/>
      <c r="GP216" s="1270"/>
      <c r="GQ216" s="1270"/>
      <c r="GR216" s="1270"/>
      <c r="GS216" s="1270"/>
      <c r="GT216" s="1270"/>
      <c r="GU216" s="1270"/>
      <c r="GV216" s="1270"/>
      <c r="GW216" s="1270"/>
      <c r="GX216" s="1270"/>
      <c r="GY216" s="1270"/>
      <c r="GZ216" s="1270"/>
      <c r="HA216" s="1270"/>
      <c r="HB216" s="1270"/>
      <c r="HC216" s="1270"/>
      <c r="HD216" s="1270"/>
      <c r="HE216" s="1270"/>
      <c r="HF216" s="1270"/>
      <c r="HG216" s="1270"/>
      <c r="HH216" s="1270"/>
      <c r="HI216" s="1270"/>
      <c r="HJ216" s="1270"/>
      <c r="MA216" s="831"/>
    </row>
    <row r="217" spans="1:339" ht="32.1" customHeight="1">
      <c r="A217" s="123"/>
      <c r="B217" s="653"/>
      <c r="C217" s="5256"/>
      <c r="D217" s="5505"/>
      <c r="E217" s="5506"/>
      <c r="F217" s="5506"/>
      <c r="H217" s="5247"/>
      <c r="I217" s="5247"/>
      <c r="J217" s="5247"/>
      <c r="K217" s="5247"/>
      <c r="L217" s="5247"/>
      <c r="M217" s="5247"/>
      <c r="P217" s="5333"/>
      <c r="Q217" s="5333"/>
      <c r="R217" s="5333"/>
      <c r="S217" s="5333"/>
      <c r="T217" s="5333"/>
      <c r="U217" s="5333"/>
      <c r="V217" s="4169"/>
      <c r="W217" s="1633"/>
      <c r="X217" s="955"/>
      <c r="Y217" s="1633"/>
      <c r="AA217" s="955"/>
      <c r="AB217" s="1139">
        <v>1</v>
      </c>
      <c r="AC217" s="1636">
        <f>VLOOKUP(AD217,$AE$225:$AG$236,2)</f>
        <v>0</v>
      </c>
      <c r="AD217" s="1139">
        <v>1</v>
      </c>
      <c r="AE217" s="859"/>
      <c r="AF217" s="859"/>
      <c r="AH217" s="831"/>
      <c r="DV217" s="831"/>
      <c r="DW217" s="1270"/>
      <c r="DX217" s="914">
        <v>45</v>
      </c>
      <c r="DY217" s="3232"/>
      <c r="DZ217" s="3246"/>
      <c r="EA217" s="3246"/>
      <c r="EB217" s="3233"/>
      <c r="EC217" s="3246"/>
      <c r="ED217" s="3246"/>
      <c r="EE217" s="3246"/>
      <c r="EF217" s="3246"/>
      <c r="EG217" s="3246"/>
      <c r="EH217" s="3246"/>
      <c r="EI217" s="3246"/>
      <c r="EJ217" s="3225">
        <f t="shared" si="243"/>
        <v>0</v>
      </c>
      <c r="EK217" s="3229">
        <f t="shared" si="250"/>
        <v>0</v>
      </c>
      <c r="EL217" s="3246"/>
      <c r="EM217" s="3246"/>
      <c r="EN217" s="3246"/>
      <c r="EO217" s="3246"/>
      <c r="EP217" s="3246"/>
      <c r="EQ217" s="3246"/>
      <c r="ER217" s="3246"/>
      <c r="ES217" s="3233">
        <f t="shared" si="251"/>
        <v>0</v>
      </c>
      <c r="ET217" s="3233">
        <f t="shared" si="252"/>
        <v>0</v>
      </c>
      <c r="MA217" s="831"/>
    </row>
    <row r="218" spans="1:339" ht="57.75" customHeight="1">
      <c r="A218" s="123"/>
      <c r="B218" s="653"/>
      <c r="C218" s="5256"/>
      <c r="D218" s="5505"/>
      <c r="E218" s="5506"/>
      <c r="F218" s="5506"/>
      <c r="H218" s="5248"/>
      <c r="I218" s="5247"/>
      <c r="J218" s="5247"/>
      <c r="K218" s="5247"/>
      <c r="L218" s="5247"/>
      <c r="M218" s="5247"/>
      <c r="P218" s="5248"/>
      <c r="Q218" s="5248"/>
      <c r="R218" s="5333"/>
      <c r="S218" s="5333"/>
      <c r="T218" s="5333"/>
      <c r="U218" s="5333"/>
      <c r="V218" s="4169"/>
      <c r="W218" s="1634"/>
      <c r="X218" s="955"/>
      <c r="Y218" s="1633"/>
      <c r="AA218" s="955"/>
      <c r="AB218" s="1139">
        <v>2</v>
      </c>
      <c r="AC218" s="1636">
        <f t="shared" ref="AC218:AC219" si="253">VLOOKUP(AD218,$AE$225:$AG$236,2)</f>
        <v>0</v>
      </c>
      <c r="AD218" s="1139">
        <v>2</v>
      </c>
      <c r="AE218" s="859"/>
      <c r="AF218" s="859"/>
      <c r="AH218" s="831"/>
      <c r="DV218" s="831"/>
      <c r="DW218" s="1270"/>
      <c r="DX218" s="914">
        <v>46</v>
      </c>
      <c r="DY218" s="3340" t="str">
        <f>IF($K$917=2,AK251,"")</f>
        <v/>
      </c>
      <c r="DZ218" s="3341"/>
      <c r="EA218" s="3341"/>
      <c r="EB218" s="3341"/>
      <c r="EC218" s="3341"/>
      <c r="ED218" s="3341"/>
      <c r="EE218" s="3341"/>
      <c r="EF218" s="3341"/>
      <c r="EG218" s="3341"/>
      <c r="EH218" s="3341"/>
      <c r="EI218" s="3341"/>
      <c r="EJ218" s="1643">
        <f>AQ251</f>
        <v>0</v>
      </c>
      <c r="EK218" s="3342">
        <f>AS251</f>
        <v>0</v>
      </c>
      <c r="EL218" s="3341"/>
      <c r="EM218" s="3341"/>
      <c r="EN218" s="3341"/>
      <c r="EO218" s="3341"/>
      <c r="EP218" s="3341"/>
      <c r="EQ218" s="3341"/>
      <c r="ER218" s="3342">
        <f>AR251</f>
        <v>0</v>
      </c>
      <c r="ES218" s="1638">
        <f t="shared" si="251"/>
        <v>0</v>
      </c>
      <c r="ET218" s="1638">
        <f t="shared" si="252"/>
        <v>0</v>
      </c>
      <c r="MA218" s="831"/>
    </row>
    <row r="219" spans="1:339" ht="52.5" customHeight="1">
      <c r="A219" s="123"/>
      <c r="B219" s="653"/>
      <c r="C219" s="1551"/>
      <c r="D219" s="1552"/>
      <c r="E219" s="1551"/>
      <c r="F219" s="1551"/>
      <c r="H219" s="1551"/>
      <c r="I219" s="1552"/>
      <c r="J219" s="1551"/>
      <c r="K219" s="1553"/>
      <c r="L219" s="1554"/>
      <c r="M219" s="1554"/>
      <c r="P219" s="1551"/>
      <c r="Q219" s="1552"/>
      <c r="R219" s="1551"/>
      <c r="S219" s="1551"/>
      <c r="T219" s="1553"/>
      <c r="U219" s="1553"/>
      <c r="V219" s="1270"/>
      <c r="W219" s="1551"/>
      <c r="X219" s="955"/>
      <c r="Y219" s="1555"/>
      <c r="AA219" s="955"/>
      <c r="AB219" s="1139">
        <v>3</v>
      </c>
      <c r="AC219" s="1636">
        <f t="shared" si="253"/>
        <v>0</v>
      </c>
      <c r="AD219" s="1139">
        <v>3</v>
      </c>
      <c r="AE219" s="859"/>
      <c r="AF219" s="859"/>
      <c r="AH219" s="831"/>
      <c r="AJ219" s="1637" t="s">
        <v>176</v>
      </c>
      <c r="AK219" s="5659" t="s">
        <v>953</v>
      </c>
      <c r="AL219" s="5659"/>
      <c r="AM219" s="5659"/>
      <c r="AN219" s="1637" t="s">
        <v>955</v>
      </c>
      <c r="AO219" s="1637" t="s">
        <v>188</v>
      </c>
      <c r="AP219" s="1637" t="s">
        <v>189</v>
      </c>
      <c r="AQ219" s="1637" t="s">
        <v>954</v>
      </c>
      <c r="AR219" s="1637" t="s">
        <v>534</v>
      </c>
      <c r="AS219" s="1637" t="s">
        <v>421</v>
      </c>
      <c r="AT219" s="1637" t="str">
        <f>IF(AND($GE$3=2,$GP$3=2),"CSS","GPF")</f>
        <v>GPF</v>
      </c>
      <c r="AU219" s="1637" t="s">
        <v>1190</v>
      </c>
      <c r="DV219" s="831"/>
      <c r="DX219" s="914">
        <v>47</v>
      </c>
      <c r="DY219" s="3343" t="str">
        <f>IF($K$917=2,AK252,"")</f>
        <v/>
      </c>
      <c r="DZ219" s="3342">
        <f>AN252</f>
        <v>0</v>
      </c>
      <c r="EA219" s="3342"/>
      <c r="EB219" s="3342">
        <f t="shared" ref="EB219:EC222" si="254">AO252</f>
        <v>0</v>
      </c>
      <c r="EC219" s="3342">
        <f t="shared" si="254"/>
        <v>0</v>
      </c>
      <c r="ED219" s="3342"/>
      <c r="EE219" s="3342"/>
      <c r="EF219" s="3342"/>
      <c r="EG219" s="3342"/>
      <c r="EH219" s="3342"/>
      <c r="EI219" s="3342"/>
      <c r="EJ219" s="1643">
        <f t="shared" si="243"/>
        <v>0</v>
      </c>
      <c r="EK219" s="3342">
        <f>AS252</f>
        <v>0</v>
      </c>
      <c r="EL219" s="3342"/>
      <c r="EM219" s="3342"/>
      <c r="EN219" s="3342"/>
      <c r="EO219" s="3342"/>
      <c r="EP219" s="3342"/>
      <c r="EQ219" s="3342"/>
      <c r="ER219" s="3342"/>
      <c r="ES219" s="1638">
        <f t="shared" si="251"/>
        <v>0</v>
      </c>
      <c r="ET219" s="1638">
        <f t="shared" si="252"/>
        <v>0</v>
      </c>
      <c r="MA219" s="831"/>
    </row>
    <row r="220" spans="1:339" ht="32.1" customHeight="1">
      <c r="A220" s="123"/>
      <c r="B220" s="653"/>
      <c r="C220" s="1551"/>
      <c r="D220" s="1552"/>
      <c r="E220" s="1551"/>
      <c r="F220" s="1551"/>
      <c r="H220" s="1551"/>
      <c r="I220" s="1552"/>
      <c r="J220" s="1551"/>
      <c r="K220" s="1553"/>
      <c r="L220" s="1554"/>
      <c r="M220" s="1554"/>
      <c r="P220" s="1551"/>
      <c r="Q220" s="1552"/>
      <c r="R220" s="1551"/>
      <c r="S220" s="1551"/>
      <c r="T220" s="1553"/>
      <c r="U220" s="1553"/>
      <c r="V220" s="1270"/>
      <c r="W220" s="1551"/>
      <c r="X220" s="955"/>
      <c r="Y220" s="1555"/>
      <c r="AA220" s="955"/>
      <c r="AB220" s="1566"/>
      <c r="AC220" s="2425"/>
      <c r="AD220" s="1566"/>
      <c r="AE220" s="859"/>
      <c r="AF220" s="859"/>
      <c r="AH220" s="831"/>
      <c r="AJ220" s="1640">
        <v>1</v>
      </c>
      <c r="AK220" s="5654" t="str">
        <f>L166</f>
        <v>AGI Arrears for the period  from  1-Jan-26  To  31-Aug-25</v>
      </c>
      <c r="AL220" s="5331"/>
      <c r="AM220" s="5655"/>
      <c r="AN220" s="1598">
        <f>IF($BG$8=2,Z185,0)</f>
        <v>0</v>
      </c>
      <c r="AO220" s="1598">
        <f>IF($BG$8=2,AA185,0)</f>
        <v>0</v>
      </c>
      <c r="AP220" s="1598">
        <f>IF($BG$8=2,AB185,0)</f>
        <v>0</v>
      </c>
      <c r="AQ220" s="1598">
        <f>SUM(AN220:AP220)</f>
        <v>0</v>
      </c>
      <c r="AR220" s="1598"/>
      <c r="AS220" s="1598">
        <f>IF($BG$8=2,AD185,0)</f>
        <v>0</v>
      </c>
      <c r="AT220" s="1641"/>
      <c r="AU220" s="2403"/>
      <c r="DV220" s="831"/>
      <c r="DX220" s="914">
        <v>48</v>
      </c>
      <c r="DY220" s="3244" t="str">
        <f>IF($AA$917=2,AK253,"")</f>
        <v/>
      </c>
      <c r="DZ220" s="3071">
        <f>AN253</f>
        <v>0</v>
      </c>
      <c r="EA220" s="3071"/>
      <c r="EB220" s="3071">
        <f t="shared" si="254"/>
        <v>0</v>
      </c>
      <c r="EC220" s="3071">
        <f t="shared" si="254"/>
        <v>0</v>
      </c>
      <c r="ED220" s="3071"/>
      <c r="EE220" s="3071"/>
      <c r="EF220" s="3071"/>
      <c r="EG220" s="3071"/>
      <c r="EH220" s="3071"/>
      <c r="EI220" s="3242"/>
      <c r="EJ220" s="1643">
        <f t="shared" si="243"/>
        <v>0</v>
      </c>
      <c r="EK220" s="3071">
        <f>AS253</f>
        <v>0</v>
      </c>
      <c r="EL220" s="3242"/>
      <c r="EM220" s="3242"/>
      <c r="EN220" s="3242"/>
      <c r="EO220" s="3242"/>
      <c r="EP220" s="3242"/>
      <c r="EQ220" s="3242"/>
      <c r="ER220" s="3242"/>
      <c r="ES220" s="1638">
        <f t="shared" si="251"/>
        <v>0</v>
      </c>
      <c r="ET220" s="1638">
        <f t="shared" si="252"/>
        <v>0</v>
      </c>
      <c r="MA220" s="831"/>
    </row>
    <row r="221" spans="1:339" ht="32.1" customHeight="1">
      <c r="A221" s="123"/>
      <c r="B221" s="653"/>
      <c r="C221" s="1551"/>
      <c r="D221" s="1552"/>
      <c r="E221" s="1551"/>
      <c r="F221" s="1551"/>
      <c r="H221" s="1551"/>
      <c r="I221" s="1552"/>
      <c r="J221" s="1551"/>
      <c r="K221" s="1553"/>
      <c r="L221" s="1554"/>
      <c r="M221" s="1554"/>
      <c r="P221" s="1551"/>
      <c r="Q221" s="1552"/>
      <c r="R221" s="1551"/>
      <c r="S221" s="1551"/>
      <c r="T221" s="1553"/>
      <c r="U221" s="1553"/>
      <c r="V221" s="1270"/>
      <c r="W221" s="1551"/>
      <c r="X221" s="1552"/>
      <c r="Y221" s="1555"/>
      <c r="AH221" s="831"/>
      <c r="AJ221" s="1642">
        <v>2</v>
      </c>
      <c r="AK221" s="5654" t="str">
        <f>AR166</f>
        <v>Ph.D Incentive  Increment Arrears for the period from  6-Sep-25  To  31-Jul-25</v>
      </c>
      <c r="AL221" s="5331"/>
      <c r="AM221" s="5655"/>
      <c r="AN221" s="1598">
        <f>BF185</f>
        <v>0</v>
      </c>
      <c r="AO221" s="1598">
        <f t="shared" ref="AO221:AP221" si="255">BG185</f>
        <v>0</v>
      </c>
      <c r="AP221" s="1598">
        <f t="shared" si="255"/>
        <v>0</v>
      </c>
      <c r="AQ221" s="1598">
        <f t="shared" ref="AQ221:AQ224" si="256">SUM(AN221:AP221)</f>
        <v>0</v>
      </c>
      <c r="AR221" s="1598">
        <f>IF(AND($BW$2=2,'Data Sheet-II'!X30&gt;0),'Data Sheet-II'!X30,0)</f>
        <v>0</v>
      </c>
      <c r="AS221" s="1598">
        <f>IF(AND($BW$2=2,$GE$3=2),BJ185,0)</f>
        <v>0</v>
      </c>
      <c r="AT221" s="1641"/>
      <c r="AU221" s="2403"/>
      <c r="DV221" s="831"/>
      <c r="DX221" s="914">
        <v>49</v>
      </c>
      <c r="DY221" s="3244" t="str">
        <f>IF($AR$917=2,AK254,"")</f>
        <v/>
      </c>
      <c r="DZ221" s="3071">
        <f>AN254</f>
        <v>0</v>
      </c>
      <c r="EA221" s="3242"/>
      <c r="EB221" s="3071">
        <f t="shared" si="254"/>
        <v>0</v>
      </c>
      <c r="EC221" s="3071">
        <f t="shared" si="254"/>
        <v>0</v>
      </c>
      <c r="ED221" s="3242"/>
      <c r="EE221" s="3242"/>
      <c r="EF221" s="3242"/>
      <c r="EG221" s="3242"/>
      <c r="EH221" s="3242"/>
      <c r="EI221" s="3242"/>
      <c r="EJ221" s="1643">
        <f t="shared" si="243"/>
        <v>0</v>
      </c>
      <c r="EK221" s="3071">
        <f>AS254</f>
        <v>0</v>
      </c>
      <c r="EL221" s="3242"/>
      <c r="EM221" s="3242"/>
      <c r="EN221" s="3242"/>
      <c r="EO221" s="3242"/>
      <c r="EP221" s="3242"/>
      <c r="EQ221" s="3242"/>
      <c r="ER221" s="3071">
        <f>AR254</f>
        <v>0</v>
      </c>
      <c r="ES221" s="1638">
        <f t="shared" si="251"/>
        <v>0</v>
      </c>
      <c r="ET221" s="1638">
        <f t="shared" si="252"/>
        <v>0</v>
      </c>
      <c r="MA221" s="831"/>
    </row>
    <row r="222" spans="1:339" ht="32.1" customHeight="1" thickBot="1">
      <c r="A222" s="123"/>
      <c r="B222" s="653"/>
      <c r="C222" s="1551"/>
      <c r="D222" s="1552"/>
      <c r="E222" s="1551"/>
      <c r="F222" s="1551"/>
      <c r="H222" s="1551"/>
      <c r="I222" s="1552"/>
      <c r="J222" s="1551"/>
      <c r="K222" s="1553"/>
      <c r="L222" s="1554"/>
      <c r="M222" s="1554"/>
      <c r="P222" s="1551"/>
      <c r="Q222" s="1552"/>
      <c r="R222" s="1551"/>
      <c r="S222" s="1551"/>
      <c r="T222" s="1553"/>
      <c r="U222" s="1553"/>
      <c r="V222" s="1270"/>
      <c r="W222" s="1551"/>
      <c r="X222" s="1552"/>
      <c r="Y222" s="1555"/>
      <c r="AH222" s="831"/>
      <c r="AJ222" s="1642">
        <v>3</v>
      </c>
      <c r="AK222" s="5656" t="str">
        <f>BO166</f>
        <v>CAS  Arrears  for the period  from  21-May-24  To  31-May-25</v>
      </c>
      <c r="AL222" s="5657"/>
      <c r="AM222" s="5658"/>
      <c r="AN222" s="1598">
        <f>IF($CS$2=2,'Data Sheet-II'!X47,0)</f>
        <v>0</v>
      </c>
      <c r="AO222" s="1598">
        <f>IF($CS$2=2,'Data Sheet-II'!Y47,0)</f>
        <v>0</v>
      </c>
      <c r="AP222" s="1598">
        <f>IF($CS$2=2,'Data Sheet-II'!Z47,0)</f>
        <v>0</v>
      </c>
      <c r="AQ222" s="1598">
        <f t="shared" si="256"/>
        <v>0</v>
      </c>
      <c r="AR222" s="1598">
        <f>IF($CS$2=2,'Data Sheet-II'!X48,0)</f>
        <v>0</v>
      </c>
      <c r="AS222" s="1598">
        <f>IF(AND($CS$2=2,$GE$3=2),'Data Sheet-II'!AB47,0)</f>
        <v>0</v>
      </c>
      <c r="AT222" s="1641"/>
      <c r="AU222" s="2403"/>
      <c r="DV222" s="831"/>
      <c r="DX222" s="3238">
        <v>50</v>
      </c>
      <c r="DY222" s="3789" t="str">
        <f>IF($BI$917=2,AK255,"")</f>
        <v/>
      </c>
      <c r="DZ222" s="3071">
        <f>AN255</f>
        <v>0</v>
      </c>
      <c r="EA222" s="3243"/>
      <c r="EB222" s="3071">
        <f t="shared" si="254"/>
        <v>0</v>
      </c>
      <c r="EC222" s="3071">
        <f t="shared" si="254"/>
        <v>0</v>
      </c>
      <c r="ED222" s="3243"/>
      <c r="EE222" s="3243"/>
      <c r="EF222" s="3243"/>
      <c r="EG222" s="3243"/>
      <c r="EH222" s="3243"/>
      <c r="EI222" s="3243"/>
      <c r="EJ222" s="3239">
        <f t="shared" si="243"/>
        <v>0</v>
      </c>
      <c r="EK222" s="3243"/>
      <c r="EL222" s="3243"/>
      <c r="EM222" s="3243"/>
      <c r="EN222" s="3243"/>
      <c r="EO222" s="3243"/>
      <c r="EP222" s="3243"/>
      <c r="EQ222" s="3243"/>
      <c r="ER222" s="3243"/>
      <c r="ES222" s="3240">
        <f t="shared" si="251"/>
        <v>0</v>
      </c>
      <c r="ET222" s="3240">
        <f t="shared" si="252"/>
        <v>0</v>
      </c>
      <c r="MA222" s="831"/>
    </row>
    <row r="223" spans="1:339" ht="32.1" customHeight="1" thickTop="1" thickBot="1">
      <c r="A223" s="123"/>
      <c r="B223" s="653"/>
      <c r="C223" s="1551"/>
      <c r="D223" s="1552"/>
      <c r="E223" s="1551"/>
      <c r="F223" s="1551"/>
      <c r="H223" s="5254" t="s">
        <v>176</v>
      </c>
      <c r="I223" s="5497" t="s">
        <v>182</v>
      </c>
      <c r="J223" s="5497" t="s">
        <v>885</v>
      </c>
      <c r="K223" s="5499" t="s">
        <v>188</v>
      </c>
      <c r="L223" s="5500" t="s">
        <v>468</v>
      </c>
      <c r="M223" s="5493" t="s">
        <v>421</v>
      </c>
      <c r="N223" s="5495" t="str">
        <f>IF(GE3=1,"GPF","CPS")</f>
        <v>GPF</v>
      </c>
      <c r="O223" s="5502" t="s">
        <v>189</v>
      </c>
      <c r="P223" s="1551"/>
      <c r="Q223" s="1552"/>
      <c r="R223" s="1551"/>
      <c r="S223" s="1551"/>
      <c r="T223" s="1553"/>
      <c r="U223" s="1553"/>
      <c r="V223" s="1270"/>
      <c r="W223" s="1551"/>
      <c r="X223" s="1552"/>
      <c r="Y223" s="1555"/>
      <c r="AH223" s="831"/>
      <c r="AJ223" s="1642">
        <v>4</v>
      </c>
      <c r="AK223" s="5656" t="str">
        <f>DB166</f>
        <v>Ph.D Incentive  Increment Arrears for the period from  1-Mar-25  To  31-Jul-25</v>
      </c>
      <c r="AL223" s="5657"/>
      <c r="AM223" s="5658"/>
      <c r="AN223" s="1598">
        <f>IF(AND($DT$2=2,$CX$157=1),DO185,0)</f>
        <v>0</v>
      </c>
      <c r="AO223" s="1598">
        <f>IF(AND($DT$2=2,$CX$157=1),DP185,0)</f>
        <v>0</v>
      </c>
      <c r="AP223" s="1598">
        <f>IF(AND($DT$2=2,$CX$157=1),DQ185,0)</f>
        <v>0</v>
      </c>
      <c r="AQ223" s="1598">
        <f t="shared" si="256"/>
        <v>0</v>
      </c>
      <c r="AR223" s="1598">
        <f>IF(AND($DT$2=2,'Data Sheet-II'!X61&gt;0),'Data Sheet-II'!X61,0)</f>
        <v>0</v>
      </c>
      <c r="AS223" s="1598">
        <f>IF(AND($DT$2=2,$CX$157=1),DS185,0)</f>
        <v>0</v>
      </c>
      <c r="AT223" s="1641"/>
      <c r="AU223" s="2403"/>
      <c r="DV223" s="831"/>
      <c r="DX223" s="5778" t="s">
        <v>22</v>
      </c>
      <c r="DY223" s="5779"/>
      <c r="DZ223" s="3241">
        <f>SUM(DZ173:DZ222)</f>
        <v>992600</v>
      </c>
      <c r="EA223" s="3241">
        <f t="shared" ref="EA223:EJ223" si="257">SUM(EA173:EA222)</f>
        <v>0</v>
      </c>
      <c r="EB223" s="3241">
        <f t="shared" si="257"/>
        <v>413800</v>
      </c>
      <c r="EC223" s="3241">
        <f t="shared" si="257"/>
        <v>89334</v>
      </c>
      <c r="ED223" s="3241">
        <f t="shared" si="257"/>
        <v>0</v>
      </c>
      <c r="EE223" s="3241">
        <f t="shared" si="257"/>
        <v>0</v>
      </c>
      <c r="EF223" s="3241">
        <f t="shared" si="257"/>
        <v>7800</v>
      </c>
      <c r="EG223" s="3241">
        <f t="shared" si="257"/>
        <v>0</v>
      </c>
      <c r="EH223" s="3241">
        <f t="shared" si="257"/>
        <v>0</v>
      </c>
      <c r="EI223" s="3241">
        <f t="shared" si="257"/>
        <v>0</v>
      </c>
      <c r="EJ223" s="3241">
        <f t="shared" si="257"/>
        <v>1503534</v>
      </c>
      <c r="EK223" s="3241">
        <f t="shared" ref="EK223" si="258">SUM(EK173:EK222)</f>
        <v>72000</v>
      </c>
      <c r="EL223" s="3241">
        <f t="shared" ref="EL223" si="259">SUM(EL173:EL222)</f>
        <v>60000</v>
      </c>
      <c r="EM223" s="3241">
        <f t="shared" ref="EM223" si="260">SUM(EM173:EM222)</f>
        <v>1440</v>
      </c>
      <c r="EN223" s="3241">
        <f t="shared" ref="EN223" si="261">SUM(EN173:EN222)</f>
        <v>2400</v>
      </c>
      <c r="EO223" s="3241">
        <f t="shared" ref="EO223" si="262">SUM(EO173:EO222)</f>
        <v>250</v>
      </c>
      <c r="EP223" s="3241">
        <f t="shared" ref="EP223" si="263">SUM(EP173:EP222)</f>
        <v>0</v>
      </c>
      <c r="EQ223" s="3241">
        <f t="shared" ref="EQ223" si="264">SUM(EQ173:EQ222)</f>
        <v>300</v>
      </c>
      <c r="ER223" s="3241">
        <f t="shared" ref="ER223" si="265">SUM(ER173:ER222)</f>
        <v>194000</v>
      </c>
      <c r="ES223" s="3241">
        <f t="shared" ref="ES223:ET223" si="266">SUM(ES173:ES222)</f>
        <v>330390</v>
      </c>
      <c r="ET223" s="3241">
        <f t="shared" si="266"/>
        <v>1173144</v>
      </c>
      <c r="MA223" s="831"/>
    </row>
    <row r="224" spans="1:339" ht="32.1" customHeight="1" thickTop="1">
      <c r="A224" s="123"/>
      <c r="B224" s="653"/>
      <c r="C224" s="1551"/>
      <c r="D224" s="1552"/>
      <c r="E224" s="1551"/>
      <c r="F224" s="1551"/>
      <c r="H224" s="5255"/>
      <c r="I224" s="5498"/>
      <c r="J224" s="5498"/>
      <c r="K224" s="5255"/>
      <c r="L224" s="5501"/>
      <c r="M224" s="5494"/>
      <c r="N224" s="5496"/>
      <c r="O224" s="5502"/>
      <c r="P224" s="1551"/>
      <c r="Q224" s="1552"/>
      <c r="R224" s="1551"/>
      <c r="S224" s="959"/>
      <c r="T224" s="959"/>
      <c r="U224" s="956"/>
      <c r="V224" s="959"/>
      <c r="W224" s="959"/>
      <c r="X224" s="1552"/>
      <c r="Y224" s="1555"/>
      <c r="Z224" s="1627"/>
      <c r="AA224" s="1628"/>
      <c r="AH224" s="831"/>
      <c r="AJ224" s="1638">
        <v>5</v>
      </c>
      <c r="AK224" s="5330" t="str">
        <f>IF($L$403=2,H418,"")</f>
        <v/>
      </c>
      <c r="AL224" s="5331"/>
      <c r="AM224" s="5332"/>
      <c r="AN224" s="3522"/>
      <c r="AO224" s="3523">
        <f>IF($L$403=2,K405,0)</f>
        <v>0</v>
      </c>
      <c r="AP224" s="3522"/>
      <c r="AQ224" s="1598">
        <f t="shared" si="256"/>
        <v>0</v>
      </c>
      <c r="AR224" s="1638"/>
      <c r="AS224" s="1638">
        <f>IF(AND($L$403=2,$GE$3=2),L405,0)</f>
        <v>0</v>
      </c>
      <c r="AT224" s="1638">
        <f>IF(AND($L$403=2,$GE$3=1),L405,0)</f>
        <v>0</v>
      </c>
      <c r="AU224" s="3524">
        <f>IF(AND($L$403=2,$GE$3=2),M405,0)</f>
        <v>0</v>
      </c>
      <c r="DV224" s="831"/>
      <c r="DX224" s="1553"/>
      <c r="EJ224" s="3235"/>
      <c r="ES224" s="1555"/>
      <c r="ET224" s="1555"/>
      <c r="MA224" s="831"/>
    </row>
    <row r="225" spans="1:339" ht="32.1" customHeight="1">
      <c r="A225" s="123"/>
      <c r="B225" s="653"/>
      <c r="C225" s="1551"/>
      <c r="D225" s="1552"/>
      <c r="E225" s="1551"/>
      <c r="F225" s="1551"/>
      <c r="H225" s="1558">
        <v>1</v>
      </c>
      <c r="I225" s="1635">
        <v>45717</v>
      </c>
      <c r="J225" s="827">
        <f>BI47</f>
        <v>82300</v>
      </c>
      <c r="K225" s="1889">
        <v>0.38</v>
      </c>
      <c r="L225" s="839">
        <f>ROUND(J225*K225,0)</f>
        <v>31274</v>
      </c>
      <c r="M225" s="839">
        <f>ROUND(SUM(J225+L225)*10%,0)</f>
        <v>11357</v>
      </c>
      <c r="N225" s="2330">
        <f t="shared" ref="N225:N236" si="267">IF($GE$3=1,BU47,M225)</f>
        <v>6000</v>
      </c>
      <c r="O225" s="2331"/>
      <c r="P225" s="1551"/>
      <c r="Q225" s="1552"/>
      <c r="R225" s="1551"/>
      <c r="S225" s="955"/>
      <c r="T225" s="1482"/>
      <c r="U225" s="856"/>
      <c r="V225" s="856"/>
      <c r="W225" s="856"/>
      <c r="X225" s="1552"/>
      <c r="Y225" s="1555"/>
      <c r="Z225" s="955"/>
      <c r="AA225" s="955"/>
      <c r="AE225" s="1558">
        <v>1</v>
      </c>
      <c r="AF225" s="3191"/>
      <c r="AG225" s="1635">
        <v>44682</v>
      </c>
      <c r="AH225" s="831"/>
      <c r="AJ225" s="1642">
        <v>6</v>
      </c>
      <c r="AK225" s="5330" t="str">
        <f>IF($L$429=2,I439,"")</f>
        <v/>
      </c>
      <c r="AL225" s="5331"/>
      <c r="AM225" s="5332"/>
      <c r="AN225" s="3522"/>
      <c r="AO225" s="3523">
        <f>IF($L$429=2,K431,0)</f>
        <v>0</v>
      </c>
      <c r="AP225" s="3522"/>
      <c r="AQ225" s="1598">
        <f t="shared" ref="AQ225" si="268">SUM(AN225:AP225)</f>
        <v>0</v>
      </c>
      <c r="AR225" s="1638"/>
      <c r="AS225" s="1638">
        <f>IF(AND($L$429=2,$GE$3=2),L431,0)</f>
        <v>0</v>
      </c>
      <c r="AT225" s="1638">
        <f>IF(AND($L$429=2,$GE$3=1),L431,0)</f>
        <v>0</v>
      </c>
      <c r="AU225" s="3524">
        <f>IF(AND($L$429=2,$GE$3=2),M431,0)</f>
        <v>0</v>
      </c>
      <c r="DV225" s="831"/>
      <c r="DX225" s="1553"/>
      <c r="EJ225" s="3235"/>
      <c r="ES225" s="1555"/>
      <c r="ET225" s="1555"/>
      <c r="MA225" s="831"/>
    </row>
    <row r="226" spans="1:339" ht="32.1" customHeight="1">
      <c r="A226" s="123"/>
      <c r="B226" s="653"/>
      <c r="C226" s="1551"/>
      <c r="D226" s="1552"/>
      <c r="E226" s="1551"/>
      <c r="F226" s="1551"/>
      <c r="H226" s="827">
        <v>2</v>
      </c>
      <c r="I226" s="1635">
        <v>45748</v>
      </c>
      <c r="J226" s="827">
        <f t="shared" ref="J226:J235" si="269">BI48</f>
        <v>82300</v>
      </c>
      <c r="K226" s="1889">
        <v>0.38</v>
      </c>
      <c r="L226" s="839">
        <f t="shared" ref="L226:L236" si="270">ROUND(J226*K226,0)</f>
        <v>31274</v>
      </c>
      <c r="M226" s="839">
        <f t="shared" ref="M226:M236" si="271">ROUND(SUM(J226+L226)*10%,0)</f>
        <v>11357</v>
      </c>
      <c r="N226" s="2330">
        <f t="shared" si="267"/>
        <v>6000</v>
      </c>
      <c r="O226" s="2331"/>
      <c r="P226" s="1551"/>
      <c r="Q226" s="1552"/>
      <c r="R226" s="1551"/>
      <c r="S226" s="955"/>
      <c r="T226" s="1482"/>
      <c r="U226" s="856"/>
      <c r="V226" s="856"/>
      <c r="W226" s="856"/>
      <c r="X226" s="1552"/>
      <c r="Y226" s="1555"/>
      <c r="Z226" s="955"/>
      <c r="AA226" s="955"/>
      <c r="AE226" s="827">
        <v>2</v>
      </c>
      <c r="AF226" s="2690"/>
      <c r="AG226" s="1635">
        <v>44713</v>
      </c>
      <c r="AH226" s="831"/>
      <c r="AJ226" s="1638">
        <v>7</v>
      </c>
      <c r="AK226" s="5330" t="str">
        <f>IF($L$453=2,I464,"")</f>
        <v/>
      </c>
      <c r="AL226" s="5331"/>
      <c r="AM226" s="5332"/>
      <c r="AN226" s="1638"/>
      <c r="AO226" s="3523">
        <f>IF($L$453=2,K455,0)</f>
        <v>0</v>
      </c>
      <c r="AP226" s="3522"/>
      <c r="AQ226" s="1598">
        <f t="shared" ref="AQ226" si="272">SUM(AN226:AP226)</f>
        <v>0</v>
      </c>
      <c r="AR226" s="1638"/>
      <c r="AS226" s="1638">
        <f>IF(AND($L$453=2,$GE$3=2),L455,0)</f>
        <v>0</v>
      </c>
      <c r="AT226" s="1638">
        <f>IF(AND($L$453=2,$GE$3=1),L455,0)</f>
        <v>0</v>
      </c>
      <c r="AU226" s="3524">
        <f>IF(AND($L$453=2,$GE$3=2),M455,0)</f>
        <v>0</v>
      </c>
      <c r="DV226" s="831"/>
      <c r="DX226" s="1553"/>
      <c r="EJ226" s="3235"/>
      <c r="ES226" s="1555"/>
      <c r="ET226" s="1555"/>
      <c r="MA226" s="831"/>
    </row>
    <row r="227" spans="1:339" ht="32.1" customHeight="1">
      <c r="A227" s="123"/>
      <c r="B227" s="653"/>
      <c r="C227" s="1551"/>
      <c r="D227" s="1552"/>
      <c r="E227" s="1551"/>
      <c r="F227" s="1551"/>
      <c r="H227" s="1558">
        <v>3</v>
      </c>
      <c r="I227" s="1635">
        <v>45778</v>
      </c>
      <c r="J227" s="827">
        <f t="shared" si="269"/>
        <v>82300</v>
      </c>
      <c r="K227" s="1889">
        <v>0.38</v>
      </c>
      <c r="L227" s="839">
        <f t="shared" si="270"/>
        <v>31274</v>
      </c>
      <c r="M227" s="839">
        <f t="shared" si="271"/>
        <v>11357</v>
      </c>
      <c r="N227" s="2330">
        <f t="shared" si="267"/>
        <v>6000</v>
      </c>
      <c r="O227" s="2331"/>
      <c r="P227" s="1551"/>
      <c r="Q227" s="1552"/>
      <c r="R227" s="1551"/>
      <c r="S227" s="955"/>
      <c r="T227" s="1482"/>
      <c r="U227" s="856"/>
      <c r="V227" s="856"/>
      <c r="W227" s="856"/>
      <c r="X227" s="1552"/>
      <c r="Y227" s="1555"/>
      <c r="Z227" s="955"/>
      <c r="AA227" s="955"/>
      <c r="AE227" s="1558">
        <v>3</v>
      </c>
      <c r="AF227" s="3191"/>
      <c r="AG227" s="1635">
        <v>44743</v>
      </c>
      <c r="AH227" s="831"/>
      <c r="AJ227" s="1642">
        <v>8</v>
      </c>
      <c r="AK227" s="5330" t="str">
        <f>IF($L$478=2,I489,"")</f>
        <v/>
      </c>
      <c r="AL227" s="5331"/>
      <c r="AM227" s="5332"/>
      <c r="AN227" s="1638"/>
      <c r="AO227" s="3523">
        <f>IF($L$478=2,K480,0)</f>
        <v>0</v>
      </c>
      <c r="AP227" s="3522"/>
      <c r="AQ227" s="1598">
        <f t="shared" ref="AQ227" si="273">SUM(AN227:AP227)</f>
        <v>0</v>
      </c>
      <c r="AR227" s="1638"/>
      <c r="AS227" s="1638">
        <f>IF(AND($L$478=2,$GE$3=2),L480,0)</f>
        <v>0</v>
      </c>
      <c r="AT227" s="1638">
        <f>IF(AND($L$478=2,$GE$3=1),L480,0)</f>
        <v>0</v>
      </c>
      <c r="AU227" s="3524">
        <f>IF(AND($L$478=2,$GE$3=2),M480,0)</f>
        <v>0</v>
      </c>
      <c r="DV227" s="831"/>
      <c r="DX227" s="1553"/>
      <c r="EJ227" s="3235"/>
      <c r="ES227" s="1555"/>
      <c r="ET227" s="1555"/>
      <c r="MA227" s="831"/>
    </row>
    <row r="228" spans="1:339" ht="32.1" customHeight="1">
      <c r="A228" s="123"/>
      <c r="B228" s="653"/>
      <c r="C228" s="1551"/>
      <c r="D228" s="1552"/>
      <c r="E228" s="1551"/>
      <c r="F228" s="1551"/>
      <c r="H228" s="827">
        <v>4</v>
      </c>
      <c r="I228" s="1635">
        <v>45809</v>
      </c>
      <c r="J228" s="827">
        <f t="shared" si="269"/>
        <v>82300</v>
      </c>
      <c r="K228" s="1889">
        <v>0.42</v>
      </c>
      <c r="L228" s="839">
        <f t="shared" si="270"/>
        <v>34566</v>
      </c>
      <c r="M228" s="839">
        <f t="shared" si="271"/>
        <v>11687</v>
      </c>
      <c r="N228" s="2330">
        <f t="shared" si="267"/>
        <v>6000</v>
      </c>
      <c r="O228" s="2331"/>
      <c r="P228" s="1551"/>
      <c r="Q228" s="1552"/>
      <c r="R228" s="1551"/>
      <c r="S228" s="955"/>
      <c r="T228" s="1482"/>
      <c r="U228" s="856"/>
      <c r="V228" s="856"/>
      <c r="W228" s="856"/>
      <c r="X228" s="1552"/>
      <c r="Y228" s="1555"/>
      <c r="Z228" s="955"/>
      <c r="AA228" s="955"/>
      <c r="AE228" s="827">
        <v>4</v>
      </c>
      <c r="AF228" s="2690"/>
      <c r="AG228" s="1635">
        <v>44774</v>
      </c>
      <c r="AH228" s="831"/>
      <c r="AJ228" s="1638">
        <v>9</v>
      </c>
      <c r="AK228" s="5330" t="str">
        <f>IF($L$504=2,I515,"")</f>
        <v/>
      </c>
      <c r="AL228" s="5331"/>
      <c r="AM228" s="5332"/>
      <c r="AN228" s="1598"/>
      <c r="AO228" s="3523">
        <f>IF($L$504=2,K506,0)</f>
        <v>0</v>
      </c>
      <c r="AP228" s="3522"/>
      <c r="AQ228" s="1598">
        <f t="shared" ref="AQ228:AQ229" si="274">SUM(AN228:AP228)</f>
        <v>0</v>
      </c>
      <c r="AR228" s="1638"/>
      <c r="AS228" s="1638">
        <f>IF(AND($L$504=2,$GE$3=2),L506,0)</f>
        <v>0</v>
      </c>
      <c r="AT228" s="1638">
        <f>IF(AND($L$504=2,$GE$3=1),L506,0)</f>
        <v>0</v>
      </c>
      <c r="AU228" s="3524">
        <f>IF(AND($L$504=2,$GE$3=2),M506,0)</f>
        <v>0</v>
      </c>
      <c r="DV228" s="831"/>
      <c r="DX228" s="1553"/>
      <c r="DY228" s="3236"/>
      <c r="DZ228" s="3237"/>
      <c r="EA228" s="3237"/>
      <c r="EB228" s="3237"/>
      <c r="EC228" s="3237"/>
      <c r="ED228" s="3237"/>
      <c r="EE228" s="3237"/>
      <c r="EF228" s="3237"/>
      <c r="EG228" s="3237"/>
      <c r="EH228" s="3237"/>
      <c r="EI228" s="3237"/>
      <c r="EJ228" s="3235"/>
      <c r="EK228" s="3237"/>
      <c r="EL228" s="3237"/>
      <c r="EM228" s="3237"/>
      <c r="EN228" s="3237"/>
      <c r="EO228" s="3237"/>
      <c r="EP228" s="3237"/>
      <c r="EQ228" s="3237"/>
      <c r="ER228" s="3237"/>
      <c r="ES228" s="3237"/>
      <c r="ET228" s="3237"/>
      <c r="MA228" s="831"/>
    </row>
    <row r="229" spans="1:339" ht="27.95" customHeight="1">
      <c r="A229" s="123"/>
      <c r="B229" s="653"/>
      <c r="C229" s="1551"/>
      <c r="D229" s="1552"/>
      <c r="E229" s="1551"/>
      <c r="F229" s="1551"/>
      <c r="H229" s="1558">
        <v>5</v>
      </c>
      <c r="I229" s="1635">
        <v>45839</v>
      </c>
      <c r="J229" s="827">
        <f t="shared" si="269"/>
        <v>82300</v>
      </c>
      <c r="K229" s="1889">
        <v>0.42</v>
      </c>
      <c r="L229" s="839">
        <f t="shared" si="270"/>
        <v>34566</v>
      </c>
      <c r="M229" s="839">
        <f t="shared" si="271"/>
        <v>11687</v>
      </c>
      <c r="N229" s="2330">
        <f t="shared" si="267"/>
        <v>6000</v>
      </c>
      <c r="O229" s="2331"/>
      <c r="P229" s="1551"/>
      <c r="Q229" s="1552"/>
      <c r="R229" s="1551"/>
      <c r="S229" s="1551"/>
      <c r="T229" s="1553"/>
      <c r="U229" s="1553"/>
      <c r="V229" s="1270"/>
      <c r="W229" s="1551"/>
      <c r="X229" s="1552"/>
      <c r="Y229" s="1555"/>
      <c r="Z229" s="955"/>
      <c r="AA229" s="955"/>
      <c r="AE229" s="1558">
        <v>5</v>
      </c>
      <c r="AF229" s="3191"/>
      <c r="AG229" s="1635">
        <v>44805</v>
      </c>
      <c r="AH229" s="831"/>
      <c r="AJ229" s="1642">
        <v>10</v>
      </c>
      <c r="AK229" s="5330" t="str">
        <f>IF($L$530=2,I541,"")</f>
        <v/>
      </c>
      <c r="AL229" s="5331"/>
      <c r="AM229" s="5332"/>
      <c r="AN229" s="1598"/>
      <c r="AO229" s="3523">
        <f>IF($L$530=2,K532,0)</f>
        <v>0</v>
      </c>
      <c r="AP229" s="1598"/>
      <c r="AQ229" s="1598">
        <f t="shared" si="274"/>
        <v>0</v>
      </c>
      <c r="AR229" s="1598"/>
      <c r="AS229" s="1638">
        <f>IF(AND($L$530=2,$GE$3=2),L532,0)</f>
        <v>0</v>
      </c>
      <c r="AT229" s="1638">
        <f>IF(AND($L$530=2,$GE$3=1),L532,0)</f>
        <v>0</v>
      </c>
      <c r="AU229" s="3524">
        <f>IF(AND($L$530=2,$GE$3=2),M532,0)</f>
        <v>0</v>
      </c>
      <c r="DV229" s="831"/>
      <c r="MA229" s="831"/>
    </row>
    <row r="230" spans="1:339" ht="27.95" customHeight="1">
      <c r="A230" s="123"/>
      <c r="B230" s="653"/>
      <c r="C230" s="1551"/>
      <c r="D230" s="1552"/>
      <c r="E230" s="1551"/>
      <c r="F230" s="1551"/>
      <c r="H230" s="827">
        <v>6</v>
      </c>
      <c r="I230" s="1635">
        <v>45870</v>
      </c>
      <c r="J230" s="827">
        <f t="shared" si="269"/>
        <v>82300</v>
      </c>
      <c r="K230" s="1889">
        <v>0.42</v>
      </c>
      <c r="L230" s="839">
        <f t="shared" si="270"/>
        <v>34566</v>
      </c>
      <c r="M230" s="839">
        <f t="shared" si="271"/>
        <v>11687</v>
      </c>
      <c r="N230" s="2330">
        <f t="shared" si="267"/>
        <v>6000</v>
      </c>
      <c r="O230" s="2331"/>
      <c r="P230" s="1551"/>
      <c r="Q230" s="1552"/>
      <c r="R230" s="1551"/>
      <c r="S230" s="1551"/>
      <c r="T230" s="1553"/>
      <c r="U230" s="1553"/>
      <c r="V230" s="1270"/>
      <c r="W230" s="1551"/>
      <c r="X230" s="1552"/>
      <c r="Y230" s="1555"/>
      <c r="Z230" s="955"/>
      <c r="AA230" s="955"/>
      <c r="AE230" s="827">
        <v>6</v>
      </c>
      <c r="AF230" s="2690"/>
      <c r="AG230" s="1635">
        <v>44835</v>
      </c>
      <c r="AH230" s="831"/>
      <c r="AJ230" s="1598">
        <v>11</v>
      </c>
      <c r="AK230" s="5352"/>
      <c r="AL230" s="5353"/>
      <c r="AM230" s="5354"/>
      <c r="AN230" s="3526"/>
      <c r="AO230" s="3525"/>
      <c r="AP230" s="3526"/>
      <c r="AQ230" s="3526"/>
      <c r="AR230" s="3526"/>
      <c r="AS230" s="3525"/>
      <c r="AT230" s="3529"/>
      <c r="AU230" s="3527"/>
      <c r="DV230" s="831"/>
      <c r="MA230" s="831"/>
    </row>
    <row r="231" spans="1:339" ht="27.95" customHeight="1">
      <c r="A231" s="123"/>
      <c r="B231" s="653"/>
      <c r="C231" s="1551"/>
      <c r="D231" s="1552"/>
      <c r="E231" s="1551"/>
      <c r="F231" s="1551"/>
      <c r="H231" s="1558">
        <v>7</v>
      </c>
      <c r="I231" s="1635">
        <v>45901</v>
      </c>
      <c r="J231" s="827">
        <f t="shared" si="269"/>
        <v>82300</v>
      </c>
      <c r="K231" s="1889">
        <v>0.42</v>
      </c>
      <c r="L231" s="839">
        <f t="shared" si="270"/>
        <v>34566</v>
      </c>
      <c r="M231" s="839">
        <f t="shared" si="271"/>
        <v>11687</v>
      </c>
      <c r="N231" s="2330">
        <f t="shared" si="267"/>
        <v>6000</v>
      </c>
      <c r="O231" s="2331"/>
      <c r="P231" s="1551"/>
      <c r="Q231" s="1552"/>
      <c r="R231" s="1551"/>
      <c r="S231" s="1551"/>
      <c r="T231" s="1553"/>
      <c r="U231" s="1553"/>
      <c r="V231" s="1270"/>
      <c r="W231" s="1551"/>
      <c r="X231" s="1552"/>
      <c r="Y231" s="1555"/>
      <c r="Z231" s="955"/>
      <c r="AA231" s="955"/>
      <c r="AE231" s="1558">
        <v>7</v>
      </c>
      <c r="AF231" s="3191"/>
      <c r="AG231" s="1635">
        <v>44866</v>
      </c>
      <c r="AH231" s="831"/>
      <c r="AJ231" s="1642">
        <v>12</v>
      </c>
      <c r="AK231" s="5352"/>
      <c r="AL231" s="5353"/>
      <c r="AM231" s="5354"/>
      <c r="AN231" s="3528"/>
      <c r="AO231" s="3525"/>
      <c r="AP231" s="3528"/>
      <c r="AQ231" s="3526"/>
      <c r="AR231" s="3529"/>
      <c r="AS231" s="3525"/>
      <c r="AT231" s="3529"/>
      <c r="AU231" s="3527"/>
      <c r="DV231" s="831"/>
      <c r="MA231" s="831"/>
    </row>
    <row r="232" spans="1:339" ht="27.95" customHeight="1">
      <c r="A232" s="123"/>
      <c r="B232" s="653"/>
      <c r="C232" s="1551"/>
      <c r="D232" s="1552"/>
      <c r="E232" s="1551"/>
      <c r="F232" s="1551"/>
      <c r="H232" s="827">
        <v>8</v>
      </c>
      <c r="I232" s="1635">
        <v>45931</v>
      </c>
      <c r="J232" s="827">
        <f t="shared" si="269"/>
        <v>82300</v>
      </c>
      <c r="K232" s="1889">
        <v>0.42</v>
      </c>
      <c r="L232" s="839">
        <f t="shared" si="270"/>
        <v>34566</v>
      </c>
      <c r="M232" s="839">
        <f t="shared" si="271"/>
        <v>11687</v>
      </c>
      <c r="N232" s="2330">
        <f t="shared" si="267"/>
        <v>6000</v>
      </c>
      <c r="O232" s="2331"/>
      <c r="P232" s="1551"/>
      <c r="Q232" s="1552"/>
      <c r="R232" s="1551"/>
      <c r="S232" s="1551"/>
      <c r="T232" s="1553"/>
      <c r="U232" s="1553"/>
      <c r="V232" s="1270"/>
      <c r="W232" s="1551"/>
      <c r="X232" s="1552"/>
      <c r="Y232" s="1555"/>
      <c r="Z232" s="955"/>
      <c r="AA232" s="955"/>
      <c r="AE232" s="827">
        <v>8</v>
      </c>
      <c r="AF232" s="2690"/>
      <c r="AG232" s="1635">
        <v>44896</v>
      </c>
      <c r="AH232" s="831"/>
      <c r="AJ232" s="1606">
        <v>13</v>
      </c>
      <c r="AK232" s="5352"/>
      <c r="AL232" s="5353"/>
      <c r="AM232" s="5354"/>
      <c r="AN232" s="3530"/>
      <c r="AO232" s="3525"/>
      <c r="AP232" s="3530"/>
      <c r="AQ232" s="3526"/>
      <c r="AR232" s="3531"/>
      <c r="AS232" s="3525"/>
      <c r="AT232" s="3530"/>
      <c r="AU232" s="3527"/>
      <c r="DV232" s="831"/>
      <c r="MA232" s="831"/>
    </row>
    <row r="233" spans="1:339" ht="27.95" customHeight="1">
      <c r="A233" s="123"/>
      <c r="B233" s="653"/>
      <c r="C233" s="1551"/>
      <c r="D233" s="1552"/>
      <c r="E233" s="1551"/>
      <c r="F233" s="1551"/>
      <c r="H233" s="1558">
        <v>9</v>
      </c>
      <c r="I233" s="1635">
        <v>45962</v>
      </c>
      <c r="J233" s="1623">
        <f t="shared" si="269"/>
        <v>82300</v>
      </c>
      <c r="K233" s="1889">
        <v>0.42</v>
      </c>
      <c r="L233" s="824">
        <f t="shared" si="270"/>
        <v>34566</v>
      </c>
      <c r="M233" s="824">
        <f t="shared" si="271"/>
        <v>11687</v>
      </c>
      <c r="N233" s="2330">
        <f t="shared" si="267"/>
        <v>6000</v>
      </c>
      <c r="O233" s="2331"/>
      <c r="P233" s="1551"/>
      <c r="Q233" s="1552"/>
      <c r="R233" s="1551"/>
      <c r="S233" s="1551"/>
      <c r="T233" s="1553"/>
      <c r="U233" s="1553"/>
      <c r="V233" s="1270"/>
      <c r="W233" s="1551"/>
      <c r="X233" s="1552"/>
      <c r="Y233" s="1555"/>
      <c r="Z233" s="955"/>
      <c r="AA233" s="955"/>
      <c r="AE233" s="1558">
        <v>9</v>
      </c>
      <c r="AF233" s="3191"/>
      <c r="AG233" s="1635">
        <v>44927</v>
      </c>
      <c r="AH233" s="831"/>
      <c r="AJ233" s="1606">
        <v>14</v>
      </c>
      <c r="AK233" s="5351"/>
      <c r="AL233" s="5351"/>
      <c r="AM233" s="5351"/>
      <c r="AN233" s="3793"/>
      <c r="AO233" s="3794"/>
      <c r="AP233" s="3793"/>
      <c r="AQ233" s="3794"/>
      <c r="AR233" s="3793"/>
      <c r="AS233" s="3794"/>
      <c r="AT233" s="3794"/>
      <c r="AU233" s="3795"/>
      <c r="DV233" s="831"/>
      <c r="MA233" s="831"/>
    </row>
    <row r="234" spans="1:339" ht="27.95" customHeight="1">
      <c r="A234" s="123"/>
      <c r="B234" s="653"/>
      <c r="C234" s="1551"/>
      <c r="D234" s="1552"/>
      <c r="E234" s="1551"/>
      <c r="F234" s="1551"/>
      <c r="H234" s="827">
        <v>10</v>
      </c>
      <c r="I234" s="1635">
        <v>45992</v>
      </c>
      <c r="J234" s="827">
        <f t="shared" si="269"/>
        <v>82300</v>
      </c>
      <c r="K234" s="1889">
        <v>0.42</v>
      </c>
      <c r="L234" s="839">
        <f t="shared" si="270"/>
        <v>34566</v>
      </c>
      <c r="M234" s="839">
        <f t="shared" si="271"/>
        <v>11687</v>
      </c>
      <c r="N234" s="2330">
        <f t="shared" si="267"/>
        <v>6000</v>
      </c>
      <c r="O234" s="2331"/>
      <c r="P234" s="1551"/>
      <c r="Q234" s="1552"/>
      <c r="R234" s="1551"/>
      <c r="S234" s="1551"/>
      <c r="T234" s="1553"/>
      <c r="U234" s="1553"/>
      <c r="V234" s="1270"/>
      <c r="W234" s="1551"/>
      <c r="X234" s="1552"/>
      <c r="Y234" s="1555"/>
      <c r="Z234" s="955"/>
      <c r="AA234" s="955"/>
      <c r="AE234" s="827">
        <v>10</v>
      </c>
      <c r="AF234" s="2690"/>
      <c r="AG234" s="1635">
        <v>44958</v>
      </c>
      <c r="AH234" s="831"/>
      <c r="AJ234" s="1606">
        <v>15</v>
      </c>
      <c r="AK234" s="5351"/>
      <c r="AL234" s="5351"/>
      <c r="AM234" s="5351"/>
      <c r="AN234" s="3796"/>
      <c r="AO234" s="3794"/>
      <c r="AP234" s="3794"/>
      <c r="AQ234" s="3794"/>
      <c r="AR234" s="3796"/>
      <c r="AS234" s="3794"/>
      <c r="AT234" s="3794"/>
      <c r="AU234" s="3795"/>
      <c r="DV234" s="831"/>
      <c r="MA234" s="831"/>
    </row>
    <row r="235" spans="1:339" ht="27.95" customHeight="1">
      <c r="A235" s="123"/>
      <c r="B235" s="653"/>
      <c r="C235" s="1551"/>
      <c r="D235" s="1552"/>
      <c r="E235" s="1551"/>
      <c r="F235" s="1551"/>
      <c r="H235" s="1558">
        <v>11</v>
      </c>
      <c r="I235" s="1635">
        <v>46023</v>
      </c>
      <c r="J235" s="1642">
        <f t="shared" si="269"/>
        <v>84800</v>
      </c>
      <c r="K235" s="1889">
        <v>0.46</v>
      </c>
      <c r="L235" s="3057">
        <f t="shared" si="270"/>
        <v>39008</v>
      </c>
      <c r="M235" s="3057">
        <f t="shared" si="271"/>
        <v>12381</v>
      </c>
      <c r="N235" s="3058">
        <f t="shared" si="267"/>
        <v>6000</v>
      </c>
      <c r="O235" s="2331"/>
      <c r="P235" s="1551"/>
      <c r="Q235" s="1552"/>
      <c r="R235" s="1551"/>
      <c r="S235" s="1551"/>
      <c r="T235" s="1553"/>
      <c r="U235" s="1553"/>
      <c r="V235" s="1270"/>
      <c r="W235" s="1551"/>
      <c r="X235" s="1552"/>
      <c r="Y235" s="1555"/>
      <c r="Z235" s="955"/>
      <c r="AA235" s="955"/>
      <c r="AE235" s="2424"/>
      <c r="AF235" s="2424"/>
      <c r="AG235" s="1567"/>
      <c r="AH235" s="831"/>
      <c r="AJ235" s="1606">
        <v>16</v>
      </c>
      <c r="AK235" s="5348"/>
      <c r="AL235" s="5348"/>
      <c r="AM235" s="5348"/>
      <c r="AN235" s="3797"/>
      <c r="AO235" s="3794"/>
      <c r="AP235" s="3794"/>
      <c r="AQ235" s="3794"/>
      <c r="AR235" s="3796"/>
      <c r="AS235" s="3794"/>
      <c r="AT235" s="3794"/>
      <c r="AU235" s="3795"/>
      <c r="DV235" s="831"/>
      <c r="MA235" s="831"/>
    </row>
    <row r="236" spans="1:339" ht="27.95" customHeight="1">
      <c r="A236" s="123"/>
      <c r="B236" s="653"/>
      <c r="C236" s="1551"/>
      <c r="D236" s="1552"/>
      <c r="E236" s="1551"/>
      <c r="F236" s="1551"/>
      <c r="H236" s="1642">
        <v>12</v>
      </c>
      <c r="I236" s="1635">
        <v>46054</v>
      </c>
      <c r="J236" s="1642">
        <f>BI58</f>
        <v>84800</v>
      </c>
      <c r="K236" s="1889">
        <v>0.46</v>
      </c>
      <c r="L236" s="3057">
        <f t="shared" si="270"/>
        <v>39008</v>
      </c>
      <c r="M236" s="3057">
        <f t="shared" si="271"/>
        <v>12381</v>
      </c>
      <c r="N236" s="3058">
        <f t="shared" si="267"/>
        <v>6000</v>
      </c>
      <c r="O236" s="2331"/>
      <c r="P236" s="1551"/>
      <c r="Q236" s="1552"/>
      <c r="R236" s="1551"/>
      <c r="S236" s="1551"/>
      <c r="T236" s="1553"/>
      <c r="U236" s="1553"/>
      <c r="V236" s="1270"/>
      <c r="W236" s="1551"/>
      <c r="X236" s="1552"/>
      <c r="Y236" s="1555"/>
      <c r="Z236" s="955"/>
      <c r="AA236" s="955"/>
      <c r="AE236" s="955"/>
      <c r="AF236" s="955"/>
      <c r="AG236" s="1559"/>
      <c r="AH236" s="831"/>
      <c r="AJ236" s="1606">
        <v>17</v>
      </c>
      <c r="AK236" s="5348"/>
      <c r="AL236" s="5348"/>
      <c r="AM236" s="5348"/>
      <c r="AN236" s="3796"/>
      <c r="AO236" s="3794"/>
      <c r="AP236" s="3796"/>
      <c r="AQ236" s="3794"/>
      <c r="AR236" s="3796"/>
      <c r="AS236" s="3794"/>
      <c r="AT236" s="3796"/>
      <c r="AU236" s="3798"/>
      <c r="DV236" s="831"/>
      <c r="MA236" s="831"/>
    </row>
    <row r="237" spans="1:339" ht="24.95" customHeight="1">
      <c r="A237" s="123"/>
      <c r="B237" s="653"/>
      <c r="C237" s="1551"/>
      <c r="D237" s="1552"/>
      <c r="E237" s="1551"/>
      <c r="F237" s="1551"/>
      <c r="H237" s="2327"/>
      <c r="I237" s="2132"/>
      <c r="J237" s="2325"/>
      <c r="K237" s="2328"/>
      <c r="L237" s="2138"/>
      <c r="M237" s="2138"/>
      <c r="N237" s="1566"/>
      <c r="P237" s="1551"/>
      <c r="Q237" s="1552"/>
      <c r="R237" s="1551"/>
      <c r="S237" s="1551"/>
      <c r="T237" s="1553"/>
      <c r="U237" s="1553"/>
      <c r="V237" s="1270"/>
      <c r="W237" s="1551"/>
      <c r="X237" s="1552"/>
      <c r="Y237" s="1555"/>
      <c r="Z237" s="955"/>
      <c r="AA237" s="955"/>
      <c r="AH237" s="831"/>
      <c r="AJ237" s="1606">
        <v>18</v>
      </c>
      <c r="AK237" s="5348"/>
      <c r="AL237" s="5348"/>
      <c r="AM237" s="5348"/>
      <c r="AN237" s="3796"/>
      <c r="AO237" s="3794"/>
      <c r="AP237" s="3796"/>
      <c r="AQ237" s="3794"/>
      <c r="AR237" s="3796"/>
      <c r="AS237" s="3794"/>
      <c r="AT237" s="3796"/>
      <c r="AU237" s="3798"/>
      <c r="DV237" s="831"/>
      <c r="MA237" s="831"/>
    </row>
    <row r="238" spans="1:339" ht="24.95" customHeight="1">
      <c r="A238" s="123"/>
      <c r="B238" s="653"/>
      <c r="C238" s="1551"/>
      <c r="D238" s="1552"/>
      <c r="E238" s="1551"/>
      <c r="F238" s="1551"/>
      <c r="H238" s="955"/>
      <c r="I238" s="960"/>
      <c r="J238" s="955"/>
      <c r="K238" s="2329"/>
      <c r="L238" s="2140"/>
      <c r="M238" s="2140"/>
      <c r="N238" s="856"/>
      <c r="P238" s="1551"/>
      <c r="Q238" s="1552"/>
      <c r="R238" s="1551"/>
      <c r="S238" s="1551"/>
      <c r="T238" s="1553"/>
      <c r="U238" s="1553"/>
      <c r="V238" s="1270"/>
      <c r="W238" s="1551"/>
      <c r="X238" s="1552"/>
      <c r="Y238" s="1555"/>
      <c r="Z238" s="955"/>
      <c r="AA238" s="955"/>
      <c r="AH238" s="831"/>
      <c r="AJ238" s="1606">
        <v>19</v>
      </c>
      <c r="AK238" s="5348"/>
      <c r="AL238" s="5348"/>
      <c r="AM238" s="5348"/>
      <c r="AN238" s="3796"/>
      <c r="AO238" s="3794"/>
      <c r="AP238" s="3796"/>
      <c r="AQ238" s="3794"/>
      <c r="AR238" s="3796"/>
      <c r="AS238" s="3794"/>
      <c r="AT238" s="3796"/>
      <c r="AU238" s="3798"/>
      <c r="DV238" s="831"/>
      <c r="MA238" s="831"/>
    </row>
    <row r="239" spans="1:339" ht="24.95" customHeight="1">
      <c r="A239" s="123"/>
      <c r="B239" s="653"/>
      <c r="C239" s="1270"/>
      <c r="D239" s="1270"/>
      <c r="E239" s="1270"/>
      <c r="F239" s="1270"/>
      <c r="P239" s="1270"/>
      <c r="Q239" s="1270"/>
      <c r="R239" s="1270"/>
      <c r="S239" s="1270"/>
      <c r="T239" s="1270"/>
      <c r="U239" s="1556"/>
      <c r="V239" s="1270"/>
      <c r="W239" s="1270"/>
      <c r="X239" s="1270"/>
      <c r="Y239" s="1557"/>
      <c r="AH239" s="831"/>
      <c r="AJ239" s="1606">
        <v>20</v>
      </c>
      <c r="AK239" s="5348"/>
      <c r="AL239" s="5348"/>
      <c r="AM239" s="5348"/>
      <c r="AN239" s="3796"/>
      <c r="AO239" s="3794"/>
      <c r="AP239" s="3796"/>
      <c r="AQ239" s="3794"/>
      <c r="AR239" s="3796"/>
      <c r="AS239" s="3794"/>
      <c r="AT239" s="3796"/>
      <c r="AU239" s="3798"/>
      <c r="DV239" s="831"/>
      <c r="MA239" s="831"/>
    </row>
    <row r="240" spans="1:339" ht="24.95" customHeight="1">
      <c r="A240" s="123"/>
      <c r="B240" s="653"/>
      <c r="C240" s="1270"/>
      <c r="D240" s="1270"/>
      <c r="E240" s="1270"/>
      <c r="F240" s="1270"/>
      <c r="P240" s="1270"/>
      <c r="Q240" s="1270"/>
      <c r="R240" s="1270"/>
      <c r="S240" s="1270"/>
      <c r="T240" s="1270"/>
      <c r="U240" s="1270"/>
      <c r="V240" s="1270"/>
      <c r="W240" s="1270"/>
      <c r="X240" s="1270"/>
      <c r="Y240" s="1551"/>
      <c r="AH240" s="831"/>
      <c r="AJ240" s="1606">
        <v>21</v>
      </c>
      <c r="AK240" s="5348"/>
      <c r="AL240" s="5348"/>
      <c r="AM240" s="5348"/>
      <c r="AN240" s="3796"/>
      <c r="AO240" s="3794"/>
      <c r="AP240" s="3796"/>
      <c r="AQ240" s="3794"/>
      <c r="AR240" s="3796"/>
      <c r="AS240" s="3794"/>
      <c r="AT240" s="3796"/>
      <c r="AU240" s="3798"/>
      <c r="DV240" s="831"/>
      <c r="MA240" s="831"/>
    </row>
    <row r="241" spans="1:339" ht="24.95" customHeight="1">
      <c r="A241" s="123"/>
      <c r="B241" s="653"/>
      <c r="C241" s="1270"/>
      <c r="D241" s="1270"/>
      <c r="E241" s="1270"/>
      <c r="F241" s="1270"/>
      <c r="AH241" s="831"/>
      <c r="AJ241" s="1606">
        <v>22</v>
      </c>
      <c r="AK241" s="5348"/>
      <c r="AL241" s="5348"/>
      <c r="AM241" s="5348"/>
      <c r="AN241" s="3796"/>
      <c r="AO241" s="3794"/>
      <c r="AP241" s="3796"/>
      <c r="AQ241" s="3794"/>
      <c r="AR241" s="3796"/>
      <c r="AS241" s="3794"/>
      <c r="AT241" s="3796"/>
      <c r="AU241" s="3798"/>
      <c r="DV241" s="831"/>
      <c r="MA241" s="831"/>
    </row>
    <row r="242" spans="1:339" ht="24.95" customHeight="1">
      <c r="A242" s="123"/>
      <c r="B242" s="653"/>
      <c r="C242" s="1270"/>
      <c r="D242" s="1270"/>
      <c r="E242" s="1270"/>
      <c r="F242" s="1270"/>
      <c r="AH242" s="831"/>
      <c r="AJ242" s="1606">
        <v>23</v>
      </c>
      <c r="AK242" s="5348"/>
      <c r="AL242" s="5348"/>
      <c r="AM242" s="5348"/>
      <c r="AN242" s="3796"/>
      <c r="AO242" s="3794"/>
      <c r="AP242" s="3796"/>
      <c r="AQ242" s="3794"/>
      <c r="AR242" s="3796"/>
      <c r="AS242" s="3794"/>
      <c r="AT242" s="3796"/>
      <c r="AU242" s="3798"/>
      <c r="DV242" s="831"/>
      <c r="MA242" s="831"/>
    </row>
    <row r="243" spans="1:339" ht="24.95" customHeight="1">
      <c r="A243" s="123"/>
      <c r="B243" s="653"/>
      <c r="C243" s="1270"/>
      <c r="D243" s="1270"/>
      <c r="E243" s="1270"/>
      <c r="F243" s="1270"/>
      <c r="T243" s="955"/>
      <c r="U243" s="955"/>
      <c r="AH243" s="831"/>
      <c r="AJ243" s="1606">
        <v>24</v>
      </c>
      <c r="AK243" s="5348"/>
      <c r="AL243" s="5348"/>
      <c r="AM243" s="5348"/>
      <c r="AN243" s="3796"/>
      <c r="AO243" s="3794"/>
      <c r="AP243" s="3796"/>
      <c r="AQ243" s="3794"/>
      <c r="AR243" s="3796"/>
      <c r="AS243" s="3794"/>
      <c r="AT243" s="3796"/>
      <c r="AU243" s="3798"/>
      <c r="DV243" s="831"/>
      <c r="MA243" s="831"/>
    </row>
    <row r="244" spans="1:339" ht="24.95" customHeight="1">
      <c r="A244" s="123"/>
      <c r="B244" s="653"/>
      <c r="C244" s="1555"/>
      <c r="D244" s="1555"/>
      <c r="E244" s="1270"/>
      <c r="F244" s="1270"/>
      <c r="T244" s="955"/>
      <c r="U244" s="955"/>
      <c r="AH244" s="831"/>
      <c r="AJ244" s="1606">
        <v>25</v>
      </c>
      <c r="AK244" s="5348"/>
      <c r="AL244" s="5348"/>
      <c r="AM244" s="5348"/>
      <c r="AN244" s="3796"/>
      <c r="AO244" s="3794"/>
      <c r="AP244" s="3796"/>
      <c r="AQ244" s="3794"/>
      <c r="AR244" s="3796"/>
      <c r="AS244" s="3794"/>
      <c r="AT244" s="3796"/>
      <c r="AU244" s="3798"/>
      <c r="DV244" s="831"/>
      <c r="MA244" s="831"/>
    </row>
    <row r="245" spans="1:339" ht="24.95" customHeight="1">
      <c r="A245" s="123"/>
      <c r="B245" s="653"/>
      <c r="C245" s="1555"/>
      <c r="D245" s="1552"/>
      <c r="E245" s="1270"/>
      <c r="F245" s="1270"/>
      <c r="T245" s="955"/>
      <c r="U245" s="955"/>
      <c r="AH245" s="831"/>
      <c r="AJ245" s="1606">
        <v>26</v>
      </c>
      <c r="AK245" s="5348"/>
      <c r="AL245" s="5348"/>
      <c r="AM245" s="5348"/>
      <c r="AN245" s="3796"/>
      <c r="AO245" s="3794"/>
      <c r="AP245" s="3796"/>
      <c r="AQ245" s="3794"/>
      <c r="AR245" s="3796"/>
      <c r="AS245" s="3794"/>
      <c r="AT245" s="3796"/>
      <c r="AU245" s="3798"/>
      <c r="DV245" s="831"/>
      <c r="MA245" s="831"/>
    </row>
    <row r="246" spans="1:339" ht="24.95" customHeight="1">
      <c r="A246" s="123"/>
      <c r="B246" s="653"/>
      <c r="C246" s="1555"/>
      <c r="D246" s="1552"/>
      <c r="E246" s="1270"/>
      <c r="F246" s="1270"/>
      <c r="T246" s="955"/>
      <c r="U246" s="955"/>
      <c r="AH246" s="831"/>
      <c r="AJ246" s="1606">
        <v>27</v>
      </c>
      <c r="AK246" s="5348"/>
      <c r="AL246" s="5348"/>
      <c r="AM246" s="5348"/>
      <c r="AN246" s="3796"/>
      <c r="AO246" s="3794"/>
      <c r="AP246" s="3796"/>
      <c r="AQ246" s="3794"/>
      <c r="AR246" s="3796"/>
      <c r="AS246" s="3794"/>
      <c r="AT246" s="3796"/>
      <c r="AU246" s="3798"/>
      <c r="DV246" s="831"/>
      <c r="MA246" s="831"/>
    </row>
    <row r="247" spans="1:339" ht="24.95" customHeight="1">
      <c r="A247" s="123"/>
      <c r="B247" s="653"/>
      <c r="C247" s="1555"/>
      <c r="D247" s="1552"/>
      <c r="E247" s="1270"/>
      <c r="F247" s="1270"/>
      <c r="T247" s="955"/>
      <c r="U247" s="955"/>
      <c r="AH247" s="831"/>
      <c r="AJ247" s="1606">
        <v>28</v>
      </c>
      <c r="AK247" s="5348"/>
      <c r="AL247" s="5348"/>
      <c r="AM247" s="5348"/>
      <c r="AN247" s="3796"/>
      <c r="AO247" s="3794"/>
      <c r="AP247" s="3796"/>
      <c r="AQ247" s="3794"/>
      <c r="AR247" s="3796"/>
      <c r="AS247" s="3794"/>
      <c r="AT247" s="3796"/>
      <c r="AU247" s="3798"/>
      <c r="DV247" s="831"/>
      <c r="MA247" s="831"/>
    </row>
    <row r="248" spans="1:339" ht="24.95" customHeight="1">
      <c r="A248" s="123"/>
      <c r="B248" s="653"/>
      <c r="C248" s="1555"/>
      <c r="D248" s="1552"/>
      <c r="E248" s="1270"/>
      <c r="F248" s="1270"/>
      <c r="AH248" s="831"/>
      <c r="AJ248" s="1606">
        <v>29</v>
      </c>
      <c r="AK248" s="5348"/>
      <c r="AL248" s="5348"/>
      <c r="AM248" s="5348"/>
      <c r="AN248" s="3796"/>
      <c r="AO248" s="3794"/>
      <c r="AP248" s="3796"/>
      <c r="AQ248" s="3794"/>
      <c r="AR248" s="3796"/>
      <c r="AS248" s="3794"/>
      <c r="AT248" s="3796"/>
      <c r="AU248" s="3798"/>
      <c r="DV248" s="831"/>
      <c r="MA248" s="831"/>
    </row>
    <row r="249" spans="1:339" ht="24.95" customHeight="1">
      <c r="A249" s="123"/>
      <c r="B249" s="653"/>
      <c r="AH249" s="831"/>
      <c r="AJ249" s="1606">
        <v>30</v>
      </c>
      <c r="AK249" s="5348"/>
      <c r="AL249" s="5348"/>
      <c r="AM249" s="5348"/>
      <c r="AN249" s="3796"/>
      <c r="AO249" s="3794"/>
      <c r="AP249" s="3796"/>
      <c r="AQ249" s="3794"/>
      <c r="AR249" s="3796"/>
      <c r="AS249" s="3794"/>
      <c r="AT249" s="3796"/>
      <c r="AU249" s="3798"/>
      <c r="DV249" s="831"/>
      <c r="MA249" s="831"/>
    </row>
    <row r="250" spans="1:339" ht="32.25" customHeight="1">
      <c r="A250" s="123"/>
      <c r="B250" s="653"/>
      <c r="T250" s="959"/>
      <c r="U250" s="959"/>
      <c r="V250" s="956"/>
      <c r="W250" s="957"/>
      <c r="AH250" s="831"/>
      <c r="AJ250" s="1606">
        <v>31</v>
      </c>
      <c r="AK250" s="5348"/>
      <c r="AL250" s="5348"/>
      <c r="AM250" s="5348"/>
      <c r="AN250" s="3796"/>
      <c r="AO250" s="3794"/>
      <c r="AP250" s="3796"/>
      <c r="AQ250" s="3794"/>
      <c r="AR250" s="3796"/>
      <c r="AS250" s="3794"/>
      <c r="AT250" s="3796"/>
      <c r="AU250" s="3798"/>
      <c r="DV250" s="831"/>
      <c r="MA250" s="831"/>
    </row>
    <row r="251" spans="1:339" ht="39" customHeight="1">
      <c r="A251" s="123"/>
      <c r="B251" s="653"/>
      <c r="C251" s="827">
        <v>1</v>
      </c>
      <c r="D251" s="827" t="s">
        <v>445</v>
      </c>
      <c r="T251" s="856"/>
      <c r="U251" s="960"/>
      <c r="V251" s="856"/>
      <c r="W251" s="856"/>
      <c r="AH251" s="831"/>
      <c r="AJ251" s="1606">
        <v>32</v>
      </c>
      <c r="AK251" s="5768" t="str">
        <f>IF(AND($K$917=2,$E$927&gt;0),E927,"")</f>
        <v/>
      </c>
      <c r="AL251" s="5769"/>
      <c r="AM251" s="5770"/>
      <c r="AN251" s="3800"/>
      <c r="AO251" s="3800"/>
      <c r="AP251" s="3800"/>
      <c r="AQ251" s="3342">
        <f>IF($K$917=2,J927,0)</f>
        <v>0</v>
      </c>
      <c r="AR251" s="3342">
        <f>IF($K$917=2,K927,0)</f>
        <v>0</v>
      </c>
      <c r="AS251" s="3342">
        <f>IF(AND($K$917=2,$GE$3=2),L927,0)</f>
        <v>0</v>
      </c>
      <c r="AT251" s="3800"/>
      <c r="AU251" s="3801">
        <f>SUM(AQ251-AR251-AS251)</f>
        <v>0</v>
      </c>
      <c r="DV251" s="831"/>
      <c r="MA251" s="831"/>
    </row>
    <row r="252" spans="1:339" ht="30" customHeight="1">
      <c r="A252" s="123"/>
      <c r="B252" s="653"/>
      <c r="C252" s="827">
        <v>2</v>
      </c>
      <c r="D252" s="827" t="s">
        <v>447</v>
      </c>
      <c r="T252" s="856"/>
      <c r="U252" s="960"/>
      <c r="V252" s="955"/>
      <c r="W252" s="955"/>
      <c r="AH252" s="831"/>
      <c r="AJ252" s="1606">
        <v>33</v>
      </c>
      <c r="AK252" s="5768" t="str">
        <f>IF(AND($K$917=2,E929&gt;0),E929,"")</f>
        <v/>
      </c>
      <c r="AL252" s="5769"/>
      <c r="AM252" s="5770"/>
      <c r="AN252" s="3342">
        <f>IF(AND($K$917=2,J929&gt;0),J929,0)</f>
        <v>0</v>
      </c>
      <c r="AO252" s="3342">
        <f t="shared" ref="AO252:AQ252" si="275">IF(AND($K$917=2,K929&gt;0),K929,0)</f>
        <v>0</v>
      </c>
      <c r="AP252" s="3342">
        <f t="shared" si="275"/>
        <v>0</v>
      </c>
      <c r="AQ252" s="3342">
        <f t="shared" si="275"/>
        <v>0</v>
      </c>
      <c r="AR252" s="3800"/>
      <c r="AS252" s="3801">
        <f>IF(AND($K$917=2,$GE$3=2),N929,0)</f>
        <v>0</v>
      </c>
      <c r="AT252" s="3800"/>
      <c r="AU252" s="3801">
        <f>SUM(AQ252-AS252)</f>
        <v>0</v>
      </c>
      <c r="DV252" s="831"/>
      <c r="MA252" s="831"/>
    </row>
    <row r="253" spans="1:339" ht="24.95" customHeight="1">
      <c r="A253" s="123"/>
      <c r="B253" s="653"/>
      <c r="C253" s="827">
        <v>3</v>
      </c>
      <c r="D253" s="827" t="s">
        <v>449</v>
      </c>
      <c r="T253" s="856"/>
      <c r="U253" s="960"/>
      <c r="V253" s="955"/>
      <c r="W253" s="955"/>
      <c r="AH253" s="831"/>
      <c r="AJ253" s="1606">
        <v>34</v>
      </c>
      <c r="AK253" s="5771" t="str">
        <f>IF(AND($AA$917=2,U922&gt;0),U922,"")</f>
        <v/>
      </c>
      <c r="AL253" s="5772"/>
      <c r="AM253" s="5773"/>
      <c r="AN253" s="3801">
        <f>IF(AND($AA$917=2,Z922&gt;0),Z922,0)</f>
        <v>0</v>
      </c>
      <c r="AO253" s="3801">
        <f t="shared" ref="AO253:AQ253" si="276">IF(AND($AA$917=2,AA922&gt;0),AA922,0)</f>
        <v>0</v>
      </c>
      <c r="AP253" s="3801">
        <f t="shared" si="276"/>
        <v>0</v>
      </c>
      <c r="AQ253" s="3801">
        <f t="shared" si="276"/>
        <v>0</v>
      </c>
      <c r="AR253" s="3800"/>
      <c r="AS253" s="3801">
        <f>IF(AND($AA$917=2,$GE$3=2),AD922,0)</f>
        <v>0</v>
      </c>
      <c r="AT253" s="3800"/>
      <c r="AU253" s="3801">
        <f>SUM(AQ253-AS253)</f>
        <v>0</v>
      </c>
      <c r="DV253" s="831"/>
      <c r="MA253" s="831"/>
    </row>
    <row r="254" spans="1:339" ht="24.95" customHeight="1">
      <c r="A254" s="123"/>
      <c r="B254" s="653"/>
      <c r="C254" s="827">
        <v>4</v>
      </c>
      <c r="D254" s="827" t="s">
        <v>451</v>
      </c>
      <c r="T254" s="856"/>
      <c r="U254" s="960"/>
      <c r="V254" s="955"/>
      <c r="W254" s="955"/>
      <c r="X254" s="1624"/>
      <c r="Y254" s="1624"/>
      <c r="Z254" s="1624"/>
      <c r="AA254" s="856"/>
      <c r="AB254" s="955"/>
      <c r="AH254" s="831"/>
      <c r="AJ254" s="1606">
        <v>35</v>
      </c>
      <c r="AK254" s="5771" t="str">
        <f>IF(AND($AR$917=2,AL922&gt;0),AL922,"")</f>
        <v/>
      </c>
      <c r="AL254" s="5772"/>
      <c r="AM254" s="5773"/>
      <c r="AN254" s="3801">
        <f>IF(AND($AR$917=2,AQ922&gt;0),AQ922,0)</f>
        <v>0</v>
      </c>
      <c r="AO254" s="3801">
        <f t="shared" ref="AO254:AQ254" si="277">IF(AND($AR$917=2,AR922&gt;0),AR922,0)</f>
        <v>0</v>
      </c>
      <c r="AP254" s="3801">
        <f t="shared" si="277"/>
        <v>0</v>
      </c>
      <c r="AQ254" s="3801">
        <f t="shared" si="277"/>
        <v>0</v>
      </c>
      <c r="AR254" s="3801">
        <f>IF(AND($AR$917=2,AQ923&gt;0),AQ923,0)</f>
        <v>0</v>
      </c>
      <c r="AS254" s="3801">
        <f>IF(AND($AR$917=2,$GE$3=2),AU922,0)</f>
        <v>0</v>
      </c>
      <c r="AT254" s="3800"/>
      <c r="AU254" s="3800"/>
      <c r="DV254" s="831"/>
      <c r="MA254" s="831"/>
    </row>
    <row r="255" spans="1:339" ht="24.95" customHeight="1">
      <c r="A255" s="123"/>
      <c r="B255" s="653"/>
      <c r="C255" s="827">
        <v>5</v>
      </c>
      <c r="D255" s="827" t="s">
        <v>181</v>
      </c>
      <c r="T255" s="859"/>
      <c r="U255" s="859"/>
      <c r="V255" s="859"/>
      <c r="AH255" s="831"/>
      <c r="AJ255" s="1606">
        <v>36</v>
      </c>
      <c r="AK255" s="5771" t="str">
        <f>IF($BI$917=2,CONCATENATE("Payment of Honorarium for Election duty"),"")</f>
        <v/>
      </c>
      <c r="AL255" s="5772"/>
      <c r="AM255" s="5773"/>
      <c r="AN255" s="3801">
        <f>IF($BI$917=2,BH922,0)</f>
        <v>0</v>
      </c>
      <c r="AO255" s="3801">
        <f t="shared" ref="AO255:AQ255" si="278">IF($BI$917=2,BI922,0)</f>
        <v>0</v>
      </c>
      <c r="AP255" s="3801">
        <f t="shared" si="278"/>
        <v>0</v>
      </c>
      <c r="AQ255" s="3801">
        <f t="shared" si="278"/>
        <v>0</v>
      </c>
      <c r="AR255" s="3800"/>
      <c r="AS255" s="3800"/>
      <c r="AT255" s="3800"/>
      <c r="AU255" s="3800"/>
      <c r="DV255" s="831"/>
      <c r="MA255" s="831"/>
    </row>
    <row r="256" spans="1:339" ht="35.25" customHeight="1">
      <c r="A256" s="123"/>
      <c r="B256" s="653"/>
      <c r="C256" s="827">
        <v>6</v>
      </c>
      <c r="D256" s="827" t="s">
        <v>454</v>
      </c>
      <c r="O256" s="959"/>
      <c r="P256" s="1425"/>
      <c r="Q256" s="1625"/>
      <c r="S256" s="857" t="s">
        <v>176</v>
      </c>
      <c r="T256" s="857" t="s">
        <v>956</v>
      </c>
      <c r="U256" s="858" t="s">
        <v>946</v>
      </c>
      <c r="V256" s="954" t="s">
        <v>421</v>
      </c>
      <c r="X256" s="959"/>
      <c r="Y256" s="959"/>
      <c r="Z256" s="956"/>
      <c r="AA256" s="957"/>
      <c r="AB256" s="957"/>
      <c r="AH256" s="831"/>
      <c r="AK256" s="4079"/>
      <c r="AL256" s="4079"/>
      <c r="AM256" s="4079"/>
      <c r="DV256" s="831"/>
      <c r="MA256" s="831"/>
    </row>
    <row r="257" spans="1:339" ht="24.95" customHeight="1">
      <c r="A257" s="123"/>
      <c r="B257" s="653"/>
      <c r="C257" s="827">
        <v>7</v>
      </c>
      <c r="D257" s="827" t="s">
        <v>456</v>
      </c>
      <c r="O257" s="856"/>
      <c r="P257" s="856"/>
      <c r="Q257" s="856"/>
      <c r="S257" s="1455">
        <v>1</v>
      </c>
      <c r="T257" s="958" t="str">
        <f>CONCATENATE("Instalment No.1", " ",":","Dec","-","20")</f>
        <v>Instalment No.1 :Dec-20</v>
      </c>
      <c r="U257" s="860">
        <f>ROUND(U243/4,0)</f>
        <v>0</v>
      </c>
      <c r="V257" s="860">
        <f>ROUND(U246/4,0)</f>
        <v>0</v>
      </c>
      <c r="X257" s="856"/>
      <c r="Y257" s="859"/>
      <c r="Z257" s="856"/>
      <c r="AA257" s="955"/>
      <c r="AB257" s="856"/>
      <c r="AH257" s="831"/>
      <c r="AK257" s="4079"/>
      <c r="AL257" s="4079"/>
      <c r="AM257" s="4079"/>
      <c r="DV257" s="831"/>
      <c r="MA257" s="831"/>
    </row>
    <row r="258" spans="1:339" ht="24.95" customHeight="1">
      <c r="A258" s="123"/>
      <c r="B258" s="653"/>
      <c r="C258" s="827">
        <v>8</v>
      </c>
      <c r="D258" s="827" t="s">
        <v>458</v>
      </c>
      <c r="O258" s="856"/>
      <c r="P258" s="856"/>
      <c r="Q258" s="856"/>
      <c r="S258" s="1455">
        <v>2</v>
      </c>
      <c r="T258" s="958" t="str">
        <f>CONCATENATE("Instalment No.2"," ", ":","Jan","-","21")</f>
        <v>Instalment No.2 :Jan-21</v>
      </c>
      <c r="U258" s="861">
        <f>$U$257</f>
        <v>0</v>
      </c>
      <c r="V258" s="861">
        <f>$V$257</f>
        <v>0</v>
      </c>
      <c r="X258" s="856"/>
      <c r="Y258" s="859"/>
      <c r="Z258" s="856"/>
      <c r="AA258" s="955"/>
      <c r="AB258" s="856"/>
      <c r="AH258" s="831"/>
      <c r="AK258" s="4079"/>
      <c r="AL258" s="4079"/>
      <c r="AM258" s="4079"/>
      <c r="DV258" s="831"/>
      <c r="MA258" s="831"/>
    </row>
    <row r="259" spans="1:339" ht="24.95" customHeight="1">
      <c r="A259" s="123"/>
      <c r="B259" s="653"/>
      <c r="C259" s="827">
        <v>9</v>
      </c>
      <c r="D259" s="827" t="s">
        <v>460</v>
      </c>
      <c r="O259" s="856"/>
      <c r="P259" s="856"/>
      <c r="Q259" s="856"/>
      <c r="S259" s="1455">
        <v>3</v>
      </c>
      <c r="T259" s="958" t="str">
        <f>CONCATENATE("Instalment No.3"," ",  ":","Feb","-","21")</f>
        <v>Instalment No.3 :Feb-21</v>
      </c>
      <c r="U259" s="861">
        <f t="shared" ref="U259:U260" si="279">$U$257</f>
        <v>0</v>
      </c>
      <c r="V259" s="861">
        <f t="shared" ref="V259:V260" si="280">$V$257</f>
        <v>0</v>
      </c>
      <c r="X259" s="856"/>
      <c r="Y259" s="859"/>
      <c r="Z259" s="856"/>
      <c r="AA259" s="955"/>
      <c r="AB259" s="856"/>
      <c r="AH259" s="831"/>
      <c r="AK259" s="4079"/>
      <c r="AL259" s="4079"/>
      <c r="AM259" s="4079"/>
      <c r="DV259" s="831"/>
      <c r="MA259" s="831"/>
    </row>
    <row r="260" spans="1:339" ht="24.95" customHeight="1">
      <c r="A260" s="123"/>
      <c r="B260" s="653"/>
      <c r="C260" s="827">
        <v>10</v>
      </c>
      <c r="D260" s="827" t="s">
        <v>463</v>
      </c>
      <c r="O260" s="856"/>
      <c r="P260" s="856"/>
      <c r="Q260" s="856"/>
      <c r="S260" s="1455">
        <v>4</v>
      </c>
      <c r="T260" s="958" t="str">
        <f>CONCATENATE("Instalment No.4"," ",  ":","Mar","-","21")</f>
        <v>Instalment No.4 :Mar-21</v>
      </c>
      <c r="U260" s="861">
        <f t="shared" si="279"/>
        <v>0</v>
      </c>
      <c r="V260" s="861">
        <f t="shared" si="280"/>
        <v>0</v>
      </c>
      <c r="X260" s="856"/>
      <c r="Y260" s="859"/>
      <c r="Z260" s="856"/>
      <c r="AA260" s="955"/>
      <c r="AB260" s="856"/>
      <c r="AH260" s="831"/>
      <c r="AK260" s="4079"/>
      <c r="AL260" s="4079"/>
      <c r="AM260" s="4079"/>
      <c r="DV260" s="831"/>
      <c r="MA260" s="831"/>
    </row>
    <row r="261" spans="1:339" ht="24.95" customHeight="1">
      <c r="A261" s="123"/>
      <c r="B261" s="653"/>
      <c r="C261" s="827">
        <v>11</v>
      </c>
      <c r="D261" s="827" t="s">
        <v>464</v>
      </c>
      <c r="O261" s="856"/>
      <c r="P261" s="856"/>
      <c r="Q261" s="856"/>
      <c r="AH261" s="831"/>
      <c r="AK261" s="4079"/>
      <c r="AL261" s="4079"/>
      <c r="AM261" s="4079"/>
      <c r="DV261" s="831"/>
      <c r="MA261" s="831"/>
    </row>
    <row r="262" spans="1:339" ht="24.95" customHeight="1">
      <c r="A262" s="123"/>
      <c r="B262" s="653"/>
      <c r="C262" s="827">
        <v>12</v>
      </c>
      <c r="D262" s="827" t="s">
        <v>467</v>
      </c>
      <c r="AH262" s="831"/>
      <c r="AK262" s="4079"/>
      <c r="AL262" s="4079"/>
      <c r="AM262" s="4079"/>
      <c r="DV262" s="831"/>
      <c r="MA262" s="831"/>
    </row>
    <row r="263" spans="1:339" ht="24.95" customHeight="1">
      <c r="A263" s="123"/>
      <c r="B263" s="653"/>
      <c r="AH263" s="831"/>
      <c r="AK263" s="4079"/>
      <c r="AL263" s="4079"/>
      <c r="AM263" s="4079"/>
      <c r="DV263" s="831"/>
      <c r="MA263" s="831"/>
    </row>
    <row r="264" spans="1:339" ht="24.95" customHeight="1">
      <c r="A264" s="123"/>
      <c r="B264" s="653"/>
      <c r="AH264" s="831"/>
      <c r="AK264" s="4079"/>
      <c r="AL264" s="4079"/>
      <c r="AM264" s="4079"/>
      <c r="DV264" s="831"/>
      <c r="MA264" s="831"/>
    </row>
    <row r="265" spans="1:339" ht="24.95" customHeight="1">
      <c r="A265" s="123"/>
      <c r="B265" s="653"/>
      <c r="AH265" s="831"/>
      <c r="AK265" s="4079"/>
      <c r="AL265" s="4079"/>
      <c r="AM265" s="4079"/>
      <c r="DV265" s="831"/>
      <c r="MA265" s="831"/>
    </row>
    <row r="266" spans="1:339" ht="24.95" customHeight="1">
      <c r="A266" s="123"/>
      <c r="B266" s="653"/>
      <c r="AH266" s="831"/>
      <c r="AK266" s="4079"/>
      <c r="AL266" s="4079"/>
      <c r="AM266" s="4079"/>
      <c r="DV266" s="831"/>
      <c r="MA266" s="831"/>
    </row>
    <row r="267" spans="1:339" ht="24.95" customHeight="1">
      <c r="A267" s="123"/>
      <c r="B267" s="653"/>
      <c r="AH267" s="831"/>
      <c r="DV267" s="831"/>
      <c r="MA267" s="831"/>
    </row>
    <row r="268" spans="1:339" ht="30" customHeight="1">
      <c r="A268" s="123"/>
      <c r="B268" s="653"/>
      <c r="C268" s="941"/>
      <c r="D268" s="941"/>
      <c r="E268" s="941"/>
      <c r="F268" s="941"/>
      <c r="G268" s="941"/>
      <c r="H268" s="941"/>
      <c r="I268" s="941"/>
      <c r="J268" s="941"/>
      <c r="K268" s="941"/>
      <c r="L268" s="941"/>
      <c r="M268" s="941"/>
      <c r="N268" s="941"/>
      <c r="O268" s="941"/>
      <c r="P268" s="941"/>
      <c r="Q268" s="833"/>
      <c r="R268" s="941"/>
      <c r="S268" s="941"/>
      <c r="T268" s="5271" t="s">
        <v>1435</v>
      </c>
      <c r="U268" s="5365"/>
      <c r="V268" s="5365"/>
      <c r="W268" s="5365"/>
      <c r="X268" s="5365"/>
      <c r="Y268" s="5365"/>
      <c r="Z268" s="5365"/>
      <c r="AA268" s="5366"/>
      <c r="AB268" s="2359" t="str">
        <f>LOOKUP(AC268,$AA$14:$AA$19,$AB$14:$AB$19)</f>
        <v>Rs.68900-205500</v>
      </c>
      <c r="AC268" s="2363">
        <v>2</v>
      </c>
      <c r="AD268" s="941"/>
      <c r="AE268" s="941"/>
      <c r="AF268" s="941"/>
      <c r="AG268" s="941"/>
      <c r="AH268" s="941"/>
      <c r="AI268" s="941"/>
      <c r="AJ268" s="941"/>
      <c r="AK268" s="941"/>
      <c r="AL268" s="941"/>
      <c r="AM268" s="941"/>
      <c r="AN268" s="941"/>
      <c r="AO268" s="941"/>
      <c r="AP268" s="941"/>
      <c r="AQ268" s="941"/>
      <c r="AR268" s="941"/>
      <c r="AS268" s="941"/>
      <c r="AT268" s="941"/>
      <c r="AU268" s="941"/>
      <c r="AV268" s="941"/>
      <c r="AW268" s="941"/>
      <c r="AX268" s="941"/>
      <c r="AY268" s="941"/>
      <c r="AZ268" s="941"/>
      <c r="BA268" s="941"/>
      <c r="BB268" s="941"/>
      <c r="BC268" s="941"/>
      <c r="BD268" s="941"/>
      <c r="BE268" s="941"/>
      <c r="BF268" s="941"/>
      <c r="BG268" s="941"/>
      <c r="BH268" s="941"/>
      <c r="BI268" s="941"/>
      <c r="BJ268" s="941"/>
      <c r="BK268" s="941"/>
      <c r="BL268" s="941"/>
      <c r="BM268" s="941"/>
      <c r="BN268" s="941"/>
      <c r="BO268" s="941"/>
      <c r="BP268" s="941"/>
      <c r="BQ268" s="941"/>
      <c r="BR268" s="941"/>
      <c r="BS268" s="941"/>
      <c r="BT268" s="941"/>
      <c r="BU268" s="941"/>
      <c r="BV268" s="941"/>
      <c r="BW268" s="941"/>
      <c r="BX268" s="941"/>
      <c r="BY268" s="941"/>
      <c r="BZ268" s="941"/>
      <c r="CA268" s="941"/>
      <c r="CB268" s="941"/>
      <c r="CC268" s="941"/>
      <c r="CD268" s="941"/>
      <c r="CE268" s="941"/>
      <c r="CF268" s="941"/>
      <c r="CG268" s="941"/>
      <c r="CH268" s="941"/>
      <c r="CI268" s="941"/>
      <c r="CJ268" s="941"/>
      <c r="CK268" s="941"/>
      <c r="CL268" s="941"/>
      <c r="CM268" s="941"/>
      <c r="CN268" s="941"/>
      <c r="CO268" s="941"/>
      <c r="CP268" s="941"/>
      <c r="CQ268" s="941"/>
      <c r="CR268" s="941"/>
      <c r="CS268" s="941"/>
      <c r="CT268" s="941"/>
      <c r="CU268" s="941"/>
      <c r="CV268" s="941"/>
      <c r="CW268" s="941"/>
      <c r="CX268" s="941"/>
      <c r="CY268" s="941"/>
      <c r="CZ268" s="941"/>
      <c r="DA268" s="941"/>
      <c r="DB268" s="941"/>
      <c r="DC268" s="941"/>
      <c r="DD268" s="941"/>
      <c r="DE268" s="941"/>
      <c r="DF268" s="941"/>
      <c r="DG268" s="941"/>
      <c r="DH268" s="941"/>
      <c r="DI268" s="941"/>
      <c r="DJ268" s="941"/>
      <c r="DK268" s="941"/>
      <c r="DL268" s="941"/>
      <c r="DM268" s="941"/>
      <c r="DN268" s="941"/>
      <c r="DO268" s="941"/>
      <c r="DP268" s="941"/>
      <c r="DQ268" s="941"/>
      <c r="DR268" s="941"/>
      <c r="DS268" s="941"/>
      <c r="DT268" s="941"/>
      <c r="DU268" s="941"/>
      <c r="DV268" s="864"/>
      <c r="DW268" s="941"/>
      <c r="DX268" s="941"/>
      <c r="DY268" s="941"/>
      <c r="DZ268" s="941"/>
      <c r="EA268" s="941"/>
      <c r="EB268" s="941"/>
      <c r="EC268" s="941"/>
      <c r="ED268" s="941"/>
      <c r="EE268" s="941"/>
      <c r="EF268" s="941"/>
      <c r="EG268" s="941"/>
      <c r="EH268" s="941"/>
      <c r="EI268" s="941"/>
      <c r="EJ268" s="941"/>
      <c r="EK268" s="941"/>
      <c r="EL268" s="941"/>
      <c r="EM268" s="941"/>
      <c r="EN268" s="941"/>
      <c r="EO268" s="941"/>
      <c r="EP268" s="941"/>
      <c r="EQ268" s="941"/>
      <c r="ER268" s="941"/>
      <c r="ES268" s="941"/>
      <c r="ET268" s="941"/>
      <c r="EU268" s="941"/>
      <c r="EV268" s="941"/>
      <c r="EW268" s="941"/>
      <c r="EX268" s="941"/>
      <c r="EY268" s="941"/>
      <c r="EZ268" s="941"/>
      <c r="FA268" s="941"/>
      <c r="FB268" s="941"/>
      <c r="FC268" s="941"/>
      <c r="FD268" s="941"/>
      <c r="FE268" s="941"/>
      <c r="FF268" s="941"/>
      <c r="FG268" s="941"/>
      <c r="FH268" s="941"/>
      <c r="FI268" s="941"/>
      <c r="FJ268" s="941"/>
      <c r="FK268" s="941"/>
      <c r="FL268" s="941"/>
      <c r="FM268" s="941"/>
      <c r="FN268" s="941"/>
      <c r="FO268" s="941"/>
      <c r="FP268" s="941"/>
      <c r="FQ268" s="941"/>
      <c r="FR268" s="941"/>
      <c r="FS268" s="941"/>
      <c r="FT268" s="941"/>
      <c r="FU268" s="941"/>
      <c r="FV268" s="941"/>
      <c r="FW268" s="941"/>
      <c r="FX268" s="941"/>
      <c r="FY268" s="941"/>
      <c r="FZ268" s="941"/>
      <c r="GA268" s="941"/>
      <c r="GB268" s="941"/>
      <c r="GC268" s="941"/>
      <c r="GD268" s="941"/>
      <c r="GE268" s="941"/>
      <c r="GF268" s="941"/>
      <c r="GG268" s="941"/>
      <c r="GH268" s="941"/>
      <c r="GI268" s="941"/>
      <c r="GJ268" s="941"/>
      <c r="GK268" s="941"/>
      <c r="GL268" s="941"/>
      <c r="GM268" s="941"/>
      <c r="GN268" s="941"/>
      <c r="GO268" s="941"/>
      <c r="GP268" s="941"/>
      <c r="GQ268" s="941"/>
      <c r="GR268" s="941"/>
      <c r="GS268" s="941"/>
      <c r="GT268" s="941"/>
      <c r="GU268" s="941"/>
      <c r="GV268" s="941"/>
      <c r="GW268" s="941"/>
      <c r="GX268" s="941"/>
      <c r="GY268" s="941"/>
      <c r="GZ268" s="941"/>
      <c r="HA268" s="941"/>
      <c r="HB268" s="941"/>
      <c r="HC268" s="941"/>
      <c r="HD268" s="941"/>
      <c r="HE268" s="941"/>
      <c r="HF268" s="941"/>
      <c r="HG268" s="941"/>
      <c r="HH268" s="941"/>
      <c r="HI268" s="941"/>
      <c r="HJ268" s="941"/>
      <c r="HK268" s="941"/>
      <c r="HL268" s="941"/>
      <c r="HM268" s="941"/>
      <c r="HN268" s="941"/>
      <c r="HO268" s="941"/>
      <c r="HP268" s="941"/>
      <c r="HQ268" s="941"/>
      <c r="HR268" s="941"/>
      <c r="HS268" s="941"/>
      <c r="HT268" s="941"/>
      <c r="HU268" s="941"/>
      <c r="HV268" s="941"/>
      <c r="HW268" s="941"/>
      <c r="HX268" s="941"/>
      <c r="HY268" s="941"/>
      <c r="HZ268" s="941"/>
      <c r="IA268" s="941"/>
      <c r="IB268" s="941"/>
      <c r="IC268" s="941"/>
      <c r="ID268" s="941"/>
      <c r="IE268" s="941"/>
      <c r="IF268" s="941"/>
      <c r="IG268" s="941"/>
      <c r="IH268" s="941"/>
      <c r="II268" s="941"/>
      <c r="IJ268" s="941"/>
      <c r="IK268" s="941"/>
      <c r="IL268" s="941"/>
      <c r="IM268" s="941"/>
      <c r="IN268" s="941"/>
      <c r="IO268" s="941"/>
      <c r="IP268" s="941"/>
      <c r="IQ268" s="941"/>
      <c r="IR268" s="941"/>
      <c r="IS268" s="941"/>
      <c r="IT268" s="941"/>
      <c r="IU268" s="941"/>
      <c r="IV268" s="941"/>
      <c r="IW268" s="941"/>
      <c r="IX268" s="941"/>
      <c r="IY268" s="941"/>
      <c r="IZ268" s="941"/>
      <c r="JA268" s="941"/>
      <c r="JB268" s="941"/>
      <c r="JC268" s="941"/>
      <c r="JD268" s="941"/>
      <c r="JE268" s="941"/>
      <c r="JF268" s="941"/>
      <c r="JG268" s="941"/>
      <c r="JH268" s="941"/>
      <c r="JI268" s="941"/>
      <c r="JJ268" s="941"/>
      <c r="JK268" s="941"/>
      <c r="JL268" s="941"/>
      <c r="JM268" s="941"/>
      <c r="JN268" s="941"/>
      <c r="JO268" s="941"/>
      <c r="JP268" s="941"/>
      <c r="JQ268" s="941"/>
      <c r="JR268" s="941"/>
      <c r="JS268" s="941"/>
      <c r="JT268" s="941"/>
      <c r="JU268" s="941"/>
      <c r="JV268" s="941"/>
      <c r="JW268" s="941"/>
      <c r="JX268" s="941"/>
      <c r="JY268" s="941"/>
      <c r="JZ268" s="941"/>
      <c r="KA268" s="941"/>
      <c r="KB268" s="941"/>
      <c r="KC268" s="941"/>
      <c r="KD268" s="941"/>
      <c r="KE268" s="941"/>
      <c r="KF268" s="941"/>
      <c r="KG268" s="941"/>
      <c r="KH268" s="941"/>
      <c r="KI268" s="941"/>
      <c r="KJ268" s="941"/>
      <c r="KK268" s="941"/>
      <c r="KL268" s="941"/>
      <c r="KM268" s="941"/>
      <c r="KN268" s="941"/>
      <c r="KO268" s="941"/>
      <c r="KP268" s="941"/>
      <c r="KQ268" s="941"/>
      <c r="KR268" s="941"/>
      <c r="KS268" s="941"/>
      <c r="KT268" s="941"/>
      <c r="KU268" s="941"/>
      <c r="KV268" s="941"/>
      <c r="KW268" s="941"/>
      <c r="KX268" s="941"/>
      <c r="KY268" s="941"/>
      <c r="KZ268" s="941"/>
      <c r="LA268" s="941"/>
      <c r="LB268" s="941"/>
      <c r="LC268" s="941"/>
      <c r="LD268" s="941"/>
      <c r="LE268" s="941"/>
      <c r="LF268" s="941"/>
      <c r="LG268" s="941"/>
      <c r="LH268" s="941"/>
      <c r="LI268" s="941"/>
      <c r="LJ268" s="941"/>
      <c r="LK268" s="941"/>
      <c r="LL268" s="941"/>
      <c r="LM268" s="941"/>
      <c r="LN268" s="941"/>
      <c r="LO268" s="941"/>
      <c r="LP268" s="941"/>
      <c r="LQ268" s="941"/>
      <c r="LR268" s="941"/>
      <c r="LS268" s="941"/>
      <c r="LT268" s="941"/>
      <c r="LU268" s="941"/>
      <c r="LV268" s="941"/>
      <c r="LW268" s="941"/>
      <c r="LX268" s="941"/>
      <c r="LY268" s="941"/>
      <c r="LZ268" s="941"/>
      <c r="MA268" s="864"/>
    </row>
    <row r="269" spans="1:339" ht="30" customHeight="1">
      <c r="A269" s="123"/>
      <c r="B269" s="653"/>
      <c r="C269" s="1839"/>
      <c r="D269" s="1839"/>
      <c r="E269" s="1839"/>
      <c r="F269" s="1839"/>
      <c r="G269" s="1839"/>
      <c r="H269" s="5719"/>
      <c r="I269" s="5719"/>
      <c r="J269" s="5719"/>
      <c r="K269" s="5719"/>
      <c r="L269" s="5719"/>
      <c r="M269" s="1906"/>
      <c r="N269" s="1905"/>
      <c r="O269" s="1840"/>
      <c r="P269" s="1839"/>
      <c r="Q269" s="833"/>
      <c r="R269" s="1839"/>
      <c r="S269" s="1839"/>
      <c r="T269" s="5265" t="s">
        <v>836</v>
      </c>
      <c r="U269" s="5367"/>
      <c r="V269" s="5367"/>
      <c r="W269" s="5367"/>
      <c r="X269" s="5367"/>
      <c r="Y269" s="5367"/>
      <c r="Z269" s="5367"/>
      <c r="AA269" s="5368"/>
      <c r="AB269" s="2360">
        <f>VLOOKUP(AC269,$AA$14:$AC$19,3)</f>
        <v>11</v>
      </c>
      <c r="AC269" s="2274">
        <f>AC268</f>
        <v>2</v>
      </c>
      <c r="AD269" s="1839"/>
      <c r="AE269" s="1839"/>
      <c r="AF269" s="1839"/>
      <c r="AG269" s="1839"/>
      <c r="AH269" s="1839"/>
      <c r="AI269" s="1839"/>
      <c r="AJ269" s="1839"/>
      <c r="AK269" s="1839"/>
      <c r="AL269" s="1839"/>
      <c r="AM269" s="1839"/>
      <c r="AN269" s="1839"/>
      <c r="AO269" s="1839"/>
      <c r="AP269" s="1839"/>
      <c r="AQ269" s="1839"/>
      <c r="AR269" s="1839"/>
      <c r="AS269" s="1839"/>
      <c r="AT269" s="1839"/>
      <c r="AU269" s="1839"/>
      <c r="AV269" s="1839"/>
      <c r="AW269" s="1839"/>
      <c r="AX269" s="1839"/>
      <c r="AY269" s="1839"/>
      <c r="AZ269" s="1839"/>
      <c r="BA269" s="1839"/>
      <c r="BB269" s="1839"/>
      <c r="BC269" s="1839"/>
      <c r="BD269" s="1839"/>
      <c r="BE269" s="1839"/>
      <c r="BF269" s="1839"/>
      <c r="BG269" s="1839"/>
      <c r="BH269" s="1839"/>
      <c r="BI269" s="1839"/>
      <c r="BJ269" s="1839"/>
      <c r="BK269" s="1839"/>
      <c r="BL269" s="1839"/>
      <c r="BM269" s="1839"/>
      <c r="BN269" s="1839"/>
      <c r="BO269" s="1839"/>
      <c r="BP269" s="1839"/>
      <c r="BQ269" s="1839"/>
      <c r="BR269" s="1839"/>
      <c r="BS269" s="1839"/>
      <c r="BT269" s="1839"/>
      <c r="BU269" s="1839"/>
      <c r="BV269" s="1839"/>
      <c r="BW269" s="1839"/>
      <c r="BX269" s="1839"/>
      <c r="BY269" s="1839"/>
      <c r="BZ269" s="1839"/>
      <c r="CA269" s="1839"/>
      <c r="CB269" s="1839"/>
      <c r="CC269" s="1839"/>
      <c r="CD269" s="1839"/>
      <c r="CE269" s="1839"/>
      <c r="CF269" s="1839"/>
      <c r="CG269" s="1839"/>
      <c r="CH269" s="1839"/>
      <c r="CI269" s="1839"/>
      <c r="CJ269" s="1839"/>
      <c r="CK269" s="1839"/>
      <c r="CL269" s="1839"/>
      <c r="CM269" s="1839"/>
      <c r="CN269" s="1839"/>
      <c r="CO269" s="1839"/>
      <c r="CP269" s="1839"/>
      <c r="CQ269" s="1839"/>
      <c r="CR269" s="1839"/>
      <c r="CS269" s="1839"/>
      <c r="CT269" s="1839"/>
      <c r="CU269" s="1839"/>
      <c r="CV269" s="1839"/>
      <c r="CW269" s="1839"/>
      <c r="CX269" s="1839"/>
      <c r="CY269" s="1839"/>
      <c r="CZ269" s="1839"/>
      <c r="DA269" s="1839"/>
      <c r="DB269" s="1839"/>
      <c r="DC269" s="1839"/>
      <c r="DD269" s="1839"/>
      <c r="DE269" s="1839"/>
      <c r="DF269" s="1839"/>
      <c r="DG269" s="1839"/>
      <c r="DH269" s="1839"/>
      <c r="DI269" s="1839"/>
      <c r="DJ269" s="1839"/>
      <c r="DK269" s="1839"/>
      <c r="DL269" s="1839"/>
      <c r="DM269" s="1839"/>
      <c r="DN269" s="1839"/>
      <c r="DO269" s="1839"/>
      <c r="DP269" s="1839"/>
      <c r="DQ269" s="1839"/>
      <c r="DR269" s="1839"/>
      <c r="DS269" s="1839"/>
      <c r="DT269" s="1839"/>
      <c r="DU269" s="1839"/>
    </row>
    <row r="270" spans="1:339" ht="30" customHeight="1">
      <c r="A270" s="123"/>
      <c r="B270" s="653"/>
      <c r="C270" s="831"/>
      <c r="D270" s="831"/>
      <c r="E270" s="831"/>
      <c r="F270" s="831"/>
      <c r="G270" s="831"/>
      <c r="H270" s="831"/>
      <c r="I270" s="831"/>
      <c r="J270" s="831"/>
      <c r="K270" s="1841"/>
      <c r="L270" s="1841"/>
      <c r="M270" s="1842"/>
      <c r="N270" s="1841"/>
      <c r="O270" s="1843"/>
      <c r="P270" s="831"/>
      <c r="Q270" s="833"/>
      <c r="R270" s="831"/>
      <c r="S270" s="831"/>
      <c r="T270" s="5276" t="s">
        <v>1436</v>
      </c>
      <c r="U270" s="5260"/>
      <c r="V270" s="5260"/>
      <c r="W270" s="5260"/>
      <c r="X270" s="5260"/>
      <c r="Y270" s="5260"/>
      <c r="Z270" s="5260"/>
      <c r="AA270" s="5361"/>
      <c r="AB270" s="954">
        <f>LOOKUP(AC270,$T$326:$T$365,$U$326:$U$365)</f>
        <v>84800</v>
      </c>
      <c r="AC270" s="2361">
        <v>8</v>
      </c>
      <c r="AD270" s="831"/>
      <c r="AE270" s="831"/>
      <c r="AF270" s="831"/>
      <c r="AG270" s="831"/>
      <c r="AH270" s="831"/>
      <c r="AI270" s="831"/>
      <c r="AJ270" s="831"/>
      <c r="AK270" s="831"/>
      <c r="AL270" s="831"/>
      <c r="AM270" s="831"/>
      <c r="AN270" s="831"/>
      <c r="AO270" s="831"/>
      <c r="AP270" s="831"/>
      <c r="AQ270" s="831"/>
      <c r="AR270" s="831"/>
      <c r="AS270" s="831"/>
      <c r="AT270" s="831"/>
      <c r="AU270" s="831"/>
      <c r="AV270" s="831"/>
      <c r="AW270" s="831"/>
      <c r="AX270" s="831"/>
      <c r="AY270" s="831"/>
      <c r="AZ270" s="831"/>
      <c r="BA270" s="831"/>
      <c r="BB270" s="831"/>
      <c r="BC270" s="831"/>
      <c r="BD270" s="831"/>
      <c r="BE270" s="831"/>
      <c r="BF270" s="831"/>
      <c r="BG270" s="831"/>
      <c r="BH270" s="831"/>
      <c r="BI270" s="831"/>
      <c r="BJ270" s="831"/>
      <c r="BK270" s="831"/>
      <c r="BL270" s="831"/>
      <c r="BM270" s="831"/>
      <c r="BN270" s="831"/>
      <c r="BO270" s="831"/>
      <c r="BP270" s="831"/>
      <c r="BQ270" s="831"/>
      <c r="BR270" s="831"/>
      <c r="BS270" s="831"/>
      <c r="BT270" s="831"/>
      <c r="BU270" s="831"/>
      <c r="BV270" s="831"/>
      <c r="BW270" s="831"/>
      <c r="BX270" s="831"/>
      <c r="BY270" s="831"/>
      <c r="BZ270" s="831"/>
      <c r="CA270" s="831"/>
      <c r="CB270" s="831"/>
      <c r="CC270" s="831"/>
      <c r="CD270" s="831"/>
      <c r="CE270" s="831"/>
      <c r="CF270" s="831"/>
      <c r="CG270" s="831"/>
      <c r="CH270" s="831"/>
      <c r="CI270" s="831"/>
      <c r="CJ270" s="831"/>
      <c r="CK270" s="831"/>
      <c r="CL270" s="831"/>
      <c r="CM270" s="831"/>
      <c r="CN270" s="831"/>
      <c r="CO270" s="831"/>
      <c r="CP270" s="831"/>
      <c r="CQ270" s="831"/>
      <c r="CR270" s="831"/>
      <c r="CS270" s="831"/>
      <c r="CT270" s="831"/>
      <c r="CU270" s="831"/>
      <c r="CV270" s="831"/>
      <c r="CW270" s="831"/>
      <c r="CX270" s="831"/>
      <c r="CY270" s="831"/>
      <c r="CZ270" s="831"/>
      <c r="DA270" s="831"/>
      <c r="DB270" s="831"/>
      <c r="DC270" s="831"/>
      <c r="DD270" s="831"/>
      <c r="DE270" s="831"/>
      <c r="DF270" s="831"/>
      <c r="DG270" s="831"/>
      <c r="DH270" s="831"/>
      <c r="DI270" s="831"/>
      <c r="DJ270" s="831"/>
      <c r="DK270" s="831"/>
      <c r="DL270" s="831"/>
      <c r="DM270" s="831"/>
      <c r="DN270" s="831"/>
      <c r="DO270" s="831"/>
      <c r="DP270" s="831"/>
      <c r="DQ270" s="831"/>
      <c r="DR270" s="831"/>
      <c r="DS270" s="831"/>
      <c r="DT270" s="831"/>
      <c r="DU270" s="831"/>
    </row>
    <row r="271" spans="1:339" ht="30" customHeight="1">
      <c r="A271" s="123"/>
      <c r="B271" s="653"/>
      <c r="C271" s="1293"/>
      <c r="D271" s="1293"/>
      <c r="E271" s="1293"/>
      <c r="F271" s="1293"/>
      <c r="G271" s="1293"/>
      <c r="H271" s="1293"/>
      <c r="I271" s="1293"/>
      <c r="J271" s="1293"/>
      <c r="K271" s="1837"/>
      <c r="L271" s="1837"/>
      <c r="M271" s="1836"/>
      <c r="N271" s="1837"/>
      <c r="O271" s="1838"/>
      <c r="P271" s="1293"/>
      <c r="Q271" s="833"/>
      <c r="R271" s="1293"/>
      <c r="S271" s="1293"/>
      <c r="T271" s="5362" t="s">
        <v>1601</v>
      </c>
      <c r="U271" s="5363"/>
      <c r="V271" s="5363"/>
      <c r="W271" s="5363"/>
      <c r="X271" s="5363"/>
      <c r="Y271" s="5363"/>
      <c r="Z271" s="5363"/>
      <c r="AA271" s="5364"/>
      <c r="AB271" s="2278" t="str">
        <f>LOOKUP(AC271,$AE$14:$AE$15,$AG$14:$AG$15)</f>
        <v>Yes</v>
      </c>
      <c r="AC271" s="2281">
        <v>2</v>
      </c>
      <c r="AD271" s="2366"/>
      <c r="AE271" s="1293"/>
      <c r="AF271" s="1293"/>
      <c r="AG271" s="1293"/>
      <c r="AH271" s="1293"/>
      <c r="AI271" s="1293"/>
      <c r="AJ271" s="1293"/>
      <c r="AK271" s="1293"/>
      <c r="AL271" s="1293"/>
      <c r="AM271" s="1293"/>
      <c r="AN271" s="1293"/>
      <c r="AO271" s="1293"/>
      <c r="AP271" s="1293"/>
      <c r="AQ271" s="1293"/>
      <c r="AR271" s="1293"/>
      <c r="AS271" s="1293"/>
      <c r="AT271" s="1293"/>
      <c r="AU271" s="1293"/>
      <c r="AV271" s="1293"/>
      <c r="AW271" s="1293"/>
      <c r="AX271" s="1293"/>
      <c r="AY271" s="1293"/>
      <c r="AZ271" s="1293"/>
      <c r="BA271" s="1293"/>
      <c r="BB271" s="1293"/>
      <c r="BC271" s="1293"/>
      <c r="BD271" s="1293"/>
      <c r="BE271" s="1293"/>
      <c r="BF271" s="1293"/>
      <c r="BG271" s="1293"/>
      <c r="BH271" s="1293"/>
      <c r="BI271" s="1293"/>
      <c r="BJ271" s="1293"/>
      <c r="BK271" s="1293"/>
      <c r="BL271" s="1293"/>
      <c r="BM271" s="1293"/>
      <c r="BN271" s="1293"/>
      <c r="BO271" s="1293"/>
      <c r="BP271" s="1293"/>
      <c r="BQ271" s="1293"/>
      <c r="BR271" s="1293"/>
      <c r="BS271" s="1293"/>
      <c r="BT271" s="1293"/>
      <c r="BU271" s="1293"/>
      <c r="BV271" s="1293"/>
      <c r="BW271" s="1293"/>
      <c r="BX271" s="1293"/>
      <c r="BY271" s="1293"/>
      <c r="BZ271" s="1293"/>
      <c r="CA271" s="1293"/>
      <c r="CB271" s="1293"/>
      <c r="CC271" s="1293"/>
      <c r="CD271" s="1293"/>
      <c r="CE271" s="1293"/>
      <c r="CF271" s="1293"/>
      <c r="CG271" s="1293"/>
      <c r="CH271" s="1293"/>
      <c r="CI271" s="1293"/>
      <c r="CJ271" s="1293"/>
      <c r="CK271" s="1293"/>
      <c r="CL271" s="1293"/>
      <c r="CM271" s="1293"/>
      <c r="CN271" s="1293"/>
      <c r="CO271" s="1293"/>
      <c r="CP271" s="1293"/>
      <c r="CQ271" s="1293"/>
      <c r="CR271" s="1293"/>
      <c r="CS271" s="1293"/>
      <c r="CT271" s="1293"/>
      <c r="CU271" s="1293"/>
      <c r="CV271" s="1293"/>
      <c r="CW271" s="1293"/>
      <c r="CX271" s="1293"/>
      <c r="CY271" s="1293"/>
      <c r="CZ271" s="1293"/>
      <c r="DA271" s="1293"/>
      <c r="DB271" s="1293"/>
      <c r="DC271" s="1293"/>
      <c r="DD271" s="1293"/>
      <c r="DE271" s="1293"/>
      <c r="DF271" s="1293"/>
      <c r="DG271" s="1293"/>
      <c r="DH271" s="1293"/>
      <c r="DI271" s="1293"/>
      <c r="DJ271" s="1293"/>
      <c r="DK271" s="1293"/>
      <c r="DL271" s="1293"/>
      <c r="DM271" s="1293"/>
      <c r="DN271" s="1293"/>
      <c r="DO271" s="1293"/>
      <c r="DP271" s="1293"/>
      <c r="DQ271" s="1293"/>
      <c r="DR271" s="1293"/>
      <c r="DS271" s="1293"/>
      <c r="DT271" s="1293"/>
      <c r="DU271" s="1293"/>
    </row>
    <row r="272" spans="1:339" ht="30" customHeight="1">
      <c r="A272" s="123"/>
      <c r="B272" s="653"/>
      <c r="C272" s="1844"/>
      <c r="D272" s="1844"/>
      <c r="E272" s="1844"/>
      <c r="F272" s="1844"/>
      <c r="G272" s="1844"/>
      <c r="H272" s="1844"/>
      <c r="I272" s="1844"/>
      <c r="J272" s="1844"/>
      <c r="K272" s="1844"/>
      <c r="L272" s="1844"/>
      <c r="M272" s="941"/>
      <c r="N272" s="941"/>
      <c r="O272" s="941"/>
      <c r="P272" s="941"/>
      <c r="Q272" s="2346"/>
      <c r="R272" s="2349"/>
      <c r="S272" s="2349"/>
      <c r="T272" s="5345" t="s">
        <v>843</v>
      </c>
      <c r="U272" s="5346"/>
      <c r="V272" s="5346"/>
      <c r="W272" s="5346"/>
      <c r="X272" s="5346"/>
      <c r="Y272" s="5346"/>
      <c r="Z272" s="5347"/>
      <c r="AA272" s="2371">
        <f>LOOKUP(AC272,$AO$14:$AO$15,$AQ$14:$AQ$15)</f>
        <v>1</v>
      </c>
      <c r="AB272" s="2367" t="str">
        <f>LOOKUP(AC272,$AO$14:$AO$15,$AP$14:$AP$15)</f>
        <v>M.Phil</v>
      </c>
      <c r="AC272" s="2364">
        <v>1</v>
      </c>
      <c r="AD272" s="942"/>
      <c r="AE272" s="942"/>
      <c r="AF272" s="942"/>
      <c r="AG272" s="942"/>
      <c r="AH272" s="942"/>
      <c r="AI272" s="942"/>
      <c r="AJ272" s="942"/>
      <c r="AK272" s="942"/>
      <c r="AL272" s="942"/>
      <c r="AM272" s="942"/>
      <c r="AN272" s="942"/>
      <c r="AO272" s="942"/>
      <c r="AP272" s="942"/>
      <c r="AQ272" s="942"/>
      <c r="AR272" s="942"/>
      <c r="AS272" s="942"/>
      <c r="AT272" s="942"/>
      <c r="AU272" s="942"/>
      <c r="AV272" s="942"/>
      <c r="AW272" s="942"/>
      <c r="AX272" s="942"/>
      <c r="AY272" s="942"/>
      <c r="AZ272" s="942"/>
      <c r="BA272" s="942"/>
      <c r="BB272" s="942"/>
      <c r="BC272" s="942"/>
      <c r="BD272" s="942"/>
      <c r="BE272" s="942"/>
      <c r="BF272" s="942"/>
      <c r="BG272" s="942"/>
      <c r="BH272" s="942"/>
      <c r="BI272" s="942"/>
      <c r="BJ272" s="942"/>
      <c r="BK272" s="942"/>
      <c r="BL272" s="942"/>
      <c r="BM272" s="942"/>
      <c r="BN272" s="942"/>
      <c r="BO272" s="942"/>
      <c r="BP272" s="942"/>
      <c r="BQ272" s="942"/>
      <c r="BR272" s="942"/>
      <c r="BS272" s="942"/>
      <c r="BT272" s="942"/>
      <c r="BU272" s="942"/>
      <c r="BV272" s="942"/>
      <c r="BW272" s="942"/>
      <c r="BX272" s="942"/>
      <c r="BY272" s="942"/>
      <c r="BZ272" s="942"/>
      <c r="CA272" s="942"/>
      <c r="CB272" s="942"/>
      <c r="CC272" s="942"/>
      <c r="CD272" s="942"/>
      <c r="CE272" s="942"/>
      <c r="CF272" s="942"/>
      <c r="CG272" s="942"/>
      <c r="CH272" s="942"/>
      <c r="CI272" s="942"/>
      <c r="CJ272" s="942"/>
      <c r="CK272" s="942"/>
      <c r="CL272" s="942"/>
      <c r="CM272" s="942"/>
      <c r="CN272" s="942"/>
      <c r="CO272" s="942"/>
      <c r="CP272" s="942"/>
      <c r="CQ272" s="942"/>
      <c r="CR272" s="942"/>
      <c r="CS272" s="942"/>
      <c r="CT272" s="942"/>
      <c r="CU272" s="942"/>
      <c r="CV272" s="942"/>
      <c r="CW272" s="942"/>
      <c r="CX272" s="942"/>
      <c r="CY272" s="942"/>
      <c r="CZ272" s="942"/>
      <c r="DA272" s="942"/>
      <c r="DB272" s="942"/>
      <c r="DC272" s="942"/>
      <c r="DD272" s="942"/>
      <c r="DE272" s="942"/>
      <c r="DF272" s="942"/>
      <c r="DG272" s="942"/>
      <c r="DH272" s="942"/>
      <c r="DI272" s="942"/>
      <c r="DJ272" s="942"/>
      <c r="DK272" s="942"/>
      <c r="DL272" s="942"/>
      <c r="DM272" s="942"/>
      <c r="DN272" s="942"/>
      <c r="DO272" s="942"/>
      <c r="DP272" s="942"/>
      <c r="DQ272" s="942"/>
      <c r="DR272" s="942"/>
      <c r="DS272" s="942"/>
      <c r="DT272" s="942"/>
      <c r="DU272" s="942"/>
    </row>
    <row r="273" spans="1:125" ht="30" customHeight="1">
      <c r="A273" s="123"/>
      <c r="B273" s="653"/>
      <c r="C273" s="1844"/>
      <c r="D273" s="1844"/>
      <c r="E273" s="1844"/>
      <c r="F273" s="1844"/>
      <c r="G273" s="1844"/>
      <c r="H273" s="1844"/>
      <c r="I273" s="1844"/>
      <c r="J273" s="1844"/>
      <c r="K273" s="1844"/>
      <c r="L273" s="1844"/>
      <c r="M273" s="941"/>
      <c r="N273" s="941"/>
      <c r="O273" s="941"/>
      <c r="P273" s="941"/>
      <c r="Q273" s="2347"/>
      <c r="R273" s="2350"/>
      <c r="S273" s="2350"/>
      <c r="T273" s="5343" t="str">
        <f>CONCATENATE("Select the Date of Acquiring of"," ", AB272," "," Qualification")</f>
        <v>Select the Date of Acquiring of M.Phil  Qualification</v>
      </c>
      <c r="U273" s="5344"/>
      <c r="V273" s="5344"/>
      <c r="W273" s="5344"/>
      <c r="X273" s="5344"/>
      <c r="Y273" s="5344"/>
      <c r="Z273" s="5344"/>
      <c r="AA273" s="2362">
        <v>8</v>
      </c>
      <c r="AB273" s="2368">
        <f>LOOKUP(AC273,$R$282:$R$287,$S$282:$S$287)</f>
        <v>44409</v>
      </c>
      <c r="AC273" s="2365">
        <v>2</v>
      </c>
      <c r="AD273" s="1297"/>
      <c r="AE273" s="1297"/>
      <c r="AF273" s="1297"/>
      <c r="AG273" s="1297"/>
      <c r="AH273" s="1297"/>
      <c r="AI273" s="1297"/>
      <c r="AJ273" s="1297"/>
      <c r="AK273" s="1297"/>
      <c r="AL273" s="1297"/>
      <c r="AM273" s="1297"/>
      <c r="AN273" s="1297"/>
      <c r="AO273" s="1297"/>
      <c r="AP273" s="1297"/>
      <c r="AQ273" s="1297"/>
      <c r="AR273" s="1297"/>
      <c r="AS273" s="1297"/>
      <c r="AT273" s="1297"/>
      <c r="AU273" s="1297"/>
      <c r="AV273" s="1297"/>
      <c r="AW273" s="1297"/>
      <c r="AX273" s="1297"/>
      <c r="AY273" s="1297"/>
      <c r="AZ273" s="1297"/>
      <c r="BA273" s="1297"/>
      <c r="BB273" s="1297"/>
      <c r="BC273" s="1297"/>
      <c r="BD273" s="1297"/>
      <c r="BE273" s="1297"/>
      <c r="BF273" s="1297"/>
      <c r="BG273" s="1297"/>
      <c r="BH273" s="1297"/>
      <c r="BI273" s="1297"/>
      <c r="BJ273" s="1297"/>
      <c r="BK273" s="1297"/>
      <c r="BL273" s="1297"/>
      <c r="BM273" s="1297"/>
      <c r="BN273" s="1297"/>
      <c r="BO273" s="1297"/>
      <c r="BP273" s="1297"/>
      <c r="BQ273" s="1297"/>
      <c r="BR273" s="1297"/>
      <c r="BS273" s="1297"/>
      <c r="BT273" s="1297"/>
      <c r="BU273" s="1297"/>
      <c r="BV273" s="1297"/>
      <c r="BW273" s="1297"/>
      <c r="BX273" s="1297"/>
      <c r="BY273" s="1297"/>
      <c r="BZ273" s="1297"/>
      <c r="CA273" s="1297"/>
      <c r="CB273" s="1297"/>
      <c r="CC273" s="1297"/>
      <c r="CD273" s="1297"/>
      <c r="CE273" s="1297"/>
      <c r="CF273" s="1297"/>
      <c r="CG273" s="1297"/>
      <c r="CH273" s="1297"/>
      <c r="CI273" s="1297"/>
      <c r="CJ273" s="1297"/>
      <c r="CK273" s="1297"/>
      <c r="CL273" s="1297"/>
      <c r="CM273" s="1297"/>
      <c r="CN273" s="1297"/>
      <c r="CO273" s="1297"/>
      <c r="CP273" s="1297"/>
      <c r="CQ273" s="1297"/>
      <c r="CR273" s="1297"/>
      <c r="CS273" s="1297"/>
      <c r="CT273" s="1297"/>
      <c r="CU273" s="1297"/>
      <c r="CV273" s="1297"/>
      <c r="CW273" s="1297"/>
      <c r="CX273" s="1297"/>
      <c r="CY273" s="1297"/>
      <c r="CZ273" s="1297"/>
      <c r="DA273" s="1297"/>
      <c r="DB273" s="1297"/>
      <c r="DC273" s="1297"/>
      <c r="DD273" s="1297"/>
      <c r="DE273" s="1297"/>
      <c r="DF273" s="1297"/>
      <c r="DG273" s="1297"/>
      <c r="DH273" s="1297"/>
      <c r="DI273" s="1297"/>
      <c r="DJ273" s="1297"/>
      <c r="DK273" s="1297"/>
      <c r="DL273" s="1297"/>
      <c r="DM273" s="1297"/>
      <c r="DN273" s="1297"/>
      <c r="DO273" s="1297"/>
      <c r="DP273" s="1297"/>
      <c r="DQ273" s="1297"/>
      <c r="DR273" s="1297"/>
      <c r="DS273" s="1297"/>
      <c r="DT273" s="1297"/>
      <c r="DU273" s="1297"/>
    </row>
    <row r="274" spans="1:125" ht="30" customHeight="1">
      <c r="A274" s="123"/>
      <c r="B274" s="653"/>
      <c r="C274" s="1844"/>
      <c r="D274" s="1844"/>
      <c r="E274" s="1844"/>
      <c r="F274" s="1844"/>
      <c r="G274" s="1844"/>
      <c r="H274" s="1844"/>
      <c r="I274" s="1844"/>
      <c r="J274" s="1844"/>
      <c r="K274" s="1844"/>
      <c r="L274" s="1844"/>
      <c r="M274" s="941"/>
      <c r="N274" s="941"/>
      <c r="O274" s="941"/>
      <c r="P274" s="941"/>
      <c r="Q274" s="2347"/>
      <c r="R274" s="2351"/>
      <c r="S274" s="2351"/>
      <c r="T274" s="5349" t="s">
        <v>1437</v>
      </c>
      <c r="U274" s="5349"/>
      <c r="V274" s="5349"/>
      <c r="W274" s="5349"/>
      <c r="X274" s="5349"/>
      <c r="Y274" s="5349"/>
      <c r="Z274" s="5349"/>
      <c r="AA274" s="2369">
        <f>AB273</f>
        <v>44409</v>
      </c>
      <c r="AB274" s="2383">
        <f>LOOKUP(AA274,$Y$282:$Y$287,$Z$282:$Z$287)</f>
        <v>84800</v>
      </c>
      <c r="AC274" s="2370"/>
      <c r="AD274" s="1294"/>
      <c r="AE274" s="1294"/>
      <c r="AF274" s="1294"/>
      <c r="AG274" s="1294"/>
      <c r="AH274" s="1294"/>
      <c r="AI274" s="1294"/>
      <c r="AJ274" s="1294"/>
      <c r="AK274" s="1294"/>
      <c r="AL274" s="1294"/>
      <c r="AM274" s="1294"/>
      <c r="AN274" s="1294"/>
      <c r="AO274" s="1294"/>
      <c r="AP274" s="1294"/>
      <c r="AQ274" s="1294"/>
      <c r="AR274" s="1294"/>
      <c r="AS274" s="1294"/>
      <c r="AT274" s="1294"/>
      <c r="AU274" s="1294"/>
      <c r="AV274" s="1294"/>
      <c r="AW274" s="1294"/>
      <c r="AX274" s="1294"/>
      <c r="AY274" s="1294"/>
      <c r="AZ274" s="1294"/>
      <c r="BA274" s="1294"/>
      <c r="BB274" s="1294"/>
      <c r="BC274" s="1294"/>
      <c r="BD274" s="1294"/>
      <c r="BE274" s="1294"/>
      <c r="BF274" s="1294"/>
      <c r="BG274" s="1294"/>
      <c r="BH274" s="1294"/>
      <c r="BI274" s="1294"/>
      <c r="BJ274" s="1294"/>
      <c r="BK274" s="1294"/>
      <c r="BL274" s="1294"/>
      <c r="BM274" s="1294"/>
      <c r="BN274" s="1294"/>
      <c r="BO274" s="1294"/>
      <c r="BP274" s="1294"/>
      <c r="BQ274" s="1294"/>
      <c r="BR274" s="1294"/>
      <c r="BS274" s="1294"/>
      <c r="BT274" s="1294"/>
      <c r="BU274" s="1294"/>
      <c r="BV274" s="1294"/>
      <c r="BW274" s="1294"/>
      <c r="BX274" s="1294"/>
      <c r="BY274" s="1294"/>
      <c r="BZ274" s="1294"/>
      <c r="CA274" s="1294"/>
      <c r="CB274" s="1294"/>
      <c r="CC274" s="1294"/>
      <c r="CD274" s="1294"/>
      <c r="CE274" s="1294"/>
      <c r="CF274" s="1294"/>
      <c r="CG274" s="1294"/>
      <c r="CH274" s="1294"/>
      <c r="CI274" s="1294"/>
      <c r="CJ274" s="1294"/>
      <c r="CK274" s="1294"/>
      <c r="CL274" s="1294"/>
      <c r="CM274" s="1294"/>
      <c r="CN274" s="1294"/>
      <c r="CO274" s="1294"/>
      <c r="CP274" s="1294"/>
      <c r="CQ274" s="1294"/>
      <c r="CR274" s="1294"/>
      <c r="CS274" s="1294"/>
      <c r="CT274" s="1294"/>
      <c r="CU274" s="1294"/>
      <c r="CV274" s="1294"/>
      <c r="CW274" s="1294"/>
      <c r="CX274" s="1294"/>
      <c r="CY274" s="1294"/>
      <c r="CZ274" s="1294"/>
      <c r="DA274" s="1294"/>
      <c r="DB274" s="1294"/>
      <c r="DC274" s="1294"/>
      <c r="DD274" s="1294"/>
      <c r="DE274" s="1294"/>
      <c r="DF274" s="1294"/>
      <c r="DG274" s="1294"/>
      <c r="DH274" s="1294"/>
      <c r="DI274" s="1294"/>
      <c r="DJ274" s="1294"/>
      <c r="DK274" s="1294"/>
      <c r="DL274" s="1294"/>
      <c r="DM274" s="1294"/>
      <c r="DN274" s="1294"/>
      <c r="DO274" s="1294"/>
      <c r="DP274" s="1294"/>
      <c r="DQ274" s="1294"/>
      <c r="DR274" s="1294"/>
      <c r="DS274" s="1294"/>
      <c r="DT274" s="1294"/>
      <c r="DU274" s="1294"/>
    </row>
    <row r="275" spans="1:125" ht="30" customHeight="1">
      <c r="A275" s="123"/>
      <c r="B275" s="653"/>
      <c r="C275" s="1844"/>
      <c r="D275" s="1844"/>
      <c r="E275" s="1844"/>
      <c r="F275" s="1844"/>
      <c r="G275" s="1844"/>
      <c r="H275" s="1844"/>
      <c r="I275" s="1844"/>
      <c r="J275" s="1844"/>
      <c r="K275" s="1844"/>
      <c r="L275" s="1844"/>
      <c r="M275" s="941"/>
      <c r="N275" s="941"/>
      <c r="O275" s="941"/>
      <c r="P275" s="941"/>
      <c r="Q275" s="2347"/>
      <c r="R275" s="2352"/>
      <c r="S275" s="2352"/>
      <c r="T275" s="5350" t="str">
        <f>CONCATENATE("After Sanction of Incentive Increments for"," ", AB272," ","Qualification"," .","The Pay will be fixed as on")</f>
        <v>After Sanction of Incentive Increments for M.Phil Qualification .The Pay will be fixed as on</v>
      </c>
      <c r="U275" s="5350"/>
      <c r="V275" s="5350"/>
      <c r="W275" s="5350"/>
      <c r="X275" s="5350"/>
      <c r="Y275" s="5350"/>
      <c r="Z275" s="5350"/>
      <c r="AA275" s="2372">
        <f>AB273</f>
        <v>44409</v>
      </c>
      <c r="AB275" s="2382">
        <f>W396</f>
        <v>87300</v>
      </c>
      <c r="AC275" s="2373"/>
      <c r="AD275" s="2353"/>
      <c r="AE275" s="2353"/>
      <c r="AF275" s="2353"/>
      <c r="AG275" s="2353"/>
      <c r="AH275" s="2353"/>
      <c r="AI275" s="2353"/>
      <c r="AJ275" s="2353"/>
      <c r="AK275" s="2353"/>
      <c r="AL275" s="2353"/>
      <c r="AM275" s="2353"/>
      <c r="AN275" s="2353"/>
      <c r="AO275" s="2353"/>
      <c r="AP275" s="2353"/>
      <c r="AQ275" s="2353"/>
      <c r="AR275" s="2353"/>
      <c r="AS275" s="2353"/>
      <c r="AT275" s="2353"/>
      <c r="AU275" s="2353"/>
      <c r="AV275" s="2353"/>
      <c r="AW275" s="2353"/>
      <c r="AX275" s="2353"/>
      <c r="AY275" s="2353"/>
      <c r="AZ275" s="2353"/>
      <c r="BA275" s="2353"/>
      <c r="BB275" s="2353"/>
      <c r="BC275" s="2353"/>
      <c r="BD275" s="2353"/>
      <c r="BE275" s="2353"/>
      <c r="BF275" s="2353"/>
      <c r="BG275" s="2353"/>
      <c r="BH275" s="2353"/>
      <c r="BI275" s="2353"/>
      <c r="BJ275" s="2353"/>
      <c r="BK275" s="2353"/>
      <c r="BL275" s="2353"/>
      <c r="BM275" s="2353"/>
      <c r="BN275" s="2353"/>
      <c r="BO275" s="2353"/>
      <c r="BP275" s="2353"/>
      <c r="BQ275" s="2353"/>
      <c r="BR275" s="2353"/>
      <c r="BS275" s="2353"/>
      <c r="BT275" s="2353"/>
      <c r="BU275" s="2353"/>
      <c r="BV275" s="2353"/>
      <c r="BW275" s="2353"/>
      <c r="BX275" s="2353"/>
      <c r="BY275" s="2353"/>
      <c r="BZ275" s="2353"/>
      <c r="CA275" s="2353"/>
      <c r="CB275" s="2353"/>
      <c r="CC275" s="2353"/>
      <c r="CD275" s="2353"/>
      <c r="CE275" s="2353"/>
      <c r="CF275" s="2353"/>
      <c r="CG275" s="2353"/>
      <c r="CH275" s="2353"/>
      <c r="CI275" s="2353"/>
      <c r="CJ275" s="2353"/>
      <c r="CK275" s="2353"/>
      <c r="CL275" s="2353"/>
      <c r="CM275" s="2353"/>
      <c r="CN275" s="2353"/>
      <c r="CO275" s="2353"/>
      <c r="CP275" s="2353"/>
      <c r="CQ275" s="2353"/>
      <c r="CR275" s="2353"/>
      <c r="CS275" s="2353"/>
      <c r="CT275" s="2353"/>
      <c r="CU275" s="2353"/>
      <c r="CV275" s="2353"/>
      <c r="CW275" s="2353"/>
      <c r="CX275" s="2353"/>
      <c r="CY275" s="2353"/>
      <c r="CZ275" s="2353"/>
      <c r="DA275" s="2353"/>
      <c r="DB275" s="2353"/>
      <c r="DC275" s="2353"/>
      <c r="DD275" s="2353"/>
      <c r="DE275" s="2353"/>
      <c r="DF275" s="2353"/>
      <c r="DG275" s="2353"/>
      <c r="DH275" s="2353"/>
      <c r="DI275" s="2353"/>
      <c r="DJ275" s="2353"/>
      <c r="DK275" s="2353"/>
      <c r="DL275" s="2353"/>
      <c r="DM275" s="2353"/>
      <c r="DN275" s="2353"/>
      <c r="DO275" s="2353"/>
      <c r="DP275" s="2353"/>
      <c r="DQ275" s="2353"/>
      <c r="DR275" s="2353"/>
      <c r="DS275" s="2353"/>
      <c r="DT275" s="2353"/>
      <c r="DU275" s="2353"/>
    </row>
    <row r="276" spans="1:125" ht="36.75" customHeight="1">
      <c r="A276" s="123"/>
      <c r="B276" s="653"/>
      <c r="C276" s="1831"/>
      <c r="D276" s="1831"/>
      <c r="E276" s="1831"/>
      <c r="F276" s="1831"/>
      <c r="G276" s="1831"/>
      <c r="H276" s="1831"/>
      <c r="I276" s="1831"/>
      <c r="J276" s="1831"/>
      <c r="K276" s="1831"/>
      <c r="L276" s="1831"/>
      <c r="M276" s="1831"/>
      <c r="N276" s="1831"/>
      <c r="O276" s="1831"/>
      <c r="P276" s="1831"/>
      <c r="Q276" s="2348"/>
      <c r="R276" s="1831"/>
      <c r="S276" s="1831"/>
      <c r="T276" s="1831"/>
      <c r="U276" s="1831"/>
      <c r="V276" s="1831"/>
      <c r="W276" s="1831"/>
      <c r="X276" s="1831"/>
      <c r="Y276" s="1831"/>
      <c r="Z276" s="1831"/>
      <c r="AA276" s="1831"/>
    </row>
    <row r="277" spans="1:125" ht="24.95" customHeight="1">
      <c r="A277" s="123"/>
      <c r="B277" s="653"/>
      <c r="C277" s="1831"/>
      <c r="D277" s="1831"/>
      <c r="E277" s="1831"/>
      <c r="F277" s="1831"/>
      <c r="G277" s="1831"/>
      <c r="H277" s="1831"/>
      <c r="I277" s="1831"/>
      <c r="J277" s="1831"/>
      <c r="K277" s="1831"/>
      <c r="L277" s="1831"/>
      <c r="M277" s="1831"/>
      <c r="N277" s="1831"/>
      <c r="O277" s="1831"/>
      <c r="P277" s="1831"/>
      <c r="Q277" s="2348"/>
      <c r="R277" s="1831"/>
      <c r="S277" s="1831"/>
      <c r="T277" s="1831"/>
      <c r="U277" s="1831"/>
      <c r="V277" s="1831"/>
      <c r="W277" s="1831"/>
      <c r="X277" s="1831"/>
      <c r="Y277" s="1831"/>
      <c r="Z277" s="1831"/>
      <c r="AA277" s="1831"/>
    </row>
    <row r="278" spans="1:125" ht="24.95" customHeight="1">
      <c r="A278" s="123"/>
      <c r="B278" s="653"/>
      <c r="C278" s="1831"/>
      <c r="D278" s="1831"/>
      <c r="E278" s="1831"/>
      <c r="F278" s="1831"/>
      <c r="G278" s="1831"/>
      <c r="H278" s="1831"/>
      <c r="I278" s="1831"/>
      <c r="J278" s="1831"/>
      <c r="K278" s="1831"/>
      <c r="L278" s="1831"/>
      <c r="M278" s="1831"/>
      <c r="N278" s="1831"/>
      <c r="O278" s="1831"/>
      <c r="P278" s="1831"/>
      <c r="Q278" s="2348"/>
      <c r="R278" s="1831"/>
      <c r="S278" s="1831"/>
      <c r="T278" s="1831"/>
      <c r="U278" s="1831"/>
      <c r="V278" s="1831"/>
      <c r="W278" s="1831"/>
      <c r="X278" s="1831"/>
      <c r="Y278" s="1831"/>
      <c r="Z278" s="1831"/>
      <c r="AA278" s="1831"/>
    </row>
    <row r="279" spans="1:125" ht="24.95" customHeight="1">
      <c r="A279" s="123"/>
      <c r="B279" s="653"/>
      <c r="C279" s="1831"/>
      <c r="D279" s="1831"/>
      <c r="E279" s="1831"/>
      <c r="F279" s="1831"/>
      <c r="G279" s="1831"/>
      <c r="H279" s="1831"/>
      <c r="I279" s="1831"/>
      <c r="J279" s="1831"/>
      <c r="K279" s="1831"/>
      <c r="L279" s="1831"/>
      <c r="M279" s="1831"/>
      <c r="N279" s="1831"/>
      <c r="O279" s="1831"/>
      <c r="P279" s="1831"/>
      <c r="Q279" s="2348"/>
      <c r="R279" s="1831"/>
      <c r="S279" s="1831"/>
      <c r="T279" s="1831"/>
      <c r="U279" s="1831"/>
      <c r="V279" s="1831"/>
      <c r="W279" s="1831"/>
      <c r="X279" s="1831"/>
      <c r="Y279" s="1831"/>
      <c r="Z279" s="1831"/>
      <c r="AA279" s="1831"/>
    </row>
    <row r="280" spans="1:125" ht="24.95" customHeight="1">
      <c r="A280" s="123"/>
      <c r="B280" s="653"/>
      <c r="C280" s="5254" t="s">
        <v>525</v>
      </c>
      <c r="D280" s="5726" t="s">
        <v>419</v>
      </c>
      <c r="E280" s="5500" t="s">
        <v>1345</v>
      </c>
      <c r="F280" s="3056"/>
      <c r="G280" s="1831"/>
      <c r="H280" s="4903" t="s">
        <v>525</v>
      </c>
      <c r="I280" s="4903" t="s">
        <v>419</v>
      </c>
      <c r="J280" s="4903" t="s">
        <v>183</v>
      </c>
      <c r="K280" s="4903" t="s">
        <v>1346</v>
      </c>
      <c r="L280" s="5324" t="s">
        <v>468</v>
      </c>
      <c r="M280" s="5325"/>
      <c r="N280" s="5326"/>
      <c r="O280" s="5721"/>
      <c r="P280" s="5720"/>
      <c r="Q280" s="5205"/>
      <c r="R280" s="5263" t="s">
        <v>176</v>
      </c>
      <c r="S280" s="5263" t="s">
        <v>182</v>
      </c>
      <c r="T280" s="5263" t="s">
        <v>510</v>
      </c>
      <c r="U280" s="5263" t="s">
        <v>1345</v>
      </c>
      <c r="V280" s="5263" t="s">
        <v>1344</v>
      </c>
      <c r="W280" s="1831"/>
      <c r="X280" s="4538" t="s">
        <v>525</v>
      </c>
      <c r="Y280" s="4538" t="s">
        <v>419</v>
      </c>
      <c r="Z280" s="4538" t="s">
        <v>183</v>
      </c>
      <c r="AA280" s="4538"/>
      <c r="AB280" s="4538"/>
      <c r="AC280" s="4538"/>
      <c r="AD280" s="4538"/>
      <c r="AE280" s="4538"/>
      <c r="AF280" s="2413"/>
      <c r="AG280" s="4538"/>
      <c r="AH280" s="4538"/>
    </row>
    <row r="281" spans="1:125" ht="24.95" customHeight="1">
      <c r="A281" s="123"/>
      <c r="B281" s="653"/>
      <c r="C281" s="5254"/>
      <c r="D281" s="5727"/>
      <c r="E281" s="5728"/>
      <c r="F281" s="3056"/>
      <c r="G281" s="1831"/>
      <c r="H281" s="5245"/>
      <c r="I281" s="5246"/>
      <c r="J281" s="5246"/>
      <c r="K281" s="5246"/>
      <c r="L281" s="5324"/>
      <c r="M281" s="5325"/>
      <c r="N281" s="5326"/>
      <c r="O281" s="5721"/>
      <c r="P281" s="5720"/>
      <c r="Q281" s="5205"/>
      <c r="R281" s="5263"/>
      <c r="S281" s="5263"/>
      <c r="T281" s="5263"/>
      <c r="U281" s="5263"/>
      <c r="V281" s="5263"/>
      <c r="W281" s="1831"/>
      <c r="X281" s="4538"/>
      <c r="Y281" s="4538"/>
      <c r="Z281" s="4538"/>
      <c r="AA281" s="4538"/>
      <c r="AB281" s="4538"/>
      <c r="AC281" s="4538"/>
      <c r="AD281" s="4538"/>
      <c r="AE281" s="4538"/>
      <c r="AF281" s="2413"/>
      <c r="AG281" s="4538"/>
      <c r="AH281" s="4538"/>
    </row>
    <row r="282" spans="1:125" ht="24.95" customHeight="1">
      <c r="A282" s="123"/>
      <c r="B282" s="653"/>
      <c r="C282" s="1832">
        <v>1</v>
      </c>
      <c r="D282" s="1833">
        <v>45717</v>
      </c>
      <c r="E282" s="1889">
        <v>0.38</v>
      </c>
      <c r="F282" s="2324"/>
      <c r="G282" s="1831"/>
      <c r="H282" s="1832">
        <v>1</v>
      </c>
      <c r="I282" s="1833">
        <v>45717</v>
      </c>
      <c r="J282" s="1832">
        <f>W108</f>
        <v>82300</v>
      </c>
      <c r="K282" s="1889">
        <v>0.38</v>
      </c>
      <c r="L282" s="1834">
        <f>ROUND(J282*K282,0)</f>
        <v>31274</v>
      </c>
      <c r="M282" s="2324"/>
      <c r="N282" s="2140"/>
      <c r="O282" s="856"/>
      <c r="P282" s="955"/>
      <c r="Q282" s="2192"/>
      <c r="R282" s="2344">
        <v>1</v>
      </c>
      <c r="S282" s="1849">
        <v>44378</v>
      </c>
      <c r="T282" s="2343">
        <v>31</v>
      </c>
      <c r="U282" s="2356">
        <v>0.28000000000000003</v>
      </c>
      <c r="V282" s="2357">
        <v>0.17</v>
      </c>
      <c r="W282" s="1831"/>
      <c r="X282" s="1848">
        <v>1</v>
      </c>
      <c r="Y282" s="1849">
        <v>44378</v>
      </c>
      <c r="Z282" s="1850">
        <f>$AB$270</f>
        <v>84800</v>
      </c>
      <c r="AA282" s="1851"/>
      <c r="AB282" s="1718"/>
      <c r="AC282" s="1688"/>
      <c r="AD282" s="1880"/>
      <c r="AE282" s="1850"/>
      <c r="AF282" s="3192"/>
      <c r="AG282" s="1850"/>
      <c r="AH282" s="1688"/>
    </row>
    <row r="283" spans="1:125" ht="24.95" customHeight="1">
      <c r="A283" s="123"/>
      <c r="B283" s="653"/>
      <c r="C283" s="1832">
        <v>2</v>
      </c>
      <c r="D283" s="1833">
        <v>45748</v>
      </c>
      <c r="E283" s="1889">
        <v>0.38</v>
      </c>
      <c r="F283" s="2324"/>
      <c r="G283" s="1831"/>
      <c r="H283" s="1832">
        <v>2</v>
      </c>
      <c r="I283" s="1833">
        <v>45748</v>
      </c>
      <c r="J283" s="1832">
        <f t="shared" ref="J283:J293" si="281">W109</f>
        <v>82300</v>
      </c>
      <c r="K283" s="1889">
        <v>0.38</v>
      </c>
      <c r="L283" s="1834">
        <f t="shared" ref="L283:L293" si="282">ROUND(J283*K283,0)</f>
        <v>31274</v>
      </c>
      <c r="M283" s="2324"/>
      <c r="N283" s="2140"/>
      <c r="O283" s="856"/>
      <c r="P283" s="955"/>
      <c r="Q283" s="2192"/>
      <c r="R283" s="2344">
        <v>2</v>
      </c>
      <c r="S283" s="1849">
        <v>44409</v>
      </c>
      <c r="T283" s="2343">
        <v>31</v>
      </c>
      <c r="U283" s="2356">
        <v>0.28000000000000003</v>
      </c>
      <c r="V283" s="2357">
        <v>0.17</v>
      </c>
      <c r="W283" s="1831"/>
      <c r="X283" s="1848">
        <v>2</v>
      </c>
      <c r="Y283" s="1849">
        <v>44409</v>
      </c>
      <c r="Z283" s="1850">
        <f t="shared" ref="Z283:Z287" si="283">$AB$270</f>
        <v>84800</v>
      </c>
      <c r="AA283" s="1851"/>
      <c r="AB283" s="1718"/>
      <c r="AC283" s="1688"/>
      <c r="AD283" s="1880"/>
      <c r="AE283" s="1850"/>
      <c r="AF283" s="3192"/>
      <c r="AG283" s="1850"/>
      <c r="AH283" s="1688"/>
    </row>
    <row r="284" spans="1:125" ht="24.95" customHeight="1">
      <c r="A284" s="123"/>
      <c r="B284" s="653"/>
      <c r="C284" s="1832">
        <v>3</v>
      </c>
      <c r="D284" s="1833">
        <v>45778</v>
      </c>
      <c r="E284" s="1889">
        <v>0.38</v>
      </c>
      <c r="F284" s="2324"/>
      <c r="G284" s="1831"/>
      <c r="H284" s="1832">
        <v>3</v>
      </c>
      <c r="I284" s="1833">
        <v>45778</v>
      </c>
      <c r="J284" s="1832">
        <f t="shared" si="281"/>
        <v>82300</v>
      </c>
      <c r="K284" s="1889">
        <v>0.38</v>
      </c>
      <c r="L284" s="1834">
        <f t="shared" si="282"/>
        <v>31274</v>
      </c>
      <c r="M284" s="2324"/>
      <c r="N284" s="2140"/>
      <c r="O284" s="856"/>
      <c r="P284" s="955"/>
      <c r="Q284" s="2192"/>
      <c r="R284" s="2344">
        <v>3</v>
      </c>
      <c r="S284" s="1849">
        <v>44440</v>
      </c>
      <c r="T284" s="2343">
        <v>30</v>
      </c>
      <c r="U284" s="2356">
        <v>0.28000000000000003</v>
      </c>
      <c r="V284" s="2357">
        <v>0.17</v>
      </c>
      <c r="W284" s="1831"/>
      <c r="X284" s="1848">
        <v>3</v>
      </c>
      <c r="Y284" s="1849">
        <v>44440</v>
      </c>
      <c r="Z284" s="1850">
        <f t="shared" si="283"/>
        <v>84800</v>
      </c>
      <c r="AA284" s="1851"/>
      <c r="AB284" s="1718"/>
      <c r="AC284" s="1688"/>
      <c r="AD284" s="1880"/>
      <c r="AE284" s="1850"/>
      <c r="AF284" s="3192"/>
      <c r="AG284" s="1850"/>
      <c r="AH284" s="1688"/>
    </row>
    <row r="285" spans="1:125" ht="24.95" customHeight="1">
      <c r="A285" s="123"/>
      <c r="B285" s="653"/>
      <c r="C285" s="1832">
        <v>4</v>
      </c>
      <c r="D285" s="1833">
        <v>45809</v>
      </c>
      <c r="E285" s="1889">
        <v>0.38</v>
      </c>
      <c r="F285" s="2324"/>
      <c r="G285" s="1831"/>
      <c r="H285" s="1832">
        <v>4</v>
      </c>
      <c r="I285" s="1833">
        <v>45809</v>
      </c>
      <c r="J285" s="1832">
        <f t="shared" si="281"/>
        <v>82300</v>
      </c>
      <c r="K285" s="1889">
        <v>0.38</v>
      </c>
      <c r="L285" s="1834">
        <f t="shared" si="282"/>
        <v>31274</v>
      </c>
      <c r="M285" s="2324"/>
      <c r="N285" s="2140"/>
      <c r="O285" s="856"/>
      <c r="P285" s="955"/>
      <c r="Q285" s="2192"/>
      <c r="R285" s="2344">
        <v>4</v>
      </c>
      <c r="S285" s="1849">
        <v>44470</v>
      </c>
      <c r="T285" s="2343">
        <v>31</v>
      </c>
      <c r="U285" s="2356">
        <v>0.28000000000000003</v>
      </c>
      <c r="V285" s="2357">
        <v>0.17</v>
      </c>
      <c r="W285" s="1831"/>
      <c r="X285" s="1848">
        <v>4</v>
      </c>
      <c r="Y285" s="1849">
        <v>44470</v>
      </c>
      <c r="Z285" s="1850">
        <f t="shared" si="283"/>
        <v>84800</v>
      </c>
      <c r="AA285" s="1851"/>
      <c r="AB285" s="1718"/>
      <c r="AC285" s="1688"/>
      <c r="AD285" s="1880"/>
      <c r="AE285" s="1850"/>
      <c r="AF285" s="3192"/>
      <c r="AG285" s="1850"/>
      <c r="AH285" s="1688"/>
    </row>
    <row r="286" spans="1:125" ht="24.95" customHeight="1">
      <c r="A286" s="123"/>
      <c r="B286" s="653"/>
      <c r="C286" s="1832">
        <v>5</v>
      </c>
      <c r="D286" s="1833">
        <v>45839</v>
      </c>
      <c r="E286" s="1889">
        <v>0.38</v>
      </c>
      <c r="F286" s="2324"/>
      <c r="G286" s="1831"/>
      <c r="H286" s="1832">
        <v>5</v>
      </c>
      <c r="I286" s="1833">
        <v>45839</v>
      </c>
      <c r="J286" s="1832">
        <f t="shared" si="281"/>
        <v>82300</v>
      </c>
      <c r="K286" s="1889">
        <v>0.38</v>
      </c>
      <c r="L286" s="1834">
        <f t="shared" si="282"/>
        <v>31274</v>
      </c>
      <c r="M286" s="2324"/>
      <c r="N286" s="2140"/>
      <c r="O286" s="856"/>
      <c r="P286" s="955"/>
      <c r="Q286" s="2192"/>
      <c r="R286" s="2344">
        <v>5</v>
      </c>
      <c r="S286" s="1849">
        <v>44501</v>
      </c>
      <c r="T286" s="2343">
        <v>30</v>
      </c>
      <c r="U286" s="2356">
        <v>0.28000000000000003</v>
      </c>
      <c r="V286" s="2357">
        <v>0.17</v>
      </c>
      <c r="W286" s="1831"/>
      <c r="X286" s="1848">
        <v>5</v>
      </c>
      <c r="Y286" s="1849">
        <v>44501</v>
      </c>
      <c r="Z286" s="1850">
        <f t="shared" si="283"/>
        <v>84800</v>
      </c>
      <c r="AA286" s="1851"/>
      <c r="AB286" s="1718"/>
      <c r="AC286" s="1688"/>
      <c r="AD286" s="1880"/>
      <c r="AE286" s="1850"/>
      <c r="AF286" s="3192"/>
      <c r="AG286" s="1850"/>
      <c r="AH286" s="1688"/>
    </row>
    <row r="287" spans="1:125" ht="24.95" customHeight="1">
      <c r="A287" s="123"/>
      <c r="B287" s="653"/>
      <c r="C287" s="1832">
        <v>6</v>
      </c>
      <c r="D287" s="1833">
        <v>45870</v>
      </c>
      <c r="E287" s="1889">
        <v>0.38</v>
      </c>
      <c r="F287" s="2324"/>
      <c r="G287" s="1831"/>
      <c r="H287" s="1832">
        <v>6</v>
      </c>
      <c r="I287" s="1833">
        <v>45870</v>
      </c>
      <c r="J287" s="1832">
        <f t="shared" si="281"/>
        <v>82300</v>
      </c>
      <c r="K287" s="1889">
        <v>0.38</v>
      </c>
      <c r="L287" s="1834">
        <f t="shared" si="282"/>
        <v>31274</v>
      </c>
      <c r="M287" s="2324"/>
      <c r="N287" s="2140"/>
      <c r="O287" s="856"/>
      <c r="P287" s="955"/>
      <c r="Q287" s="2192"/>
      <c r="R287" s="2344">
        <v>6</v>
      </c>
      <c r="S287" s="1849">
        <v>44531</v>
      </c>
      <c r="T287" s="2343">
        <v>31</v>
      </c>
      <c r="U287" s="2356">
        <v>0.28000000000000003</v>
      </c>
      <c r="V287" s="2357">
        <v>0.17</v>
      </c>
      <c r="W287" s="1831"/>
      <c r="X287" s="1848">
        <v>6</v>
      </c>
      <c r="Y287" s="1849">
        <v>44531</v>
      </c>
      <c r="Z287" s="1850">
        <f t="shared" si="283"/>
        <v>84800</v>
      </c>
      <c r="AA287" s="1851"/>
      <c r="AB287" s="1718"/>
      <c r="AC287" s="1688"/>
      <c r="AD287" s="1880"/>
      <c r="AE287" s="1850"/>
      <c r="AF287" s="3192"/>
      <c r="AG287" s="1850"/>
      <c r="AH287" s="1688"/>
    </row>
    <row r="288" spans="1:125" ht="24.95" customHeight="1">
      <c r="A288" s="123"/>
      <c r="B288" s="653"/>
      <c r="C288" s="1832">
        <v>7</v>
      </c>
      <c r="D288" s="1833">
        <v>45901</v>
      </c>
      <c r="E288" s="1889">
        <v>0.38</v>
      </c>
      <c r="F288" s="2324"/>
      <c r="G288" s="1831"/>
      <c r="H288" s="1832">
        <v>7</v>
      </c>
      <c r="I288" s="1833">
        <v>45901</v>
      </c>
      <c r="J288" s="1832">
        <f t="shared" si="281"/>
        <v>82300</v>
      </c>
      <c r="K288" s="1889">
        <v>0.38</v>
      </c>
      <c r="L288" s="1834">
        <f t="shared" si="282"/>
        <v>31274</v>
      </c>
      <c r="M288" s="2324"/>
      <c r="N288" s="2140"/>
      <c r="O288" s="856"/>
      <c r="P288" s="955"/>
      <c r="Q288" s="2192"/>
      <c r="R288" s="2326"/>
      <c r="S288" s="2146"/>
      <c r="T288" s="2146"/>
      <c r="U288" s="2141"/>
      <c r="V288" s="1831"/>
      <c r="W288" s="1831"/>
      <c r="X288" s="2355"/>
      <c r="Y288" s="2355"/>
      <c r="Z288" s="2355"/>
      <c r="AA288" s="2355"/>
      <c r="AB288" s="2355"/>
      <c r="AC288" s="2355"/>
      <c r="AD288" s="2355"/>
      <c r="AE288" s="2355"/>
      <c r="AF288" s="3193"/>
      <c r="AG288" s="2355"/>
      <c r="AH288" s="1688"/>
    </row>
    <row r="289" spans="1:36" ht="24.95" customHeight="1">
      <c r="A289" s="123"/>
      <c r="B289" s="653"/>
      <c r="C289" s="1832">
        <v>8</v>
      </c>
      <c r="D289" s="1833">
        <v>45931</v>
      </c>
      <c r="E289" s="1889">
        <v>0.38</v>
      </c>
      <c r="F289" s="2324"/>
      <c r="G289" s="1831"/>
      <c r="H289" s="1832">
        <v>8</v>
      </c>
      <c r="I289" s="1833">
        <v>45931</v>
      </c>
      <c r="J289" s="1832">
        <f t="shared" si="281"/>
        <v>82300</v>
      </c>
      <c r="K289" s="1889">
        <v>0.38</v>
      </c>
      <c r="L289" s="1834">
        <f t="shared" si="282"/>
        <v>31274</v>
      </c>
      <c r="M289" s="2324"/>
      <c r="N289" s="2140"/>
      <c r="O289" s="856"/>
      <c r="P289" s="955"/>
      <c r="Q289" s="2192"/>
      <c r="R289" s="2326"/>
      <c r="S289" s="2146"/>
      <c r="T289" s="2146"/>
      <c r="U289" s="2141"/>
      <c r="V289" s="1831"/>
      <c r="W289" s="1831"/>
      <c r="X289" s="1831"/>
      <c r="Y289" s="1831"/>
      <c r="Z289" s="1831"/>
      <c r="AA289" s="1831"/>
      <c r="AB289" s="1831"/>
      <c r="AC289" s="1831"/>
      <c r="AD289" s="1831"/>
      <c r="AE289" s="1831"/>
      <c r="AF289" s="1831"/>
      <c r="AG289" s="1831"/>
      <c r="AH289" s="856"/>
    </row>
    <row r="290" spans="1:36" ht="24.95" customHeight="1">
      <c r="A290" s="123"/>
      <c r="B290" s="653"/>
      <c r="C290" s="1832">
        <v>9</v>
      </c>
      <c r="D290" s="1833">
        <v>45962</v>
      </c>
      <c r="E290" s="1889">
        <v>0.38</v>
      </c>
      <c r="F290" s="2324"/>
      <c r="G290" s="1831"/>
      <c r="H290" s="1832">
        <v>9</v>
      </c>
      <c r="I290" s="1833">
        <v>45962</v>
      </c>
      <c r="J290" s="1832">
        <f t="shared" si="281"/>
        <v>82300</v>
      </c>
      <c r="K290" s="1889">
        <v>0.38</v>
      </c>
      <c r="L290" s="1834">
        <f t="shared" si="282"/>
        <v>31274</v>
      </c>
      <c r="M290" s="2324"/>
      <c r="N290" s="2140"/>
      <c r="O290" s="856"/>
      <c r="P290" s="955"/>
      <c r="Q290" s="2192"/>
      <c r="R290" s="2345">
        <v>1</v>
      </c>
      <c r="S290" s="2146"/>
      <c r="T290" s="2146"/>
      <c r="U290" s="2141"/>
      <c r="V290" s="1831"/>
      <c r="W290" s="1831"/>
      <c r="X290" s="1831"/>
      <c r="Y290" s="1831"/>
      <c r="Z290" s="1831"/>
      <c r="AA290" s="1831"/>
      <c r="AB290" s="1831"/>
      <c r="AC290" s="1831"/>
      <c r="AD290" s="1831"/>
      <c r="AE290" s="1831"/>
      <c r="AF290" s="1831"/>
      <c r="AG290" s="1831"/>
      <c r="AH290" s="856"/>
    </row>
    <row r="291" spans="1:36" ht="24.95" customHeight="1">
      <c r="A291" s="123"/>
      <c r="B291" s="653"/>
      <c r="C291" s="1832">
        <v>10</v>
      </c>
      <c r="D291" s="1833">
        <v>45992</v>
      </c>
      <c r="E291" s="1889">
        <v>0.38</v>
      </c>
      <c r="F291" s="2324"/>
      <c r="G291" s="1831"/>
      <c r="H291" s="1832">
        <v>10</v>
      </c>
      <c r="I291" s="1833">
        <v>45992</v>
      </c>
      <c r="J291" s="1832">
        <f t="shared" si="281"/>
        <v>82300</v>
      </c>
      <c r="K291" s="1889">
        <v>0.38</v>
      </c>
      <c r="L291" s="1834">
        <f t="shared" si="282"/>
        <v>31274</v>
      </c>
      <c r="M291" s="2324"/>
      <c r="N291" s="2140"/>
      <c r="O291" s="856"/>
      <c r="P291" s="955"/>
      <c r="Q291" s="2192"/>
      <c r="R291" s="2345">
        <v>2</v>
      </c>
      <c r="S291" s="2146"/>
      <c r="T291" s="2146"/>
      <c r="U291" s="2141"/>
      <c r="V291" s="1831"/>
      <c r="W291" s="1831"/>
      <c r="X291" s="1831"/>
      <c r="Y291" s="1831"/>
      <c r="Z291" s="1831"/>
      <c r="AA291" s="1831"/>
      <c r="AB291" s="1831"/>
      <c r="AC291" s="1831"/>
      <c r="AD291" s="1831"/>
      <c r="AE291" s="1831"/>
      <c r="AF291" s="1831"/>
      <c r="AG291" s="1831"/>
      <c r="AH291" s="856"/>
    </row>
    <row r="292" spans="1:36" ht="24.95" customHeight="1">
      <c r="A292" s="123"/>
      <c r="B292" s="653"/>
      <c r="C292" s="1848">
        <v>11</v>
      </c>
      <c r="D292" s="1833">
        <v>46023</v>
      </c>
      <c r="E292" s="1889">
        <v>0.38</v>
      </c>
      <c r="F292" s="2324"/>
      <c r="G292" s="1831"/>
      <c r="H292" s="1848">
        <v>11</v>
      </c>
      <c r="I292" s="1833">
        <v>46023</v>
      </c>
      <c r="J292" s="1848">
        <f t="shared" si="281"/>
        <v>84800</v>
      </c>
      <c r="K292" s="1889">
        <v>0.38</v>
      </c>
      <c r="L292" s="3059">
        <f t="shared" si="282"/>
        <v>32224</v>
      </c>
      <c r="M292" s="2324"/>
      <c r="N292" s="2140"/>
      <c r="O292" s="856"/>
      <c r="P292" s="955"/>
      <c r="Q292" s="2192"/>
      <c r="R292" s="2345">
        <v>3</v>
      </c>
      <c r="S292" s="2146"/>
      <c r="T292" s="2146"/>
      <c r="U292" s="2141"/>
      <c r="V292" s="1831"/>
      <c r="W292" s="1831"/>
      <c r="X292" s="1831"/>
      <c r="Y292" s="1831"/>
      <c r="Z292" s="1831"/>
      <c r="AA292" s="1831"/>
      <c r="AB292" s="1831"/>
      <c r="AC292" s="1831"/>
      <c r="AD292" s="1831"/>
      <c r="AE292" s="1831"/>
      <c r="AF292" s="1831"/>
      <c r="AG292" s="1831"/>
      <c r="AH292" s="856"/>
    </row>
    <row r="293" spans="1:36" ht="24.95" customHeight="1">
      <c r="A293" s="123"/>
      <c r="B293" s="653"/>
      <c r="C293" s="1848">
        <v>12</v>
      </c>
      <c r="D293" s="1833">
        <v>46054</v>
      </c>
      <c r="E293" s="1889">
        <v>0.38</v>
      </c>
      <c r="F293" s="2324"/>
      <c r="G293" s="1831"/>
      <c r="H293" s="1848">
        <v>12</v>
      </c>
      <c r="I293" s="1833">
        <v>46054</v>
      </c>
      <c r="J293" s="1848">
        <f t="shared" si="281"/>
        <v>84800</v>
      </c>
      <c r="K293" s="1889">
        <v>0.38</v>
      </c>
      <c r="L293" s="3059">
        <f t="shared" si="282"/>
        <v>32224</v>
      </c>
      <c r="M293" s="2324"/>
      <c r="N293" s="2140"/>
      <c r="O293" s="856"/>
      <c r="P293" s="955"/>
      <c r="Q293" s="2192"/>
      <c r="R293" s="2345">
        <v>4</v>
      </c>
      <c r="S293" s="2146"/>
      <c r="T293" s="2146"/>
      <c r="U293" s="2141"/>
      <c r="V293" s="1831"/>
      <c r="W293" s="1831"/>
      <c r="X293" s="1831"/>
      <c r="Y293" s="1831"/>
      <c r="Z293" s="1831"/>
      <c r="AA293" s="1831"/>
      <c r="AB293" s="1831"/>
      <c r="AC293" s="1831"/>
      <c r="AD293" s="1831"/>
      <c r="AE293" s="1831"/>
      <c r="AF293" s="1831"/>
      <c r="AG293" s="1831"/>
      <c r="AH293" s="856"/>
    </row>
    <row r="294" spans="1:36" ht="24.95" customHeight="1">
      <c r="A294" s="123"/>
      <c r="B294" s="653"/>
      <c r="C294" s="2325"/>
      <c r="D294" s="2132"/>
      <c r="E294" s="2143"/>
      <c r="F294" s="2146"/>
      <c r="G294" s="1831"/>
      <c r="H294" s="2325"/>
      <c r="I294" s="2132"/>
      <c r="J294" s="2325"/>
      <c r="K294" s="2143"/>
      <c r="L294" s="2138"/>
      <c r="M294" s="2146"/>
      <c r="N294" s="2140"/>
      <c r="O294" s="856"/>
      <c r="P294" s="955"/>
      <c r="Q294" s="2192"/>
      <c r="R294" s="2345">
        <v>5</v>
      </c>
      <c r="S294" s="2146"/>
      <c r="T294" s="2146"/>
      <c r="U294" s="2141"/>
      <c r="V294" s="1831"/>
      <c r="W294" s="1831"/>
      <c r="X294" s="1831"/>
      <c r="Y294" s="1831"/>
      <c r="Z294" s="1831"/>
      <c r="AA294" s="1831"/>
      <c r="AB294" s="1831"/>
      <c r="AC294" s="1831"/>
      <c r="AD294" s="1831"/>
      <c r="AE294" s="1831"/>
      <c r="AF294" s="1831"/>
      <c r="AG294" s="2354"/>
      <c r="AH294" s="856"/>
    </row>
    <row r="295" spans="1:36" ht="24.95" customHeight="1">
      <c r="A295" s="123"/>
      <c r="B295" s="653"/>
      <c r="C295" s="955"/>
      <c r="D295" s="960"/>
      <c r="E295" s="2146"/>
      <c r="F295" s="2146"/>
      <c r="G295" s="1831"/>
      <c r="H295" s="955"/>
      <c r="I295" s="960"/>
      <c r="J295" s="955"/>
      <c r="K295" s="2146"/>
      <c r="L295" s="2140"/>
      <c r="M295" s="2146"/>
      <c r="N295" s="2140"/>
      <c r="O295" s="856"/>
      <c r="P295" s="955"/>
      <c r="Q295" s="2192"/>
      <c r="R295" s="2345">
        <v>6</v>
      </c>
      <c r="S295" s="2146"/>
      <c r="T295" s="2146"/>
      <c r="U295" s="2141"/>
      <c r="V295" s="1831"/>
      <c r="W295" s="1831"/>
      <c r="X295" s="1831"/>
      <c r="Y295" s="1831"/>
      <c r="Z295" s="1831"/>
      <c r="AA295" s="1831"/>
      <c r="AB295" s="1831"/>
      <c r="AC295" s="1831"/>
      <c r="AD295" s="1831"/>
      <c r="AE295" s="1831"/>
      <c r="AF295" s="1831"/>
      <c r="AG295" s="2381"/>
      <c r="AH295" s="2381"/>
      <c r="AI295" s="2381"/>
      <c r="AJ295" s="2381"/>
    </row>
    <row r="296" spans="1:36" ht="34.5" customHeight="1">
      <c r="A296" s="123"/>
      <c r="B296" s="653"/>
      <c r="C296" s="955"/>
      <c r="D296" s="960"/>
      <c r="E296" s="955"/>
      <c r="F296" s="955"/>
      <c r="G296" s="1831"/>
      <c r="H296" s="1831"/>
      <c r="I296" s="1831"/>
      <c r="J296" s="1831"/>
      <c r="K296" s="1831"/>
      <c r="L296" s="1831"/>
      <c r="M296" s="1831"/>
      <c r="N296" s="1831"/>
      <c r="O296" s="1831"/>
      <c r="P296" s="1831"/>
      <c r="Q296" s="2348"/>
      <c r="R296" s="2345">
        <v>7</v>
      </c>
      <c r="S296" s="1831"/>
      <c r="T296" s="1831"/>
      <c r="U296" s="2342"/>
      <c r="V296" s="1831"/>
      <c r="W296" s="1831"/>
      <c r="X296" s="1831"/>
      <c r="Y296" s="1831"/>
      <c r="Z296" s="1831"/>
      <c r="AA296" s="1831"/>
      <c r="AB296" s="1831"/>
      <c r="AC296" s="1831"/>
      <c r="AD296" s="1831"/>
      <c r="AE296" s="1831"/>
      <c r="AF296" s="1831"/>
      <c r="AG296" s="2381"/>
      <c r="AH296" s="2381"/>
      <c r="AI296" s="2381"/>
      <c r="AJ296" s="2381"/>
    </row>
    <row r="297" spans="1:36" ht="24.95" customHeight="1">
      <c r="A297" s="123"/>
      <c r="B297" s="653"/>
      <c r="C297" s="955"/>
      <c r="D297" s="960"/>
      <c r="E297" s="955"/>
      <c r="F297" s="955"/>
      <c r="G297" s="1831"/>
      <c r="H297" s="1831"/>
      <c r="I297" s="1831"/>
      <c r="J297" s="1831"/>
      <c r="K297" s="1831"/>
      <c r="L297" s="1831"/>
      <c r="M297" s="1831"/>
      <c r="N297" s="1831"/>
      <c r="O297" s="1831"/>
      <c r="P297" s="1831"/>
      <c r="Q297" s="2348"/>
      <c r="R297" s="2345">
        <v>8</v>
      </c>
      <c r="S297" s="1831"/>
      <c r="T297" s="1831"/>
      <c r="U297" s="1831"/>
      <c r="V297" s="1831"/>
      <c r="W297" s="1831"/>
      <c r="X297" s="1831"/>
      <c r="Y297" s="1831"/>
      <c r="Z297" s="1831"/>
      <c r="AA297" s="1831"/>
      <c r="AB297" s="1831"/>
      <c r="AC297" s="1831"/>
      <c r="AD297" s="1831"/>
      <c r="AE297" s="1831"/>
      <c r="AF297" s="1831"/>
      <c r="AG297" s="2381"/>
      <c r="AH297" s="2381"/>
      <c r="AI297" s="2381"/>
      <c r="AJ297" s="2381"/>
    </row>
    <row r="298" spans="1:36" ht="24.95" customHeight="1">
      <c r="A298" s="123"/>
      <c r="B298" s="653"/>
      <c r="C298" s="955"/>
      <c r="D298" s="960"/>
      <c r="E298" s="955"/>
      <c r="F298" s="955"/>
      <c r="G298" s="1831"/>
      <c r="H298" s="1831"/>
      <c r="I298" s="1831"/>
      <c r="J298" s="1831"/>
      <c r="K298" s="1831"/>
      <c r="L298" s="1831"/>
      <c r="M298" s="1831"/>
      <c r="N298" s="1831"/>
      <c r="O298" s="1831"/>
      <c r="P298" s="1831"/>
      <c r="Q298" s="2348"/>
      <c r="R298" s="2345">
        <v>9</v>
      </c>
      <c r="S298" s="1831"/>
      <c r="T298" s="1831"/>
      <c r="U298" s="1831"/>
      <c r="V298" s="1831"/>
      <c r="W298" s="1831"/>
      <c r="X298" s="1831"/>
      <c r="Y298" s="1831"/>
      <c r="Z298" s="1831"/>
      <c r="AA298" s="1831"/>
    </row>
    <row r="299" spans="1:36" ht="24.95" customHeight="1">
      <c r="A299" s="123"/>
      <c r="B299" s="653"/>
      <c r="C299" s="955"/>
      <c r="D299" s="960"/>
      <c r="E299" s="955"/>
      <c r="F299" s="955"/>
      <c r="G299" s="1831"/>
      <c r="H299" s="1831"/>
      <c r="I299" s="1831"/>
      <c r="J299" s="1831"/>
      <c r="K299" s="1831"/>
      <c r="L299" s="1831"/>
      <c r="M299" s="1831"/>
      <c r="N299" s="1831"/>
      <c r="O299" s="1831"/>
      <c r="P299" s="1831"/>
      <c r="Q299" s="2348"/>
      <c r="R299" s="2345">
        <v>10</v>
      </c>
      <c r="S299" s="1831"/>
      <c r="T299" s="1831"/>
      <c r="U299" s="1831"/>
      <c r="V299" s="1831"/>
      <c r="W299" s="1831"/>
      <c r="X299" s="1831"/>
      <c r="Y299" s="1831"/>
      <c r="Z299" s="1831"/>
      <c r="AA299" s="1831"/>
    </row>
    <row r="300" spans="1:36" ht="24.95" customHeight="1">
      <c r="A300" s="123"/>
      <c r="B300" s="653"/>
      <c r="C300" s="955"/>
      <c r="D300" s="960"/>
      <c r="E300" s="955"/>
      <c r="F300" s="955"/>
      <c r="G300" s="1831"/>
      <c r="H300" s="1831"/>
      <c r="I300" s="1831"/>
      <c r="J300" s="1831"/>
      <c r="K300" s="1831"/>
      <c r="L300" s="1831"/>
      <c r="M300" s="1831"/>
      <c r="N300" s="1831"/>
      <c r="O300" s="1831"/>
      <c r="P300" s="1831"/>
      <c r="Q300" s="2348"/>
      <c r="R300" s="2345">
        <v>11</v>
      </c>
      <c r="S300" s="1831"/>
      <c r="T300" s="1831"/>
      <c r="U300" s="1831"/>
      <c r="V300" s="1831"/>
      <c r="W300" s="1831"/>
      <c r="X300" s="1831"/>
      <c r="Y300" s="1831"/>
      <c r="Z300" s="1831"/>
      <c r="AA300" s="1831"/>
    </row>
    <row r="301" spans="1:36" ht="24.95" customHeight="1">
      <c r="A301" s="123"/>
      <c r="B301" s="653"/>
      <c r="C301" s="955"/>
      <c r="D301" s="960"/>
      <c r="E301" s="955"/>
      <c r="F301" s="955"/>
      <c r="G301" s="1831"/>
      <c r="H301" s="1831"/>
      <c r="I301" s="1831"/>
      <c r="J301" s="1831"/>
      <c r="K301" s="1831"/>
      <c r="L301" s="1831"/>
      <c r="M301" s="1831"/>
      <c r="N301" s="1831"/>
      <c r="O301" s="1831"/>
      <c r="P301" s="1831"/>
      <c r="Q301" s="2348"/>
      <c r="R301" s="2345">
        <v>12</v>
      </c>
      <c r="S301" s="1831"/>
      <c r="T301" s="1831"/>
      <c r="U301" s="1831"/>
      <c r="V301" s="1831"/>
      <c r="W301" s="1831"/>
      <c r="X301" s="1831"/>
      <c r="Y301" s="1831"/>
      <c r="Z301" s="1831"/>
      <c r="AA301" s="1831"/>
    </row>
    <row r="302" spans="1:36" ht="24.95" customHeight="1">
      <c r="A302" s="123"/>
      <c r="B302" s="653"/>
      <c r="C302" s="1831"/>
      <c r="D302" s="1831"/>
      <c r="E302" s="1831"/>
      <c r="F302" s="1831"/>
      <c r="G302" s="1831"/>
      <c r="H302" s="1831"/>
      <c r="I302" s="1831"/>
      <c r="J302" s="1831"/>
      <c r="K302" s="1831"/>
      <c r="L302" s="1831"/>
      <c r="M302" s="1831"/>
      <c r="N302" s="1831"/>
      <c r="O302" s="1831"/>
      <c r="P302" s="1831"/>
      <c r="Q302" s="2348"/>
      <c r="R302" s="2345">
        <v>13</v>
      </c>
      <c r="S302" s="1831"/>
      <c r="T302" s="1831"/>
      <c r="U302" s="1831"/>
      <c r="V302" s="1831"/>
      <c r="W302" s="1831"/>
      <c r="X302" s="1831"/>
      <c r="Y302" s="1831"/>
      <c r="Z302" s="1831"/>
      <c r="AA302" s="1831"/>
    </row>
    <row r="303" spans="1:36" ht="27.95" customHeight="1">
      <c r="A303" s="123"/>
      <c r="B303" s="653"/>
      <c r="C303" s="5409" t="s">
        <v>975</v>
      </c>
      <c r="D303" s="5410"/>
      <c r="E303" s="5410"/>
      <c r="F303" s="5410"/>
      <c r="G303" s="5410"/>
      <c r="H303" s="5410"/>
      <c r="I303" s="1857">
        <f>LOOKUP(J303,$AJ$22:$AJ$24,$AL$22:$AL$24)</f>
        <v>0</v>
      </c>
      <c r="J303" s="1858">
        <f>EK2</f>
        <v>2</v>
      </c>
      <c r="K303" s="1859"/>
      <c r="L303" s="1853"/>
      <c r="M303" s="1878">
        <f>LOOKUP(N303,$AJ$22:$AJ$24,$AK$22:$AK$24)</f>
        <v>0.09</v>
      </c>
      <c r="N303" s="1875">
        <f>J303</f>
        <v>2</v>
      </c>
      <c r="O303" s="1831"/>
      <c r="P303" s="1831"/>
      <c r="Q303" s="2348"/>
      <c r="R303" s="2345">
        <v>14</v>
      </c>
      <c r="S303" s="1831"/>
      <c r="T303" s="1831"/>
      <c r="U303" s="1831"/>
      <c r="V303" s="1831"/>
      <c r="W303" s="1831"/>
      <c r="X303" s="1831"/>
      <c r="Y303" s="1831"/>
      <c r="Z303" s="1831"/>
      <c r="AA303" s="1831"/>
    </row>
    <row r="304" spans="1:36" ht="27.95" customHeight="1">
      <c r="A304" s="123"/>
      <c r="B304" s="653"/>
      <c r="C304" s="5722" t="s">
        <v>976</v>
      </c>
      <c r="D304" s="5723"/>
      <c r="E304" s="5723"/>
      <c r="F304" s="5723"/>
      <c r="G304" s="5723"/>
      <c r="H304" s="5723"/>
      <c r="I304" s="1860" t="str">
        <f>LOOKUP(J304,$AE$14:$AE$15,$AG$14:$AG$15)</f>
        <v>No</v>
      </c>
      <c r="J304" s="1861">
        <f>EK3</f>
        <v>1</v>
      </c>
      <c r="K304" s="1862"/>
      <c r="L304" s="1854"/>
      <c r="M304" s="1874" t="str">
        <f>LOOKUP(J304,$AE$14:$AE$15,$AG$14:$AG$15)</f>
        <v>No</v>
      </c>
      <c r="N304" s="1876">
        <f>J304</f>
        <v>1</v>
      </c>
      <c r="O304" s="1831"/>
      <c r="P304" s="1831"/>
      <c r="Q304" s="2348"/>
      <c r="R304" s="2345">
        <v>15</v>
      </c>
      <c r="S304" s="1831"/>
      <c r="T304" s="1831"/>
      <c r="U304" s="1831"/>
      <c r="V304" s="1831"/>
      <c r="W304" s="1831"/>
      <c r="X304" s="1831"/>
      <c r="Y304" s="1831"/>
      <c r="Z304" s="1831"/>
      <c r="AA304" s="1831"/>
    </row>
    <row r="305" spans="1:27" ht="27.95" customHeight="1">
      <c r="A305" s="123"/>
      <c r="B305" s="653"/>
      <c r="C305" s="5724" t="s">
        <v>977</v>
      </c>
      <c r="D305" s="5725"/>
      <c r="E305" s="5725"/>
      <c r="F305" s="5725"/>
      <c r="G305" s="5725"/>
      <c r="H305" s="5725"/>
      <c r="I305" s="1863">
        <f>LOOKUP(J305,$AJ$22:$AJ$24,$AL$22:$AL$24)</f>
        <v>0</v>
      </c>
      <c r="J305" s="1864">
        <f>EK4</f>
        <v>6</v>
      </c>
      <c r="K305" s="1865"/>
      <c r="L305" s="1835"/>
      <c r="M305" s="1879">
        <f>LOOKUP(N305,$AJ$22:$AJ$24,$AK$22:$AK$24)</f>
        <v>0.16</v>
      </c>
      <c r="N305" s="954">
        <f>J305</f>
        <v>6</v>
      </c>
      <c r="O305" s="1831"/>
      <c r="P305" s="1831"/>
      <c r="Q305" s="2348"/>
      <c r="R305" s="2345">
        <v>16</v>
      </c>
      <c r="S305" s="1831"/>
      <c r="T305" s="1831"/>
      <c r="U305" s="1831"/>
      <c r="V305" s="1831"/>
      <c r="W305" s="1831"/>
      <c r="X305" s="1831"/>
      <c r="Y305" s="1831"/>
      <c r="Z305" s="1831"/>
      <c r="AA305" s="1831"/>
    </row>
    <row r="306" spans="1:27" ht="27.95" customHeight="1">
      <c r="A306" s="123"/>
      <c r="B306" s="653"/>
      <c r="C306" s="791"/>
      <c r="D306" s="791"/>
      <c r="E306" s="791"/>
      <c r="F306" s="791"/>
      <c r="G306" s="791"/>
      <c r="H306" s="1855"/>
      <c r="I306" s="1866" t="s">
        <v>893</v>
      </c>
      <c r="J306" s="770" t="s">
        <v>182</v>
      </c>
      <c r="K306" s="1867"/>
      <c r="L306" s="1856"/>
      <c r="M306" s="1856"/>
      <c r="N306" s="1877"/>
      <c r="O306" s="1831"/>
      <c r="P306" s="1831"/>
      <c r="Q306" s="2348"/>
      <c r="R306" s="2345">
        <v>17</v>
      </c>
      <c r="S306" s="1831"/>
      <c r="T306" s="1831"/>
      <c r="U306" s="1831"/>
      <c r="V306" s="1831"/>
      <c r="W306" s="1831"/>
      <c r="X306" s="1831"/>
      <c r="Y306" s="1831"/>
      <c r="Z306" s="1831"/>
      <c r="AA306" s="1831"/>
    </row>
    <row r="307" spans="1:27" ht="27.95" customHeight="1">
      <c r="A307" s="123"/>
      <c r="B307" s="653"/>
      <c r="C307" s="1562"/>
      <c r="D307" s="1562"/>
      <c r="E307" s="1562"/>
      <c r="F307" s="1562"/>
      <c r="G307" s="1562"/>
      <c r="H307" s="1562"/>
      <c r="I307" s="1868">
        <f>EJ6</f>
        <v>6</v>
      </c>
      <c r="J307" s="1869">
        <f>LOOKUP(K307,$I$108:$I$121,$J$108:$J$121)</f>
        <v>45931</v>
      </c>
      <c r="K307" s="1870">
        <f>EL6</f>
        <v>8</v>
      </c>
      <c r="L307" s="1852"/>
      <c r="M307" s="1852"/>
      <c r="N307" s="1478"/>
      <c r="O307" s="1831"/>
      <c r="P307" s="1831"/>
      <c r="Q307" s="2348"/>
      <c r="R307" s="2345">
        <v>18</v>
      </c>
      <c r="S307" s="1831"/>
      <c r="T307" s="1831"/>
      <c r="U307" s="1831"/>
      <c r="V307" s="1831"/>
      <c r="W307" s="1831"/>
      <c r="X307" s="1831"/>
      <c r="Y307" s="1831"/>
      <c r="Z307" s="1831"/>
      <c r="AA307" s="1831"/>
    </row>
    <row r="308" spans="1:27" ht="24.95" customHeight="1">
      <c r="A308" s="123"/>
      <c r="B308" s="653"/>
      <c r="C308" s="1846"/>
      <c r="D308" s="1846"/>
      <c r="E308" s="1846"/>
      <c r="F308" s="1846"/>
      <c r="G308" s="1846"/>
      <c r="H308" s="1846"/>
      <c r="I308" s="1871"/>
      <c r="J308" s="1872">
        <f>LOOKUP(K308,$I$108:$I$121,$J$108:$J$121)</f>
        <v>46054</v>
      </c>
      <c r="K308" s="1873">
        <v>13</v>
      </c>
      <c r="L308" s="1831"/>
      <c r="M308" s="1831"/>
      <c r="N308" s="1831"/>
      <c r="O308" s="1831"/>
      <c r="P308" s="1831"/>
      <c r="Q308" s="2348"/>
      <c r="R308" s="2345">
        <v>19</v>
      </c>
      <c r="S308" s="1831"/>
      <c r="T308" s="1831"/>
      <c r="U308" s="1831"/>
      <c r="V308" s="1831"/>
      <c r="W308" s="1831"/>
      <c r="X308" s="1831"/>
      <c r="Y308" s="1831"/>
      <c r="Z308" s="1831"/>
      <c r="AA308" s="1831"/>
    </row>
    <row r="309" spans="1:27" ht="24.95" customHeight="1">
      <c r="A309" s="123"/>
      <c r="B309" s="653"/>
      <c r="C309" s="1831"/>
      <c r="D309" s="1831"/>
      <c r="E309" s="1831"/>
      <c r="F309" s="1831"/>
      <c r="G309" s="1831"/>
      <c r="H309" s="1831"/>
      <c r="I309" s="1831"/>
      <c r="J309" s="1831"/>
      <c r="K309" s="1831"/>
      <c r="L309" s="1831"/>
      <c r="M309" s="1831"/>
      <c r="N309" s="1831"/>
      <c r="O309" s="1831"/>
      <c r="P309" s="1831"/>
      <c r="Q309" s="2348"/>
      <c r="R309" s="2345">
        <v>20</v>
      </c>
      <c r="S309" s="1831"/>
      <c r="T309" s="1831"/>
      <c r="U309" s="1831"/>
      <c r="V309" s="1831"/>
      <c r="W309" s="1831"/>
      <c r="X309" s="1831"/>
      <c r="Y309" s="1831"/>
      <c r="Z309" s="1831"/>
      <c r="AA309" s="1831"/>
    </row>
    <row r="310" spans="1:27" ht="36.75" customHeight="1">
      <c r="A310" s="123"/>
      <c r="B310" s="653"/>
      <c r="C310" s="1831"/>
      <c r="D310" s="587" t="s">
        <v>182</v>
      </c>
      <c r="E310" s="708" t="s">
        <v>226</v>
      </c>
      <c r="F310" s="587" t="s">
        <v>894</v>
      </c>
      <c r="G310" s="630"/>
      <c r="H310" s="796" t="s">
        <v>897</v>
      </c>
      <c r="I310" s="1847" t="s">
        <v>805</v>
      </c>
      <c r="J310" s="1831"/>
      <c r="K310" s="1831"/>
      <c r="L310" s="1831"/>
      <c r="M310" s="1831"/>
      <c r="N310" s="1831"/>
      <c r="O310" s="1831"/>
      <c r="P310" s="1831"/>
      <c r="Q310" s="2348"/>
      <c r="R310" s="2345">
        <v>21</v>
      </c>
      <c r="S310" s="1831"/>
      <c r="T310" s="1831"/>
      <c r="U310" s="1831"/>
      <c r="V310" s="1831"/>
      <c r="W310" s="1831"/>
      <c r="X310" s="1831"/>
      <c r="Y310" s="1831"/>
      <c r="Z310" s="1831"/>
      <c r="AA310" s="1831"/>
    </row>
    <row r="311" spans="1:27" ht="24.95" customHeight="1">
      <c r="A311" s="123"/>
      <c r="B311" s="653"/>
      <c r="C311" s="1831"/>
      <c r="D311" s="628">
        <f>J307</f>
        <v>45931</v>
      </c>
      <c r="E311" s="744">
        <f>LOOKUP(D311,$Y$282:$Y$295,$Z$282:$Z$295)</f>
        <v>84800</v>
      </c>
      <c r="F311" s="793">
        <f>I303</f>
        <v>0</v>
      </c>
      <c r="G311" s="587">
        <f>ROUND($EH$13*F311,0)</f>
        <v>0</v>
      </c>
      <c r="H311" s="630">
        <f>SUM(I307-1)</f>
        <v>5</v>
      </c>
      <c r="I311" s="630">
        <f>ROUND(G311*H311/D312,0)</f>
        <v>0</v>
      </c>
      <c r="J311" s="1831"/>
      <c r="K311" s="1831"/>
      <c r="L311" s="1831"/>
      <c r="M311" s="1831"/>
      <c r="N311" s="1831"/>
      <c r="O311" s="1831"/>
      <c r="P311" s="1831"/>
      <c r="Q311" s="2348"/>
      <c r="R311" s="2345">
        <v>22</v>
      </c>
      <c r="S311" s="1831"/>
      <c r="T311" s="1831"/>
      <c r="U311" s="1831"/>
      <c r="V311" s="1831"/>
      <c r="W311" s="1831"/>
      <c r="X311" s="1831"/>
      <c r="Y311" s="1831"/>
      <c r="Z311" s="1831"/>
      <c r="AA311" s="1831"/>
    </row>
    <row r="312" spans="1:27" ht="24.95" customHeight="1">
      <c r="A312" s="123"/>
      <c r="B312" s="653"/>
      <c r="C312" s="1831"/>
      <c r="D312" s="795">
        <f>LOOKUP(D311,$AX$47:$AX$60,$AY$47:$AY$60)</f>
        <v>31</v>
      </c>
      <c r="E312" s="631"/>
      <c r="F312" s="749">
        <f>I305</f>
        <v>0</v>
      </c>
      <c r="G312" s="587">
        <f>ROUND($EH$13*F312,0)</f>
        <v>0</v>
      </c>
      <c r="H312" s="630">
        <f>SUM($D$312-I307+1)</f>
        <v>26</v>
      </c>
      <c r="I312" s="630">
        <f>ROUND(G312*H312/D312,0)</f>
        <v>0</v>
      </c>
      <c r="J312" s="1831"/>
      <c r="K312" s="1845"/>
      <c r="L312" s="1831"/>
      <c r="M312" s="1831"/>
      <c r="N312" s="1831"/>
      <c r="O312" s="1831"/>
      <c r="P312" s="1831"/>
      <c r="Q312" s="2348"/>
      <c r="R312" s="2345">
        <v>23</v>
      </c>
      <c r="S312" s="1831"/>
      <c r="T312" s="1831"/>
      <c r="U312" s="1831"/>
      <c r="V312" s="1831"/>
      <c r="W312" s="1831"/>
      <c r="X312" s="1831"/>
      <c r="Y312" s="1831"/>
      <c r="Z312" s="1831"/>
      <c r="AA312" s="1831"/>
    </row>
    <row r="313" spans="1:27" ht="24.95" customHeight="1">
      <c r="A313" s="123"/>
      <c r="B313" s="653"/>
      <c r="C313" s="1831"/>
      <c r="I313" s="587">
        <f>SUM(I311:I312)</f>
        <v>0</v>
      </c>
      <c r="J313" s="1831"/>
      <c r="K313" s="1831"/>
      <c r="L313" s="1831"/>
      <c r="M313" s="1831"/>
      <c r="N313" s="1831"/>
      <c r="O313" s="1831"/>
      <c r="P313" s="1831"/>
      <c r="Q313" s="2348"/>
      <c r="R313" s="2345">
        <v>24</v>
      </c>
      <c r="S313" s="1831"/>
      <c r="T313" s="1831"/>
      <c r="U313" s="1831"/>
      <c r="V313" s="1831"/>
      <c r="W313" s="1831"/>
      <c r="X313" s="1831"/>
      <c r="Y313" s="1831"/>
      <c r="Z313" s="1831"/>
      <c r="AA313" s="1831"/>
    </row>
    <row r="314" spans="1:27" ht="24.95" customHeight="1">
      <c r="A314" s="123"/>
      <c r="B314" s="653"/>
      <c r="C314" s="1831"/>
      <c r="D314" s="1831"/>
      <c r="E314" s="1831"/>
      <c r="F314" s="1831"/>
      <c r="G314" s="1831"/>
      <c r="H314" s="1831"/>
      <c r="I314" s="1831"/>
      <c r="J314" s="1831"/>
      <c r="K314" s="1831"/>
      <c r="L314" s="1831"/>
      <c r="M314" s="1831"/>
      <c r="N314" s="1831"/>
      <c r="O314" s="1831"/>
      <c r="P314" s="1831"/>
      <c r="Q314" s="2348"/>
      <c r="R314" s="2345">
        <v>25</v>
      </c>
      <c r="S314" s="1831"/>
      <c r="T314" s="1831"/>
      <c r="U314" s="1831"/>
      <c r="V314" s="1831"/>
      <c r="W314" s="1831"/>
      <c r="X314" s="1831"/>
      <c r="Y314" s="1831"/>
      <c r="Z314" s="1831"/>
      <c r="AA314" s="1831"/>
    </row>
    <row r="315" spans="1:27" ht="24.95" customHeight="1">
      <c r="A315" s="123"/>
      <c r="B315" s="653"/>
      <c r="C315" s="1831"/>
      <c r="D315" s="1831"/>
      <c r="E315" s="1831"/>
      <c r="F315" s="1831"/>
      <c r="G315" s="1831"/>
      <c r="H315" s="1831"/>
      <c r="I315" s="1831"/>
      <c r="J315" s="1831"/>
      <c r="K315" s="1831"/>
      <c r="L315" s="1831"/>
      <c r="M315" s="1831"/>
      <c r="N315" s="1831"/>
      <c r="O315" s="1831"/>
      <c r="P315" s="1831"/>
      <c r="Q315" s="2348"/>
      <c r="R315" s="2345">
        <v>26</v>
      </c>
      <c r="S315" s="1831"/>
      <c r="T315" s="1831"/>
      <c r="U315" s="1831"/>
      <c r="V315" s="1831"/>
      <c r="W315" s="1831"/>
      <c r="X315" s="1831"/>
      <c r="Y315" s="1831"/>
      <c r="Z315" s="1831"/>
      <c r="AA315" s="1831"/>
    </row>
    <row r="316" spans="1:27" ht="24.95" customHeight="1">
      <c r="A316" s="123"/>
      <c r="B316" s="653"/>
      <c r="C316" s="1831"/>
      <c r="D316" s="1831"/>
      <c r="E316" s="1831"/>
      <c r="F316" s="1831"/>
      <c r="G316" s="1831"/>
      <c r="H316" s="1831"/>
      <c r="I316" s="1831"/>
      <c r="J316" s="1831"/>
      <c r="K316" s="1831"/>
      <c r="L316" s="1831"/>
      <c r="M316" s="1831"/>
      <c r="N316" s="1831"/>
      <c r="O316" s="1831"/>
      <c r="P316" s="1831"/>
      <c r="Q316" s="2348"/>
      <c r="R316" s="2345">
        <v>27</v>
      </c>
      <c r="S316" s="1831"/>
      <c r="T316" s="1831"/>
      <c r="U316" s="1831"/>
      <c r="V316" s="1831"/>
      <c r="W316" s="1831"/>
      <c r="X316" s="1831"/>
      <c r="Y316" s="1831"/>
      <c r="Z316" s="1831"/>
      <c r="AA316" s="1831"/>
    </row>
    <row r="317" spans="1:27" ht="33.75" customHeight="1">
      <c r="A317" s="123"/>
      <c r="B317" s="653"/>
      <c r="C317" s="1831"/>
      <c r="D317" s="587" t="s">
        <v>182</v>
      </c>
      <c r="E317" s="708" t="s">
        <v>226</v>
      </c>
      <c r="F317" s="587" t="s">
        <v>894</v>
      </c>
      <c r="G317" s="630"/>
      <c r="H317" s="796" t="s">
        <v>897</v>
      </c>
      <c r="I317" s="1847" t="s">
        <v>805</v>
      </c>
      <c r="J317" s="1831"/>
      <c r="K317" s="1831"/>
      <c r="L317" s="1831"/>
      <c r="M317" s="1831"/>
      <c r="N317" s="1831"/>
      <c r="O317" s="1831"/>
      <c r="P317" s="1831"/>
      <c r="Q317" s="2348"/>
      <c r="R317" s="2345">
        <v>28</v>
      </c>
      <c r="S317" s="1831"/>
      <c r="T317" s="1831"/>
      <c r="U317" s="1831"/>
      <c r="V317" s="1831"/>
      <c r="W317" s="1831"/>
      <c r="X317" s="1831"/>
      <c r="Y317" s="1831"/>
      <c r="Z317" s="1831"/>
      <c r="AA317" s="1831"/>
    </row>
    <row r="318" spans="1:27" ht="24.95" customHeight="1">
      <c r="A318" s="123"/>
      <c r="B318" s="653"/>
      <c r="C318" s="1831"/>
      <c r="D318" s="628">
        <f>J307</f>
        <v>45931</v>
      </c>
      <c r="E318" s="744">
        <f>LOOKUP(D318,$Y$282:$Y$295,$Z$282:$Z$295)</f>
        <v>84800</v>
      </c>
      <c r="F318" s="793">
        <f>M303</f>
        <v>0.09</v>
      </c>
      <c r="G318" s="587">
        <f>ROUND($EH$13*F318,0)</f>
        <v>7407</v>
      </c>
      <c r="H318" s="630">
        <f>SUM(I307-1)</f>
        <v>5</v>
      </c>
      <c r="I318" s="630">
        <f>ROUND(G318*H318/D319,0)</f>
        <v>1195</v>
      </c>
      <c r="J318" s="1831"/>
      <c r="K318" s="1831"/>
      <c r="L318" s="1831"/>
      <c r="M318" s="1831"/>
      <c r="N318" s="1831"/>
      <c r="O318" s="1831"/>
      <c r="P318" s="1831"/>
      <c r="Q318" s="2348"/>
      <c r="R318" s="2345">
        <v>29</v>
      </c>
      <c r="S318" s="1831"/>
      <c r="T318" s="1831"/>
      <c r="U318" s="1831"/>
      <c r="V318" s="1831"/>
      <c r="W318" s="1831"/>
      <c r="X318" s="1831"/>
      <c r="Y318" s="1831"/>
      <c r="Z318" s="1831"/>
      <c r="AA318" s="1831"/>
    </row>
    <row r="319" spans="1:27" ht="24.95" customHeight="1">
      <c r="A319" s="123"/>
      <c r="B319" s="653"/>
      <c r="C319" s="1831"/>
      <c r="D319" s="795">
        <f>LOOKUP(D318,$AX$47:$AX$60,$AY$47:$AY$60)</f>
        <v>31</v>
      </c>
      <c r="E319" s="631"/>
      <c r="F319" s="749">
        <f>M305</f>
        <v>0.16</v>
      </c>
      <c r="G319" s="587">
        <f>ROUND($EH$13*F319,0)</f>
        <v>13168</v>
      </c>
      <c r="H319" s="630">
        <f>SUM($D$312-I307+1)</f>
        <v>26</v>
      </c>
      <c r="I319" s="630">
        <f>ROUND(G319*H319/D319,0)</f>
        <v>11044</v>
      </c>
      <c r="J319" s="1831"/>
      <c r="K319" s="1831"/>
      <c r="L319" s="1831"/>
      <c r="M319" s="1831"/>
      <c r="N319" s="1831"/>
      <c r="O319" s="1831"/>
      <c r="P319" s="1831"/>
      <c r="Q319" s="2348"/>
      <c r="R319" s="2345">
        <v>30</v>
      </c>
      <c r="S319" s="1831"/>
      <c r="T319" s="1831"/>
      <c r="U319" s="1831"/>
      <c r="V319" s="1831"/>
      <c r="W319" s="1831"/>
      <c r="X319" s="1831"/>
      <c r="Y319" s="1831"/>
      <c r="Z319" s="1831"/>
      <c r="AA319" s="1831"/>
    </row>
    <row r="320" spans="1:27" ht="24.95" customHeight="1">
      <c r="A320" s="123"/>
      <c r="B320" s="653"/>
      <c r="C320" s="1831"/>
      <c r="I320" s="587">
        <f>SUM(I318:I319)</f>
        <v>12239</v>
      </c>
      <c r="J320" s="1831"/>
      <c r="K320" s="1831"/>
      <c r="L320" s="1831"/>
      <c r="M320" s="1831"/>
      <c r="N320" s="1831"/>
      <c r="O320" s="1831"/>
      <c r="P320" s="1831"/>
      <c r="Q320" s="2348"/>
      <c r="R320" s="2345">
        <v>31</v>
      </c>
      <c r="S320" s="1831"/>
      <c r="T320" s="1831"/>
      <c r="U320" s="1831"/>
      <c r="V320" s="1831"/>
      <c r="W320" s="1831"/>
      <c r="X320" s="1831"/>
      <c r="Y320" s="1831"/>
      <c r="Z320" s="1831"/>
      <c r="AA320" s="1831"/>
    </row>
    <row r="321" spans="1:27" ht="24.95" customHeight="1">
      <c r="A321" s="123"/>
      <c r="B321" s="653"/>
      <c r="C321" s="1831"/>
      <c r="D321" s="1831"/>
      <c r="E321" s="1831"/>
      <c r="F321" s="1831"/>
      <c r="G321" s="1831"/>
      <c r="H321" s="1831"/>
      <c r="I321" s="1831"/>
      <c r="J321" s="1831"/>
      <c r="K321" s="1831"/>
      <c r="L321" s="1831"/>
      <c r="M321" s="1831"/>
      <c r="N321" s="1831"/>
      <c r="O321" s="1831"/>
      <c r="P321" s="1831"/>
      <c r="Q321" s="2348"/>
      <c r="R321" s="2326"/>
      <c r="S321" s="1831"/>
      <c r="T321" s="1831"/>
      <c r="U321" s="1831"/>
      <c r="V321" s="1831"/>
      <c r="W321" s="1831"/>
      <c r="X321" s="1831"/>
      <c r="Y321" s="1831"/>
      <c r="Z321" s="1831"/>
      <c r="AA321" s="1831"/>
    </row>
    <row r="322" spans="1:27" ht="24.95" customHeight="1">
      <c r="A322" s="123"/>
      <c r="B322" s="653"/>
      <c r="C322" s="1831"/>
      <c r="D322" s="1831"/>
      <c r="E322" s="1831"/>
      <c r="F322" s="1831"/>
      <c r="G322" s="1831"/>
      <c r="H322" s="1831"/>
      <c r="I322" s="1831"/>
      <c r="J322" s="1831"/>
      <c r="K322" s="1831"/>
      <c r="L322" s="1831"/>
      <c r="M322" s="1831"/>
      <c r="N322" s="1831"/>
      <c r="O322" s="1831"/>
      <c r="P322" s="1831"/>
      <c r="Q322" s="2348"/>
      <c r="R322" s="1831"/>
      <c r="S322" s="1831"/>
      <c r="T322" s="1831"/>
      <c r="U322" s="1831"/>
      <c r="V322" s="1831"/>
      <c r="W322" s="1831"/>
      <c r="X322" s="1831"/>
      <c r="Y322" s="1831"/>
      <c r="Z322" s="1831"/>
      <c r="AA322" s="1831"/>
    </row>
    <row r="323" spans="1:27" ht="24.95" customHeight="1">
      <c r="A323" s="123"/>
      <c r="B323" s="653"/>
      <c r="C323" s="1831"/>
      <c r="D323" s="1831"/>
      <c r="E323" s="1831"/>
      <c r="F323" s="1831"/>
      <c r="G323" s="1831"/>
      <c r="H323" s="1831"/>
      <c r="I323" s="1831"/>
      <c r="J323" s="1831"/>
      <c r="K323" s="1831"/>
      <c r="L323" s="1831"/>
      <c r="M323" s="1831"/>
      <c r="N323" s="1831"/>
      <c r="O323" s="1831"/>
      <c r="P323" s="1831"/>
      <c r="Q323" s="2348"/>
      <c r="R323" s="1831"/>
      <c r="S323" s="1831"/>
      <c r="T323" s="1831"/>
      <c r="U323" s="1831"/>
      <c r="V323" s="1831"/>
      <c r="W323" s="1831"/>
      <c r="X323" s="1831"/>
      <c r="Y323" s="1831"/>
      <c r="Z323" s="1831"/>
      <c r="AA323" s="1831"/>
    </row>
    <row r="324" spans="1:27" ht="24.95" customHeight="1">
      <c r="A324" s="123"/>
      <c r="B324" s="653"/>
      <c r="C324" s="1831"/>
      <c r="D324" s="1881"/>
      <c r="E324" s="1831"/>
      <c r="F324" s="1881"/>
      <c r="G324" s="1831"/>
      <c r="H324" s="1831"/>
      <c r="I324" s="1831"/>
      <c r="J324" s="1831"/>
      <c r="K324" s="1831"/>
      <c r="L324" s="1831"/>
      <c r="M324" s="1831"/>
      <c r="N324" s="1831"/>
      <c r="O324" s="1831"/>
      <c r="P324" s="1831"/>
      <c r="Q324" s="2348"/>
      <c r="R324" s="1831"/>
      <c r="S324" s="1831"/>
      <c r="T324" s="1831"/>
      <c r="U324" s="1831"/>
      <c r="V324" s="1831"/>
      <c r="W324" s="1831"/>
      <c r="X324" s="1831"/>
      <c r="Y324" s="1831"/>
      <c r="Z324" s="1831"/>
      <c r="AA324" s="1831"/>
    </row>
    <row r="325" spans="1:27" ht="24.95" customHeight="1">
      <c r="A325" s="123"/>
      <c r="B325" s="653"/>
      <c r="C325" s="1831"/>
      <c r="D325" s="1831"/>
      <c r="E325" s="1831"/>
      <c r="F325" s="1831"/>
      <c r="G325" s="1831"/>
      <c r="H325" s="1831"/>
      <c r="I325" s="1831"/>
      <c r="J325" s="1831"/>
      <c r="K325" s="1831"/>
      <c r="L325" s="1831"/>
      <c r="M325" s="1831"/>
      <c r="N325" s="1831"/>
      <c r="O325" s="1831"/>
      <c r="P325" s="1831"/>
      <c r="Q325" s="2348"/>
      <c r="R325" s="1831"/>
      <c r="S325" s="1831"/>
      <c r="T325" s="5257" t="str">
        <f>AB268</f>
        <v>Rs.68900-205500</v>
      </c>
      <c r="U325" s="5257"/>
      <c r="V325" s="1831"/>
      <c r="W325" s="1831"/>
      <c r="X325" s="1831"/>
      <c r="Y325" s="1831"/>
      <c r="Z325" s="1831"/>
      <c r="AA325" s="1831"/>
    </row>
    <row r="326" spans="1:27" ht="24.95" customHeight="1">
      <c r="A326" s="123"/>
      <c r="B326" s="653"/>
      <c r="C326" s="1831"/>
      <c r="D326" s="1882">
        <v>44378</v>
      </c>
      <c r="E326" s="1481"/>
      <c r="F326" s="1481"/>
      <c r="G326" s="1831"/>
      <c r="H326" s="1831"/>
      <c r="I326" s="1831"/>
      <c r="J326" s="1831"/>
      <c r="K326" s="1831"/>
      <c r="L326" s="1831"/>
      <c r="M326" s="1831"/>
      <c r="N326" s="1831"/>
      <c r="O326" s="1831"/>
      <c r="P326" s="1831"/>
      <c r="Q326" s="2348"/>
      <c r="R326" s="1831"/>
      <c r="S326" s="1831"/>
      <c r="T326" s="738">
        <v>1</v>
      </c>
      <c r="U326" s="738">
        <f>IF(IF(AND($AC$268=1),E39,IF(AND($AC$268=2),F39,IF(AND($AC$268=3),G39,IF(AND($AC$268=4),H39,IF(AND($AC$268=5),I39,IF(AND($AC$268=6),J39,""))))))&gt;0,IF(AND($AC$268=1),E39,IF(AND($AC$268=2),F39,IF(AND($AC$268=3),G39,IF(AND($AC$268=4),H39,IF(AND($AC$268=5),I39,IF(AND($AC$268=6),J39,"")))))),"")</f>
        <v>68900</v>
      </c>
      <c r="V326" s="1831"/>
      <c r="W326" s="1831"/>
      <c r="X326" s="1831"/>
      <c r="Y326" s="1831"/>
      <c r="Z326" s="1831"/>
      <c r="AA326" s="1831"/>
    </row>
    <row r="327" spans="1:27" ht="24.95" customHeight="1">
      <c r="A327" s="123"/>
      <c r="B327" s="653"/>
      <c r="C327" s="1831"/>
      <c r="D327" s="723" t="s">
        <v>849</v>
      </c>
      <c r="E327" s="722" t="s">
        <v>850</v>
      </c>
      <c r="F327" s="1831"/>
      <c r="G327" s="1831"/>
      <c r="H327" s="1831"/>
      <c r="I327" s="1831"/>
      <c r="J327" s="1831"/>
      <c r="K327" s="1831"/>
      <c r="L327" s="1831"/>
      <c r="M327" s="1831"/>
      <c r="N327" s="1831"/>
      <c r="O327" s="1831"/>
      <c r="P327" s="1831"/>
      <c r="Q327" s="2348"/>
      <c r="R327" s="1831"/>
      <c r="S327" s="1831"/>
      <c r="T327" s="738">
        <v>2</v>
      </c>
      <c r="U327" s="738">
        <f t="shared" ref="U327:U365" si="284">IF(IF(AND($AC$268=1),E40,IF(AND($AC$268=2),F40,IF(AND($AC$268=3),G40,IF(AND($AC$268=4),H40,IF(AND($AC$268=5),I40,IF(AND($AC$268=6),J40,""))))))&gt;0,IF(AND($AC$268=1),E40,IF(AND($AC$268=2),F40,IF(AND($AC$268=3),G40,IF(AND($AC$268=4),H40,IF(AND($AC$268=5),I40,IF(AND($AC$268=6),J40,"")))))),"")</f>
        <v>71000</v>
      </c>
      <c r="V327" s="1831"/>
      <c r="W327" s="1831"/>
      <c r="X327" s="1831"/>
      <c r="Y327" s="1831"/>
      <c r="Z327" s="1831"/>
      <c r="AA327" s="1831"/>
    </row>
    <row r="328" spans="1:27" ht="24.95" customHeight="1">
      <c r="A328" s="123"/>
      <c r="B328" s="653"/>
      <c r="C328" s="1831"/>
      <c r="D328" s="1883">
        <f>MONTH(D326)</f>
        <v>7</v>
      </c>
      <c r="E328" s="1883" t="str">
        <f>RIGHT(YEAR(D326),2)</f>
        <v>21</v>
      </c>
      <c r="F328" s="1831"/>
      <c r="G328" s="1831"/>
      <c r="H328" s="1831"/>
      <c r="I328" s="1831"/>
      <c r="J328" s="1831"/>
      <c r="K328" s="1831"/>
      <c r="L328" s="1831"/>
      <c r="M328" s="1831"/>
      <c r="N328" s="1831"/>
      <c r="O328" s="1831"/>
      <c r="P328" s="1831"/>
      <c r="Q328" s="2348"/>
      <c r="R328" s="1831"/>
      <c r="S328" s="1831"/>
      <c r="T328" s="738">
        <v>3</v>
      </c>
      <c r="U328" s="738">
        <f t="shared" si="284"/>
        <v>73100</v>
      </c>
      <c r="V328" s="1831"/>
      <c r="W328" s="1831"/>
      <c r="X328" s="1831"/>
      <c r="Y328" s="1831"/>
      <c r="Z328" s="1831"/>
      <c r="AA328" s="1831"/>
    </row>
    <row r="329" spans="1:27" ht="24.95" customHeight="1">
      <c r="A329" s="123"/>
      <c r="B329" s="653"/>
      <c r="C329" s="1831"/>
      <c r="D329" s="1884" t="str">
        <f>LOOKUP(D328,$AE$21:$AE$32,$AG$21:$AG$32)</f>
        <v>Jul</v>
      </c>
      <c r="E329" s="1884" t="str">
        <f>E328</f>
        <v>21</v>
      </c>
      <c r="F329" s="1831"/>
      <c r="G329" s="1831"/>
      <c r="H329" s="1831"/>
      <c r="I329" s="1831"/>
      <c r="J329" s="1831"/>
      <c r="K329" s="1831"/>
      <c r="L329" s="1831"/>
      <c r="M329" s="1831"/>
      <c r="N329" s="1831"/>
      <c r="O329" s="1831"/>
      <c r="P329" s="1831"/>
      <c r="Q329" s="2348"/>
      <c r="R329" s="1831"/>
      <c r="S329" s="1831"/>
      <c r="T329" s="738">
        <v>4</v>
      </c>
      <c r="U329" s="738">
        <f t="shared" si="284"/>
        <v>75300</v>
      </c>
      <c r="V329" s="1831"/>
      <c r="W329" s="1831"/>
      <c r="X329" s="1831"/>
      <c r="Y329" s="1831"/>
      <c r="Z329" s="1831"/>
      <c r="AA329" s="1831"/>
    </row>
    <row r="330" spans="1:27" ht="24.95" customHeight="1">
      <c r="A330" s="123"/>
      <c r="B330" s="653"/>
      <c r="C330" s="1831"/>
      <c r="D330" s="1481"/>
      <c r="E330" s="1831"/>
      <c r="F330" s="1831"/>
      <c r="G330" s="1831"/>
      <c r="H330" s="1831"/>
      <c r="I330" s="1831"/>
      <c r="J330" s="1831"/>
      <c r="K330" s="1831"/>
      <c r="L330" s="1831"/>
      <c r="M330" s="1831"/>
      <c r="N330" s="1831"/>
      <c r="O330" s="1831"/>
      <c r="P330" s="1831"/>
      <c r="Q330" s="2348"/>
      <c r="R330" s="1831"/>
      <c r="S330" s="1831"/>
      <c r="T330" s="738">
        <v>5</v>
      </c>
      <c r="U330" s="738">
        <f t="shared" si="284"/>
        <v>77600</v>
      </c>
      <c r="V330" s="1831"/>
      <c r="W330" s="1831"/>
      <c r="X330" s="1831"/>
      <c r="Y330" s="1831"/>
      <c r="Z330" s="1831"/>
      <c r="AA330" s="1831"/>
    </row>
    <row r="331" spans="1:27" ht="24.95" customHeight="1">
      <c r="A331" s="123"/>
      <c r="B331" s="653"/>
      <c r="C331" s="1831"/>
      <c r="D331" s="1831"/>
      <c r="E331" s="1831"/>
      <c r="F331" s="1831"/>
      <c r="G331" s="5240" t="str">
        <f>CONCATENATE("DA Arrears for the Period from"," ",D329,"-",E329," ","To","  ",D335,"-",E335)</f>
        <v>DA Arrears for the Period from Jul-21 To  Dec-21</v>
      </c>
      <c r="H331" s="5240"/>
      <c r="I331" s="5240"/>
      <c r="J331" s="5240"/>
      <c r="K331" s="1831"/>
      <c r="L331" s="1831"/>
      <c r="M331" s="1831"/>
      <c r="N331" s="1831"/>
      <c r="O331" s="1831"/>
      <c r="P331" s="1831"/>
      <c r="Q331" s="2348"/>
      <c r="R331" s="1831"/>
      <c r="S331" s="1831"/>
      <c r="T331" s="738">
        <v>6</v>
      </c>
      <c r="U331" s="738">
        <f t="shared" si="284"/>
        <v>79900</v>
      </c>
      <c r="V331" s="1831"/>
      <c r="W331" s="1831"/>
      <c r="X331" s="1831"/>
      <c r="Y331" s="1831"/>
      <c r="Z331" s="1831"/>
      <c r="AA331" s="1831"/>
    </row>
    <row r="332" spans="1:27" ht="24.95" customHeight="1">
      <c r="A332" s="123"/>
      <c r="B332" s="653"/>
      <c r="C332" s="1831"/>
      <c r="D332" s="1882">
        <v>44531</v>
      </c>
      <c r="E332" s="1481"/>
      <c r="F332" s="1831"/>
      <c r="G332" s="1831"/>
      <c r="H332" s="1831"/>
      <c r="I332" s="1831"/>
      <c r="J332" s="1831"/>
      <c r="K332" s="1831"/>
      <c r="L332" s="1831"/>
      <c r="M332" s="1831"/>
      <c r="N332" s="1831"/>
      <c r="O332" s="1831"/>
      <c r="P332" s="1831"/>
      <c r="Q332" s="2348"/>
      <c r="R332" s="1831"/>
      <c r="S332" s="1831"/>
      <c r="T332" s="738">
        <v>7</v>
      </c>
      <c r="U332" s="738">
        <f t="shared" si="284"/>
        <v>82300</v>
      </c>
      <c r="V332" s="1831"/>
      <c r="W332" s="1831"/>
      <c r="X332" s="1831"/>
      <c r="Y332" s="1831"/>
      <c r="Z332" s="1831"/>
      <c r="AA332" s="1831"/>
    </row>
    <row r="333" spans="1:27" ht="24.95" customHeight="1">
      <c r="A333" s="123"/>
      <c r="B333" s="653"/>
      <c r="C333" s="1831"/>
      <c r="D333" s="1885" t="s">
        <v>849</v>
      </c>
      <c r="E333" s="1886" t="s">
        <v>850</v>
      </c>
      <c r="F333" s="1831"/>
      <c r="G333" s="4118" t="s">
        <v>1463</v>
      </c>
      <c r="H333" s="4118"/>
      <c r="I333" s="4118"/>
      <c r="J333" s="4118"/>
      <c r="K333" s="1831"/>
      <c r="L333" s="1831"/>
      <c r="M333" s="1831"/>
      <c r="N333" s="1831"/>
      <c r="O333" s="1831"/>
      <c r="P333" s="1831"/>
      <c r="Q333" s="2348"/>
      <c r="R333" s="1831"/>
      <c r="S333" s="1831"/>
      <c r="T333" s="738">
        <v>8</v>
      </c>
      <c r="U333" s="738">
        <f t="shared" si="284"/>
        <v>84800</v>
      </c>
      <c r="V333" s="1831"/>
      <c r="W333" s="1831"/>
      <c r="X333" s="1831"/>
      <c r="Y333" s="1831"/>
      <c r="Z333" s="1831"/>
      <c r="AA333" s="1831"/>
    </row>
    <row r="334" spans="1:27" ht="24.95" customHeight="1">
      <c r="A334" s="123"/>
      <c r="B334" s="653"/>
      <c r="C334" s="1831"/>
      <c r="D334" s="1887">
        <f>MONTH(D332)</f>
        <v>12</v>
      </c>
      <c r="E334" s="1887" t="str">
        <f>RIGHT(YEAR(D332),2)</f>
        <v>21</v>
      </c>
      <c r="F334" s="1831"/>
      <c r="G334" s="1831"/>
      <c r="H334" s="1831"/>
      <c r="I334" s="1831"/>
      <c r="J334" s="1831"/>
      <c r="K334" s="1831"/>
      <c r="L334" s="1831"/>
      <c r="M334" s="1831"/>
      <c r="N334" s="1831"/>
      <c r="O334" s="1831"/>
      <c r="P334" s="1831"/>
      <c r="Q334" s="2348"/>
      <c r="R334" s="1831"/>
      <c r="S334" s="1831"/>
      <c r="T334" s="738">
        <v>9</v>
      </c>
      <c r="U334" s="738">
        <f t="shared" si="284"/>
        <v>87300</v>
      </c>
      <c r="V334" s="1831"/>
      <c r="W334" s="1831"/>
      <c r="X334" s="1831"/>
      <c r="Y334" s="1831"/>
      <c r="Z334" s="1831"/>
      <c r="AA334" s="1831"/>
    </row>
    <row r="335" spans="1:27" ht="24.95" customHeight="1">
      <c r="A335" s="123"/>
      <c r="B335" s="653"/>
      <c r="C335" s="1831"/>
      <c r="D335" s="1888" t="str">
        <f>LOOKUP(D334,$AE$21:$AE$32,$AG$21:$AG$32)</f>
        <v>Dec</v>
      </c>
      <c r="E335" s="1888" t="str">
        <f>E334</f>
        <v>21</v>
      </c>
      <c r="F335" s="1831"/>
      <c r="G335" s="1831"/>
      <c r="H335" s="1831"/>
      <c r="I335" s="1831"/>
      <c r="J335" s="1831"/>
      <c r="K335" s="1831"/>
      <c r="L335" s="1831"/>
      <c r="M335" s="1831"/>
      <c r="N335" s="1831"/>
      <c r="O335" s="1831"/>
      <c r="P335" s="1831"/>
      <c r="Q335" s="2348"/>
      <c r="R335" s="1831"/>
      <c r="S335" s="1831"/>
      <c r="T335" s="738">
        <v>10</v>
      </c>
      <c r="U335" s="738">
        <f t="shared" si="284"/>
        <v>89900</v>
      </c>
      <c r="V335" s="1831"/>
      <c r="W335" s="1831"/>
      <c r="X335" s="1831"/>
      <c r="Y335" s="1831"/>
      <c r="Z335" s="1831"/>
      <c r="AA335" s="1831"/>
    </row>
    <row r="336" spans="1:27" ht="24.95" customHeight="1">
      <c r="A336" s="123"/>
      <c r="B336" s="653"/>
      <c r="C336" s="1831"/>
      <c r="D336" s="1831"/>
      <c r="E336" s="1831"/>
      <c r="F336" s="1831"/>
      <c r="G336" s="1831"/>
      <c r="H336" s="1831"/>
      <c r="I336" s="1831"/>
      <c r="J336" s="1831"/>
      <c r="K336" s="1831"/>
      <c r="L336" s="1831"/>
      <c r="M336" s="1831"/>
      <c r="N336" s="1831"/>
      <c r="O336" s="1831"/>
      <c r="P336" s="1831"/>
      <c r="Q336" s="2348"/>
      <c r="R336" s="1831"/>
      <c r="S336" s="1831"/>
      <c r="T336" s="738">
        <v>11</v>
      </c>
      <c r="U336" s="738">
        <f t="shared" si="284"/>
        <v>92600</v>
      </c>
      <c r="V336" s="1831"/>
      <c r="W336" s="1831"/>
      <c r="X336" s="1831"/>
      <c r="Y336" s="1831"/>
      <c r="Z336" s="1831"/>
      <c r="AA336" s="1831"/>
    </row>
    <row r="337" spans="1:27" ht="24.95" customHeight="1">
      <c r="A337" s="123"/>
      <c r="B337" s="653"/>
      <c r="C337" s="1831"/>
      <c r="D337" s="1831"/>
      <c r="E337" s="1831"/>
      <c r="F337" s="1831"/>
      <c r="G337" s="1831"/>
      <c r="H337" s="1831"/>
      <c r="I337" s="1831"/>
      <c r="J337" s="1831"/>
      <c r="K337" s="1831"/>
      <c r="L337" s="1831"/>
      <c r="M337" s="1831"/>
      <c r="N337" s="1831"/>
      <c r="O337" s="1831"/>
      <c r="P337" s="1831"/>
      <c r="Q337" s="2348"/>
      <c r="R337" s="1831"/>
      <c r="S337" s="1831"/>
      <c r="T337" s="738">
        <v>12</v>
      </c>
      <c r="U337" s="738">
        <f t="shared" si="284"/>
        <v>95400</v>
      </c>
      <c r="V337" s="1831"/>
      <c r="W337" s="1831"/>
      <c r="X337" s="1831"/>
      <c r="Y337" s="1831"/>
      <c r="Z337" s="1831"/>
      <c r="AA337" s="1831"/>
    </row>
    <row r="338" spans="1:27" ht="24.95" customHeight="1">
      <c r="A338" s="123"/>
      <c r="B338" s="653"/>
      <c r="C338" s="1831"/>
      <c r="D338" s="1831"/>
      <c r="E338" s="1831"/>
      <c r="F338" s="1831"/>
      <c r="G338" s="1831"/>
      <c r="H338" s="1831"/>
      <c r="I338" s="1831"/>
      <c r="J338" s="1831"/>
      <c r="K338" s="1831"/>
      <c r="L338" s="1831"/>
      <c r="M338" s="1831"/>
      <c r="N338" s="1831"/>
      <c r="O338" s="1831"/>
      <c r="P338" s="1831"/>
      <c r="Q338" s="2348"/>
      <c r="R338" s="1831"/>
      <c r="S338" s="1831"/>
      <c r="T338" s="738">
        <v>13</v>
      </c>
      <c r="U338" s="738">
        <f t="shared" si="284"/>
        <v>98300</v>
      </c>
      <c r="V338" s="1831"/>
      <c r="W338" s="1831"/>
      <c r="X338" s="1831"/>
      <c r="Y338" s="1831"/>
      <c r="Z338" s="1831"/>
      <c r="AA338" s="1831"/>
    </row>
    <row r="339" spans="1:27" ht="24.95" customHeight="1">
      <c r="A339" s="123"/>
      <c r="B339" s="653"/>
      <c r="C339" s="1831"/>
      <c r="D339" s="1831"/>
      <c r="E339" s="1831"/>
      <c r="F339" s="1831"/>
      <c r="G339" s="1831"/>
      <c r="H339" s="1831"/>
      <c r="I339" s="1831"/>
      <c r="J339" s="1831"/>
      <c r="K339" s="1831"/>
      <c r="L339" s="1831"/>
      <c r="M339" s="1831"/>
      <c r="N339" s="1831"/>
      <c r="O339" s="1831"/>
      <c r="P339" s="1831"/>
      <c r="Q339" s="2348"/>
      <c r="R339" s="1831"/>
      <c r="S339" s="1831"/>
      <c r="T339" s="738">
        <v>14</v>
      </c>
      <c r="U339" s="738">
        <f t="shared" si="284"/>
        <v>101200</v>
      </c>
      <c r="V339" s="1831"/>
      <c r="W339" s="1831"/>
      <c r="X339" s="1831"/>
      <c r="Y339" s="1831"/>
      <c r="Z339" s="1831"/>
      <c r="AA339" s="1831"/>
    </row>
    <row r="340" spans="1:27" ht="24.95" customHeight="1">
      <c r="A340" s="123"/>
      <c r="B340" s="653"/>
      <c r="C340" s="1831"/>
      <c r="D340" s="1831"/>
      <c r="E340" s="1831"/>
      <c r="F340" s="1831"/>
      <c r="G340" s="1831"/>
      <c r="H340" s="1831"/>
      <c r="I340" s="1831"/>
      <c r="J340" s="1831"/>
      <c r="K340" s="1831"/>
      <c r="L340" s="1831"/>
      <c r="M340" s="1831"/>
      <c r="N340" s="1831"/>
      <c r="O340" s="1831"/>
      <c r="P340" s="1831"/>
      <c r="Q340" s="2348"/>
      <c r="R340" s="1831"/>
      <c r="S340" s="1831"/>
      <c r="T340" s="738">
        <v>15</v>
      </c>
      <c r="U340" s="738">
        <f t="shared" si="284"/>
        <v>104200</v>
      </c>
      <c r="V340" s="1831"/>
      <c r="W340" s="1831"/>
      <c r="X340" s="1831"/>
      <c r="Y340" s="1831"/>
      <c r="Z340" s="1831"/>
      <c r="AA340" s="1831"/>
    </row>
    <row r="341" spans="1:27" ht="24.95" customHeight="1">
      <c r="A341" s="123"/>
      <c r="B341" s="653"/>
      <c r="C341" s="1831"/>
      <c r="D341" s="1831"/>
      <c r="E341" s="1831"/>
      <c r="F341" s="1831"/>
      <c r="G341" s="1831"/>
      <c r="H341" s="1831"/>
      <c r="I341" s="1831"/>
      <c r="J341" s="1831"/>
      <c r="K341" s="1831"/>
      <c r="L341" s="1831"/>
      <c r="M341" s="1831"/>
      <c r="N341" s="1831"/>
      <c r="O341" s="1831"/>
      <c r="P341" s="1831"/>
      <c r="Q341" s="2348"/>
      <c r="R341" s="1831"/>
      <c r="S341" s="1831"/>
      <c r="T341" s="738">
        <v>16</v>
      </c>
      <c r="U341" s="738">
        <f t="shared" si="284"/>
        <v>107300</v>
      </c>
      <c r="V341" s="1831"/>
      <c r="W341" s="1831"/>
      <c r="X341" s="1831"/>
      <c r="Y341" s="1831"/>
      <c r="Z341" s="1831"/>
      <c r="AA341" s="1831"/>
    </row>
    <row r="342" spans="1:27" ht="24.95" customHeight="1">
      <c r="A342" s="123"/>
      <c r="B342" s="653"/>
      <c r="C342" s="1831"/>
      <c r="D342" s="1831"/>
      <c r="E342" s="1831"/>
      <c r="F342" s="1831"/>
      <c r="G342" s="1831"/>
      <c r="H342" s="1831"/>
      <c r="I342" s="1831"/>
      <c r="J342" s="1831"/>
      <c r="K342" s="1831"/>
      <c r="L342" s="1831"/>
      <c r="M342" s="1831"/>
      <c r="N342" s="1831"/>
      <c r="O342" s="1831"/>
      <c r="P342" s="1831"/>
      <c r="Q342" s="2348"/>
      <c r="R342" s="1831"/>
      <c r="S342" s="1831"/>
      <c r="T342" s="738">
        <v>17</v>
      </c>
      <c r="U342" s="738">
        <f t="shared" si="284"/>
        <v>110500</v>
      </c>
      <c r="V342" s="1831"/>
      <c r="W342" s="1831"/>
      <c r="X342" s="1831"/>
      <c r="Y342" s="1831"/>
      <c r="Z342" s="1831"/>
      <c r="AA342" s="1831"/>
    </row>
    <row r="343" spans="1:27" ht="24.95" customHeight="1">
      <c r="A343" s="123"/>
      <c r="B343" s="653"/>
      <c r="C343" s="1831"/>
      <c r="D343" s="1831"/>
      <c r="E343" s="1831"/>
      <c r="F343" s="1831"/>
      <c r="G343" s="1831"/>
      <c r="H343" s="1831"/>
      <c r="I343" s="1831"/>
      <c r="J343" s="1831"/>
      <c r="K343" s="1831"/>
      <c r="L343" s="1831"/>
      <c r="M343" s="1831"/>
      <c r="N343" s="1831"/>
      <c r="O343" s="1831"/>
      <c r="P343" s="1831"/>
      <c r="Q343" s="2348"/>
      <c r="R343" s="1831"/>
      <c r="S343" s="1831"/>
      <c r="T343" s="738">
        <v>18</v>
      </c>
      <c r="U343" s="738">
        <f t="shared" si="284"/>
        <v>113800</v>
      </c>
      <c r="V343" s="1831"/>
      <c r="W343" s="1831"/>
      <c r="X343" s="1831"/>
      <c r="Y343" s="1831"/>
      <c r="Z343" s="1831"/>
      <c r="AA343" s="1831"/>
    </row>
    <row r="344" spans="1:27" ht="24.95" customHeight="1">
      <c r="A344" s="123"/>
      <c r="B344" s="653"/>
      <c r="C344" s="1831"/>
      <c r="D344" s="1831"/>
      <c r="E344" s="1831"/>
      <c r="F344" s="1831"/>
      <c r="G344" s="1831"/>
      <c r="H344" s="1831"/>
      <c r="I344" s="1831"/>
      <c r="J344" s="1831"/>
      <c r="K344" s="1831"/>
      <c r="L344" s="1831"/>
      <c r="M344" s="1831"/>
      <c r="N344" s="1831"/>
      <c r="O344" s="1831"/>
      <c r="P344" s="1831"/>
      <c r="Q344" s="2348"/>
      <c r="R344" s="1831"/>
      <c r="S344" s="1831"/>
      <c r="T344" s="738">
        <v>19</v>
      </c>
      <c r="U344" s="738">
        <f t="shared" si="284"/>
        <v>117200</v>
      </c>
      <c r="V344" s="1831"/>
      <c r="W344" s="1831"/>
      <c r="X344" s="1831"/>
      <c r="Y344" s="1831"/>
      <c r="Z344" s="1831"/>
      <c r="AA344" s="1831"/>
    </row>
    <row r="345" spans="1:27" ht="24.95" customHeight="1">
      <c r="A345" s="123"/>
      <c r="B345" s="653"/>
      <c r="C345" s="1831"/>
      <c r="D345" s="1831"/>
      <c r="E345" s="1831"/>
      <c r="F345" s="1831"/>
      <c r="G345" s="1831"/>
      <c r="H345" s="1831"/>
      <c r="I345" s="1831"/>
      <c r="J345" s="1831"/>
      <c r="K345" s="1831"/>
      <c r="L345" s="1831"/>
      <c r="M345" s="1831"/>
      <c r="N345" s="1831"/>
      <c r="O345" s="1831"/>
      <c r="P345" s="1831"/>
      <c r="Q345" s="2348"/>
      <c r="R345" s="1831"/>
      <c r="S345" s="1831"/>
      <c r="T345" s="738">
        <v>20</v>
      </c>
      <c r="U345" s="738">
        <f t="shared" si="284"/>
        <v>120700</v>
      </c>
      <c r="V345" s="1831"/>
      <c r="W345" s="1831"/>
      <c r="X345" s="1831"/>
      <c r="Y345" s="1831"/>
      <c r="Z345" s="1831"/>
      <c r="AA345" s="1831"/>
    </row>
    <row r="346" spans="1:27" ht="24.95" customHeight="1">
      <c r="A346" s="123"/>
      <c r="B346" s="653"/>
      <c r="C346" s="1831"/>
      <c r="D346" s="2417"/>
      <c r="E346" s="2417"/>
      <c r="F346" s="2417"/>
      <c r="G346" s="2417"/>
      <c r="H346" s="2417"/>
      <c r="I346" s="2417"/>
      <c r="J346" s="2417"/>
      <c r="K346" s="2417"/>
      <c r="L346" s="2417"/>
      <c r="M346" s="2417"/>
      <c r="N346" s="2417"/>
      <c r="O346" s="2417"/>
      <c r="P346" s="1831"/>
      <c r="Q346" s="2348"/>
      <c r="R346" s="1831"/>
      <c r="S346" s="1831"/>
      <c r="T346" s="738">
        <v>21</v>
      </c>
      <c r="U346" s="738">
        <f t="shared" si="284"/>
        <v>124300</v>
      </c>
      <c r="V346" s="1831"/>
      <c r="W346" s="1831"/>
      <c r="X346" s="1831"/>
      <c r="Y346" s="1831"/>
      <c r="Z346" s="1831"/>
      <c r="AA346" s="1831"/>
    </row>
    <row r="347" spans="1:27" ht="24.95" customHeight="1">
      <c r="A347" s="123"/>
      <c r="B347" s="653"/>
      <c r="C347" s="1831"/>
      <c r="D347" s="2417"/>
      <c r="E347" s="2417"/>
      <c r="F347" s="2417"/>
      <c r="G347" s="2417"/>
      <c r="H347" s="2417"/>
      <c r="I347" s="2417"/>
      <c r="J347" s="2417"/>
      <c r="K347" s="2417"/>
      <c r="L347" s="2417"/>
      <c r="M347" s="2417"/>
      <c r="N347" s="2417"/>
      <c r="O347" s="2417"/>
      <c r="P347" s="1831"/>
      <c r="Q347" s="2348"/>
      <c r="R347" s="1831"/>
      <c r="S347" s="1831"/>
      <c r="T347" s="738">
        <v>22</v>
      </c>
      <c r="U347" s="738">
        <f t="shared" si="284"/>
        <v>128000</v>
      </c>
      <c r="V347" s="1831"/>
      <c r="W347" s="1831"/>
      <c r="X347" s="1831"/>
      <c r="Y347" s="1831"/>
      <c r="Z347" s="1831"/>
      <c r="AA347" s="1831"/>
    </row>
    <row r="348" spans="1:27" ht="24.95" customHeight="1">
      <c r="A348" s="123"/>
      <c r="B348" s="653"/>
      <c r="C348" s="1831"/>
      <c r="D348" s="2417"/>
      <c r="E348" s="2417"/>
      <c r="F348" s="2417"/>
      <c r="G348" s="2417"/>
      <c r="H348" s="2417"/>
      <c r="I348" s="2417"/>
      <c r="J348" s="2417"/>
      <c r="K348" s="2417"/>
      <c r="L348" s="2417"/>
      <c r="M348" s="2417"/>
      <c r="N348" s="2417"/>
      <c r="O348" s="2417"/>
      <c r="P348" s="1475"/>
      <c r="Q348" s="2348"/>
      <c r="R348" s="1831"/>
      <c r="S348" s="1831"/>
      <c r="T348" s="738">
        <v>23</v>
      </c>
      <c r="U348" s="738">
        <f t="shared" si="284"/>
        <v>131800</v>
      </c>
      <c r="V348" s="1831"/>
      <c r="W348" s="1831"/>
      <c r="X348" s="1831"/>
      <c r="Y348" s="1831"/>
      <c r="Z348" s="1831"/>
      <c r="AA348" s="1831"/>
    </row>
    <row r="349" spans="1:27" ht="24.95" customHeight="1">
      <c r="A349" s="123"/>
      <c r="B349" s="653"/>
      <c r="C349" s="1831"/>
      <c r="D349" s="2417"/>
      <c r="E349" s="2417"/>
      <c r="F349" s="2417"/>
      <c r="G349" s="2417"/>
      <c r="H349" s="2417"/>
      <c r="I349" s="2417"/>
      <c r="J349" s="2417"/>
      <c r="K349" s="2417"/>
      <c r="L349" s="2417"/>
      <c r="M349" s="2417"/>
      <c r="N349" s="2417"/>
      <c r="O349" s="2417"/>
      <c r="P349" s="1475"/>
      <c r="Q349" s="2348"/>
      <c r="R349" s="1831"/>
      <c r="S349" s="1831"/>
      <c r="T349" s="738">
        <v>24</v>
      </c>
      <c r="U349" s="738">
        <f t="shared" si="284"/>
        <v>135800</v>
      </c>
      <c r="V349" s="1831"/>
      <c r="W349" s="1831"/>
      <c r="X349" s="1831"/>
      <c r="Y349" s="1831"/>
      <c r="Z349" s="1831"/>
      <c r="AA349" s="1831"/>
    </row>
    <row r="350" spans="1:27" ht="24.95" customHeight="1">
      <c r="A350" s="123"/>
      <c r="B350" s="653"/>
      <c r="C350" s="1831"/>
      <c r="D350" s="2417"/>
      <c r="E350" s="2417"/>
      <c r="F350" s="2417"/>
      <c r="G350" s="2417"/>
      <c r="H350" s="2417"/>
      <c r="I350" s="2417"/>
      <c r="J350" s="2417"/>
      <c r="K350" s="2417"/>
      <c r="L350" s="2417"/>
      <c r="M350" s="2417"/>
      <c r="N350" s="2417"/>
      <c r="O350" s="2417"/>
      <c r="P350" s="1475"/>
      <c r="Q350" s="2348"/>
      <c r="R350" s="1831"/>
      <c r="S350" s="1831"/>
      <c r="T350" s="738">
        <v>25</v>
      </c>
      <c r="U350" s="738">
        <f t="shared" si="284"/>
        <v>139900</v>
      </c>
      <c r="V350" s="1831"/>
      <c r="W350" s="1831"/>
      <c r="X350" s="1831"/>
      <c r="Y350" s="1831"/>
      <c r="Z350" s="1831"/>
      <c r="AA350" s="1831"/>
    </row>
    <row r="351" spans="1:27" ht="24.95" customHeight="1">
      <c r="A351" s="123"/>
      <c r="B351" s="653"/>
      <c r="C351" s="1831"/>
      <c r="D351" s="2417"/>
      <c r="E351" s="2417"/>
      <c r="F351" s="2417"/>
      <c r="G351" s="2417"/>
      <c r="H351" s="2417"/>
      <c r="I351" s="2417"/>
      <c r="J351" s="2417"/>
      <c r="K351" s="2417"/>
      <c r="L351" s="2417"/>
      <c r="M351" s="2417"/>
      <c r="N351" s="2417"/>
      <c r="O351" s="2417"/>
      <c r="P351" s="1475"/>
      <c r="Q351" s="2348"/>
      <c r="R351" s="1831"/>
      <c r="S351" s="1831"/>
      <c r="T351" s="738">
        <v>26</v>
      </c>
      <c r="U351" s="738">
        <f t="shared" si="284"/>
        <v>144100</v>
      </c>
      <c r="V351" s="1831"/>
      <c r="W351" s="1831"/>
      <c r="X351" s="1831"/>
      <c r="Y351" s="1831"/>
      <c r="Z351" s="1831"/>
      <c r="AA351" s="1831"/>
    </row>
    <row r="352" spans="1:27" ht="24.95" customHeight="1">
      <c r="A352" s="123"/>
      <c r="B352" s="653"/>
      <c r="C352" s="1831"/>
      <c r="D352" s="2417"/>
      <c r="E352" s="2417"/>
      <c r="F352" s="2417"/>
      <c r="G352" s="2417"/>
      <c r="H352" s="2417"/>
      <c r="I352" s="2417"/>
      <c r="J352" s="2417"/>
      <c r="K352" s="2417"/>
      <c r="L352" s="2417"/>
      <c r="M352" s="2417"/>
      <c r="N352" s="2417"/>
      <c r="O352" s="2417"/>
      <c r="P352" s="1475"/>
      <c r="Q352" s="2348"/>
      <c r="R352" s="1831"/>
      <c r="S352" s="1831"/>
      <c r="T352" s="738">
        <v>27</v>
      </c>
      <c r="U352" s="738">
        <f t="shared" si="284"/>
        <v>148400</v>
      </c>
      <c r="V352" s="1831"/>
      <c r="W352" s="1831"/>
      <c r="X352" s="1831"/>
      <c r="Y352" s="1831"/>
      <c r="Z352" s="1831"/>
      <c r="AA352" s="1831"/>
    </row>
    <row r="353" spans="1:27" ht="24.95" customHeight="1">
      <c r="A353" s="123"/>
      <c r="B353" s="653"/>
      <c r="C353" s="1831"/>
      <c r="D353" s="2417"/>
      <c r="E353" s="2417"/>
      <c r="F353" s="2417"/>
      <c r="G353" s="2417"/>
      <c r="H353" s="2417"/>
      <c r="I353" s="2417"/>
      <c r="J353" s="2417"/>
      <c r="K353" s="2417"/>
      <c r="L353" s="2417"/>
      <c r="M353" s="2417"/>
      <c r="N353" s="2417"/>
      <c r="O353" s="2417"/>
      <c r="P353" s="1475"/>
      <c r="Q353" s="2348"/>
      <c r="R353" s="1831"/>
      <c r="S353" s="1831"/>
      <c r="T353" s="738">
        <v>28</v>
      </c>
      <c r="U353" s="738">
        <f t="shared" si="284"/>
        <v>152900</v>
      </c>
      <c r="V353" s="1831"/>
      <c r="W353" s="1831"/>
      <c r="X353" s="1831"/>
      <c r="Y353" s="1831"/>
      <c r="Z353" s="1831"/>
      <c r="AA353" s="1831"/>
    </row>
    <row r="354" spans="1:27" ht="24.95" customHeight="1">
      <c r="A354" s="123"/>
      <c r="B354" s="653"/>
      <c r="C354" s="2430"/>
      <c r="D354" s="5241" t="s">
        <v>1188</v>
      </c>
      <c r="E354" s="5241"/>
      <c r="F354" s="5241"/>
      <c r="G354" s="5241"/>
      <c r="H354" s="5241"/>
      <c r="I354" s="2438" t="str">
        <f>LOOKUP(J354,$AE$14:$AE$15,$AG$14:$AG$15)</f>
        <v>No</v>
      </c>
      <c r="J354" s="2439">
        <v>1</v>
      </c>
      <c r="K354" s="2431"/>
      <c r="L354" s="2431"/>
      <c r="M354" s="2431"/>
      <c r="N354" s="2431"/>
      <c r="O354" s="2431"/>
      <c r="P354" s="2432"/>
      <c r="Q354" s="2348"/>
      <c r="R354" s="1831"/>
      <c r="S354" s="1831"/>
      <c r="T354" s="738">
        <v>29</v>
      </c>
      <c r="U354" s="738">
        <f t="shared" si="284"/>
        <v>157500</v>
      </c>
      <c r="V354" s="1831"/>
      <c r="W354" s="1831"/>
      <c r="X354" s="1831"/>
      <c r="Y354" s="1831"/>
      <c r="Z354" s="1831"/>
      <c r="AA354" s="1831"/>
    </row>
    <row r="355" spans="1:27" ht="24.95" customHeight="1">
      <c r="A355" s="123"/>
      <c r="B355" s="653"/>
      <c r="C355" s="2433"/>
      <c r="D355" s="5242" t="s">
        <v>1189</v>
      </c>
      <c r="E355" s="5242"/>
      <c r="F355" s="5242"/>
      <c r="G355" s="5242"/>
      <c r="H355" s="5242"/>
      <c r="I355" s="2435">
        <f>J355</f>
        <v>3</v>
      </c>
      <c r="J355" s="2261">
        <v>3</v>
      </c>
      <c r="K355" s="2434"/>
      <c r="L355" s="2434"/>
      <c r="M355" s="2434"/>
      <c r="N355" s="2434"/>
      <c r="O355" s="2434"/>
      <c r="P355" s="2434"/>
      <c r="Q355" s="2348"/>
      <c r="R355" s="1831"/>
      <c r="S355" s="1831"/>
      <c r="T355" s="738">
        <v>30</v>
      </c>
      <c r="U355" s="738">
        <f t="shared" si="284"/>
        <v>162200</v>
      </c>
      <c r="V355" s="1831"/>
      <c r="W355" s="1831"/>
      <c r="X355" s="1831"/>
      <c r="Y355" s="1831"/>
      <c r="Z355" s="1831"/>
      <c r="AA355" s="1831"/>
    </row>
    <row r="356" spans="1:27" ht="24.95" customHeight="1">
      <c r="A356" s="123"/>
      <c r="B356" s="653"/>
      <c r="C356" s="5243" t="s">
        <v>1461</v>
      </c>
      <c r="D356" s="5243"/>
      <c r="E356" s="5243"/>
      <c r="F356" s="5243"/>
      <c r="G356" s="5243"/>
      <c r="H356" s="5243"/>
      <c r="I356" s="2440" t="str">
        <f>LOOKUP(J356,$AE$14:$AE$15,$AG$14:$AG$15)</f>
        <v>No</v>
      </c>
      <c r="J356" s="2441">
        <v>1</v>
      </c>
      <c r="K356" s="2437"/>
      <c r="L356" s="2437"/>
      <c r="M356" s="2437"/>
      <c r="N356" s="2437"/>
      <c r="O356" s="2437"/>
      <c r="P356" s="2437"/>
      <c r="Q356" s="2348"/>
      <c r="R356" s="1831"/>
      <c r="S356" s="1831"/>
      <c r="T356" s="738">
        <v>31</v>
      </c>
      <c r="U356" s="738">
        <f t="shared" si="284"/>
        <v>167100</v>
      </c>
      <c r="V356" s="1831"/>
      <c r="W356" s="1831"/>
      <c r="X356" s="1831"/>
      <c r="Y356" s="1831"/>
      <c r="Z356" s="1831"/>
      <c r="AA356" s="1831"/>
    </row>
    <row r="357" spans="1:27" ht="24.95" customHeight="1">
      <c r="A357" s="123"/>
      <c r="B357" s="653"/>
      <c r="C357" s="5244" t="s">
        <v>1462</v>
      </c>
      <c r="D357" s="5244"/>
      <c r="E357" s="5244"/>
      <c r="F357" s="5244"/>
      <c r="G357" s="5244"/>
      <c r="H357" s="5244"/>
      <c r="I357" s="2438">
        <f>IF(AND($J$356=2,'Data Sheet-II'!Y147&gt;0),'Data Sheet-II'!Y147,0)</f>
        <v>0</v>
      </c>
      <c r="J357" s="2428"/>
      <c r="K357" s="1831"/>
      <c r="L357" s="1831"/>
      <c r="M357" s="1831"/>
      <c r="N357" s="1831"/>
      <c r="O357" s="1831"/>
      <c r="P357" s="1831"/>
      <c r="Q357" s="2348"/>
      <c r="R357" s="1831"/>
      <c r="S357" s="1831"/>
      <c r="T357" s="738">
        <v>32</v>
      </c>
      <c r="U357" s="738">
        <f t="shared" si="284"/>
        <v>172100</v>
      </c>
      <c r="V357" s="1831"/>
      <c r="W357" s="1831"/>
      <c r="X357" s="1831"/>
      <c r="Y357" s="1831"/>
      <c r="Z357" s="1831"/>
      <c r="AA357" s="1831"/>
    </row>
    <row r="358" spans="1:27" ht="24.95" customHeight="1">
      <c r="A358" s="123"/>
      <c r="B358" s="653"/>
      <c r="C358" s="1831"/>
      <c r="D358" s="1831"/>
      <c r="E358" s="1831"/>
      <c r="F358" s="1831"/>
      <c r="G358" s="1831"/>
      <c r="H358" s="1831"/>
      <c r="I358" s="1831"/>
      <c r="J358" s="1831"/>
      <c r="K358" s="1831"/>
      <c r="L358" s="1831"/>
      <c r="M358" s="1831"/>
      <c r="N358" s="1831"/>
      <c r="O358" s="1831"/>
      <c r="P358" s="1831"/>
      <c r="Q358" s="2348"/>
      <c r="R358" s="1831"/>
      <c r="S358" s="1831"/>
      <c r="T358" s="738">
        <v>33</v>
      </c>
      <c r="U358" s="738">
        <f t="shared" si="284"/>
        <v>177300</v>
      </c>
      <c r="V358" s="1831"/>
      <c r="W358" s="1831"/>
      <c r="X358" s="1831"/>
      <c r="Y358" s="1831"/>
      <c r="Z358" s="1831"/>
      <c r="AA358" s="1831"/>
    </row>
    <row r="359" spans="1:27" ht="28.5" customHeight="1">
      <c r="A359" s="123"/>
      <c r="B359" s="653"/>
      <c r="C359" s="1831"/>
      <c r="D359" s="5262" t="s">
        <v>176</v>
      </c>
      <c r="E359" s="4538" t="s">
        <v>419</v>
      </c>
      <c r="F359" s="4538" t="s">
        <v>183</v>
      </c>
      <c r="G359" s="2413" t="s">
        <v>1349</v>
      </c>
      <c r="H359" s="2413" t="s">
        <v>1348</v>
      </c>
      <c r="I359" s="4538" t="s">
        <v>1347</v>
      </c>
      <c r="J359" s="5263" t="s">
        <v>421</v>
      </c>
      <c r="K359" s="5263" t="s">
        <v>1190</v>
      </c>
      <c r="L359" s="1831"/>
      <c r="M359" s="1831"/>
      <c r="N359" s="1831"/>
      <c r="O359" s="1831"/>
      <c r="P359" s="1831"/>
      <c r="Q359" s="2348"/>
      <c r="R359" s="1831"/>
      <c r="S359" s="1831"/>
      <c r="T359" s="738">
        <v>34</v>
      </c>
      <c r="U359" s="738">
        <f t="shared" si="284"/>
        <v>182600</v>
      </c>
      <c r="V359" s="1831"/>
      <c r="W359" s="1831"/>
      <c r="X359" s="1831"/>
      <c r="Y359" s="1831"/>
      <c r="Z359" s="1831"/>
      <c r="AA359" s="1831"/>
    </row>
    <row r="360" spans="1:27" ht="24.95" customHeight="1">
      <c r="A360" s="123"/>
      <c r="B360" s="653"/>
      <c r="C360" s="1831"/>
      <c r="D360" s="5262"/>
      <c r="E360" s="4538"/>
      <c r="F360" s="4538"/>
      <c r="G360" s="2414">
        <v>0.28000000000000003</v>
      </c>
      <c r="H360" s="2414">
        <v>0.17</v>
      </c>
      <c r="I360" s="4538"/>
      <c r="J360" s="5264"/>
      <c r="K360" s="5264"/>
      <c r="L360" s="1831"/>
      <c r="M360" s="1831"/>
      <c r="N360" s="1831"/>
      <c r="O360" s="1831"/>
      <c r="P360" s="1831"/>
      <c r="Q360" s="2348"/>
      <c r="R360" s="1831"/>
      <c r="S360" s="1831"/>
      <c r="T360" s="738">
        <v>35</v>
      </c>
      <c r="U360" s="738">
        <f t="shared" si="284"/>
        <v>188100</v>
      </c>
      <c r="V360" s="1831"/>
      <c r="W360" s="1831"/>
      <c r="X360" s="1831"/>
      <c r="Y360" s="1831"/>
      <c r="Z360" s="1831"/>
      <c r="AA360" s="1831"/>
    </row>
    <row r="361" spans="1:27" ht="24.95" customHeight="1">
      <c r="A361" s="123"/>
      <c r="B361" s="653"/>
      <c r="C361" s="1831"/>
      <c r="D361" s="2358">
        <v>1</v>
      </c>
      <c r="E361" s="2415" t="str">
        <f>IF(AB1007="","",AB1007)</f>
        <v/>
      </c>
      <c r="F361" s="2358" t="str">
        <f>IF(AC1007="","",AC1007)</f>
        <v/>
      </c>
      <c r="G361" s="2358" t="str">
        <f>IF(E361="","",ROUND(F361*$G$360,0))</f>
        <v/>
      </c>
      <c r="H361" s="2358" t="str">
        <f>IF(E361="","",ROUND(F361*$H$360,0))</f>
        <v/>
      </c>
      <c r="I361" s="2358" t="str">
        <f>IF(E361="","",SUM(G361-H361))</f>
        <v/>
      </c>
      <c r="J361" s="2358" t="str">
        <f>IF(E361="","",SUM(ROUND(SUM(F361+G361)*10%,0)-ROUND(SUM(F361+H361)*10%,0)))</f>
        <v/>
      </c>
      <c r="K361" s="2358" t="str">
        <f>IF(E361="","",SUM(I361-J361))</f>
        <v/>
      </c>
      <c r="L361" s="1831"/>
      <c r="M361" s="1831"/>
      <c r="N361" s="1831"/>
      <c r="O361" s="1831"/>
      <c r="P361" s="1831"/>
      <c r="Q361" s="2348"/>
      <c r="R361" s="1831"/>
      <c r="S361" s="1831"/>
      <c r="T361" s="738">
        <v>36</v>
      </c>
      <c r="U361" s="738">
        <f t="shared" si="284"/>
        <v>193700</v>
      </c>
      <c r="V361" s="1831"/>
      <c r="W361" s="1831"/>
      <c r="X361" s="1831"/>
      <c r="Y361" s="1831"/>
      <c r="Z361" s="1831"/>
      <c r="AA361" s="1831"/>
    </row>
    <row r="362" spans="1:27" ht="24.95" customHeight="1">
      <c r="A362" s="123"/>
      <c r="B362" s="653"/>
      <c r="C362" s="1831"/>
      <c r="D362" s="2358" t="str">
        <f>IF(E362="","",SUM(D361+1))</f>
        <v/>
      </c>
      <c r="E362" s="2415" t="str">
        <f t="shared" ref="E362:E368" si="285">IF(AB1008="","",AB1008)</f>
        <v/>
      </c>
      <c r="F362" s="2358" t="str">
        <f t="shared" ref="F362:F368" si="286">IF(AC1008="","",AC1008)</f>
        <v/>
      </c>
      <c r="G362" s="2358" t="str">
        <f t="shared" ref="G362:G368" si="287">IF(E362="","",ROUND(F362*$G$360,0))</f>
        <v/>
      </c>
      <c r="H362" s="2358" t="str">
        <f t="shared" ref="H362:H368" si="288">IF(E362="","",ROUND(F362*$H$360,0))</f>
        <v/>
      </c>
      <c r="I362" s="2358" t="str">
        <f t="shared" ref="I362:I368" si="289">IF(E362="","",SUM(G362-H362))</f>
        <v/>
      </c>
      <c r="J362" s="2358" t="str">
        <f t="shared" ref="J362:J368" si="290">IF(E362="","",SUM(ROUND(SUM(F362+G362)*10%,0)-ROUND(SUM(F362+H362)*10%,0)))</f>
        <v/>
      </c>
      <c r="K362" s="2358" t="str">
        <f t="shared" ref="K362:K368" si="291">IF(E362="","",SUM(I362-J362))</f>
        <v/>
      </c>
      <c r="L362" s="1831"/>
      <c r="M362" s="1831"/>
      <c r="N362" s="1831"/>
      <c r="O362" s="1831"/>
      <c r="P362" s="1831"/>
      <c r="Q362" s="2348"/>
      <c r="R362" s="1831"/>
      <c r="S362" s="1831"/>
      <c r="T362" s="738">
        <v>37</v>
      </c>
      <c r="U362" s="738">
        <f t="shared" si="284"/>
        <v>199500</v>
      </c>
      <c r="V362" s="1831"/>
      <c r="W362" s="1831"/>
      <c r="X362" s="1831"/>
      <c r="Y362" s="1831"/>
      <c r="Z362" s="1831"/>
      <c r="AA362" s="1831"/>
    </row>
    <row r="363" spans="1:27" ht="24.95" customHeight="1">
      <c r="A363" s="123"/>
      <c r="B363" s="653"/>
      <c r="C363" s="1831"/>
      <c r="D363" s="2358" t="str">
        <f t="shared" ref="D363:D368" si="292">IF(E363="","",SUM(D362+1))</f>
        <v/>
      </c>
      <c r="E363" s="2415" t="str">
        <f t="shared" si="285"/>
        <v/>
      </c>
      <c r="F363" s="2358" t="str">
        <f t="shared" si="286"/>
        <v/>
      </c>
      <c r="G363" s="2358" t="str">
        <f t="shared" si="287"/>
        <v/>
      </c>
      <c r="H363" s="2358" t="str">
        <f t="shared" si="288"/>
        <v/>
      </c>
      <c r="I363" s="2358" t="str">
        <f t="shared" si="289"/>
        <v/>
      </c>
      <c r="J363" s="2358" t="str">
        <f t="shared" si="290"/>
        <v/>
      </c>
      <c r="K363" s="2358" t="str">
        <f t="shared" si="291"/>
        <v/>
      </c>
      <c r="L363" s="1831"/>
      <c r="M363" s="1831"/>
      <c r="N363" s="1831"/>
      <c r="O363" s="1831"/>
      <c r="P363" s="1831"/>
      <c r="Q363" s="2348"/>
      <c r="R363" s="1831"/>
      <c r="S363" s="1831"/>
      <c r="T363" s="738">
        <v>38</v>
      </c>
      <c r="U363" s="738">
        <f t="shared" si="284"/>
        <v>205500</v>
      </c>
      <c r="V363" s="1831"/>
      <c r="W363" s="1831"/>
      <c r="X363" s="1831"/>
      <c r="Y363" s="1831"/>
      <c r="Z363" s="1831"/>
      <c r="AA363" s="1831"/>
    </row>
    <row r="364" spans="1:27" ht="24.95" customHeight="1">
      <c r="A364" s="123"/>
      <c r="B364" s="653"/>
      <c r="C364" s="1831"/>
      <c r="D364" s="2358" t="str">
        <f t="shared" si="292"/>
        <v/>
      </c>
      <c r="E364" s="2415" t="str">
        <f t="shared" si="285"/>
        <v/>
      </c>
      <c r="F364" s="2358" t="str">
        <f t="shared" si="286"/>
        <v/>
      </c>
      <c r="G364" s="2358" t="str">
        <f t="shared" si="287"/>
        <v/>
      </c>
      <c r="H364" s="2358" t="str">
        <f t="shared" si="288"/>
        <v/>
      </c>
      <c r="I364" s="2358" t="str">
        <f t="shared" si="289"/>
        <v/>
      </c>
      <c r="J364" s="2358" t="str">
        <f t="shared" si="290"/>
        <v/>
      </c>
      <c r="K364" s="2358" t="str">
        <f t="shared" si="291"/>
        <v/>
      </c>
      <c r="L364" s="1831"/>
      <c r="M364" s="1831"/>
      <c r="N364" s="1831"/>
      <c r="O364" s="1831"/>
      <c r="P364" s="1831"/>
      <c r="Q364" s="2348"/>
      <c r="R364" s="1831"/>
      <c r="S364" s="1831"/>
      <c r="T364" s="738">
        <v>39</v>
      </c>
      <c r="U364" s="738" t="str">
        <f t="shared" si="284"/>
        <v/>
      </c>
      <c r="V364" s="1831"/>
      <c r="W364" s="1831"/>
      <c r="X364" s="1831"/>
      <c r="Y364" s="1831"/>
      <c r="Z364" s="1831"/>
      <c r="AA364" s="1831"/>
    </row>
    <row r="365" spans="1:27" ht="24.95" customHeight="1">
      <c r="A365" s="123"/>
      <c r="B365" s="653"/>
      <c r="C365" s="1831"/>
      <c r="D365" s="2358" t="str">
        <f t="shared" si="292"/>
        <v/>
      </c>
      <c r="E365" s="2415" t="str">
        <f t="shared" si="285"/>
        <v/>
      </c>
      <c r="F365" s="2358" t="str">
        <f t="shared" si="286"/>
        <v/>
      </c>
      <c r="G365" s="2358" t="str">
        <f t="shared" si="287"/>
        <v/>
      </c>
      <c r="H365" s="2358" t="str">
        <f t="shared" si="288"/>
        <v/>
      </c>
      <c r="I365" s="2358" t="str">
        <f t="shared" si="289"/>
        <v/>
      </c>
      <c r="J365" s="2358" t="str">
        <f t="shared" si="290"/>
        <v/>
      </c>
      <c r="K365" s="2358" t="str">
        <f t="shared" si="291"/>
        <v/>
      </c>
      <c r="L365" s="1831"/>
      <c r="M365" s="1831"/>
      <c r="N365" s="1831"/>
      <c r="O365" s="1831"/>
      <c r="P365" s="1831"/>
      <c r="Q365" s="2348"/>
      <c r="R365" s="1831"/>
      <c r="S365" s="1831"/>
      <c r="T365" s="738">
        <v>40</v>
      </c>
      <c r="U365" s="738" t="str">
        <f t="shared" si="284"/>
        <v/>
      </c>
      <c r="V365" s="1831"/>
      <c r="W365" s="1831"/>
      <c r="X365" s="1831"/>
      <c r="Y365" s="1831"/>
      <c r="Z365" s="1831"/>
      <c r="AA365" s="1831"/>
    </row>
    <row r="366" spans="1:27" ht="24.95" customHeight="1">
      <c r="A366" s="123"/>
      <c r="B366" s="653"/>
      <c r="C366" s="1831"/>
      <c r="D366" s="2358" t="str">
        <f t="shared" si="292"/>
        <v/>
      </c>
      <c r="E366" s="2415" t="str">
        <f t="shared" si="285"/>
        <v/>
      </c>
      <c r="F366" s="2358" t="str">
        <f t="shared" si="286"/>
        <v/>
      </c>
      <c r="G366" s="2358" t="str">
        <f t="shared" si="287"/>
        <v/>
      </c>
      <c r="H366" s="2358" t="str">
        <f t="shared" si="288"/>
        <v/>
      </c>
      <c r="I366" s="2358" t="str">
        <f t="shared" si="289"/>
        <v/>
      </c>
      <c r="J366" s="2358" t="str">
        <f t="shared" si="290"/>
        <v/>
      </c>
      <c r="K366" s="2358" t="str">
        <f t="shared" si="291"/>
        <v/>
      </c>
      <c r="L366" s="1831"/>
      <c r="M366" s="1831"/>
      <c r="N366" s="1831"/>
      <c r="O366" s="1831"/>
      <c r="P366" s="1831"/>
      <c r="Q366" s="2348"/>
      <c r="R366" s="1831"/>
      <c r="S366" s="1831"/>
      <c r="T366" s="1831"/>
      <c r="U366" s="1831"/>
      <c r="V366" s="1831"/>
      <c r="W366" s="1831"/>
      <c r="X366" s="1831"/>
      <c r="Y366" s="1831"/>
      <c r="Z366" s="1831"/>
      <c r="AA366" s="1831"/>
    </row>
    <row r="367" spans="1:27" ht="24.95" customHeight="1">
      <c r="A367" s="123"/>
      <c r="B367" s="653"/>
      <c r="C367" s="1831"/>
      <c r="D367" s="2358" t="str">
        <f t="shared" si="292"/>
        <v/>
      </c>
      <c r="E367" s="2415" t="str">
        <f t="shared" si="285"/>
        <v/>
      </c>
      <c r="F367" s="2358" t="str">
        <f t="shared" si="286"/>
        <v/>
      </c>
      <c r="G367" s="2358" t="str">
        <f t="shared" si="287"/>
        <v/>
      </c>
      <c r="H367" s="2358" t="str">
        <f t="shared" si="288"/>
        <v/>
      </c>
      <c r="I367" s="2358" t="str">
        <f t="shared" si="289"/>
        <v/>
      </c>
      <c r="J367" s="2358" t="str">
        <f t="shared" si="290"/>
        <v/>
      </c>
      <c r="K367" s="2358" t="str">
        <f t="shared" si="291"/>
        <v/>
      </c>
      <c r="L367" s="1831"/>
      <c r="M367" s="1831"/>
      <c r="N367" s="1831"/>
      <c r="O367" s="1831"/>
      <c r="P367" s="1831"/>
      <c r="Q367" s="2348"/>
      <c r="R367" s="1831"/>
      <c r="S367" s="1831"/>
      <c r="T367" s="1831"/>
      <c r="U367" s="1831"/>
      <c r="V367" s="1831"/>
      <c r="W367" s="1831"/>
      <c r="X367" s="1831"/>
      <c r="Y367" s="1831"/>
      <c r="Z367" s="1831"/>
      <c r="AA367" s="1831"/>
    </row>
    <row r="368" spans="1:27" ht="24.95" customHeight="1">
      <c r="A368" s="123"/>
      <c r="B368" s="653"/>
      <c r="C368" s="1831"/>
      <c r="D368" s="2358" t="str">
        <f t="shared" si="292"/>
        <v/>
      </c>
      <c r="E368" s="2415" t="str">
        <f t="shared" si="285"/>
        <v/>
      </c>
      <c r="F368" s="2358" t="str">
        <f t="shared" si="286"/>
        <v/>
      </c>
      <c r="G368" s="2358" t="str">
        <f t="shared" si="287"/>
        <v/>
      </c>
      <c r="H368" s="2358" t="str">
        <f t="shared" si="288"/>
        <v/>
      </c>
      <c r="I368" s="2358" t="str">
        <f t="shared" si="289"/>
        <v/>
      </c>
      <c r="J368" s="2358" t="str">
        <f t="shared" si="290"/>
        <v/>
      </c>
      <c r="K368" s="2358" t="str">
        <f t="shared" si="291"/>
        <v/>
      </c>
      <c r="L368" s="1831"/>
      <c r="M368" s="1831"/>
      <c r="N368" s="1831"/>
      <c r="O368" s="1831"/>
      <c r="P368" s="1831"/>
      <c r="Q368" s="2348"/>
      <c r="R368" s="1831"/>
      <c r="S368" s="1831"/>
      <c r="T368" s="1831"/>
      <c r="U368" s="1831"/>
      <c r="V368" s="1831"/>
      <c r="W368" s="1831"/>
      <c r="X368" s="1831"/>
      <c r="Y368" s="1831"/>
      <c r="Z368" s="1831"/>
      <c r="AA368" s="1831"/>
    </row>
    <row r="369" spans="1:27" ht="24.95" customHeight="1">
      <c r="A369" s="123"/>
      <c r="B369" s="653"/>
      <c r="C369" s="1831"/>
      <c r="D369" s="1831"/>
      <c r="E369" s="1831"/>
      <c r="F369" s="1831"/>
      <c r="G369" s="1831"/>
      <c r="H369" s="2358" t="s">
        <v>31</v>
      </c>
      <c r="I369" s="2416">
        <f>SUM(I361:I368)</f>
        <v>0</v>
      </c>
      <c r="J369" s="2416">
        <f t="shared" ref="J369:K369" si="293">SUM(J361:J368)</f>
        <v>0</v>
      </c>
      <c r="K369" s="2416">
        <f t="shared" si="293"/>
        <v>0</v>
      </c>
      <c r="L369" s="1831"/>
      <c r="M369" s="1831"/>
      <c r="N369" s="1831"/>
      <c r="O369" s="1831"/>
      <c r="P369" s="1831"/>
      <c r="Q369" s="2348"/>
      <c r="R369" s="1831"/>
      <c r="S369" s="1831"/>
      <c r="T369" s="1831"/>
      <c r="U369" s="1831"/>
      <c r="V369" s="1831"/>
      <c r="W369" s="1831"/>
      <c r="X369" s="1831"/>
      <c r="Y369" s="1831"/>
      <c r="Z369" s="1831"/>
      <c r="AA369" s="1831"/>
    </row>
    <row r="370" spans="1:27" ht="24.95" customHeight="1">
      <c r="A370" s="123"/>
      <c r="B370" s="653"/>
      <c r="C370" s="1831"/>
      <c r="D370" s="1831"/>
      <c r="E370" s="1831"/>
      <c r="F370" s="1831"/>
      <c r="G370" s="1831"/>
      <c r="H370" s="1831"/>
      <c r="I370" s="1831"/>
      <c r="J370" s="1831"/>
      <c r="K370" s="1831"/>
      <c r="L370" s="1831"/>
      <c r="M370" s="1831"/>
      <c r="N370" s="1831"/>
      <c r="O370" s="1831"/>
      <c r="P370" s="1831"/>
      <c r="Q370" s="2348"/>
      <c r="R370" s="1831"/>
      <c r="S370" s="1831"/>
      <c r="T370" s="1831"/>
      <c r="U370" s="1831"/>
      <c r="V370" s="1831"/>
      <c r="W370" s="1831"/>
      <c r="X370" s="1831"/>
      <c r="Y370" s="1831"/>
      <c r="Z370" s="1831"/>
      <c r="AA370" s="1831"/>
    </row>
    <row r="371" spans="1:27" ht="24.95" customHeight="1">
      <c r="A371" s="123"/>
      <c r="B371" s="653"/>
      <c r="C371" s="1831"/>
      <c r="D371" s="1831"/>
      <c r="E371" s="1831"/>
      <c r="F371" s="1831"/>
      <c r="G371" s="1831"/>
      <c r="H371" s="1831"/>
      <c r="I371" s="1831"/>
      <c r="J371" s="1831"/>
      <c r="K371" s="1831"/>
      <c r="L371" s="1831"/>
      <c r="M371" s="1831"/>
      <c r="N371" s="1831"/>
      <c r="O371" s="1831"/>
      <c r="P371" s="1831"/>
      <c r="Q371" s="2348"/>
      <c r="R371" s="1831"/>
      <c r="S371" s="1831"/>
      <c r="T371" s="1831"/>
      <c r="U371" s="1831"/>
      <c r="V371" s="1831"/>
      <c r="W371" s="1831"/>
      <c r="X371" s="1831"/>
      <c r="Y371" s="1831"/>
      <c r="Z371" s="1831"/>
      <c r="AA371" s="1831"/>
    </row>
    <row r="372" spans="1:27" ht="24.95" customHeight="1">
      <c r="A372" s="123"/>
      <c r="B372" s="653"/>
      <c r="C372" s="1831"/>
      <c r="D372" s="1831"/>
      <c r="E372" s="1831"/>
      <c r="F372" s="1831"/>
      <c r="G372" s="1831"/>
      <c r="H372" s="1831"/>
      <c r="I372" s="1831"/>
      <c r="J372" s="1831"/>
      <c r="K372" s="1831"/>
      <c r="L372" s="1831"/>
      <c r="M372" s="1831"/>
      <c r="N372" s="1831"/>
      <c r="O372" s="1831"/>
      <c r="P372" s="1831"/>
      <c r="Q372" s="2348"/>
      <c r="R372" s="1831"/>
      <c r="S372" s="1831"/>
      <c r="T372" s="1831"/>
      <c r="U372" s="1831"/>
      <c r="V372" s="1831"/>
      <c r="W372" s="1831"/>
      <c r="X372" s="1831"/>
      <c r="Y372" s="1831"/>
      <c r="Z372" s="1831"/>
      <c r="AA372" s="1831"/>
    </row>
    <row r="373" spans="1:27" ht="24.95" customHeight="1">
      <c r="A373" s="123"/>
      <c r="B373" s="653"/>
      <c r="C373" s="1831"/>
      <c r="D373" s="1831"/>
      <c r="E373" s="1831"/>
      <c r="F373" s="1831"/>
      <c r="G373" s="1831"/>
      <c r="H373" s="1831"/>
      <c r="I373" s="1831"/>
      <c r="J373" s="1831"/>
      <c r="K373" s="1831"/>
      <c r="L373" s="1831"/>
      <c r="M373" s="1831"/>
      <c r="N373" s="1831"/>
      <c r="O373" s="1831"/>
      <c r="P373" s="1831"/>
      <c r="Q373" s="2348"/>
      <c r="R373" s="1831"/>
      <c r="S373" s="1831"/>
      <c r="T373" s="1831"/>
      <c r="U373" s="1831"/>
      <c r="V373" s="1831"/>
      <c r="W373" s="1831"/>
      <c r="X373" s="1831"/>
      <c r="Y373" s="1831"/>
      <c r="Z373" s="1831"/>
      <c r="AA373" s="1831"/>
    </row>
    <row r="374" spans="1:27" ht="47.25" customHeight="1">
      <c r="A374" s="123"/>
      <c r="B374" s="653"/>
      <c r="C374" s="1831"/>
      <c r="D374" s="1831"/>
      <c r="E374" s="1831"/>
      <c r="F374" s="902" t="s">
        <v>176</v>
      </c>
      <c r="G374" s="902" t="s">
        <v>1457</v>
      </c>
      <c r="H374" s="1632" t="s">
        <v>946</v>
      </c>
      <c r="I374" s="902" t="s">
        <v>1456</v>
      </c>
      <c r="J374" s="902" t="s">
        <v>1190</v>
      </c>
      <c r="K374" s="1831"/>
      <c r="L374" s="902" t="s">
        <v>176</v>
      </c>
      <c r="M374" s="902" t="s">
        <v>1458</v>
      </c>
      <c r="N374" s="1831"/>
      <c r="O374" s="1558">
        <v>1</v>
      </c>
      <c r="P374" s="3070">
        <v>44682</v>
      </c>
      <c r="Q374" s="2348"/>
      <c r="R374" s="1831"/>
      <c r="S374" s="1831"/>
      <c r="T374" s="1831"/>
      <c r="U374" s="1831"/>
      <c r="V374" s="1831"/>
      <c r="W374" s="1831"/>
      <c r="X374" s="1831"/>
      <c r="Y374" s="1831"/>
      <c r="Z374" s="1831"/>
      <c r="AA374" s="1831"/>
    </row>
    <row r="375" spans="1:27" ht="24.95" customHeight="1">
      <c r="A375" s="123"/>
      <c r="B375" s="653"/>
      <c r="C375" s="1831"/>
      <c r="D375" s="1831"/>
      <c r="E375" s="1831"/>
      <c r="F375" s="2358">
        <v>1</v>
      </c>
      <c r="G375" s="2358" t="str">
        <f>CONCATENATE("Instalment No.1",":",J389)</f>
        <v>Instalment No.1:May-22</v>
      </c>
      <c r="H375" s="2358">
        <f>ROUND($I$369/3,0)</f>
        <v>0</v>
      </c>
      <c r="I375" s="2358">
        <f>ROUND($J$369/3,0)</f>
        <v>0</v>
      </c>
      <c r="J375" s="2358">
        <f>SUM(H375-I375)</f>
        <v>0</v>
      </c>
      <c r="K375" s="1831"/>
      <c r="L375" s="2358">
        <v>1</v>
      </c>
      <c r="M375" s="2358" t="s">
        <v>177</v>
      </c>
      <c r="N375" s="1831"/>
      <c r="O375" s="827">
        <v>2</v>
      </c>
      <c r="P375" s="1635">
        <v>44713</v>
      </c>
      <c r="Q375" s="2348"/>
      <c r="R375" s="1831"/>
      <c r="S375" s="1831"/>
      <c r="T375" s="1831"/>
      <c r="U375" s="1831"/>
      <c r="V375" s="1831"/>
      <c r="W375" s="1831"/>
      <c r="X375" s="1831"/>
      <c r="Y375" s="1831"/>
      <c r="Z375" s="1831"/>
      <c r="AA375" s="1831"/>
    </row>
    <row r="376" spans="1:27" ht="24.95" customHeight="1">
      <c r="A376" s="123"/>
      <c r="B376" s="653"/>
      <c r="C376" s="1831"/>
      <c r="D376" s="1831"/>
      <c r="E376" s="1831"/>
      <c r="F376" s="2358">
        <v>2</v>
      </c>
      <c r="G376" s="2358" t="str">
        <f>CONCATENATE("Instalment No.2",":",J390)</f>
        <v>Instalment No.2:Jun-22</v>
      </c>
      <c r="H376" s="2358">
        <f>H375</f>
        <v>0</v>
      </c>
      <c r="I376" s="2358">
        <f>I375</f>
        <v>0</v>
      </c>
      <c r="J376" s="2358">
        <f t="shared" ref="J376:J377" si="294">SUM(H376-I376)</f>
        <v>0</v>
      </c>
      <c r="K376" s="1831"/>
      <c r="L376" s="2358">
        <v>2</v>
      </c>
      <c r="M376" s="2358" t="s">
        <v>1459</v>
      </c>
      <c r="N376" s="1831"/>
      <c r="O376" s="1558">
        <v>3</v>
      </c>
      <c r="P376" s="1635">
        <v>44743</v>
      </c>
      <c r="Q376" s="2348"/>
      <c r="R376" s="1831"/>
      <c r="S376" s="1831"/>
      <c r="T376" s="1831"/>
      <c r="U376" s="1831"/>
      <c r="V376" s="1831"/>
      <c r="W376" s="1831"/>
      <c r="X376" s="1831"/>
      <c r="Y376" s="1831"/>
      <c r="Z376" s="1831"/>
      <c r="AA376" s="1831"/>
    </row>
    <row r="377" spans="1:27" ht="24.95" customHeight="1">
      <c r="A377" s="123"/>
      <c r="B377" s="653"/>
      <c r="C377" s="1831"/>
      <c r="D377" s="1831"/>
      <c r="E377" s="1831"/>
      <c r="F377" s="2358">
        <v>3</v>
      </c>
      <c r="G377" s="2358" t="str">
        <f>CONCATENATE("Instalment No.3",":",J391)</f>
        <v>Instalment No.3:Jul-22</v>
      </c>
      <c r="H377" s="2358">
        <f>SUM(I369-H375-H376)</f>
        <v>0</v>
      </c>
      <c r="I377" s="2358">
        <f>SUM(J369-I375-I376)</f>
        <v>0</v>
      </c>
      <c r="J377" s="2358">
        <f t="shared" si="294"/>
        <v>0</v>
      </c>
      <c r="K377" s="1831"/>
      <c r="L377" s="2358">
        <v>3</v>
      </c>
      <c r="M377" s="2358" t="s">
        <v>1460</v>
      </c>
      <c r="N377" s="1831"/>
      <c r="O377" s="827">
        <v>4</v>
      </c>
      <c r="P377" s="1635">
        <v>44774</v>
      </c>
      <c r="Q377" s="2348"/>
      <c r="R377" s="1831"/>
      <c r="S377" s="1831"/>
      <c r="T377" s="1831"/>
      <c r="U377" s="1831"/>
      <c r="V377" s="1831"/>
      <c r="W377" s="1831"/>
      <c r="X377" s="1831"/>
      <c r="Y377" s="1831"/>
      <c r="Z377" s="1831"/>
      <c r="AA377" s="1831"/>
    </row>
    <row r="378" spans="1:27" ht="24.95" customHeight="1">
      <c r="A378" s="123"/>
      <c r="B378" s="653"/>
      <c r="C378" s="1831"/>
      <c r="D378" s="1831"/>
      <c r="E378" s="1831"/>
      <c r="F378" s="5287" t="s">
        <v>22</v>
      </c>
      <c r="G378" s="5288"/>
      <c r="H378" s="2416">
        <f>SUM(H375:H377)</f>
        <v>0</v>
      </c>
      <c r="I378" s="2416">
        <f t="shared" ref="I378:J378" si="295">SUM(I375:I377)</f>
        <v>0</v>
      </c>
      <c r="J378" s="2416">
        <f t="shared" si="295"/>
        <v>0</v>
      </c>
      <c r="K378" s="1831"/>
      <c r="L378" s="2358"/>
      <c r="M378" s="2358"/>
      <c r="N378" s="1831"/>
      <c r="O378" s="1558">
        <v>5</v>
      </c>
      <c r="P378" s="1635">
        <v>44805</v>
      </c>
      <c r="Q378" s="2348"/>
      <c r="R378" s="1831"/>
      <c r="S378" s="1831"/>
      <c r="T378" s="1831"/>
      <c r="U378" s="1831"/>
      <c r="V378" s="1831"/>
      <c r="W378" s="1831"/>
      <c r="X378" s="1831"/>
      <c r="Y378" s="1831"/>
      <c r="Z378" s="1831"/>
      <c r="AA378" s="1831"/>
    </row>
    <row r="379" spans="1:27" ht="24.95" customHeight="1">
      <c r="A379" s="123"/>
      <c r="B379" s="653"/>
      <c r="C379" s="1831"/>
      <c r="D379" s="1831"/>
      <c r="E379" s="1831"/>
      <c r="F379" s="1831"/>
      <c r="G379" s="1831"/>
      <c r="H379" s="1831"/>
      <c r="I379" s="1831"/>
      <c r="J379" s="1831"/>
      <c r="K379" s="1831"/>
      <c r="L379" s="1831"/>
      <c r="M379" s="1831"/>
      <c r="N379" s="1831"/>
      <c r="O379" s="827">
        <v>6</v>
      </c>
      <c r="P379" s="1635">
        <v>44835</v>
      </c>
      <c r="Q379" s="2348"/>
      <c r="R379" s="1831"/>
      <c r="S379" s="1831"/>
      <c r="T379" s="1831"/>
      <c r="U379" s="1831"/>
      <c r="V379" s="1831"/>
      <c r="W379" s="1831"/>
      <c r="X379" s="1831"/>
      <c r="Y379" s="1831"/>
      <c r="Z379" s="1831"/>
      <c r="AA379" s="1831"/>
    </row>
    <row r="380" spans="1:27" ht="24.95" customHeight="1">
      <c r="A380" s="123"/>
      <c r="B380" s="653"/>
      <c r="C380" s="1831"/>
      <c r="D380" s="1831"/>
      <c r="E380" s="1831"/>
      <c r="F380" s="1831"/>
      <c r="G380" s="1831"/>
      <c r="H380" s="1831"/>
      <c r="I380" s="1831"/>
      <c r="J380" s="1831"/>
      <c r="K380" s="1831"/>
      <c r="L380" s="1831"/>
      <c r="M380" s="1831"/>
      <c r="N380" s="1831"/>
      <c r="O380" s="1558">
        <v>7</v>
      </c>
      <c r="P380" s="1635">
        <v>44866</v>
      </c>
      <c r="Q380" s="2348"/>
      <c r="R380" s="1831"/>
      <c r="S380" s="1831"/>
      <c r="T380" s="1831"/>
      <c r="U380" s="1831"/>
      <c r="V380" s="1831"/>
      <c r="W380" s="1831"/>
      <c r="X380" s="1831"/>
      <c r="Y380" s="1831"/>
      <c r="Z380" s="1831"/>
      <c r="AA380" s="1831"/>
    </row>
    <row r="381" spans="1:27" ht="24.95" customHeight="1">
      <c r="A381" s="123"/>
      <c r="B381" s="653"/>
      <c r="C381" s="1831"/>
      <c r="D381" s="1831"/>
      <c r="E381" s="1831"/>
      <c r="F381" s="1831"/>
      <c r="G381" s="1831"/>
      <c r="H381" s="1831"/>
      <c r="I381" s="1831"/>
      <c r="J381" s="1831"/>
      <c r="K381" s="1831"/>
      <c r="L381" s="1831"/>
      <c r="M381" s="1831"/>
      <c r="N381" s="1831"/>
      <c r="O381" s="827">
        <v>8</v>
      </c>
      <c r="P381" s="1635">
        <v>44896</v>
      </c>
      <c r="Q381" s="2348"/>
      <c r="R381" s="1831"/>
      <c r="S381" s="1831"/>
      <c r="T381" s="1831"/>
      <c r="U381" s="1831"/>
      <c r="V381" s="1831"/>
      <c r="W381" s="1831"/>
      <c r="X381" s="1831"/>
      <c r="Y381" s="1831"/>
      <c r="Z381" s="1831"/>
      <c r="AA381" s="1831"/>
    </row>
    <row r="382" spans="1:27" ht="24.95" customHeight="1">
      <c r="A382" s="123"/>
      <c r="B382" s="653"/>
      <c r="C382" s="1831"/>
      <c r="D382" s="1831"/>
      <c r="E382" s="1831"/>
      <c r="F382" s="1831"/>
      <c r="G382" s="1831"/>
      <c r="H382" s="1831"/>
      <c r="I382" s="1831"/>
      <c r="J382" s="1831"/>
      <c r="K382" s="1831"/>
      <c r="L382" s="1831"/>
      <c r="M382" s="1831"/>
      <c r="N382" s="1831"/>
      <c r="O382" s="1558">
        <v>9</v>
      </c>
      <c r="P382" s="1635">
        <v>44927</v>
      </c>
      <c r="Q382" s="2348"/>
      <c r="R382" s="1831"/>
      <c r="S382" s="1831"/>
      <c r="T382" s="1831"/>
      <c r="U382" s="1831"/>
      <c r="V382" s="1831"/>
      <c r="W382" s="1831"/>
      <c r="X382" s="1831"/>
      <c r="Y382" s="1831"/>
      <c r="Z382" s="1831"/>
      <c r="AA382" s="1831"/>
    </row>
    <row r="383" spans="1:27" ht="24.95" customHeight="1">
      <c r="A383" s="123"/>
      <c r="B383" s="653"/>
      <c r="C383" s="1831"/>
      <c r="D383" s="1831"/>
      <c r="E383" s="1831"/>
      <c r="F383" s="1579" t="s">
        <v>176</v>
      </c>
      <c r="G383" s="1579" t="s">
        <v>182</v>
      </c>
      <c r="H383" s="1579" t="s">
        <v>1191</v>
      </c>
      <c r="I383" s="1831"/>
      <c r="J383" s="1831"/>
      <c r="K383" s="1831"/>
      <c r="L383" s="1831"/>
      <c r="M383" s="1831"/>
      <c r="N383" s="1831"/>
      <c r="O383" s="827">
        <v>10</v>
      </c>
      <c r="P383" s="1635">
        <v>44958</v>
      </c>
      <c r="Q383" s="2348"/>
      <c r="R383" s="1831"/>
      <c r="S383" s="1831"/>
      <c r="T383" s="1831"/>
      <c r="U383" s="1831"/>
      <c r="V383" s="1831"/>
      <c r="W383" s="1831"/>
      <c r="X383" s="1831"/>
      <c r="Y383" s="1831"/>
      <c r="Z383" s="1831"/>
      <c r="AA383" s="1831"/>
    </row>
    <row r="384" spans="1:27" ht="24.95" customHeight="1">
      <c r="A384" s="123"/>
      <c r="B384" s="653"/>
      <c r="C384" s="1831"/>
      <c r="D384" s="1831"/>
      <c r="E384" s="1831"/>
      <c r="F384" s="1139">
        <v>1</v>
      </c>
      <c r="G384" s="1636">
        <f>VLOOKUP(H384,$O$374:$P$383,2)</f>
        <v>44682</v>
      </c>
      <c r="H384" s="1139">
        <v>1</v>
      </c>
      <c r="I384" s="1831"/>
      <c r="J384" s="1831"/>
      <c r="K384" s="1831"/>
      <c r="L384" s="1831"/>
      <c r="M384" s="1831"/>
      <c r="N384" s="1831"/>
      <c r="O384" s="1831"/>
      <c r="P384" s="1831"/>
      <c r="Q384" s="2348"/>
      <c r="R384" s="1831"/>
      <c r="S384" s="1831"/>
      <c r="T384" s="1831"/>
      <c r="U384" s="1831"/>
      <c r="V384" s="1831"/>
      <c r="W384" s="1831"/>
      <c r="X384" s="1831"/>
      <c r="Y384" s="1831"/>
      <c r="Z384" s="1831"/>
      <c r="AA384" s="1831"/>
    </row>
    <row r="385" spans="1:53" ht="24.95" customHeight="1">
      <c r="A385" s="123"/>
      <c r="B385" s="653"/>
      <c r="C385" s="1831"/>
      <c r="D385" s="1831"/>
      <c r="E385" s="1831"/>
      <c r="F385" s="1139">
        <v>2</v>
      </c>
      <c r="G385" s="1636">
        <f t="shared" ref="G385:G386" si="296">VLOOKUP(H385,$O$374:$P$383,2)</f>
        <v>44713</v>
      </c>
      <c r="H385" s="1139">
        <v>2</v>
      </c>
      <c r="I385" s="1831"/>
      <c r="J385" s="1831"/>
      <c r="K385" s="1831"/>
      <c r="L385" s="1831"/>
      <c r="M385" s="1831"/>
      <c r="N385" s="1831"/>
      <c r="O385" s="1831"/>
      <c r="P385" s="1831"/>
      <c r="Q385" s="2348"/>
      <c r="R385" s="2374"/>
      <c r="S385" s="2374"/>
      <c r="T385" s="2374"/>
      <c r="U385" s="2374"/>
      <c r="V385" s="2374"/>
      <c r="W385" s="2374"/>
      <c r="X385" s="2374"/>
      <c r="Y385" s="2374"/>
      <c r="Z385" s="2374"/>
      <c r="AA385" s="2374"/>
      <c r="AB385" s="1839"/>
      <c r="AC385" s="1839"/>
      <c r="AD385" s="1839"/>
      <c r="AE385" s="1839"/>
      <c r="AF385" s="1839"/>
      <c r="AG385" s="1839"/>
      <c r="AH385" s="1839"/>
      <c r="AI385" s="1839"/>
      <c r="AJ385" s="1839"/>
      <c r="AK385" s="1839"/>
      <c r="AL385" s="1839"/>
      <c r="AM385" s="1839"/>
      <c r="AN385" s="1839"/>
      <c r="AO385" s="1839"/>
      <c r="AP385" s="1839"/>
      <c r="AQ385" s="1839"/>
      <c r="AR385" s="1839"/>
      <c r="AS385" s="1839"/>
      <c r="AT385" s="1839"/>
      <c r="AU385" s="1839"/>
      <c r="AV385" s="1839"/>
    </row>
    <row r="386" spans="1:53" ht="24.95" customHeight="1">
      <c r="A386" s="123"/>
      <c r="B386" s="653"/>
      <c r="C386" s="1831"/>
      <c r="D386" s="1831"/>
      <c r="E386" s="1831"/>
      <c r="F386" s="1139">
        <v>3</v>
      </c>
      <c r="G386" s="1636">
        <f t="shared" si="296"/>
        <v>44743</v>
      </c>
      <c r="H386" s="1139">
        <v>3</v>
      </c>
      <c r="I386" s="1831"/>
      <c r="J386" s="1831"/>
      <c r="K386" s="1831"/>
      <c r="L386" s="1831"/>
      <c r="M386" s="1831"/>
      <c r="N386" s="1831"/>
      <c r="O386" s="855">
        <v>1</v>
      </c>
      <c r="P386" s="2316" t="s">
        <v>445</v>
      </c>
      <c r="Q386" s="2348"/>
      <c r="R386" s="1831"/>
      <c r="S386" s="1831"/>
      <c r="T386" s="1831"/>
      <c r="U386" s="1831"/>
      <c r="V386" s="1831"/>
      <c r="W386" s="1831"/>
      <c r="X386" s="1831"/>
      <c r="Y386" s="1831"/>
      <c r="Z386" s="2217" t="s">
        <v>848</v>
      </c>
      <c r="AA386" s="2218" t="s">
        <v>849</v>
      </c>
      <c r="AB386" s="2217" t="s">
        <v>850</v>
      </c>
    </row>
    <row r="387" spans="1:53" ht="24.95" customHeight="1">
      <c r="A387" s="123"/>
      <c r="B387" s="653"/>
      <c r="C387" s="1831"/>
      <c r="D387" s="1831"/>
      <c r="E387" s="1831"/>
      <c r="F387" s="1831"/>
      <c r="G387" s="1831"/>
      <c r="H387" s="1831"/>
      <c r="I387" s="1831"/>
      <c r="J387" s="1831"/>
      <c r="K387" s="1831"/>
      <c r="L387" s="1831"/>
      <c r="M387" s="1831"/>
      <c r="N387" s="1831"/>
      <c r="O387" s="855">
        <v>2</v>
      </c>
      <c r="P387" s="2316" t="s">
        <v>447</v>
      </c>
      <c r="Q387" s="2348"/>
      <c r="R387" s="1831"/>
      <c r="S387" s="1831"/>
      <c r="T387" s="1831"/>
      <c r="U387" s="1831"/>
      <c r="V387" s="1831"/>
      <c r="W387" s="1831"/>
      <c r="X387" s="1831"/>
      <c r="Y387" s="1831"/>
      <c r="Z387" s="2217">
        <f>AA273</f>
        <v>8</v>
      </c>
      <c r="AA387" s="2219">
        <f>MONTH(AB273)</f>
        <v>8</v>
      </c>
      <c r="AB387" s="2219" t="str">
        <f>RIGHT(YEAR(AB273),2)</f>
        <v>21</v>
      </c>
    </row>
    <row r="388" spans="1:53" ht="24.95" customHeight="1">
      <c r="A388" s="123"/>
      <c r="B388" s="653"/>
      <c r="C388" s="1831"/>
      <c r="D388" s="1831"/>
      <c r="E388" s="1831"/>
      <c r="F388" s="2427" t="s">
        <v>176</v>
      </c>
      <c r="G388" s="711" t="s">
        <v>849</v>
      </c>
      <c r="H388" s="710" t="s">
        <v>850</v>
      </c>
      <c r="I388" s="1831"/>
      <c r="J388" s="2429"/>
      <c r="K388" s="1831"/>
      <c r="L388" s="1831"/>
      <c r="M388" s="1831"/>
      <c r="N388" s="1831"/>
      <c r="O388" s="855">
        <v>3</v>
      </c>
      <c r="P388" s="2316" t="s">
        <v>449</v>
      </c>
      <c r="Q388" s="1852"/>
      <c r="R388" s="1831"/>
      <c r="S388" s="1831"/>
      <c r="T388" s="5221" t="s">
        <v>1438</v>
      </c>
      <c r="U388" s="5221"/>
      <c r="V388" s="5221"/>
      <c r="W388" s="2358" t="str">
        <f>AB272</f>
        <v>M.Phil</v>
      </c>
      <c r="X388" s="2375"/>
      <c r="Y388" s="1831"/>
      <c r="Z388" s="2217">
        <f>Z387</f>
        <v>8</v>
      </c>
      <c r="AA388" s="2217" t="str">
        <f>LOOKUP(AA387,$AE$21:$AE$32,$AG$21:$AG$32)</f>
        <v>Aug</v>
      </c>
      <c r="AB388" s="2217" t="str">
        <f>AB387</f>
        <v>21</v>
      </c>
    </row>
    <row r="389" spans="1:53" ht="24.95" customHeight="1">
      <c r="A389" s="123"/>
      <c r="B389" s="653"/>
      <c r="C389" s="1831"/>
      <c r="D389" s="1831"/>
      <c r="E389" s="1831"/>
      <c r="F389" s="1688">
        <v>1</v>
      </c>
      <c r="G389" s="2212" t="str">
        <f>VLOOKUP(MONTH(G384),$O$386:$P$397,2)</f>
        <v>May</v>
      </c>
      <c r="H389" s="2212" t="str">
        <f>RIGHT(YEAR(G384),2)</f>
        <v>22</v>
      </c>
      <c r="I389" s="1831"/>
      <c r="J389" s="2212" t="str">
        <f>CONCATENATE(G389,"-",H389)</f>
        <v>May-22</v>
      </c>
      <c r="K389" s="1831"/>
      <c r="L389" s="1831"/>
      <c r="M389" s="1831"/>
      <c r="N389" s="1831"/>
      <c r="O389" s="855">
        <v>4</v>
      </c>
      <c r="P389" s="2316" t="s">
        <v>451</v>
      </c>
      <c r="Q389" s="1852"/>
      <c r="R389" s="1831"/>
      <c r="S389" s="1831"/>
      <c r="T389" s="5335" t="s">
        <v>1439</v>
      </c>
      <c r="U389" s="5335"/>
      <c r="V389" s="5335"/>
      <c r="W389" s="2377" t="str">
        <f>AA390</f>
        <v>8-Aug-21</v>
      </c>
      <c r="X389" s="2375"/>
      <c r="Y389" s="1831"/>
      <c r="AP389" s="5336" t="s">
        <v>883</v>
      </c>
      <c r="AQ389" s="5337"/>
      <c r="AR389" s="5337"/>
      <c r="AS389" s="5337"/>
      <c r="AT389" s="5337"/>
      <c r="AU389" s="5337"/>
      <c r="AV389" s="5337"/>
      <c r="AW389" s="5337"/>
      <c r="AX389" s="5337"/>
      <c r="AY389" s="5337"/>
      <c r="AZ389" s="587">
        <f>AZ374</f>
        <v>0</v>
      </c>
      <c r="BA389" s="766"/>
    </row>
    <row r="390" spans="1:53" ht="24.95" customHeight="1">
      <c r="A390" s="123"/>
      <c r="B390" s="653"/>
      <c r="C390" s="1831"/>
      <c r="D390" s="1831"/>
      <c r="E390" s="1831"/>
      <c r="F390" s="2212">
        <v>2</v>
      </c>
      <c r="G390" s="2212" t="str">
        <f t="shared" ref="G390:G391" si="297">VLOOKUP(MONTH(G385),$O$386:$P$397,2)</f>
        <v>Jun</v>
      </c>
      <c r="H390" s="2212" t="str">
        <f t="shared" ref="H390:H391" si="298">RIGHT(YEAR(G385),2)</f>
        <v>22</v>
      </c>
      <c r="I390" s="1831"/>
      <c r="J390" s="2212" t="str">
        <f t="shared" ref="J390:J391" si="299">CONCATENATE(G390,"-",H390)</f>
        <v>Jun-22</v>
      </c>
      <c r="K390" s="1831"/>
      <c r="L390" s="1831"/>
      <c r="M390" s="1831"/>
      <c r="N390" s="1831"/>
      <c r="O390" s="855">
        <v>5</v>
      </c>
      <c r="P390" s="2316" t="s">
        <v>181</v>
      </c>
      <c r="Q390" s="1852"/>
      <c r="R390" s="1831"/>
      <c r="S390" s="1831"/>
      <c r="T390" s="5221" t="s">
        <v>1440</v>
      </c>
      <c r="U390" s="5221"/>
      <c r="V390" s="2378" t="str">
        <f>W389</f>
        <v>8-Aug-21</v>
      </c>
      <c r="W390" s="2358">
        <f>AB274</f>
        <v>84800</v>
      </c>
      <c r="X390" s="2375"/>
      <c r="Y390" s="1831"/>
      <c r="AA390" s="2220" t="str">
        <f>CONCATENATE(Z388,"-",AA388,"-",AB388)</f>
        <v>8-Aug-21</v>
      </c>
      <c r="AP390" s="5338" t="s">
        <v>884</v>
      </c>
      <c r="AQ390" s="5339"/>
      <c r="AR390" s="5339"/>
      <c r="AS390" s="5339"/>
      <c r="AT390" s="5339"/>
      <c r="AU390" s="5339"/>
      <c r="AV390" s="5339"/>
      <c r="AW390" s="5339"/>
      <c r="AX390" s="5339"/>
      <c r="AY390" s="5339"/>
      <c r="AZ390" s="629">
        <f>BD386</f>
        <v>0</v>
      </c>
      <c r="BA390" s="766"/>
    </row>
    <row r="391" spans="1:53" ht="24.95" customHeight="1">
      <c r="A391" s="123"/>
      <c r="B391" s="653"/>
      <c r="C391" s="1831"/>
      <c r="D391" s="1831"/>
      <c r="E391" s="1831"/>
      <c r="F391" s="2212">
        <v>3</v>
      </c>
      <c r="G391" s="2212" t="str">
        <f t="shared" si="297"/>
        <v>Jul</v>
      </c>
      <c r="H391" s="2212" t="str">
        <f t="shared" si="298"/>
        <v>22</v>
      </c>
      <c r="I391" s="1831"/>
      <c r="J391" s="2212" t="str">
        <f t="shared" si="299"/>
        <v>Jul-22</v>
      </c>
      <c r="K391" s="1831"/>
      <c r="L391" s="1831"/>
      <c r="M391" s="1831"/>
      <c r="N391" s="1831"/>
      <c r="O391" s="855">
        <v>6</v>
      </c>
      <c r="P391" s="2316" t="s">
        <v>454</v>
      </c>
      <c r="Q391" s="1852"/>
      <c r="R391" s="1831"/>
      <c r="S391" s="1831"/>
      <c r="T391" s="5221" t="s">
        <v>1441</v>
      </c>
      <c r="U391" s="5221"/>
      <c r="V391" s="2378" t="str">
        <f>W389</f>
        <v>8-Aug-21</v>
      </c>
      <c r="W391" s="2376" t="str">
        <f>AB268</f>
        <v>Rs.68900-205500</v>
      </c>
      <c r="X391" s="2358">
        <f>AC268</f>
        <v>2</v>
      </c>
      <c r="Y391" s="1831"/>
      <c r="Z391" s="1831"/>
      <c r="AA391" s="1831"/>
      <c r="AP391" s="5338" t="s">
        <v>851</v>
      </c>
      <c r="AQ391" s="5339"/>
      <c r="AR391" s="5339"/>
      <c r="AS391" s="5339"/>
      <c r="AT391" s="5339"/>
      <c r="AU391" s="5339"/>
      <c r="AV391" s="5339"/>
      <c r="AW391" s="5339"/>
      <c r="AX391" s="5339"/>
      <c r="AY391" s="629">
        <f>AZ390</f>
        <v>0</v>
      </c>
      <c r="AZ391" s="630">
        <f>AZ380</f>
        <v>0</v>
      </c>
      <c r="BA391" s="766"/>
    </row>
    <row r="392" spans="1:53" ht="24.95" customHeight="1">
      <c r="A392" s="123"/>
      <c r="B392" s="653"/>
      <c r="C392" s="1831"/>
      <c r="D392" s="1831"/>
      <c r="E392" s="1831"/>
      <c r="F392" s="1831"/>
      <c r="G392" s="1831"/>
      <c r="H392" s="1831"/>
      <c r="I392" s="1831"/>
      <c r="J392" s="1831"/>
      <c r="K392" s="1831"/>
      <c r="L392" s="1831"/>
      <c r="M392" s="1831"/>
      <c r="N392" s="1831"/>
      <c r="O392" s="855">
        <v>7</v>
      </c>
      <c r="P392" s="2316" t="s">
        <v>456</v>
      </c>
      <c r="Q392" s="1852"/>
      <c r="R392" s="1831"/>
      <c r="S392" s="1831"/>
      <c r="T392" s="5221" t="s">
        <v>1442</v>
      </c>
      <c r="U392" s="5221"/>
      <c r="V392" s="5221"/>
      <c r="W392" s="587">
        <v>57700</v>
      </c>
      <c r="X392" s="2375"/>
      <c r="Y392" s="1831"/>
      <c r="Z392" s="1831"/>
      <c r="AA392" s="1831"/>
      <c r="AP392" s="5300" t="s">
        <v>852</v>
      </c>
      <c r="AQ392" s="5340"/>
      <c r="AR392" s="5340"/>
      <c r="AS392" s="5340"/>
      <c r="AT392" s="5340"/>
      <c r="AU392" s="5340"/>
      <c r="AV392" s="5340"/>
      <c r="AW392" s="5340"/>
      <c r="AX392" s="5341"/>
      <c r="AY392" s="628">
        <f>AZ390</f>
        <v>0</v>
      </c>
      <c r="AZ392" s="587">
        <f>AZ378</f>
        <v>0</v>
      </c>
      <c r="BA392" s="692">
        <f>BA378</f>
        <v>0</v>
      </c>
    </row>
    <row r="393" spans="1:53" ht="24.95" customHeight="1">
      <c r="A393" s="123"/>
      <c r="B393" s="653"/>
      <c r="C393" s="1831"/>
      <c r="D393" s="1831"/>
      <c r="E393" s="1831"/>
      <c r="F393" s="1831"/>
      <c r="G393" s="1831"/>
      <c r="H393" s="1831"/>
      <c r="I393" s="1831"/>
      <c r="J393" s="1831"/>
      <c r="K393" s="1831"/>
      <c r="L393" s="1831"/>
      <c r="M393" s="1831"/>
      <c r="N393" s="1831"/>
      <c r="O393" s="855">
        <v>8</v>
      </c>
      <c r="P393" s="2316" t="s">
        <v>458</v>
      </c>
      <c r="Q393" s="1852"/>
      <c r="R393" s="1831"/>
      <c r="S393" s="1831"/>
      <c r="T393" s="5221" t="s">
        <v>855</v>
      </c>
      <c r="U393" s="5221"/>
      <c r="V393" s="5221"/>
      <c r="W393" s="587">
        <v>1740</v>
      </c>
      <c r="X393" s="2375"/>
      <c r="Y393" s="1831"/>
      <c r="Z393" s="1831"/>
      <c r="AA393" s="1831"/>
      <c r="AP393" s="5342" t="s">
        <v>880</v>
      </c>
      <c r="AQ393" s="5342"/>
      <c r="AR393" s="5342"/>
      <c r="AS393" s="5342"/>
      <c r="AT393" s="5342"/>
      <c r="AU393" s="5342"/>
      <c r="AV393" s="5342"/>
      <c r="AW393" s="5342"/>
      <c r="AX393" s="5342"/>
      <c r="AY393" s="5342"/>
      <c r="AZ393" s="587">
        <f>AZ379</f>
        <v>0</v>
      </c>
      <c r="BA393" s="692">
        <f>BA379</f>
        <v>0</v>
      </c>
    </row>
    <row r="394" spans="1:53" ht="47.25" customHeight="1">
      <c r="A394" s="123"/>
      <c r="B394" s="653"/>
      <c r="C394" s="1831"/>
      <c r="D394" s="1831"/>
      <c r="E394" s="1831"/>
      <c r="F394" s="1831"/>
      <c r="G394" s="2436" t="s">
        <v>1192</v>
      </c>
      <c r="H394" s="1632" t="s">
        <v>946</v>
      </c>
      <c r="I394" s="1632" t="s">
        <v>1456</v>
      </c>
      <c r="J394" s="902" t="s">
        <v>1190</v>
      </c>
      <c r="K394" s="1831"/>
      <c r="L394" s="1831"/>
      <c r="M394" s="1831"/>
      <c r="N394" s="1831"/>
      <c r="O394" s="855">
        <v>9</v>
      </c>
      <c r="P394" s="2316" t="s">
        <v>460</v>
      </c>
      <c r="Q394" s="1852"/>
      <c r="R394" s="1831"/>
      <c r="S394" s="1831"/>
      <c r="T394" s="5221" t="s">
        <v>1443</v>
      </c>
      <c r="U394" s="5221"/>
      <c r="V394" s="2358" t="str">
        <f>W388</f>
        <v>M.Phil</v>
      </c>
      <c r="W394" s="587">
        <f>AA272</f>
        <v>1</v>
      </c>
      <c r="X394" s="2375"/>
      <c r="Y394" s="1831"/>
      <c r="Z394" s="1831"/>
      <c r="AA394" s="1831"/>
      <c r="AP394" s="5338" t="s">
        <v>881</v>
      </c>
      <c r="AQ394" s="5339"/>
      <c r="AR394" s="5339"/>
      <c r="AS394" s="5339"/>
      <c r="AT394" s="5339"/>
      <c r="AU394" s="5339"/>
      <c r="AV394" s="5339"/>
      <c r="AW394" s="5339"/>
      <c r="AX394" s="5339"/>
      <c r="AY394" s="5339"/>
      <c r="AZ394" s="587">
        <v>57700</v>
      </c>
      <c r="BA394" s="766"/>
    </row>
    <row r="395" spans="1:53" ht="27.75" customHeight="1">
      <c r="A395" s="123"/>
      <c r="B395" s="653"/>
      <c r="C395" s="1831"/>
      <c r="D395" s="1831"/>
      <c r="E395" s="1831"/>
      <c r="F395" s="1831"/>
      <c r="G395" s="2212">
        <f>IF(AND($J$354=2,$GE$3=2,L375&lt;=$I$355),M375,0)</f>
        <v>0</v>
      </c>
      <c r="H395" s="2212">
        <f>IF(AND($J$354=2,$GE$3=2,F375&lt;=$I$355),H375,0)</f>
        <v>0</v>
      </c>
      <c r="I395" s="2212">
        <f>IF(AND($J$354=2,$GE$3=2,F375&lt;=$I$355),I375,0)</f>
        <v>0</v>
      </c>
      <c r="J395" s="2212">
        <f>IF(AND($J$354=2,$GE$3=2,F375&lt;=$I$355),J375,0)</f>
        <v>0</v>
      </c>
      <c r="K395" s="1831"/>
      <c r="L395" s="1831"/>
      <c r="M395" s="1831"/>
      <c r="N395" s="1831"/>
      <c r="O395" s="855">
        <v>10</v>
      </c>
      <c r="P395" s="2316" t="s">
        <v>463</v>
      </c>
      <c r="Q395" s="1852"/>
      <c r="R395" s="1831"/>
      <c r="S395" s="1831"/>
      <c r="T395" s="5334" t="str">
        <f>CONCATENATE("After Adding"," ",W400," ","Incentive Increments for"," ",V394," ","Qualification",".","Then Pay will become")</f>
        <v>After Adding One(01) Incentive Increments for M.Phil Qualification.Then Pay will become</v>
      </c>
      <c r="U395" s="5334"/>
      <c r="V395" s="5334"/>
      <c r="W395" s="2358">
        <f>SUM(W390+W394*W393)</f>
        <v>86540</v>
      </c>
      <c r="X395" s="2375"/>
      <c r="Y395" s="1831"/>
      <c r="Z395" s="1831"/>
      <c r="AA395" s="1831"/>
      <c r="AP395" s="5338" t="s">
        <v>882</v>
      </c>
      <c r="AQ395" s="5339"/>
      <c r="AR395" s="5339"/>
      <c r="AS395" s="5339"/>
      <c r="AT395" s="5339"/>
      <c r="AU395" s="5339"/>
      <c r="AV395" s="5339"/>
      <c r="AW395" s="5339"/>
      <c r="AX395" s="5339"/>
      <c r="AY395" s="5339"/>
      <c r="AZ395" s="587">
        <v>1700</v>
      </c>
      <c r="BA395" s="766"/>
    </row>
    <row r="396" spans="1:53" ht="24.95" customHeight="1">
      <c r="A396" s="123"/>
      <c r="B396" s="653"/>
      <c r="C396" s="1831"/>
      <c r="D396" s="1831"/>
      <c r="E396" s="1831"/>
      <c r="F396" s="1831"/>
      <c r="G396" s="2212">
        <f t="shared" ref="G396:G397" si="300">IF(AND($J$354=2,$GE$3=2,L376&lt;=$I$355),M376,0)</f>
        <v>0</v>
      </c>
      <c r="H396" s="2212">
        <f t="shared" ref="H396:H397" si="301">IF(AND($J$354=2,$GE$3=2,F376&lt;=$I$355),H376,0)</f>
        <v>0</v>
      </c>
      <c r="I396" s="2212">
        <f t="shared" ref="I396:I397" si="302">IF(AND($J$354=2,$GE$3=2,F376&lt;=$I$355),I376,0)</f>
        <v>0</v>
      </c>
      <c r="J396" s="2212">
        <f t="shared" ref="J396:J397" si="303">IF(AND($J$354=2,$GE$3=2,F376&lt;=$I$355),J376,0)</f>
        <v>0</v>
      </c>
      <c r="K396" s="1831"/>
      <c r="L396" s="1831"/>
      <c r="M396" s="1831"/>
      <c r="N396" s="1831"/>
      <c r="O396" s="855">
        <v>11</v>
      </c>
      <c r="P396" s="2316" t="s">
        <v>464</v>
      </c>
      <c r="Q396" s="1852"/>
      <c r="R396" s="1831"/>
      <c r="S396" s="1831"/>
      <c r="T396" s="5335" t="s">
        <v>1444</v>
      </c>
      <c r="U396" s="5335"/>
      <c r="V396" s="2377" t="str">
        <f>W389</f>
        <v>8-Aug-21</v>
      </c>
      <c r="W396" s="2297">
        <f>IF($X$391=1,LOOKUP(MATCH($W$395,O,-1),N,O),IF($X$391=2,LOOKUP(MATCH($W$395,P,-1),N,P),IF($X$391=3,LOOKUP(MATCH($W$395,Q,-1),N,Q),IF($X$391=4,LOOKUP(MATCH($W$395,RR,-1),N,RR),IF($X$391=5,LOOKUP(MATCH($W$395,S,-1),N,S),IF($X$391=6,LOOKUP(MATCH($W$395,T,-1),N,T)))))))</f>
        <v>87300</v>
      </c>
      <c r="X396" s="2375"/>
      <c r="Y396" s="1831"/>
      <c r="Z396" s="1831"/>
      <c r="AA396" s="1831"/>
      <c r="AP396" s="5327" t="s">
        <v>856</v>
      </c>
      <c r="AQ396" s="5328"/>
      <c r="AR396" s="5328"/>
      <c r="AS396" s="5328"/>
      <c r="AT396" s="5328"/>
      <c r="AU396" s="5328"/>
      <c r="AV396" s="5328"/>
      <c r="AW396" s="5328"/>
      <c r="AX396" s="5329"/>
      <c r="AY396" s="587">
        <f>AZ389</f>
        <v>0</v>
      </c>
      <c r="AZ396" s="587">
        <f>AZ375</f>
        <v>0</v>
      </c>
      <c r="BA396" s="766"/>
    </row>
    <row r="397" spans="1:53" ht="24.95" customHeight="1">
      <c r="A397" s="123"/>
      <c r="B397" s="653"/>
      <c r="C397" s="1831"/>
      <c r="D397" s="1831"/>
      <c r="E397" s="1831"/>
      <c r="F397" s="1831"/>
      <c r="G397" s="2212">
        <f t="shared" si="300"/>
        <v>0</v>
      </c>
      <c r="H397" s="2212">
        <f t="shared" si="301"/>
        <v>0</v>
      </c>
      <c r="I397" s="2212">
        <f t="shared" si="302"/>
        <v>0</v>
      </c>
      <c r="J397" s="2212">
        <f t="shared" si="303"/>
        <v>0</v>
      </c>
      <c r="K397" s="1831"/>
      <c r="L397" s="1831"/>
      <c r="M397" s="1831"/>
      <c r="N397" s="1831"/>
      <c r="O397" s="855">
        <v>12</v>
      </c>
      <c r="P397" s="2316" t="s">
        <v>467</v>
      </c>
      <c r="Q397" s="1852"/>
      <c r="R397" s="1831"/>
      <c r="S397" s="1831"/>
      <c r="T397" s="1831"/>
      <c r="U397" s="1831"/>
      <c r="V397" s="1831"/>
      <c r="W397" s="1831"/>
      <c r="X397" s="1831"/>
      <c r="Y397" s="1831"/>
      <c r="Z397" s="1831"/>
      <c r="AA397" s="1831"/>
      <c r="AP397" s="5468" t="str">
        <f>CONCATENATE("After Adding"," ",AT427," ","Incentive Increments for"," ",AY396," ","Qualification",".","Then Pay will become")</f>
        <v>After Adding  Incentive Increments for 0 Qualification.Then Pay will become</v>
      </c>
      <c r="AQ397" s="5469"/>
      <c r="AR397" s="5469"/>
      <c r="AS397" s="5469"/>
      <c r="AT397" s="5469"/>
      <c r="AU397" s="5469"/>
      <c r="AV397" s="5469"/>
      <c r="AW397" s="5469"/>
      <c r="AX397" s="5469"/>
      <c r="AY397" s="5470"/>
      <c r="AZ397" s="587">
        <f>SUM(AZ391+AZ395*AZ396)</f>
        <v>0</v>
      </c>
      <c r="BA397" s="766"/>
    </row>
    <row r="398" spans="1:53" ht="24.95" customHeight="1">
      <c r="A398" s="123"/>
      <c r="B398" s="653"/>
      <c r="C398" s="1831"/>
      <c r="D398" s="1831"/>
      <c r="E398" s="1831"/>
      <c r="F398" s="1831"/>
      <c r="G398" s="1831"/>
      <c r="H398" s="1831"/>
      <c r="I398" s="1831"/>
      <c r="J398" s="1831"/>
      <c r="K398" s="1831"/>
      <c r="L398" s="1831"/>
      <c r="M398" s="1831"/>
      <c r="N398" s="1831"/>
      <c r="O398" s="1831"/>
      <c r="P398" s="1831"/>
      <c r="Q398" s="1852"/>
      <c r="R398" s="1831"/>
      <c r="S398" s="1831"/>
      <c r="T398" s="1831"/>
      <c r="U398" s="1831"/>
      <c r="V398" s="1831"/>
      <c r="W398" s="1831"/>
      <c r="X398" s="1831"/>
      <c r="Y398" s="1831"/>
      <c r="Z398" s="1831"/>
      <c r="AA398" s="1831"/>
      <c r="AP398" s="5529">
        <f>AP381</f>
        <v>0</v>
      </c>
      <c r="AQ398" s="5530"/>
      <c r="AR398" s="5530"/>
      <c r="AS398" s="5530"/>
      <c r="AT398" s="5530"/>
      <c r="AU398" s="5530"/>
      <c r="AV398" s="5530"/>
      <c r="AW398" s="5530"/>
      <c r="AX398" s="5530"/>
      <c r="AY398" s="767">
        <f>AZ390</f>
        <v>0</v>
      </c>
      <c r="AZ398" s="768">
        <f>IF($BW$21=1,LOOKUP(MATCH($BV$26,O,-1),N,O),IF($BW$21=2,LOOKUP(MATCH($BV$26,P,-1),N,P),IF($BW$21=3,LOOKUP(MATCH($BV$26,Q,-1),N,Q),IF($BW$21=4,LOOKUP(MATCH($BV$26,RR,-1),N,RR),IF($BW$21=5,LOOKUP(MATCH($BV$26,S,-1),N,S),IF($BW$21=6,LOOKUP(MATCH($BV$26,T,-1),N,T)))))))</f>
        <v>104200</v>
      </c>
      <c r="BA398" s="766"/>
    </row>
    <row r="399" spans="1:53" ht="24.95" customHeight="1">
      <c r="A399" s="123"/>
      <c r="B399" s="653"/>
      <c r="C399" s="1831"/>
      <c r="D399" s="1831"/>
      <c r="E399" s="1831"/>
      <c r="F399" s="1831"/>
      <c r="G399" s="1831"/>
      <c r="H399" s="1831"/>
      <c r="I399" s="1831"/>
      <c r="J399" s="1831"/>
      <c r="K399" s="1831"/>
      <c r="L399" s="1831"/>
      <c r="M399" s="1831"/>
      <c r="N399" s="1831"/>
      <c r="O399" s="1831"/>
      <c r="P399" s="1831"/>
      <c r="Q399" s="1852"/>
      <c r="R399" s="1831"/>
      <c r="S399" s="1831"/>
      <c r="T399" s="1831"/>
      <c r="U399" s="1831"/>
      <c r="V399" s="1831"/>
      <c r="W399" s="1831"/>
      <c r="X399" s="1831"/>
      <c r="Y399" s="1831"/>
      <c r="Z399" s="1831"/>
      <c r="AA399" s="1831"/>
      <c r="AP399" s="3780"/>
      <c r="AQ399" s="3780"/>
      <c r="AR399" s="3780"/>
      <c r="AS399" s="3780"/>
      <c r="AT399" s="3780"/>
      <c r="AU399" s="3780"/>
      <c r="AV399" s="3780"/>
      <c r="AW399" s="3780"/>
      <c r="AX399" s="3780"/>
      <c r="AY399" s="3781"/>
      <c r="AZ399" s="690"/>
      <c r="BA399" s="766"/>
    </row>
    <row r="400" spans="1:53" ht="24.95" customHeight="1">
      <c r="A400" s="123"/>
      <c r="B400" s="653"/>
      <c r="C400" s="1831"/>
      <c r="D400" s="1831"/>
      <c r="E400" s="1831"/>
      <c r="F400" s="1831"/>
      <c r="G400" s="1831"/>
      <c r="H400" s="1831"/>
      <c r="I400" s="1831"/>
      <c r="J400" s="1831"/>
      <c r="K400" s="1831"/>
      <c r="L400" s="1831"/>
      <c r="M400" s="1831"/>
      <c r="N400" s="1831"/>
      <c r="O400" s="1831"/>
      <c r="P400" s="1831"/>
      <c r="Q400" s="1852"/>
      <c r="R400" s="1831"/>
      <c r="S400" s="1831"/>
      <c r="T400" s="2379" t="str">
        <f>W388</f>
        <v>M.Phil</v>
      </c>
      <c r="U400" s="2379">
        <f>W394</f>
        <v>1</v>
      </c>
      <c r="V400" s="2379" t="str">
        <f>LOOKUP(U400,$AQ$14:$AQ$15,$AR$14:$AR$15)</f>
        <v>One</v>
      </c>
      <c r="W400" s="2379" t="str">
        <f>LOOKUP(U400,$AQ$14:$AQ$15,$AS$14:$AS$15)</f>
        <v>One(01)</v>
      </c>
      <c r="X400" s="2380"/>
      <c r="Y400" s="1831"/>
      <c r="Z400" s="1831"/>
      <c r="AA400" s="1831"/>
    </row>
    <row r="401" spans="1:133" ht="24.95" customHeight="1">
      <c r="A401" s="123"/>
      <c r="B401" s="653"/>
      <c r="C401" s="1699"/>
      <c r="D401" s="1699"/>
      <c r="E401" s="1699"/>
      <c r="F401" s="1699"/>
      <c r="G401" s="1699"/>
      <c r="H401" s="1699"/>
      <c r="I401" s="1699"/>
      <c r="J401" s="1699"/>
      <c r="K401" s="1699"/>
      <c r="L401" s="1699"/>
      <c r="M401" s="1699"/>
      <c r="N401" s="1699"/>
      <c r="O401" s="1699"/>
      <c r="P401" s="1699"/>
      <c r="Q401" s="1699"/>
      <c r="R401" s="1699"/>
      <c r="S401" s="1699"/>
      <c r="T401" s="1699"/>
      <c r="U401" s="1699"/>
      <c r="V401" s="1699"/>
      <c r="W401" s="1699"/>
      <c r="X401" s="1699"/>
      <c r="Y401" s="1699"/>
      <c r="Z401" s="1699"/>
      <c r="AA401" s="1699"/>
      <c r="AB401" s="1699"/>
      <c r="AC401" s="1699"/>
      <c r="AD401" s="1699"/>
      <c r="AE401" s="1699"/>
      <c r="AF401" s="1699"/>
      <c r="AG401" s="1699"/>
      <c r="AH401" s="1699"/>
      <c r="AI401" s="1699"/>
      <c r="AJ401" s="1699"/>
      <c r="AK401" s="1699"/>
      <c r="AL401" s="1699"/>
      <c r="AM401" s="1699"/>
      <c r="AN401" s="1699"/>
      <c r="AO401" s="1699"/>
      <c r="AP401" s="1699"/>
      <c r="AQ401" s="1699"/>
      <c r="AR401" s="1699"/>
      <c r="AS401" s="1699"/>
      <c r="AT401" s="1699"/>
      <c r="AU401" s="1699"/>
      <c r="AV401" s="1699"/>
      <c r="AW401" s="1699"/>
      <c r="AX401" s="1699"/>
      <c r="AY401" s="1699"/>
      <c r="AZ401" s="1699"/>
      <c r="BA401" s="1699"/>
      <c r="BB401" s="1699"/>
      <c r="BC401" s="1699"/>
      <c r="BD401" s="1699"/>
      <c r="BE401" s="1699"/>
      <c r="BF401" s="1699"/>
      <c r="BG401" s="1699"/>
      <c r="BH401" s="1699"/>
      <c r="BI401" s="1699"/>
      <c r="BJ401" s="1699"/>
      <c r="BK401" s="1699"/>
      <c r="BL401" s="1699"/>
      <c r="BM401" s="1699"/>
      <c r="BN401" s="1699"/>
      <c r="BO401" s="1699"/>
      <c r="BP401" s="1699"/>
      <c r="BQ401" s="1699"/>
      <c r="BR401" s="1699"/>
      <c r="BS401" s="1699"/>
      <c r="BT401" s="1699"/>
      <c r="BU401" s="1699"/>
      <c r="BV401" s="1699"/>
      <c r="BW401" s="1699"/>
      <c r="BX401" s="1699"/>
      <c r="BY401" s="1699"/>
      <c r="BZ401" s="1699"/>
      <c r="CA401" s="1699"/>
      <c r="CB401" s="1699"/>
      <c r="CC401" s="1699"/>
      <c r="CD401" s="1699"/>
      <c r="CE401" s="1699"/>
      <c r="CF401" s="1699"/>
      <c r="CG401" s="1699"/>
      <c r="CH401" s="1699"/>
      <c r="CI401" s="1699"/>
      <c r="CJ401" s="1699"/>
      <c r="CK401" s="1699"/>
      <c r="CL401" s="1699"/>
      <c r="CM401" s="1699"/>
      <c r="CN401" s="1699"/>
      <c r="CO401" s="1699"/>
      <c r="CP401" s="1699"/>
      <c r="CQ401" s="1699"/>
      <c r="CR401" s="1699"/>
      <c r="CS401" s="1699"/>
      <c r="CT401" s="1699"/>
      <c r="CU401" s="1699"/>
      <c r="CV401" s="1699"/>
      <c r="CW401" s="1699"/>
      <c r="CX401" s="1699"/>
      <c r="CY401" s="1699"/>
      <c r="CZ401" s="1699"/>
      <c r="DA401" s="1699"/>
      <c r="DB401" s="1699"/>
      <c r="DC401" s="1699"/>
      <c r="DD401" s="1699"/>
      <c r="DE401" s="1699"/>
      <c r="DF401" s="1699"/>
      <c r="DG401" s="1699"/>
      <c r="DH401" s="1699"/>
      <c r="DI401" s="1699"/>
      <c r="DJ401" s="1699"/>
      <c r="DK401" s="1699"/>
      <c r="DL401" s="1699"/>
      <c r="DM401" s="1699"/>
      <c r="DN401" s="1699"/>
      <c r="DO401" s="1699"/>
      <c r="DP401" s="1699"/>
      <c r="DQ401" s="1699"/>
      <c r="DR401" s="1699"/>
      <c r="DS401" s="1699"/>
      <c r="DT401" s="1699"/>
      <c r="DU401" s="1699"/>
      <c r="DV401" s="1699"/>
      <c r="DW401" s="1699"/>
      <c r="DX401" s="1699"/>
      <c r="DY401" s="1699"/>
      <c r="DZ401" s="1699"/>
      <c r="EA401" s="1699"/>
      <c r="EB401" s="1699"/>
      <c r="EC401" s="1699"/>
    </row>
    <row r="402" spans="1:133" ht="67.5" customHeight="1">
      <c r="A402" s="123"/>
      <c r="B402" s="653"/>
      <c r="C402" s="3069"/>
      <c r="D402" s="3069"/>
      <c r="E402" s="3069"/>
      <c r="F402" s="5279" t="s">
        <v>1754</v>
      </c>
      <c r="G402" s="5279"/>
      <c r="H402" s="5279"/>
      <c r="I402" s="5279"/>
      <c r="J402" s="5279"/>
      <c r="K402" s="5279"/>
      <c r="L402" s="5279"/>
      <c r="M402" s="3069"/>
      <c r="N402" s="3069"/>
      <c r="O402" s="3069"/>
      <c r="P402" s="3069"/>
      <c r="Q402" s="1852"/>
    </row>
    <row r="403" spans="1:133" ht="41.25" customHeight="1">
      <c r="A403" s="123"/>
      <c r="B403" s="653"/>
      <c r="C403" s="2430"/>
      <c r="D403" s="2430"/>
      <c r="E403" s="2430"/>
      <c r="F403" s="5280" t="s">
        <v>1752</v>
      </c>
      <c r="G403" s="5281"/>
      <c r="H403" s="5281"/>
      <c r="I403" s="5281"/>
      <c r="J403" s="5281"/>
      <c r="K403" s="3339" t="str">
        <f>LOOKUP(L403,$AE$14:$AE$15,$AG$14:$AG$15)</f>
        <v>No</v>
      </c>
      <c r="L403" s="3072">
        <v>1</v>
      </c>
      <c r="M403" s="2431"/>
      <c r="N403" s="2430"/>
      <c r="O403" s="2430"/>
      <c r="P403" s="2430"/>
      <c r="Q403" s="1852"/>
    </row>
    <row r="404" spans="1:133" ht="30.75" customHeight="1">
      <c r="A404" s="123"/>
      <c r="B404" s="653"/>
      <c r="C404" s="2433"/>
      <c r="D404" s="2433"/>
      <c r="E404" s="2433"/>
      <c r="F404" s="5282"/>
      <c r="G404" s="5283"/>
      <c r="H404" s="5283"/>
      <c r="I404" s="5283"/>
      <c r="J404" s="5283"/>
      <c r="K404" s="3338" t="s">
        <v>1455</v>
      </c>
      <c r="L404" s="3338" t="str">
        <f>IF($GE$3=2,CONCATENATE(" CPS"),CONCATENATE("Credited into GPF Account"))</f>
        <v>Credited into GPF Account</v>
      </c>
      <c r="M404" s="3211" t="str">
        <f>IF($GE$3=2,CONCATENATE(" Cash"),"")</f>
        <v/>
      </c>
      <c r="N404" s="2433"/>
      <c r="O404" s="2433"/>
      <c r="P404" s="2433"/>
      <c r="Q404" s="1852"/>
    </row>
    <row r="405" spans="1:133" ht="32.25" customHeight="1">
      <c r="A405" s="123"/>
      <c r="B405" s="653"/>
      <c r="C405" s="2433"/>
      <c r="D405" s="2433"/>
      <c r="E405" s="2433"/>
      <c r="F405" s="5284" t="s">
        <v>1755</v>
      </c>
      <c r="G405" s="5285"/>
      <c r="H405" s="5285"/>
      <c r="I405" s="5285"/>
      <c r="J405" s="5286"/>
      <c r="K405" s="3323">
        <f>IF(AND($L$403=2,'Data Sheet-II'!X87&gt;0),'Data Sheet-II'!X87,0)</f>
        <v>0</v>
      </c>
      <c r="L405" s="3325">
        <f>IF(AND($L$403=2,$GE$3=2,'Data Sheet-II'!Y87&gt;0),'Data Sheet-II'!Y87,'Data Sheet-II'!X87)</f>
        <v>0</v>
      </c>
      <c r="M405" s="3323">
        <f>IF(AND($L$403=2,$GE$3=2,'Data Sheet-II'!AA87&gt;0),'Data Sheet-II'!AA87,0)</f>
        <v>0</v>
      </c>
      <c r="N405" s="2433"/>
      <c r="O405" s="2433"/>
      <c r="P405" s="2433"/>
      <c r="Q405" s="1852"/>
    </row>
    <row r="406" spans="1:133" ht="15">
      <c r="A406" s="123"/>
      <c r="B406" s="653"/>
    </row>
    <row r="407" spans="1:133" ht="15">
      <c r="A407" s="123"/>
      <c r="B407" s="653"/>
    </row>
    <row r="408" spans="1:133" ht="15">
      <c r="A408" s="123"/>
      <c r="B408" s="653"/>
    </row>
    <row r="409" spans="1:133" ht="15">
      <c r="A409" s="123"/>
      <c r="B409" s="653"/>
    </row>
    <row r="410" spans="1:133" ht="15">
      <c r="A410" s="123"/>
      <c r="B410" s="653"/>
    </row>
    <row r="411" spans="1:133" ht="15">
      <c r="A411" s="123"/>
      <c r="B411" s="653"/>
    </row>
    <row r="412" spans="1:133" ht="15">
      <c r="A412" s="123"/>
      <c r="B412" s="653"/>
    </row>
    <row r="413" spans="1:133" ht="24.95" customHeight="1">
      <c r="A413" s="123"/>
      <c r="B413" s="653"/>
      <c r="E413" s="1882">
        <v>44378</v>
      </c>
      <c r="F413" s="1481"/>
      <c r="G413" s="1481"/>
      <c r="H413" s="1831"/>
      <c r="I413" s="1831"/>
      <c r="J413" s="1831"/>
      <c r="K413" s="1831"/>
    </row>
    <row r="414" spans="1:133" ht="24.95" customHeight="1">
      <c r="A414" s="123"/>
      <c r="B414" s="653"/>
      <c r="E414" s="723" t="s">
        <v>849</v>
      </c>
      <c r="F414" s="722" t="s">
        <v>850</v>
      </c>
      <c r="G414" s="1831"/>
      <c r="H414" s="1831"/>
      <c r="I414" s="1831"/>
      <c r="J414" s="1831"/>
      <c r="K414" s="1831"/>
    </row>
    <row r="415" spans="1:133" ht="24.95" customHeight="1">
      <c r="A415" s="123"/>
      <c r="B415" s="653"/>
      <c r="E415" s="1883">
        <f>MONTH(E413)</f>
        <v>7</v>
      </c>
      <c r="F415" s="1883" t="str">
        <f>RIGHT(YEAR(E413),2)</f>
        <v>21</v>
      </c>
      <c r="G415" s="1831"/>
      <c r="H415" s="1831"/>
      <c r="I415" s="1831"/>
      <c r="J415" s="1831"/>
      <c r="K415" s="1831"/>
    </row>
    <row r="416" spans="1:133" ht="24.95" customHeight="1">
      <c r="A416" s="123"/>
      <c r="B416" s="653"/>
      <c r="E416" s="1884" t="str">
        <f>LOOKUP(E415,$AE$21:$AE$32,$AG$21:$AG$32)</f>
        <v>Jul</v>
      </c>
      <c r="F416" s="1884" t="str">
        <f>F415</f>
        <v>21</v>
      </c>
      <c r="G416" s="1831"/>
      <c r="H416" s="1831"/>
      <c r="I416" s="1831"/>
      <c r="J416" s="1831"/>
      <c r="K416" s="1831"/>
    </row>
    <row r="417" spans="1:27" ht="24.95" customHeight="1">
      <c r="A417" s="123"/>
      <c r="B417" s="653"/>
      <c r="E417" s="1481"/>
      <c r="F417" s="1831"/>
      <c r="G417" s="1831"/>
      <c r="H417" s="1831"/>
      <c r="I417" s="1831"/>
      <c r="J417" s="1831"/>
      <c r="K417" s="1831"/>
    </row>
    <row r="418" spans="1:27" ht="24.95" customHeight="1">
      <c r="A418" s="123"/>
      <c r="B418" s="653"/>
      <c r="E418" s="1831"/>
      <c r="F418" s="1831"/>
      <c r="G418" s="1831"/>
      <c r="H418" s="5240" t="str">
        <f>CONCATENATE("G.O.Ms.No.3","    ", "Dated: 19-Jan-2022",   " :",    "DA Arrears for the Period from"," ",E416,"-",F416," ","To","  ",E422,"-",F422)</f>
        <v>G.O.Ms.No.3    Dated: 19-Jan-2022 :DA Arrears for the Period from Jul-21 To  Dec-21</v>
      </c>
      <c r="I418" s="5240"/>
      <c r="J418" s="5240"/>
      <c r="K418" s="5240"/>
      <c r="L418" s="5240"/>
      <c r="M418" s="5240"/>
    </row>
    <row r="419" spans="1:27" ht="24.95" customHeight="1">
      <c r="A419" s="123"/>
      <c r="B419" s="653"/>
      <c r="E419" s="1882">
        <v>44531</v>
      </c>
      <c r="F419" s="1481"/>
      <c r="G419" s="1831"/>
      <c r="H419" s="1831"/>
      <c r="I419" s="1831"/>
      <c r="J419" s="1831"/>
      <c r="K419" s="1831"/>
    </row>
    <row r="420" spans="1:27" ht="24.95" customHeight="1">
      <c r="A420" s="123"/>
      <c r="B420" s="653"/>
      <c r="E420" s="1885" t="s">
        <v>849</v>
      </c>
      <c r="F420" s="1886" t="s">
        <v>850</v>
      </c>
      <c r="G420" s="1831"/>
      <c r="H420" s="5297"/>
      <c r="I420" s="5297"/>
      <c r="J420" s="5297"/>
      <c r="K420" s="5297"/>
    </row>
    <row r="421" spans="1:27" ht="24.95" customHeight="1">
      <c r="A421" s="123"/>
      <c r="B421" s="653"/>
      <c r="E421" s="1887">
        <f>MONTH(E419)</f>
        <v>12</v>
      </c>
      <c r="F421" s="1887" t="str">
        <f>RIGHT(YEAR(E419),2)</f>
        <v>21</v>
      </c>
      <c r="G421" s="1831"/>
      <c r="H421" s="1831"/>
      <c r="I421" s="1831"/>
      <c r="J421" s="1831"/>
      <c r="K421" s="1831"/>
    </row>
    <row r="422" spans="1:27" ht="24.95" customHeight="1">
      <c r="A422" s="123"/>
      <c r="B422" s="653"/>
      <c r="E422" s="1888" t="str">
        <f>LOOKUP(E421,$AE$21:$AE$32,$AG$21:$AG$32)</f>
        <v>Dec</v>
      </c>
      <c r="F422" s="1888" t="str">
        <f>F421</f>
        <v>21</v>
      </c>
      <c r="G422" s="1831"/>
      <c r="H422" s="1831"/>
      <c r="I422" s="1831"/>
      <c r="J422" s="1831"/>
      <c r="K422" s="1831"/>
    </row>
    <row r="423" spans="1:27" ht="24.95" customHeight="1">
      <c r="A423" s="123"/>
      <c r="B423" s="653"/>
    </row>
    <row r="424" spans="1:27" ht="24.95" customHeight="1">
      <c r="A424" s="123"/>
      <c r="B424" s="653"/>
    </row>
    <row r="425" spans="1:27" ht="24.95" customHeight="1">
      <c r="A425" s="123"/>
      <c r="B425" s="653"/>
      <c r="C425" s="1831"/>
      <c r="D425" s="1831"/>
      <c r="E425" s="1831"/>
      <c r="F425" s="1831"/>
      <c r="G425" s="1831"/>
      <c r="H425" s="1831"/>
      <c r="I425" s="1831"/>
      <c r="J425" s="1831"/>
      <c r="K425" s="1831"/>
      <c r="L425" s="1831"/>
      <c r="M425" s="1831"/>
      <c r="N425" s="1831"/>
      <c r="O425" s="1831"/>
      <c r="P425" s="1831"/>
      <c r="Q425" s="1852"/>
      <c r="R425" s="1831"/>
      <c r="S425" s="1831"/>
      <c r="T425" s="3779"/>
      <c r="U425" s="3779"/>
      <c r="V425" s="3779"/>
      <c r="W425" s="3779"/>
      <c r="X425" s="1852"/>
      <c r="Y425" s="1831"/>
      <c r="Z425" s="1831"/>
      <c r="AA425" s="1831"/>
    </row>
    <row r="426" spans="1:27" ht="24.95" customHeight="1">
      <c r="A426" s="123"/>
      <c r="B426" s="653"/>
      <c r="C426" s="1831"/>
      <c r="D426" s="1831"/>
      <c r="E426" s="1831"/>
      <c r="F426" s="1831"/>
      <c r="G426" s="1831"/>
      <c r="H426" s="1831"/>
      <c r="I426" s="1831"/>
      <c r="J426" s="1831"/>
      <c r="K426" s="1831"/>
      <c r="L426" s="1831"/>
      <c r="M426" s="1831"/>
      <c r="N426" s="1831"/>
      <c r="O426" s="1831"/>
      <c r="P426" s="1831"/>
      <c r="Q426" s="1852"/>
      <c r="R426" s="1831"/>
      <c r="S426" s="1831"/>
      <c r="T426" s="1831"/>
      <c r="U426" s="1831"/>
      <c r="V426" s="1831"/>
      <c r="W426" s="1831"/>
      <c r="X426" s="1831"/>
      <c r="Y426" s="1831"/>
      <c r="Z426" s="1831"/>
      <c r="AA426" s="1831"/>
    </row>
    <row r="427" spans="1:27" ht="24.95" customHeight="1">
      <c r="A427" s="123"/>
      <c r="B427" s="653"/>
      <c r="C427" s="1831"/>
      <c r="D427" s="1831"/>
      <c r="E427" s="1831"/>
      <c r="F427" s="1831"/>
      <c r="G427" s="1831"/>
      <c r="H427" s="1831"/>
      <c r="I427" s="1831"/>
      <c r="J427" s="1831"/>
      <c r="K427" s="1831"/>
      <c r="L427" s="1831"/>
      <c r="M427" s="1831"/>
      <c r="N427" s="1831"/>
      <c r="O427" s="1831"/>
      <c r="P427" s="1831"/>
      <c r="Q427" s="1852"/>
      <c r="R427" s="1831"/>
      <c r="S427" s="1831"/>
      <c r="T427" s="1831"/>
      <c r="U427" s="1831"/>
      <c r="V427" s="1831"/>
      <c r="W427" s="1831"/>
      <c r="X427" s="1831"/>
      <c r="Y427" s="1831"/>
      <c r="Z427" s="1831"/>
      <c r="AA427" s="1831"/>
    </row>
    <row r="428" spans="1:27" ht="48" customHeight="1">
      <c r="A428" s="123"/>
      <c r="B428" s="653"/>
      <c r="C428" s="3069"/>
      <c r="D428" s="3069"/>
      <c r="E428" s="3069"/>
      <c r="F428" s="5292" t="s">
        <v>1606</v>
      </c>
      <c r="G428" s="5292"/>
      <c r="H428" s="5292"/>
      <c r="I428" s="5292"/>
      <c r="J428" s="5292"/>
      <c r="K428" s="5292"/>
      <c r="L428" s="5292"/>
      <c r="M428" s="3069"/>
      <c r="N428" s="3069"/>
      <c r="O428" s="3069"/>
      <c r="P428" s="3069"/>
      <c r="Q428" s="1852"/>
      <c r="R428" s="1831"/>
      <c r="S428" s="1831"/>
      <c r="T428" s="1831"/>
      <c r="U428" s="1831"/>
      <c r="V428" s="1831"/>
      <c r="W428" s="1831"/>
      <c r="X428" s="1831"/>
      <c r="Y428" s="1831"/>
      <c r="Z428" s="1831"/>
      <c r="AA428" s="1831"/>
    </row>
    <row r="429" spans="1:27" ht="24.95" customHeight="1">
      <c r="A429" s="123"/>
      <c r="B429" s="653"/>
      <c r="C429" s="2430"/>
      <c r="D429" s="2430"/>
      <c r="E429" s="2430"/>
      <c r="F429" s="5280" t="s">
        <v>1640</v>
      </c>
      <c r="G429" s="5281"/>
      <c r="H429" s="5281"/>
      <c r="I429" s="5281"/>
      <c r="J429" s="5281"/>
      <c r="K429" s="3324" t="str">
        <f>LOOKUP(L429,$AE$14:$AE$15,$AG$14:$AG$15)</f>
        <v>No</v>
      </c>
      <c r="L429" s="3326">
        <v>1</v>
      </c>
      <c r="M429" s="3327"/>
      <c r="N429" s="2430"/>
      <c r="O429" s="2430"/>
      <c r="P429" s="2430"/>
      <c r="Q429" s="1852"/>
      <c r="R429" s="1831"/>
      <c r="S429" s="1831"/>
      <c r="T429" s="1831"/>
      <c r="U429" s="1831"/>
      <c r="V429" s="1831"/>
      <c r="W429" s="1831"/>
      <c r="X429" s="1831"/>
      <c r="Y429" s="1831"/>
      <c r="Z429" s="1831"/>
      <c r="AA429" s="1831"/>
    </row>
    <row r="430" spans="1:27" ht="39" customHeight="1">
      <c r="A430" s="123"/>
      <c r="B430" s="653"/>
      <c r="C430" s="2433"/>
      <c r="D430" s="2433"/>
      <c r="E430" s="2433"/>
      <c r="F430" s="5290"/>
      <c r="G430" s="5291"/>
      <c r="H430" s="5291"/>
      <c r="I430" s="5291"/>
      <c r="J430" s="5291"/>
      <c r="K430" s="3322" t="s">
        <v>1455</v>
      </c>
      <c r="L430" s="3322" t="str">
        <f>IF($GE$3=2,CONCATENATE(" CPS"),CONCATENATE("Credited into GPF Account"))</f>
        <v>Credited into GPF Account</v>
      </c>
      <c r="M430" s="3074" t="str">
        <f>IF($GE$3=2,CONCATENATE(" Cash"),"")</f>
        <v/>
      </c>
      <c r="N430" s="2433"/>
      <c r="O430" s="2433"/>
      <c r="P430" s="2433"/>
      <c r="Q430" s="1852"/>
      <c r="R430" s="1831"/>
      <c r="S430" s="1831"/>
      <c r="T430" s="1831"/>
      <c r="U430" s="1831"/>
      <c r="V430" s="1831"/>
      <c r="W430" s="1831"/>
      <c r="X430" s="1831"/>
      <c r="Y430" s="1831"/>
      <c r="Z430" s="1831"/>
      <c r="AA430" s="1831"/>
    </row>
    <row r="431" spans="1:27" ht="33.75" customHeight="1">
      <c r="A431" s="123"/>
      <c r="B431" s="653"/>
      <c r="C431" s="2433"/>
      <c r="D431" s="2433"/>
      <c r="E431" s="2433"/>
      <c r="F431" s="5293" t="s">
        <v>1639</v>
      </c>
      <c r="G431" s="5294"/>
      <c r="H431" s="5294"/>
      <c r="I431" s="5294"/>
      <c r="J431" s="5295"/>
      <c r="K431" s="3323">
        <f>IF(AND($L$429=2,'Data Sheet-II'!X94&gt;0),'Data Sheet-II'!X94,0)</f>
        <v>0</v>
      </c>
      <c r="L431" s="3325">
        <f>IF(AND($L$429=2,$GE$3=2,'Data Sheet-II'!Y94&gt;0),'Data Sheet-II'!Y94,'Data Sheet-II'!X94)</f>
        <v>0</v>
      </c>
      <c r="M431" s="3323">
        <f>IF(AND($L$429=2,$GE$3=2,'Data Sheet-II'!AA94&gt;0),'Data Sheet-II'!AA94,0)</f>
        <v>0</v>
      </c>
      <c r="N431" s="2433"/>
      <c r="O431" s="2433"/>
      <c r="P431" s="2433"/>
      <c r="Q431" s="1852"/>
      <c r="R431" s="1831"/>
      <c r="S431" s="1831"/>
      <c r="T431" s="1831"/>
      <c r="U431" s="1831"/>
      <c r="V431" s="1831"/>
      <c r="W431" s="1831"/>
      <c r="X431" s="1831"/>
      <c r="Y431" s="1831"/>
      <c r="Z431" s="1831"/>
      <c r="AA431" s="1831"/>
    </row>
    <row r="432" spans="1:27" ht="24.95" customHeight="1">
      <c r="A432" s="123"/>
      <c r="B432" s="653"/>
      <c r="C432" s="1831"/>
      <c r="D432" s="1831"/>
      <c r="E432" s="1831"/>
      <c r="F432" s="1831"/>
      <c r="G432" s="1831"/>
      <c r="H432" s="1831"/>
      <c r="I432" s="1831"/>
      <c r="J432" s="1831"/>
      <c r="K432" s="1831"/>
      <c r="L432" s="1831"/>
      <c r="M432" s="1831"/>
      <c r="N432" s="1831"/>
      <c r="O432" s="1831"/>
      <c r="P432" s="1831"/>
      <c r="Q432" s="1852"/>
      <c r="R432" s="1831"/>
      <c r="S432" s="1831"/>
      <c r="T432" s="1831"/>
      <c r="U432" s="1831"/>
      <c r="V432" s="1831"/>
      <c r="W432" s="1831"/>
      <c r="X432" s="1831"/>
      <c r="Y432" s="1831"/>
      <c r="Z432" s="1831"/>
      <c r="AA432" s="1831"/>
    </row>
    <row r="433" spans="1:27" ht="24.95" customHeight="1">
      <c r="A433" s="123"/>
      <c r="B433" s="653"/>
      <c r="C433" s="2894"/>
      <c r="D433" s="2894"/>
      <c r="E433" s="1831"/>
      <c r="F433" s="1831"/>
      <c r="G433" s="1831"/>
      <c r="H433" s="1831"/>
      <c r="I433" s="1831"/>
      <c r="J433" s="1831"/>
      <c r="K433" s="1831"/>
      <c r="L433" s="1831"/>
      <c r="M433" s="1831"/>
      <c r="N433" s="1831"/>
      <c r="O433" s="1831"/>
      <c r="P433" s="1831"/>
      <c r="Q433" s="1852"/>
      <c r="R433" s="1831"/>
      <c r="S433" s="1831"/>
      <c r="T433" s="1831"/>
      <c r="U433" s="1831"/>
      <c r="V433" s="1831"/>
      <c r="W433" s="1831"/>
      <c r="X433" s="1831"/>
      <c r="Y433" s="1831"/>
      <c r="Z433" s="1831"/>
      <c r="AA433" s="1831"/>
    </row>
    <row r="434" spans="1:27" ht="24.95" customHeight="1">
      <c r="A434" s="123"/>
      <c r="B434" s="653"/>
      <c r="C434" s="855">
        <v>1</v>
      </c>
      <c r="D434" s="2316" t="s">
        <v>445</v>
      </c>
      <c r="E434" s="1831"/>
      <c r="F434" s="1882">
        <v>44378</v>
      </c>
      <c r="G434" s="1481"/>
      <c r="H434" s="1481"/>
      <c r="I434" s="1831"/>
      <c r="J434" s="1831"/>
      <c r="K434" s="1831"/>
      <c r="L434" s="1831"/>
      <c r="M434" s="1831"/>
      <c r="N434" s="1831"/>
      <c r="O434" s="1831"/>
      <c r="P434" s="1831"/>
      <c r="Q434" s="1852"/>
      <c r="R434" s="1831"/>
      <c r="S434" s="1831"/>
      <c r="T434" s="1831"/>
      <c r="U434" s="1831"/>
      <c r="V434" s="1831"/>
      <c r="W434" s="1831"/>
      <c r="X434" s="1831"/>
      <c r="Y434" s="1831"/>
      <c r="Z434" s="1831"/>
      <c r="AA434" s="1831"/>
    </row>
    <row r="435" spans="1:27" ht="24.95" customHeight="1">
      <c r="A435" s="123"/>
      <c r="B435" s="653"/>
      <c r="C435" s="855">
        <v>2</v>
      </c>
      <c r="D435" s="2316" t="s">
        <v>447</v>
      </c>
      <c r="E435" s="1831"/>
      <c r="F435" s="723" t="s">
        <v>849</v>
      </c>
      <c r="G435" s="722" t="s">
        <v>850</v>
      </c>
      <c r="H435" s="1831"/>
      <c r="I435" s="1831"/>
      <c r="J435" s="1831"/>
      <c r="K435" s="1831"/>
      <c r="L435" s="1831"/>
      <c r="M435" s="1831"/>
      <c r="N435" s="1831"/>
      <c r="O435" s="1831"/>
      <c r="P435" s="1831"/>
      <c r="Q435" s="1852"/>
      <c r="R435" s="1831"/>
      <c r="S435" s="1831"/>
      <c r="T435" s="1831"/>
      <c r="U435" s="1831"/>
      <c r="V435" s="1831"/>
      <c r="W435" s="1831"/>
      <c r="X435" s="1831"/>
      <c r="Y435" s="1831"/>
      <c r="Z435" s="1831"/>
      <c r="AA435" s="1831"/>
    </row>
    <row r="436" spans="1:27" ht="24.95" customHeight="1">
      <c r="A436" s="123"/>
      <c r="B436" s="653"/>
      <c r="C436" s="855">
        <v>3</v>
      </c>
      <c r="D436" s="2316" t="s">
        <v>449</v>
      </c>
      <c r="E436" s="1831"/>
      <c r="F436" s="1883">
        <f>MONTH(F434)</f>
        <v>7</v>
      </c>
      <c r="G436" s="1883" t="str">
        <f>RIGHT(YEAR(F434),2)</f>
        <v>21</v>
      </c>
      <c r="H436" s="1831"/>
      <c r="I436" s="1831"/>
      <c r="J436" s="1831"/>
      <c r="K436" s="1831"/>
      <c r="L436" s="1831"/>
      <c r="M436" s="1831"/>
      <c r="N436" s="1831"/>
      <c r="O436" s="3783"/>
      <c r="P436" s="1559"/>
      <c r="Q436" s="1852"/>
      <c r="R436" s="1831"/>
      <c r="S436" s="1831"/>
      <c r="T436" s="1831"/>
      <c r="U436" s="1831"/>
      <c r="V436" s="1831"/>
      <c r="W436" s="1831"/>
      <c r="X436" s="1831"/>
      <c r="Y436" s="1831"/>
      <c r="Z436" s="1831"/>
      <c r="AA436" s="1831"/>
    </row>
    <row r="437" spans="1:27" ht="24.95" customHeight="1">
      <c r="A437" s="123"/>
      <c r="B437" s="653"/>
      <c r="C437" s="855">
        <v>4</v>
      </c>
      <c r="D437" s="2316" t="s">
        <v>451</v>
      </c>
      <c r="E437" s="1831"/>
      <c r="F437" s="1884" t="str">
        <f>LOOKUP(F436,$AE$21:$AE$32,$AG$21:$AG$32)</f>
        <v>Jul</v>
      </c>
      <c r="G437" s="1884" t="str">
        <f>G436</f>
        <v>21</v>
      </c>
      <c r="H437" s="1831"/>
      <c r="I437" s="1831"/>
      <c r="J437" s="1831"/>
      <c r="K437" s="1831"/>
      <c r="L437" s="1831"/>
      <c r="M437" s="1831"/>
      <c r="N437" s="1831"/>
      <c r="O437" s="955"/>
      <c r="P437" s="1559"/>
      <c r="Q437" s="1852"/>
      <c r="R437" s="1831"/>
      <c r="S437" s="1831"/>
      <c r="T437" s="1831"/>
      <c r="U437" s="1831"/>
      <c r="V437" s="1831"/>
      <c r="W437" s="1831"/>
      <c r="X437" s="1831"/>
      <c r="Y437" s="1831"/>
      <c r="Z437" s="1831"/>
      <c r="AA437" s="1831"/>
    </row>
    <row r="438" spans="1:27" ht="24.95" customHeight="1">
      <c r="A438" s="123"/>
      <c r="B438" s="653"/>
      <c r="C438" s="855">
        <v>5</v>
      </c>
      <c r="D438" s="2316" t="s">
        <v>181</v>
      </c>
      <c r="E438" s="1831"/>
      <c r="F438" s="1481"/>
      <c r="G438" s="1831"/>
      <c r="H438" s="1831"/>
      <c r="I438" s="1831"/>
      <c r="J438" s="1831"/>
      <c r="K438" s="1831"/>
      <c r="L438" s="1831"/>
      <c r="M438" s="1831"/>
      <c r="N438" s="1831"/>
      <c r="O438" s="3783"/>
      <c r="P438" s="1559"/>
      <c r="Q438" s="1852"/>
      <c r="R438" s="1831"/>
      <c r="S438" s="1831"/>
      <c r="T438" s="1831"/>
      <c r="U438" s="1831"/>
      <c r="V438" s="1831"/>
      <c r="W438" s="1831"/>
      <c r="X438" s="1831"/>
      <c r="Y438" s="1831"/>
      <c r="Z438" s="1831"/>
      <c r="AA438" s="1831"/>
    </row>
    <row r="439" spans="1:27" ht="24.95" customHeight="1">
      <c r="A439" s="123"/>
      <c r="B439" s="653"/>
      <c r="C439" s="855">
        <v>6</v>
      </c>
      <c r="D439" s="2316" t="s">
        <v>454</v>
      </c>
      <c r="E439" s="1831"/>
      <c r="F439" s="1831"/>
      <c r="G439" s="1831"/>
      <c r="H439" s="1831"/>
      <c r="I439" s="5240" t="str">
        <f>CONCATENATE("G.O.Ms.No.9","    ", "Dated: 25-Jan-2023",   " :", "DA Arrears for the Period from"," ",F437,"-",G437," ","To","  ",F443,"-",G443)</f>
        <v>G.O.Ms.No.9    Dated: 25-Jan-2023 :DA Arrears for the Period from Jul-21 To  Dec-22</v>
      </c>
      <c r="J439" s="5240"/>
      <c r="K439" s="5240"/>
      <c r="L439" s="5240"/>
      <c r="M439" s="5240"/>
      <c r="N439" s="5240"/>
      <c r="O439" s="955"/>
      <c r="P439" s="1559"/>
      <c r="Q439" s="1852"/>
      <c r="R439" s="1831"/>
      <c r="S439" s="1831"/>
      <c r="T439" s="1831"/>
      <c r="U439" s="1831"/>
      <c r="V439" s="1831"/>
      <c r="W439" s="1831"/>
      <c r="X439" s="1831"/>
      <c r="Y439" s="1831"/>
      <c r="Z439" s="1831"/>
      <c r="AA439" s="1831"/>
    </row>
    <row r="440" spans="1:27" ht="24.95" customHeight="1">
      <c r="A440" s="123"/>
      <c r="B440" s="653"/>
      <c r="C440" s="855">
        <v>7</v>
      </c>
      <c r="D440" s="2316" t="s">
        <v>456</v>
      </c>
      <c r="E440" s="1831"/>
      <c r="F440" s="1882">
        <v>44896</v>
      </c>
      <c r="G440" s="1481"/>
      <c r="H440" s="1831"/>
      <c r="I440" s="1831"/>
      <c r="J440" s="1831"/>
      <c r="K440" s="1831"/>
      <c r="L440" s="1831"/>
      <c r="M440" s="1831"/>
      <c r="N440" s="1831"/>
      <c r="O440" s="3783"/>
      <c r="P440" s="1559"/>
      <c r="Q440" s="1852"/>
      <c r="R440" s="1831"/>
      <c r="S440" s="1831"/>
      <c r="T440" s="1831"/>
      <c r="U440" s="1831"/>
      <c r="V440" s="1831"/>
      <c r="W440" s="1831"/>
      <c r="X440" s="1831"/>
      <c r="Y440" s="1831"/>
      <c r="Z440" s="1831"/>
      <c r="AA440" s="1831"/>
    </row>
    <row r="441" spans="1:27" ht="24.95" customHeight="1">
      <c r="A441" s="123"/>
      <c r="B441" s="653"/>
      <c r="C441" s="855">
        <v>8</v>
      </c>
      <c r="D441" s="2316" t="s">
        <v>458</v>
      </c>
      <c r="E441" s="1831"/>
      <c r="F441" s="1885" t="s">
        <v>849</v>
      </c>
      <c r="G441" s="1886" t="s">
        <v>850</v>
      </c>
      <c r="H441" s="1831"/>
      <c r="I441" s="5297"/>
      <c r="J441" s="5297"/>
      <c r="K441" s="5297"/>
      <c r="L441" s="5297"/>
      <c r="M441" s="1831"/>
      <c r="N441" s="1831"/>
      <c r="O441" s="955"/>
      <c r="P441" s="1559"/>
      <c r="Q441" s="1852"/>
      <c r="R441" s="1831"/>
      <c r="S441" s="1831"/>
      <c r="T441" s="1831"/>
      <c r="U441" s="1831"/>
      <c r="V441" s="1831"/>
      <c r="W441" s="1831"/>
      <c r="X441" s="1831"/>
      <c r="Y441" s="1831"/>
      <c r="Z441" s="1831"/>
      <c r="AA441" s="1831"/>
    </row>
    <row r="442" spans="1:27" ht="24.95" customHeight="1">
      <c r="A442" s="123"/>
      <c r="B442" s="653"/>
      <c r="C442" s="855">
        <v>9</v>
      </c>
      <c r="D442" s="2316" t="s">
        <v>460</v>
      </c>
      <c r="E442" s="1831"/>
      <c r="F442" s="1887">
        <f>MONTH(F440)</f>
        <v>12</v>
      </c>
      <c r="G442" s="1887" t="str">
        <f>RIGHT(YEAR(F440),2)</f>
        <v>22</v>
      </c>
      <c r="H442" s="1831"/>
      <c r="I442" s="1831"/>
      <c r="J442" s="1831"/>
      <c r="K442" s="1831"/>
      <c r="L442" s="1831"/>
      <c r="M442" s="1831"/>
      <c r="N442" s="1831"/>
      <c r="O442" s="3783"/>
      <c r="P442" s="1559"/>
      <c r="Q442" s="1852"/>
      <c r="R442" s="1831"/>
      <c r="S442" s="1831"/>
      <c r="T442" s="1831"/>
      <c r="U442" s="1831"/>
      <c r="V442" s="1831"/>
      <c r="W442" s="1831"/>
      <c r="X442" s="1831"/>
      <c r="Y442" s="1831"/>
      <c r="Z442" s="1831"/>
      <c r="AA442" s="1831"/>
    </row>
    <row r="443" spans="1:27" ht="24.95" customHeight="1">
      <c r="A443" s="123"/>
      <c r="B443" s="653"/>
      <c r="C443" s="855">
        <v>10</v>
      </c>
      <c r="D443" s="2316" t="s">
        <v>463</v>
      </c>
      <c r="E443" s="1831"/>
      <c r="F443" s="1888" t="str">
        <f>LOOKUP(F442,$AE$21:$AE$32,$AG$21:$AG$32)</f>
        <v>Dec</v>
      </c>
      <c r="G443" s="1888" t="str">
        <f>G442</f>
        <v>22</v>
      </c>
      <c r="H443" s="1831"/>
      <c r="I443" s="1831"/>
      <c r="J443" s="1831"/>
      <c r="K443" s="1831"/>
      <c r="L443" s="1831"/>
      <c r="M443" s="1831"/>
      <c r="N443" s="1831"/>
      <c r="O443" s="955"/>
      <c r="P443" s="1559"/>
      <c r="Q443" s="1852"/>
      <c r="R443" s="1831"/>
      <c r="S443" s="1831"/>
      <c r="T443" s="1831"/>
      <c r="U443" s="1831"/>
      <c r="V443" s="1831"/>
      <c r="W443" s="1831"/>
      <c r="X443" s="1831"/>
      <c r="Y443" s="1831"/>
      <c r="Z443" s="1831"/>
      <c r="AA443" s="1831"/>
    </row>
    <row r="444" spans="1:27" ht="24.95" customHeight="1">
      <c r="A444" s="123"/>
      <c r="B444" s="653"/>
      <c r="C444" s="855">
        <v>11</v>
      </c>
      <c r="D444" s="2316" t="s">
        <v>464</v>
      </c>
      <c r="E444" s="1831"/>
      <c r="F444" s="3228"/>
      <c r="G444" s="3782"/>
      <c r="H444" s="3750"/>
      <c r="I444" s="1831"/>
      <c r="J444" s="1475"/>
      <c r="K444" s="1831"/>
      <c r="L444" s="1831"/>
      <c r="M444" s="1831"/>
      <c r="N444" s="1831"/>
      <c r="O444" s="3783"/>
      <c r="P444" s="1559"/>
      <c r="Q444" s="1852"/>
      <c r="R444" s="1831"/>
      <c r="S444" s="1831"/>
      <c r="T444" s="1831"/>
      <c r="U444" s="1831"/>
      <c r="V444" s="1831"/>
      <c r="W444" s="1831"/>
      <c r="X444" s="1831"/>
      <c r="Y444" s="1831"/>
      <c r="Z444" s="1831"/>
      <c r="AA444" s="1831"/>
    </row>
    <row r="445" spans="1:27" ht="24.95" customHeight="1">
      <c r="A445" s="123"/>
      <c r="B445" s="653"/>
      <c r="C445" s="855">
        <v>12</v>
      </c>
      <c r="D445" s="2316" t="s">
        <v>467</v>
      </c>
      <c r="E445" s="1831"/>
      <c r="F445" s="856"/>
      <c r="G445" s="1458"/>
      <c r="H445" s="1458"/>
      <c r="I445" s="1831"/>
      <c r="J445" s="1458"/>
      <c r="K445" s="1831"/>
      <c r="L445" s="1831"/>
      <c r="M445" s="1831"/>
      <c r="N445" s="1831"/>
      <c r="O445" s="955"/>
      <c r="P445" s="1559"/>
      <c r="Q445" s="1852"/>
      <c r="R445" s="1831"/>
      <c r="S445" s="1831"/>
      <c r="T445" s="1831"/>
      <c r="U445" s="1831"/>
      <c r="V445" s="1831"/>
      <c r="W445" s="1831"/>
      <c r="X445" s="1831"/>
      <c r="Y445" s="1831"/>
      <c r="Z445" s="1831"/>
      <c r="AA445" s="1831"/>
    </row>
    <row r="446" spans="1:27" ht="24.95" customHeight="1">
      <c r="A446" s="123"/>
      <c r="B446" s="653"/>
      <c r="C446" s="1831"/>
      <c r="D446" s="1831"/>
      <c r="E446" s="1831"/>
      <c r="F446" s="1458"/>
      <c r="G446" s="1458"/>
      <c r="H446" s="1458"/>
      <c r="I446" s="1831"/>
      <c r="J446" s="1458"/>
      <c r="K446" s="1831"/>
      <c r="L446" s="1831"/>
      <c r="M446" s="1831"/>
      <c r="N446" s="1831"/>
      <c r="O446" s="3783"/>
      <c r="P446" s="1559"/>
      <c r="Q446" s="1852"/>
      <c r="R446" s="1831"/>
      <c r="S446" s="1831"/>
      <c r="T446" s="1831"/>
      <c r="U446" s="1831"/>
      <c r="V446" s="1831"/>
      <c r="W446" s="1831"/>
      <c r="X446" s="1831"/>
      <c r="Y446" s="1831"/>
      <c r="Z446" s="1831"/>
      <c r="AA446" s="1831"/>
    </row>
    <row r="447" spans="1:27" ht="24.95" customHeight="1">
      <c r="A447" s="123"/>
      <c r="B447" s="653"/>
    </row>
    <row r="448" spans="1:27" ht="24.95" customHeight="1">
      <c r="A448" s="123"/>
      <c r="B448" s="653"/>
      <c r="D448" s="3784"/>
      <c r="E448" s="3784"/>
      <c r="F448" s="3784"/>
      <c r="G448" s="3784"/>
      <c r="H448" s="3784"/>
      <c r="I448" s="3784"/>
      <c r="J448" s="3784"/>
    </row>
    <row r="449" spans="1:133" ht="24.95" customHeight="1">
      <c r="A449" s="123"/>
      <c r="B449" s="653"/>
    </row>
    <row r="450" spans="1:133" ht="24.95" customHeight="1">
      <c r="A450" s="123"/>
      <c r="B450" s="653"/>
    </row>
    <row r="451" spans="1:133" ht="24.95" customHeight="1">
      <c r="A451" s="123"/>
      <c r="B451" s="653"/>
      <c r="C451" s="1699"/>
      <c r="D451" s="1699"/>
      <c r="E451" s="1699"/>
      <c r="F451" s="1699"/>
      <c r="G451" s="1699"/>
      <c r="H451" s="1699"/>
      <c r="I451" s="1699"/>
      <c r="J451" s="1699"/>
      <c r="K451" s="1699"/>
      <c r="L451" s="1699"/>
      <c r="M451" s="1699"/>
      <c r="N451" s="1699"/>
      <c r="O451" s="1699"/>
      <c r="P451" s="1699"/>
      <c r="Q451" s="1699"/>
      <c r="R451" s="1699"/>
      <c r="S451" s="1699"/>
      <c r="T451" s="1699"/>
      <c r="U451" s="1699"/>
      <c r="V451" s="1699"/>
      <c r="W451" s="1699"/>
      <c r="X451" s="1699"/>
      <c r="Y451" s="1699"/>
      <c r="Z451" s="1699"/>
      <c r="AA451" s="1699"/>
      <c r="AB451" s="1699"/>
      <c r="AC451" s="1699"/>
      <c r="AD451" s="1699"/>
      <c r="AE451" s="1699"/>
      <c r="AF451" s="1699"/>
      <c r="AG451" s="1699"/>
      <c r="AH451" s="1699"/>
      <c r="AI451" s="1699"/>
      <c r="AJ451" s="1699"/>
      <c r="AK451" s="1699"/>
      <c r="AL451" s="1699"/>
      <c r="AM451" s="1699"/>
      <c r="AN451" s="1699"/>
      <c r="AO451" s="1699"/>
      <c r="AP451" s="1699"/>
      <c r="AQ451" s="1699"/>
      <c r="AR451" s="1699"/>
      <c r="AS451" s="1699"/>
      <c r="AT451" s="1699"/>
      <c r="AU451" s="1699"/>
      <c r="AV451" s="1699"/>
      <c r="AW451" s="1699"/>
      <c r="AX451" s="1699"/>
      <c r="AY451" s="1699"/>
      <c r="AZ451" s="1699"/>
      <c r="BA451" s="1699"/>
      <c r="BB451" s="1699"/>
      <c r="BC451" s="1699"/>
      <c r="BD451" s="1699"/>
      <c r="BE451" s="1699"/>
      <c r="BF451" s="1699"/>
      <c r="BG451" s="1699"/>
      <c r="BH451" s="1699"/>
      <c r="BI451" s="1699"/>
      <c r="BJ451" s="1699"/>
      <c r="BK451" s="1699"/>
      <c r="BL451" s="1699"/>
      <c r="BM451" s="1699"/>
      <c r="BN451" s="1699"/>
      <c r="BO451" s="1699"/>
      <c r="BP451" s="1699"/>
      <c r="BQ451" s="1699"/>
      <c r="BR451" s="1699"/>
      <c r="BS451" s="1699"/>
      <c r="BT451" s="1699"/>
      <c r="BU451" s="1699"/>
      <c r="BV451" s="1699"/>
      <c r="BW451" s="1699"/>
      <c r="BX451" s="1699"/>
      <c r="BY451" s="1699"/>
      <c r="BZ451" s="1699"/>
      <c r="CA451" s="1699"/>
      <c r="CB451" s="1699"/>
      <c r="CC451" s="1699"/>
      <c r="CD451" s="1699"/>
      <c r="CE451" s="1699"/>
      <c r="CF451" s="1699"/>
      <c r="CG451" s="1699"/>
      <c r="CH451" s="1699"/>
      <c r="CI451" s="1699"/>
      <c r="CJ451" s="1699"/>
      <c r="CK451" s="1699"/>
      <c r="CL451" s="1699"/>
      <c r="CM451" s="1699"/>
      <c r="CN451" s="1699"/>
      <c r="CO451" s="1699"/>
      <c r="CP451" s="1699"/>
      <c r="CQ451" s="1699"/>
      <c r="CR451" s="1699"/>
      <c r="CS451" s="1699"/>
      <c r="CT451" s="1699"/>
      <c r="CU451" s="1699"/>
      <c r="CV451" s="1699"/>
      <c r="CW451" s="1699"/>
      <c r="CX451" s="1699"/>
      <c r="CY451" s="1699"/>
      <c r="CZ451" s="1699"/>
      <c r="DA451" s="1699"/>
      <c r="DB451" s="1699"/>
      <c r="DC451" s="1699"/>
      <c r="DD451" s="1699"/>
      <c r="DE451" s="1699"/>
      <c r="DF451" s="1699"/>
      <c r="DG451" s="1699"/>
      <c r="DH451" s="1699"/>
      <c r="DI451" s="1699"/>
      <c r="DJ451" s="1699"/>
      <c r="DK451" s="1699"/>
      <c r="DL451" s="1699"/>
      <c r="DM451" s="1699"/>
      <c r="DN451" s="1699"/>
      <c r="DO451" s="1699"/>
      <c r="DP451" s="1699"/>
      <c r="DQ451" s="1699"/>
      <c r="DR451" s="1699"/>
      <c r="DS451" s="1699"/>
      <c r="DT451" s="1699"/>
      <c r="DU451" s="1699"/>
      <c r="DV451" s="1699"/>
      <c r="DW451" s="1699"/>
      <c r="DX451" s="1699"/>
      <c r="DY451" s="1699"/>
      <c r="DZ451" s="1699"/>
      <c r="EA451" s="1699"/>
      <c r="EB451" s="1699"/>
      <c r="EC451" s="1699"/>
    </row>
    <row r="452" spans="1:133" ht="49.5" customHeight="1">
      <c r="A452" s="123"/>
      <c r="B452" s="653"/>
      <c r="C452" s="3069"/>
      <c r="D452" s="3069"/>
      <c r="E452" s="3069"/>
      <c r="F452" s="5296" t="s">
        <v>1607</v>
      </c>
      <c r="G452" s="5296"/>
      <c r="H452" s="5296"/>
      <c r="I452" s="5296"/>
      <c r="J452" s="5296"/>
      <c r="K452" s="5296"/>
      <c r="L452" s="5296"/>
      <c r="M452" s="3069"/>
      <c r="N452" s="3069"/>
      <c r="O452" s="3069"/>
      <c r="P452" s="3069"/>
      <c r="Q452" s="1852"/>
    </row>
    <row r="453" spans="1:133" ht="24.95" customHeight="1">
      <c r="A453" s="123"/>
      <c r="B453" s="653"/>
      <c r="C453" s="2430"/>
      <c r="D453" s="2430"/>
      <c r="E453" s="2430"/>
      <c r="F453" s="5280" t="s">
        <v>1641</v>
      </c>
      <c r="G453" s="5281"/>
      <c r="H453" s="5281"/>
      <c r="I453" s="5281"/>
      <c r="J453" s="5281"/>
      <c r="K453" s="3339" t="str">
        <f>LOOKUP(L453,$AE$14:$AE$15,$AG$14:$AG$15)</f>
        <v>No</v>
      </c>
      <c r="L453" s="3072">
        <v>1</v>
      </c>
      <c r="M453" s="2431"/>
      <c r="N453" s="2430"/>
      <c r="O453" s="2430"/>
      <c r="P453" s="2430"/>
      <c r="Q453" s="1852"/>
    </row>
    <row r="454" spans="1:133" ht="30.75" customHeight="1">
      <c r="A454" s="123"/>
      <c r="B454" s="653"/>
      <c r="C454" s="2433"/>
      <c r="D454" s="2433"/>
      <c r="E454" s="2433"/>
      <c r="F454" s="5282"/>
      <c r="G454" s="5283"/>
      <c r="H454" s="5283"/>
      <c r="I454" s="5283"/>
      <c r="J454" s="5283"/>
      <c r="K454" s="3338" t="s">
        <v>1455</v>
      </c>
      <c r="L454" s="3338" t="str">
        <f>IF($GE$3=2,CONCATENATE(" CPS"),CONCATENATE("Credited into GPF Account"))</f>
        <v>Credited into GPF Account</v>
      </c>
      <c r="M454" s="3211" t="str">
        <f>IF($GE$3=2,CONCATENATE(" Cash"),"")</f>
        <v/>
      </c>
      <c r="N454" s="2433"/>
      <c r="O454" s="2433"/>
      <c r="P454" s="2433"/>
      <c r="Q454" s="1852"/>
    </row>
    <row r="455" spans="1:133" ht="32.25" customHeight="1">
      <c r="A455" s="123"/>
      <c r="B455" s="653"/>
      <c r="C455" s="2433"/>
      <c r="D455" s="2433"/>
      <c r="E455" s="2433"/>
      <c r="F455" s="5284" t="s">
        <v>1642</v>
      </c>
      <c r="G455" s="5285"/>
      <c r="H455" s="5285"/>
      <c r="I455" s="5285"/>
      <c r="J455" s="5286"/>
      <c r="K455" s="3323">
        <f>IF(AND($L$453=2,'Data Sheet-II'!X101&gt;0),'Data Sheet-II'!X101,0)</f>
        <v>0</v>
      </c>
      <c r="L455" s="3325">
        <f>IF(AND($L$453=2,$GE$3=2,'Data Sheet-II'!Y101&gt;0),'Data Sheet-II'!Y101,'Data Sheet-II'!X101)</f>
        <v>0</v>
      </c>
      <c r="M455" s="3323">
        <f>IF(AND($L$453=2,$GE$3=2,'Data Sheet-II'!AA101&gt;0),'Data Sheet-II'!AA101,0)</f>
        <v>0</v>
      </c>
      <c r="N455" s="2433"/>
      <c r="O455" s="2433"/>
      <c r="P455" s="2433"/>
      <c r="Q455" s="1852"/>
    </row>
    <row r="456" spans="1:133" ht="24.95" customHeight="1">
      <c r="A456" s="123"/>
      <c r="B456" s="653"/>
      <c r="C456" s="1831"/>
      <c r="D456" s="1831"/>
      <c r="E456" s="1831"/>
      <c r="F456" s="1831"/>
      <c r="G456" s="1831"/>
      <c r="H456" s="1831"/>
      <c r="I456" s="1831"/>
      <c r="J456" s="1831"/>
      <c r="K456" s="1831"/>
      <c r="L456" s="1831"/>
      <c r="M456" s="1831"/>
      <c r="N456" s="1831"/>
      <c r="O456" s="1831"/>
      <c r="P456" s="1831"/>
      <c r="Q456" s="1852"/>
    </row>
    <row r="457" spans="1:133" ht="24.95" customHeight="1">
      <c r="A457" s="123"/>
      <c r="B457" s="653"/>
      <c r="C457" s="1831"/>
      <c r="D457" s="1831"/>
      <c r="E457" s="1831"/>
      <c r="F457" s="1831"/>
      <c r="G457" s="1831"/>
      <c r="H457" s="1831"/>
      <c r="I457" s="1831"/>
      <c r="J457" s="1831"/>
      <c r="K457" s="1831"/>
      <c r="L457" s="1831"/>
      <c r="M457" s="1831"/>
      <c r="N457" s="1831"/>
      <c r="O457" s="1831"/>
      <c r="P457" s="1831"/>
      <c r="Q457" s="1852"/>
    </row>
    <row r="458" spans="1:133" ht="24.95" customHeight="1">
      <c r="A458" s="123"/>
      <c r="B458" s="653"/>
      <c r="C458" s="2894"/>
      <c r="D458" s="2894"/>
      <c r="E458" s="1831"/>
      <c r="F458" s="1831"/>
      <c r="G458" s="1831"/>
      <c r="H458" s="1831"/>
      <c r="I458" s="1831"/>
      <c r="J458" s="1831"/>
      <c r="K458" s="1831"/>
      <c r="L458" s="1831"/>
      <c r="M458" s="2417"/>
      <c r="N458" s="2417"/>
      <c r="O458" s="2417"/>
      <c r="P458" s="2417"/>
      <c r="Q458" s="1852"/>
    </row>
    <row r="459" spans="1:133" ht="24.95" customHeight="1">
      <c r="A459" s="123"/>
      <c r="B459" s="653"/>
      <c r="C459" s="855">
        <v>1</v>
      </c>
      <c r="D459" s="2316" t="s">
        <v>445</v>
      </c>
      <c r="E459" s="1831"/>
      <c r="F459" s="1882">
        <v>44562</v>
      </c>
      <c r="G459" s="1481"/>
      <c r="H459" s="1481"/>
      <c r="I459" s="1831"/>
      <c r="J459" s="1831"/>
      <c r="K459" s="1831"/>
      <c r="L459" s="1831"/>
      <c r="M459" s="2417"/>
      <c r="N459" s="2417"/>
      <c r="O459" s="2417"/>
      <c r="P459" s="2417"/>
      <c r="Q459" s="1852"/>
    </row>
    <row r="460" spans="1:133" ht="24.95" customHeight="1">
      <c r="A460" s="123"/>
      <c r="B460" s="653"/>
      <c r="C460" s="855">
        <v>2</v>
      </c>
      <c r="D460" s="2316" t="s">
        <v>447</v>
      </c>
      <c r="E460" s="1831"/>
      <c r="F460" s="723" t="s">
        <v>849</v>
      </c>
      <c r="G460" s="722" t="s">
        <v>850</v>
      </c>
      <c r="H460" s="1831"/>
      <c r="I460" s="1831"/>
      <c r="J460" s="1831"/>
      <c r="K460" s="1831"/>
      <c r="L460" s="1831"/>
      <c r="M460" s="2417"/>
      <c r="N460" s="2417"/>
      <c r="O460" s="2417"/>
      <c r="P460" s="2417"/>
      <c r="Q460" s="1852"/>
    </row>
    <row r="461" spans="1:133" ht="24.95" customHeight="1">
      <c r="A461" s="123"/>
      <c r="B461" s="653"/>
      <c r="C461" s="855">
        <v>3</v>
      </c>
      <c r="D461" s="2316" t="s">
        <v>449</v>
      </c>
      <c r="E461" s="1831"/>
      <c r="F461" s="1883">
        <f>MONTH(F459)</f>
        <v>1</v>
      </c>
      <c r="G461" s="1883" t="str">
        <f>RIGHT(YEAR(F459),2)</f>
        <v>22</v>
      </c>
      <c r="H461" s="1831"/>
      <c r="I461" s="1831"/>
      <c r="J461" s="1831"/>
      <c r="K461" s="1831"/>
      <c r="L461" s="1831"/>
      <c r="M461" s="2417"/>
      <c r="N461" s="2417"/>
      <c r="O461" s="2417"/>
      <c r="P461" s="2417"/>
      <c r="Q461" s="1852"/>
    </row>
    <row r="462" spans="1:133" ht="24.95" customHeight="1">
      <c r="A462" s="123"/>
      <c r="B462" s="653"/>
      <c r="C462" s="855">
        <v>4</v>
      </c>
      <c r="D462" s="2316" t="s">
        <v>451</v>
      </c>
      <c r="E462" s="1831"/>
      <c r="F462" s="1884" t="str">
        <f>LOOKUP(F461,$AE$21:$AE$32,$AG$21:$AG$32)</f>
        <v>Jan</v>
      </c>
      <c r="G462" s="1884" t="str">
        <f>G461</f>
        <v>22</v>
      </c>
      <c r="H462" s="1831"/>
      <c r="I462" s="1831"/>
      <c r="J462" s="1831"/>
      <c r="K462" s="1831"/>
      <c r="L462" s="1831"/>
      <c r="M462" s="2417"/>
      <c r="N462" s="2417"/>
      <c r="O462" s="2417"/>
      <c r="P462" s="2417"/>
      <c r="Q462" s="1852"/>
    </row>
    <row r="463" spans="1:133" ht="24.95" customHeight="1">
      <c r="A463" s="123"/>
      <c r="B463" s="653"/>
      <c r="C463" s="855">
        <v>5</v>
      </c>
      <c r="D463" s="2316" t="s">
        <v>181</v>
      </c>
      <c r="E463" s="1831"/>
      <c r="F463" s="1481"/>
      <c r="G463" s="1831"/>
      <c r="H463" s="1831"/>
      <c r="I463" s="1831"/>
      <c r="J463" s="1831"/>
      <c r="K463" s="1831"/>
      <c r="L463" s="1831"/>
      <c r="M463" s="2417"/>
      <c r="N463" s="2417"/>
      <c r="O463" s="2417"/>
      <c r="P463" s="2417"/>
      <c r="Q463" s="1852"/>
    </row>
    <row r="464" spans="1:133" ht="24.95" customHeight="1">
      <c r="A464" s="123"/>
      <c r="B464" s="653"/>
      <c r="C464" s="855">
        <v>6</v>
      </c>
      <c r="D464" s="2316" t="s">
        <v>454</v>
      </c>
      <c r="E464" s="1831"/>
      <c r="F464" s="1831"/>
      <c r="G464" s="1831"/>
      <c r="H464" s="1831"/>
      <c r="I464" s="5240" t="str">
        <f>CONCATENATE("G.O.Ms.No.50","    ", "Dated: 19-June-2023",   " :", "DA Arrears for the Period from"," ",F462,"-",G462," ","To","  ",F468,"-",G468)</f>
        <v>G.O.Ms.No.50    Dated: 19-June-2023 :DA Arrears for the Period from Jan-22 To  May-23</v>
      </c>
      <c r="J464" s="5240"/>
      <c r="K464" s="5240"/>
      <c r="L464" s="5240"/>
      <c r="M464" s="5240"/>
      <c r="N464" s="5240"/>
      <c r="O464" s="2417"/>
      <c r="P464" s="2417"/>
      <c r="Q464" s="1852"/>
    </row>
    <row r="465" spans="1:133" ht="24.95" customHeight="1">
      <c r="A465" s="123"/>
      <c r="B465" s="653"/>
      <c r="C465" s="855">
        <v>7</v>
      </c>
      <c r="D465" s="2316" t="s">
        <v>456</v>
      </c>
      <c r="E465" s="1831"/>
      <c r="F465" s="1882">
        <v>45047</v>
      </c>
      <c r="G465" s="1481"/>
      <c r="H465" s="1831"/>
      <c r="I465" s="1831"/>
      <c r="J465" s="1831"/>
      <c r="K465" s="1831"/>
      <c r="L465" s="1831"/>
      <c r="M465" s="2417"/>
      <c r="N465" s="2417"/>
      <c r="O465" s="2417"/>
      <c r="P465" s="2417"/>
      <c r="Q465" s="1852"/>
    </row>
    <row r="466" spans="1:133" ht="24.95" customHeight="1">
      <c r="A466" s="123"/>
      <c r="B466" s="653"/>
      <c r="C466" s="855">
        <v>8</v>
      </c>
      <c r="D466" s="2316" t="s">
        <v>458</v>
      </c>
      <c r="E466" s="1831"/>
      <c r="F466" s="1885" t="s">
        <v>849</v>
      </c>
      <c r="G466" s="1886" t="s">
        <v>850</v>
      </c>
      <c r="H466" s="1831"/>
      <c r="I466" s="5297"/>
      <c r="J466" s="5297"/>
      <c r="K466" s="5297"/>
      <c r="L466" s="5297"/>
      <c r="M466" s="2417"/>
      <c r="N466" s="2417"/>
      <c r="O466" s="2417"/>
      <c r="P466" s="2417"/>
      <c r="Q466" s="1852"/>
    </row>
    <row r="467" spans="1:133" ht="24.95" customHeight="1">
      <c r="A467" s="123"/>
      <c r="B467" s="653"/>
      <c r="C467" s="855">
        <v>9</v>
      </c>
      <c r="D467" s="2316" t="s">
        <v>460</v>
      </c>
      <c r="E467" s="1831"/>
      <c r="F467" s="1887">
        <f>MONTH(F465)</f>
        <v>5</v>
      </c>
      <c r="G467" s="1887" t="str">
        <f>RIGHT(YEAR(F465),2)</f>
        <v>23</v>
      </c>
      <c r="H467" s="1831"/>
      <c r="I467" s="1831"/>
      <c r="J467" s="1831"/>
      <c r="K467" s="1831"/>
      <c r="L467" s="1831"/>
      <c r="M467" s="2417"/>
      <c r="N467" s="2417"/>
      <c r="O467" s="2417"/>
      <c r="P467" s="2417"/>
      <c r="Q467" s="1852"/>
    </row>
    <row r="468" spans="1:133" ht="24.95" customHeight="1">
      <c r="A468" s="123"/>
      <c r="B468" s="653"/>
      <c r="C468" s="855">
        <v>10</v>
      </c>
      <c r="D468" s="2316" t="s">
        <v>463</v>
      </c>
      <c r="E468" s="1831"/>
      <c r="F468" s="1888" t="str">
        <f>LOOKUP(F467,$AE$21:$AE$32,$AG$21:$AG$32)</f>
        <v>May</v>
      </c>
      <c r="G468" s="1888" t="str">
        <f>G467</f>
        <v>23</v>
      </c>
      <c r="H468" s="1831"/>
      <c r="I468" s="1831"/>
      <c r="J468" s="1831"/>
      <c r="K468" s="1831"/>
      <c r="L468" s="1831"/>
      <c r="M468" s="2417"/>
      <c r="N468" s="2417"/>
      <c r="O468" s="2417"/>
      <c r="P468" s="2417"/>
      <c r="Q468" s="1852"/>
    </row>
    <row r="469" spans="1:133" ht="24.95" customHeight="1">
      <c r="A469" s="123"/>
      <c r="B469" s="653"/>
      <c r="C469" s="855">
        <v>11</v>
      </c>
      <c r="D469" s="2316" t="s">
        <v>464</v>
      </c>
      <c r="E469" s="1831"/>
      <c r="F469" s="3228"/>
      <c r="G469" s="3782"/>
      <c r="H469" s="3750"/>
      <c r="I469" s="1831"/>
      <c r="J469" s="1475"/>
      <c r="K469" s="1831"/>
      <c r="L469" s="1831"/>
      <c r="M469" s="2417"/>
      <c r="N469" s="2417"/>
      <c r="O469" s="2417"/>
      <c r="P469" s="2417"/>
      <c r="Q469" s="1852"/>
    </row>
    <row r="470" spans="1:133" ht="24.95" customHeight="1">
      <c r="A470" s="123"/>
      <c r="B470" s="653"/>
      <c r="C470" s="855">
        <v>12</v>
      </c>
      <c r="D470" s="2316" t="s">
        <v>467</v>
      </c>
      <c r="E470" s="1831"/>
      <c r="F470" s="856"/>
      <c r="G470" s="1458"/>
      <c r="H470" s="1458"/>
      <c r="I470" s="1831"/>
      <c r="J470" s="1458"/>
      <c r="K470" s="1831"/>
      <c r="L470" s="1831"/>
      <c r="M470" s="2417"/>
      <c r="N470" s="2417"/>
      <c r="O470" s="2417"/>
      <c r="P470" s="2417"/>
      <c r="Q470" s="1852"/>
    </row>
    <row r="471" spans="1:133" ht="24.95" customHeight="1">
      <c r="A471" s="123"/>
      <c r="B471" s="653"/>
      <c r="C471" s="2417"/>
      <c r="D471" s="2417"/>
      <c r="E471" s="2417"/>
      <c r="F471" s="2417"/>
      <c r="G471" s="2417"/>
      <c r="H471" s="2417"/>
      <c r="I471" s="2417"/>
      <c r="J471" s="2417"/>
      <c r="K471" s="2417"/>
      <c r="L471" s="2417"/>
      <c r="M471" s="2417"/>
      <c r="N471" s="2417"/>
      <c r="O471" s="2417"/>
      <c r="P471" s="2417"/>
      <c r="Q471" s="1852"/>
    </row>
    <row r="472" spans="1:133" ht="24.95" customHeight="1">
      <c r="A472" s="123"/>
      <c r="B472" s="653"/>
      <c r="C472" s="2417"/>
      <c r="D472" s="2417"/>
      <c r="E472" s="2417"/>
      <c r="F472" s="2417"/>
      <c r="G472" s="2417"/>
      <c r="H472" s="2417"/>
      <c r="I472" s="2417"/>
      <c r="J472" s="2417"/>
      <c r="K472" s="2417"/>
      <c r="L472" s="2417"/>
      <c r="M472" s="2417"/>
      <c r="N472" s="2417"/>
      <c r="O472" s="2417"/>
      <c r="P472" s="2417"/>
      <c r="Q472" s="1852"/>
    </row>
    <row r="473" spans="1:133" ht="15">
      <c r="A473" s="123"/>
      <c r="B473" s="653"/>
    </row>
    <row r="474" spans="1:133" ht="15">
      <c r="A474" s="123"/>
      <c r="B474" s="653"/>
    </row>
    <row r="475" spans="1:133" ht="15">
      <c r="A475" s="123"/>
      <c r="B475" s="653"/>
    </row>
    <row r="476" spans="1:133" ht="24.95" customHeight="1">
      <c r="A476" s="123"/>
      <c r="B476" s="653"/>
      <c r="C476" s="1699"/>
      <c r="D476" s="1699"/>
      <c r="E476" s="1699"/>
      <c r="F476" s="1699"/>
      <c r="G476" s="1699"/>
      <c r="H476" s="1699"/>
      <c r="I476" s="1699"/>
      <c r="J476" s="1699"/>
      <c r="K476" s="1699"/>
      <c r="L476" s="1699"/>
      <c r="M476" s="1699"/>
      <c r="N476" s="1699"/>
      <c r="O476" s="1699"/>
      <c r="P476" s="1699"/>
      <c r="Q476" s="1699"/>
      <c r="R476" s="1699"/>
      <c r="S476" s="1699"/>
      <c r="T476" s="1699"/>
      <c r="U476" s="1699"/>
      <c r="V476" s="1699"/>
      <c r="W476" s="1699"/>
      <c r="X476" s="1699"/>
      <c r="Y476" s="1699"/>
      <c r="Z476" s="1699"/>
      <c r="AA476" s="1699"/>
      <c r="AB476" s="1699"/>
      <c r="AC476" s="1699"/>
      <c r="AD476" s="1699"/>
      <c r="AE476" s="1699"/>
      <c r="AF476" s="1699"/>
      <c r="AG476" s="1699"/>
      <c r="AH476" s="1699"/>
      <c r="AI476" s="1699"/>
      <c r="AJ476" s="1699"/>
      <c r="AK476" s="1699"/>
      <c r="AL476" s="1699"/>
      <c r="AM476" s="1699"/>
      <c r="AN476" s="1699"/>
      <c r="AO476" s="1699"/>
      <c r="AP476" s="1699"/>
      <c r="AQ476" s="1699"/>
      <c r="AR476" s="1699"/>
      <c r="AS476" s="1699"/>
      <c r="AT476" s="1699"/>
      <c r="AU476" s="1699"/>
      <c r="AV476" s="1699"/>
      <c r="AW476" s="1699"/>
      <c r="AX476" s="1699"/>
      <c r="AY476" s="1699"/>
      <c r="AZ476" s="1699"/>
      <c r="BA476" s="1699"/>
      <c r="BB476" s="1699"/>
      <c r="BC476" s="1699"/>
      <c r="BD476" s="1699"/>
      <c r="BE476" s="1699"/>
      <c r="BF476" s="1699"/>
      <c r="BG476" s="1699"/>
      <c r="BH476" s="1699"/>
      <c r="BI476" s="1699"/>
      <c r="BJ476" s="1699"/>
      <c r="BK476" s="1699"/>
      <c r="BL476" s="1699"/>
      <c r="BM476" s="1699"/>
      <c r="BN476" s="1699"/>
      <c r="BO476" s="1699"/>
      <c r="BP476" s="1699"/>
      <c r="BQ476" s="1699"/>
      <c r="BR476" s="1699"/>
      <c r="BS476" s="1699"/>
      <c r="BT476" s="1699"/>
      <c r="BU476" s="1699"/>
      <c r="BV476" s="1699"/>
      <c r="BW476" s="1699"/>
      <c r="BX476" s="1699"/>
      <c r="BY476" s="1699"/>
      <c r="BZ476" s="1699"/>
      <c r="CA476" s="1699"/>
      <c r="CB476" s="1699"/>
      <c r="CC476" s="1699"/>
      <c r="CD476" s="1699"/>
      <c r="CE476" s="1699"/>
      <c r="CF476" s="1699"/>
      <c r="CG476" s="1699"/>
      <c r="CH476" s="1699"/>
      <c r="CI476" s="1699"/>
      <c r="CJ476" s="1699"/>
      <c r="CK476" s="1699"/>
      <c r="CL476" s="1699"/>
      <c r="CM476" s="1699"/>
      <c r="CN476" s="1699"/>
      <c r="CO476" s="1699"/>
      <c r="CP476" s="1699"/>
      <c r="CQ476" s="1699"/>
      <c r="CR476" s="1699"/>
      <c r="CS476" s="1699"/>
      <c r="CT476" s="1699"/>
      <c r="CU476" s="1699"/>
      <c r="CV476" s="1699"/>
      <c r="CW476" s="1699"/>
      <c r="CX476" s="1699"/>
      <c r="CY476" s="1699"/>
      <c r="CZ476" s="1699"/>
      <c r="DA476" s="1699"/>
      <c r="DB476" s="1699"/>
      <c r="DC476" s="1699"/>
      <c r="DD476" s="1699"/>
      <c r="DE476" s="1699"/>
      <c r="DF476" s="1699"/>
      <c r="DG476" s="1699"/>
      <c r="DH476" s="1699"/>
      <c r="DI476" s="1699"/>
      <c r="DJ476" s="1699"/>
      <c r="DK476" s="1699"/>
      <c r="DL476" s="1699"/>
      <c r="DM476" s="1699"/>
      <c r="DN476" s="1699"/>
      <c r="DO476" s="1699"/>
      <c r="DP476" s="1699"/>
      <c r="DQ476" s="1699"/>
      <c r="DR476" s="1699"/>
      <c r="DS476" s="1699"/>
      <c r="DT476" s="1699"/>
      <c r="DU476" s="1699"/>
      <c r="DV476" s="1699"/>
      <c r="DW476" s="1699"/>
      <c r="DX476" s="1699"/>
      <c r="DY476" s="1699"/>
      <c r="DZ476" s="1699"/>
      <c r="EA476" s="1699"/>
      <c r="EB476" s="1699"/>
      <c r="EC476" s="1699"/>
    </row>
    <row r="477" spans="1:133" ht="67.5" customHeight="1">
      <c r="A477" s="123"/>
      <c r="B477" s="653"/>
      <c r="C477" s="3069"/>
      <c r="D477" s="3069"/>
      <c r="E477" s="3069"/>
      <c r="F477" s="5279" t="s">
        <v>1685</v>
      </c>
      <c r="G477" s="5279"/>
      <c r="H477" s="5279"/>
      <c r="I477" s="5279"/>
      <c r="J477" s="5279"/>
      <c r="K477" s="5279"/>
      <c r="L477" s="5279"/>
      <c r="M477" s="3069"/>
      <c r="N477" s="3069"/>
      <c r="O477" s="3069"/>
      <c r="P477" s="3069"/>
      <c r="Q477" s="1852"/>
    </row>
    <row r="478" spans="1:133" ht="41.25" customHeight="1">
      <c r="A478" s="123"/>
      <c r="B478" s="653"/>
      <c r="C478" s="2430"/>
      <c r="D478" s="2430"/>
      <c r="E478" s="2430"/>
      <c r="F478" s="5280" t="s">
        <v>1683</v>
      </c>
      <c r="G478" s="5281"/>
      <c r="H478" s="5281"/>
      <c r="I478" s="5281"/>
      <c r="J478" s="5281"/>
      <c r="K478" s="3339" t="str">
        <f>LOOKUP(L478,$AE$14:$AE$15,$AG$14:$AG$15)</f>
        <v>No</v>
      </c>
      <c r="L478" s="3072">
        <v>1</v>
      </c>
      <c r="M478" s="2431"/>
      <c r="N478" s="2430"/>
      <c r="O478" s="2430"/>
      <c r="P478" s="2430"/>
      <c r="Q478" s="1852"/>
    </row>
    <row r="479" spans="1:133" ht="30.75" customHeight="1">
      <c r="A479" s="123"/>
      <c r="B479" s="653"/>
      <c r="C479" s="2433"/>
      <c r="D479" s="2433"/>
      <c r="E479" s="2433"/>
      <c r="F479" s="5282"/>
      <c r="G479" s="5283"/>
      <c r="H479" s="5283"/>
      <c r="I479" s="5283"/>
      <c r="J479" s="5283"/>
      <c r="K479" s="3338" t="s">
        <v>1455</v>
      </c>
      <c r="L479" s="3338" t="str">
        <f>IF($GE$3=2,CONCATENATE(" CPS"),CONCATENATE("Credited into GPF Account"))</f>
        <v>Credited into GPF Account</v>
      </c>
      <c r="M479" s="3211" t="str">
        <f>IF($GE$3=2,CONCATENATE(" Cash"),"")</f>
        <v/>
      </c>
      <c r="N479" s="2433"/>
      <c r="O479" s="2433"/>
      <c r="P479" s="2433"/>
      <c r="Q479" s="1852"/>
    </row>
    <row r="480" spans="1:133" ht="32.25" customHeight="1">
      <c r="A480" s="123"/>
      <c r="B480" s="653"/>
      <c r="C480" s="2433"/>
      <c r="D480" s="2433"/>
      <c r="E480" s="2433"/>
      <c r="F480" s="5284" t="s">
        <v>1684</v>
      </c>
      <c r="G480" s="5285"/>
      <c r="H480" s="5285"/>
      <c r="I480" s="5285"/>
      <c r="J480" s="5286"/>
      <c r="K480" s="3323">
        <f>IF(AND($L$478=2,'Data Sheet-II'!X108&gt;0),'Data Sheet-II'!X108,0)</f>
        <v>0</v>
      </c>
      <c r="L480" s="3325">
        <f>IF(AND($L$478=2,$GE$3=2,'Data Sheet-II'!Y108&gt;0),'Data Sheet-II'!Y108,'Data Sheet-II'!X108)</f>
        <v>0</v>
      </c>
      <c r="M480" s="3323">
        <f>IF(AND($L$478=2,$GE$3=2,'Data Sheet-II'!AA108&gt;0),'Data Sheet-II'!AA108,0)</f>
        <v>0</v>
      </c>
      <c r="N480" s="2433"/>
      <c r="O480" s="2433"/>
      <c r="P480" s="2433"/>
      <c r="Q480" s="1852"/>
    </row>
    <row r="481" spans="1:14" ht="15">
      <c r="A481" s="123"/>
      <c r="B481" s="653"/>
    </row>
    <row r="482" spans="1:14" ht="21.95" customHeight="1">
      <c r="A482" s="123"/>
      <c r="B482" s="653"/>
    </row>
    <row r="483" spans="1:14" ht="21.95" customHeight="1">
      <c r="A483" s="123"/>
      <c r="B483" s="653"/>
      <c r="C483" s="2894"/>
      <c r="D483" s="2894"/>
      <c r="E483" s="1831"/>
      <c r="F483" s="1831"/>
      <c r="G483" s="1831"/>
      <c r="H483" s="1831"/>
      <c r="I483" s="1831"/>
      <c r="J483" s="1831"/>
      <c r="K483" s="1831"/>
      <c r="L483" s="1831"/>
    </row>
    <row r="484" spans="1:14" ht="21.95" customHeight="1">
      <c r="A484" s="123"/>
      <c r="B484" s="653"/>
      <c r="C484" s="855">
        <v>1</v>
      </c>
      <c r="D484" s="2316" t="s">
        <v>445</v>
      </c>
      <c r="E484" s="1831"/>
      <c r="F484" s="1882">
        <v>44743</v>
      </c>
      <c r="G484" s="1481"/>
      <c r="H484" s="1481"/>
      <c r="I484" s="1831"/>
      <c r="J484" s="1831"/>
      <c r="K484" s="1831"/>
      <c r="L484" s="1831"/>
    </row>
    <row r="485" spans="1:14" ht="21.95" customHeight="1">
      <c r="A485" s="123"/>
      <c r="B485" s="653"/>
      <c r="C485" s="855">
        <v>2</v>
      </c>
      <c r="D485" s="2316" t="s">
        <v>447</v>
      </c>
      <c r="E485" s="1831"/>
      <c r="F485" s="723" t="s">
        <v>849</v>
      </c>
      <c r="G485" s="722" t="s">
        <v>850</v>
      </c>
      <c r="H485" s="1831"/>
      <c r="I485" s="1831"/>
      <c r="J485" s="1831"/>
      <c r="K485" s="1831"/>
      <c r="L485" s="1831"/>
    </row>
    <row r="486" spans="1:14" ht="21.95" customHeight="1">
      <c r="A486" s="123"/>
      <c r="B486" s="653"/>
      <c r="C486" s="855">
        <v>3</v>
      </c>
      <c r="D486" s="2316" t="s">
        <v>449</v>
      </c>
      <c r="E486" s="1831"/>
      <c r="F486" s="1883">
        <f>MONTH(F484)</f>
        <v>7</v>
      </c>
      <c r="G486" s="1883" t="str">
        <f>RIGHT(YEAR(F484),2)</f>
        <v>22</v>
      </c>
      <c r="H486" s="1831"/>
      <c r="I486" s="1831"/>
      <c r="J486" s="1831"/>
      <c r="K486" s="1831"/>
      <c r="L486" s="1831"/>
    </row>
    <row r="487" spans="1:14" ht="21.95" customHeight="1">
      <c r="A487" s="123"/>
      <c r="B487" s="653"/>
      <c r="C487" s="855">
        <v>4</v>
      </c>
      <c r="D487" s="2316" t="s">
        <v>451</v>
      </c>
      <c r="E487" s="1831"/>
      <c r="F487" s="1884" t="str">
        <f>LOOKUP(F486,$AE$21:$AE$32,$AG$21:$AG$32)</f>
        <v>Jul</v>
      </c>
      <c r="G487" s="1884" t="str">
        <f>G486</f>
        <v>22</v>
      </c>
      <c r="H487" s="1831"/>
      <c r="I487" s="1831"/>
      <c r="J487" s="1831"/>
      <c r="K487" s="1831"/>
      <c r="L487" s="1831"/>
    </row>
    <row r="488" spans="1:14" ht="21.95" customHeight="1">
      <c r="A488" s="123"/>
      <c r="B488" s="653"/>
      <c r="C488" s="855">
        <v>5</v>
      </c>
      <c r="D488" s="2316" t="s">
        <v>181</v>
      </c>
      <c r="E488" s="1831"/>
      <c r="F488" s="1481"/>
      <c r="G488" s="1831"/>
      <c r="H488" s="1831"/>
      <c r="I488" s="1831"/>
      <c r="J488" s="1831"/>
      <c r="K488" s="1831"/>
      <c r="L488" s="1831"/>
    </row>
    <row r="489" spans="1:14" ht="21.95" customHeight="1">
      <c r="A489" s="123"/>
      <c r="B489" s="653"/>
      <c r="C489" s="855">
        <v>6</v>
      </c>
      <c r="D489" s="2316" t="s">
        <v>454</v>
      </c>
      <c r="E489" s="1831"/>
      <c r="F489" s="1831"/>
      <c r="G489" s="1831"/>
      <c r="H489" s="1831"/>
      <c r="I489" s="5240" t="str">
        <f>CONCATENATE("G.O.Ms.No.120","    ", "Dated: 30-Oct-2024",   " :", "DA Arrears for the Period from"," ",F487,"-",G487," ","To","  ",F493,"-",G493)</f>
        <v>G.O.Ms.No.120    Dated: 30-Oct-2024 :DA Arrears for the Period from Jul-22 To  Oct-24</v>
      </c>
      <c r="J489" s="5240"/>
      <c r="K489" s="5240"/>
      <c r="L489" s="5240"/>
      <c r="M489" s="5240"/>
      <c r="N489" s="5240"/>
    </row>
    <row r="490" spans="1:14" ht="21.95" customHeight="1">
      <c r="A490" s="123"/>
      <c r="B490" s="653"/>
      <c r="C490" s="855">
        <v>7</v>
      </c>
      <c r="D490" s="2316" t="s">
        <v>456</v>
      </c>
      <c r="E490" s="1831"/>
      <c r="F490" s="1882">
        <v>45566</v>
      </c>
      <c r="G490" s="1481"/>
      <c r="H490" s="1831"/>
      <c r="I490" s="1831"/>
      <c r="J490" s="1831"/>
      <c r="K490" s="1831"/>
      <c r="L490" s="1831"/>
    </row>
    <row r="491" spans="1:14" ht="21.95" customHeight="1">
      <c r="A491" s="123"/>
      <c r="B491" s="653"/>
      <c r="C491" s="855">
        <v>8</v>
      </c>
      <c r="D491" s="2316" t="s">
        <v>458</v>
      </c>
      <c r="E491" s="1831"/>
      <c r="F491" s="1885" t="s">
        <v>849</v>
      </c>
      <c r="G491" s="1886" t="s">
        <v>850</v>
      </c>
      <c r="H491" s="1831"/>
      <c r="I491" s="5297"/>
      <c r="J491" s="5297"/>
      <c r="K491" s="5297"/>
      <c r="L491" s="5297"/>
    </row>
    <row r="492" spans="1:14" ht="21.95" customHeight="1">
      <c r="A492" s="123"/>
      <c r="B492" s="653"/>
      <c r="C492" s="855">
        <v>9</v>
      </c>
      <c r="D492" s="2316" t="s">
        <v>460</v>
      </c>
      <c r="E492" s="1831"/>
      <c r="F492" s="1887">
        <f>MONTH(F490)</f>
        <v>10</v>
      </c>
      <c r="G492" s="1887" t="str">
        <f>RIGHT(YEAR(F490),2)</f>
        <v>24</v>
      </c>
      <c r="H492" s="1831"/>
      <c r="I492" s="1831"/>
      <c r="J492" s="1831"/>
      <c r="K492" s="1831"/>
      <c r="L492" s="1831"/>
    </row>
    <row r="493" spans="1:14" ht="21.95" customHeight="1">
      <c r="A493" s="123"/>
      <c r="B493" s="653"/>
      <c r="C493" s="855">
        <v>10</v>
      </c>
      <c r="D493" s="2316" t="s">
        <v>463</v>
      </c>
      <c r="E493" s="1831"/>
      <c r="F493" s="1888" t="str">
        <f>LOOKUP(F492,$AE$21:$AE$32,$AG$21:$AG$32)</f>
        <v>Oct</v>
      </c>
      <c r="G493" s="1888" t="str">
        <f>G492</f>
        <v>24</v>
      </c>
      <c r="H493" s="1831"/>
      <c r="I493" s="1831"/>
      <c r="J493" s="1831"/>
      <c r="K493" s="1831"/>
      <c r="L493" s="1831"/>
    </row>
    <row r="494" spans="1:14" ht="21.95" customHeight="1">
      <c r="A494" s="123"/>
      <c r="B494" s="653"/>
      <c r="C494" s="855">
        <v>11</v>
      </c>
      <c r="D494" s="2316" t="s">
        <v>464</v>
      </c>
      <c r="E494" s="1831"/>
      <c r="F494" s="3228"/>
      <c r="G494" s="3782"/>
      <c r="H494" s="3750"/>
      <c r="I494" s="1831"/>
      <c r="J494" s="1475"/>
      <c r="K494" s="1831"/>
      <c r="L494" s="1831"/>
    </row>
    <row r="495" spans="1:14" ht="21.95" customHeight="1">
      <c r="A495" s="123"/>
      <c r="B495" s="653"/>
      <c r="C495" s="855">
        <v>12</v>
      </c>
      <c r="D495" s="2316" t="s">
        <v>467</v>
      </c>
      <c r="E495" s="1831"/>
      <c r="F495" s="856"/>
      <c r="G495" s="1458"/>
      <c r="H495" s="1458"/>
      <c r="I495" s="1831"/>
      <c r="J495" s="1458"/>
      <c r="K495" s="1831"/>
      <c r="L495" s="1831"/>
    </row>
    <row r="496" spans="1:14" ht="21.95" customHeight="1">
      <c r="A496" s="123"/>
      <c r="B496" s="653"/>
      <c r="C496" s="2417"/>
      <c r="D496" s="2417"/>
      <c r="E496" s="2417"/>
      <c r="F496" s="2417"/>
      <c r="G496" s="2417"/>
      <c r="H496" s="2417"/>
      <c r="I496" s="2417"/>
      <c r="J496" s="2417"/>
      <c r="K496" s="2417"/>
      <c r="L496" s="2417"/>
    </row>
    <row r="497" spans="1:17" ht="21.95" customHeight="1">
      <c r="A497" s="123"/>
      <c r="B497" s="653"/>
      <c r="C497" s="2417"/>
      <c r="D497" s="2417"/>
      <c r="E497" s="2417"/>
      <c r="F497" s="2417"/>
      <c r="G497" s="2417"/>
      <c r="H497" s="2417"/>
      <c r="I497" s="2417"/>
      <c r="J497" s="2417"/>
      <c r="K497" s="2417"/>
      <c r="L497" s="2417"/>
    </row>
    <row r="498" spans="1:17" ht="21.95" customHeight="1">
      <c r="A498" s="123"/>
      <c r="B498" s="653"/>
    </row>
    <row r="499" spans="1:17" ht="21.95" customHeight="1">
      <c r="A499" s="123"/>
      <c r="B499" s="653"/>
    </row>
    <row r="500" spans="1:17" ht="21.95" customHeight="1">
      <c r="A500" s="123"/>
      <c r="B500" s="653"/>
    </row>
    <row r="501" spans="1:17" ht="21.95" customHeight="1">
      <c r="A501" s="123"/>
      <c r="B501" s="653"/>
    </row>
    <row r="502" spans="1:17" ht="24.95" customHeight="1">
      <c r="A502" s="123"/>
      <c r="B502" s="653"/>
      <c r="C502" s="1699"/>
      <c r="D502" s="1699"/>
      <c r="E502" s="1699"/>
      <c r="F502" s="1699"/>
      <c r="G502" s="1699"/>
      <c r="H502" s="1699"/>
      <c r="I502" s="1699"/>
      <c r="J502" s="1699"/>
      <c r="K502" s="1699"/>
      <c r="L502" s="1699"/>
      <c r="M502" s="1699"/>
      <c r="N502" s="1699"/>
      <c r="O502" s="1699"/>
      <c r="P502" s="1699"/>
      <c r="Q502" s="1699"/>
    </row>
    <row r="503" spans="1:17" ht="48.75" customHeight="1">
      <c r="A503" s="123"/>
      <c r="B503" s="653"/>
      <c r="C503" s="3069"/>
      <c r="D503" s="3069"/>
      <c r="E503" s="3069"/>
      <c r="F503" s="5279" t="s">
        <v>1747</v>
      </c>
      <c r="G503" s="5279"/>
      <c r="H503" s="5279"/>
      <c r="I503" s="5279"/>
      <c r="J503" s="5279"/>
      <c r="K503" s="5279"/>
      <c r="L503" s="5279"/>
      <c r="M503" s="3069"/>
      <c r="N503" s="3069"/>
      <c r="O503" s="3069"/>
      <c r="P503" s="3069"/>
      <c r="Q503" s="1852"/>
    </row>
    <row r="504" spans="1:17" ht="24.95" customHeight="1">
      <c r="A504" s="123"/>
      <c r="B504" s="653"/>
      <c r="C504" s="2430"/>
      <c r="D504" s="2430"/>
      <c r="E504" s="2430"/>
      <c r="F504" s="5280" t="s">
        <v>1740</v>
      </c>
      <c r="G504" s="5281"/>
      <c r="H504" s="5281"/>
      <c r="I504" s="5281"/>
      <c r="J504" s="5281"/>
      <c r="K504" s="3339" t="str">
        <f>LOOKUP(L504,$AE$14:$AE$15,$AG$14:$AG$15)</f>
        <v>No</v>
      </c>
      <c r="L504" s="3072">
        <v>1</v>
      </c>
      <c r="M504" s="2431"/>
      <c r="N504" s="2430"/>
      <c r="O504" s="2430"/>
      <c r="P504" s="2430"/>
      <c r="Q504" s="1852"/>
    </row>
    <row r="505" spans="1:17" ht="37.5" customHeight="1">
      <c r="A505" s="123"/>
      <c r="B505" s="653"/>
      <c r="C505" s="2433"/>
      <c r="D505" s="2433"/>
      <c r="E505" s="2433"/>
      <c r="F505" s="5282"/>
      <c r="G505" s="5283"/>
      <c r="H505" s="5283"/>
      <c r="I505" s="5283"/>
      <c r="J505" s="5283"/>
      <c r="K505" s="3338" t="s">
        <v>1455</v>
      </c>
      <c r="L505" s="3338" t="str">
        <f>IF($GE$3=2,CONCATENATE(" CPS"),CONCATENATE("Credited into GPF Account"))</f>
        <v>Credited into GPF Account</v>
      </c>
      <c r="M505" s="3211" t="str">
        <f>IF($GE$3=2,CONCATENATE(" Cash"),"")</f>
        <v/>
      </c>
      <c r="N505" s="2433"/>
      <c r="O505" s="2433"/>
      <c r="P505" s="2433"/>
      <c r="Q505" s="1852"/>
    </row>
    <row r="506" spans="1:17" ht="32.25" customHeight="1">
      <c r="A506" s="123"/>
      <c r="B506" s="653"/>
      <c r="C506" s="2433"/>
      <c r="D506" s="2433"/>
      <c r="E506" s="2433"/>
      <c r="F506" s="5284" t="s">
        <v>1748</v>
      </c>
      <c r="G506" s="5285"/>
      <c r="H506" s="5285"/>
      <c r="I506" s="5285"/>
      <c r="J506" s="5286"/>
      <c r="K506" s="3323">
        <f>IF(AND($L$504=2,'Data Sheet-II'!X115&gt;0),'Data Sheet-II'!X115,0)</f>
        <v>0</v>
      </c>
      <c r="L506" s="3325">
        <f>IF(AND($L$504=2,$GE$3=2,'Data Sheet-II'!Y115&gt;0),'Data Sheet-II'!Y115,'Data Sheet-II'!X115)</f>
        <v>0</v>
      </c>
      <c r="M506" s="3323">
        <f>IF(AND(L504=2,$GE$3=2,'Data Sheet-II'!AA115&gt;0),'Data Sheet-II'!AA115,0)</f>
        <v>0</v>
      </c>
      <c r="N506" s="2433"/>
      <c r="O506" s="2433"/>
      <c r="P506" s="2433"/>
      <c r="Q506" s="1852"/>
    </row>
    <row r="507" spans="1:17" ht="24.95" customHeight="1">
      <c r="A507" s="123"/>
      <c r="B507" s="653"/>
    </row>
    <row r="508" spans="1:17" ht="24.95" customHeight="1">
      <c r="A508" s="123"/>
      <c r="B508" s="653"/>
    </row>
    <row r="509" spans="1:17" ht="24.95" customHeight="1">
      <c r="A509" s="123"/>
      <c r="B509" s="653"/>
      <c r="C509" s="2894"/>
      <c r="D509" s="2894"/>
      <c r="E509" s="1831"/>
      <c r="F509" s="1831"/>
      <c r="G509" s="1831"/>
      <c r="H509" s="1831"/>
      <c r="I509" s="1831"/>
      <c r="J509" s="1831"/>
      <c r="K509" s="1831"/>
      <c r="L509" s="1831"/>
    </row>
    <row r="510" spans="1:17" ht="24.95" customHeight="1">
      <c r="A510" s="123"/>
      <c r="B510" s="653"/>
      <c r="C510" s="855">
        <v>1</v>
      </c>
      <c r="D510" s="2316" t="s">
        <v>445</v>
      </c>
      <c r="E510" s="1831"/>
      <c r="F510" s="1882">
        <v>44927</v>
      </c>
      <c r="G510" s="1481"/>
      <c r="H510" s="1481"/>
      <c r="I510" s="1831"/>
      <c r="J510" s="1831"/>
      <c r="K510" s="1831"/>
      <c r="L510" s="1831"/>
    </row>
    <row r="511" spans="1:17" ht="24.95" customHeight="1">
      <c r="A511" s="123"/>
      <c r="B511" s="653"/>
      <c r="C511" s="855">
        <v>2</v>
      </c>
      <c r="D511" s="2316" t="s">
        <v>447</v>
      </c>
      <c r="E511" s="1831"/>
      <c r="F511" s="723" t="s">
        <v>849</v>
      </c>
      <c r="G511" s="722" t="s">
        <v>850</v>
      </c>
      <c r="H511" s="1831"/>
      <c r="I511" s="1831"/>
      <c r="J511" s="1831"/>
      <c r="K511" s="1831"/>
      <c r="L511" s="1831"/>
    </row>
    <row r="512" spans="1:17" ht="24.95" customHeight="1">
      <c r="A512" s="123"/>
      <c r="B512" s="653"/>
      <c r="C512" s="855">
        <v>3</v>
      </c>
      <c r="D512" s="2316" t="s">
        <v>449</v>
      </c>
      <c r="E512" s="1831"/>
      <c r="F512" s="1883">
        <f>MONTH(F510)</f>
        <v>1</v>
      </c>
      <c r="G512" s="1883" t="str">
        <f>RIGHT(YEAR(F510),2)</f>
        <v>23</v>
      </c>
      <c r="H512" s="1831"/>
      <c r="I512" s="1831"/>
      <c r="J512" s="1831"/>
      <c r="K512" s="1831"/>
      <c r="L512" s="1831"/>
    </row>
    <row r="513" spans="1:16" ht="24.95" customHeight="1">
      <c r="A513" s="123"/>
      <c r="B513" s="653"/>
      <c r="C513" s="855">
        <v>4</v>
      </c>
      <c r="D513" s="2316" t="s">
        <v>451</v>
      </c>
      <c r="E513" s="1831"/>
      <c r="F513" s="1884" t="str">
        <f>LOOKUP(F512,$AE$21:$AE$32,$AG$21:$AG$32)</f>
        <v>Jan</v>
      </c>
      <c r="G513" s="1884" t="str">
        <f>G512</f>
        <v>23</v>
      </c>
      <c r="H513" s="1831"/>
      <c r="I513" s="1831"/>
      <c r="J513" s="1831"/>
      <c r="K513" s="1831"/>
      <c r="L513" s="1831"/>
    </row>
    <row r="514" spans="1:16" ht="24.95" customHeight="1">
      <c r="A514" s="123"/>
      <c r="B514" s="653"/>
      <c r="C514" s="855">
        <v>5</v>
      </c>
      <c r="D514" s="2316" t="s">
        <v>181</v>
      </c>
      <c r="E514" s="1831"/>
      <c r="F514" s="1481"/>
      <c r="G514" s="1831"/>
      <c r="H514" s="1831"/>
      <c r="I514" s="1831"/>
      <c r="J514" s="1831"/>
      <c r="K514" s="1831"/>
      <c r="L514" s="1831"/>
    </row>
    <row r="515" spans="1:16" ht="24.95" customHeight="1">
      <c r="A515" s="123"/>
      <c r="B515" s="653"/>
      <c r="C515" s="855">
        <v>6</v>
      </c>
      <c r="D515" s="2316" t="s">
        <v>454</v>
      </c>
      <c r="E515" s="1831"/>
      <c r="F515" s="1831"/>
      <c r="G515" s="1831"/>
      <c r="H515" s="1831"/>
      <c r="I515" s="5240" t="str">
        <f>CONCATENATE("G.O.Ms.No.78","    ", "Dated: 13-June-2025",   " :", "DA Arrears for the Period from"," ",F513,"-",G513," ","To","  ",F519,"-",G519)</f>
        <v>G.O.Ms.No.78    Dated: 13-June-2025 :DA Arrears for the Period from Jan-23 To  May-25</v>
      </c>
      <c r="J515" s="5240"/>
      <c r="K515" s="5240"/>
      <c r="L515" s="5240"/>
      <c r="M515" s="5240"/>
      <c r="N515" s="5240"/>
    </row>
    <row r="516" spans="1:16" ht="24.95" customHeight="1">
      <c r="A516" s="123"/>
      <c r="B516" s="653"/>
      <c r="C516" s="855">
        <v>7</v>
      </c>
      <c r="D516" s="2316" t="s">
        <v>456</v>
      </c>
      <c r="E516" s="1831"/>
      <c r="F516" s="1882">
        <v>45778</v>
      </c>
      <c r="G516" s="1481"/>
      <c r="H516" s="1831"/>
      <c r="I516" s="1831"/>
      <c r="J516" s="1831"/>
      <c r="K516" s="1831"/>
      <c r="L516" s="1831"/>
    </row>
    <row r="517" spans="1:16" ht="24.95" customHeight="1">
      <c r="A517" s="123"/>
      <c r="B517" s="653"/>
      <c r="C517" s="855">
        <v>8</v>
      </c>
      <c r="D517" s="2316" t="s">
        <v>458</v>
      </c>
      <c r="E517" s="1831"/>
      <c r="F517" s="1885" t="s">
        <v>849</v>
      </c>
      <c r="G517" s="1886" t="s">
        <v>850</v>
      </c>
      <c r="H517" s="1831"/>
      <c r="I517" s="5297"/>
      <c r="J517" s="5297"/>
      <c r="K517" s="5297"/>
      <c r="L517" s="5297"/>
    </row>
    <row r="518" spans="1:16" ht="24.95" customHeight="1">
      <c r="A518" s="123"/>
      <c r="B518" s="653"/>
      <c r="C518" s="855">
        <v>9</v>
      </c>
      <c r="D518" s="2316" t="s">
        <v>460</v>
      </c>
      <c r="E518" s="1831"/>
      <c r="F518" s="1887">
        <f>MONTH(F516)</f>
        <v>5</v>
      </c>
      <c r="G518" s="1887" t="str">
        <f>RIGHT(YEAR(F516),2)</f>
        <v>25</v>
      </c>
      <c r="H518" s="1831"/>
      <c r="I518" s="1831"/>
      <c r="J518" s="1831"/>
      <c r="K518" s="1831"/>
      <c r="L518" s="1831"/>
    </row>
    <row r="519" spans="1:16" ht="24.95" customHeight="1">
      <c r="A519" s="123"/>
      <c r="B519" s="653"/>
      <c r="C519" s="855">
        <v>10</v>
      </c>
      <c r="D519" s="2316" t="s">
        <v>463</v>
      </c>
      <c r="E519" s="1831"/>
      <c r="F519" s="1888" t="str">
        <f>LOOKUP(F518,$AE$21:$AE$32,$AG$21:$AG$32)</f>
        <v>May</v>
      </c>
      <c r="G519" s="1888" t="str">
        <f>G518</f>
        <v>25</v>
      </c>
      <c r="H519" s="1831"/>
      <c r="I519" s="1831"/>
      <c r="J519" s="1831"/>
      <c r="K519" s="1831"/>
      <c r="L519" s="1831"/>
    </row>
    <row r="520" spans="1:16" ht="24.95" customHeight="1">
      <c r="A520" s="123"/>
      <c r="B520" s="653"/>
      <c r="C520" s="855">
        <v>11</v>
      </c>
      <c r="D520" s="2316" t="s">
        <v>464</v>
      </c>
      <c r="E520" s="1831"/>
      <c r="F520" s="3228"/>
      <c r="G520" s="3782"/>
      <c r="H520" s="3750"/>
      <c r="I520" s="1831"/>
      <c r="J520" s="1475"/>
      <c r="K520" s="1831"/>
      <c r="L520" s="1831"/>
    </row>
    <row r="521" spans="1:16" ht="24.95" customHeight="1">
      <c r="A521" s="123"/>
      <c r="B521" s="653"/>
      <c r="C521" s="855">
        <v>12</v>
      </c>
      <c r="D521" s="2316" t="s">
        <v>467</v>
      </c>
      <c r="E521" s="1831"/>
      <c r="F521" s="856"/>
      <c r="G521" s="1458"/>
      <c r="H521" s="1458"/>
      <c r="I521" s="1831"/>
      <c r="J521" s="1458"/>
      <c r="K521" s="1831"/>
      <c r="L521" s="1831"/>
    </row>
    <row r="522" spans="1:16" ht="24.95" customHeight="1">
      <c r="A522" s="123"/>
      <c r="B522" s="653"/>
      <c r="E522" s="3785"/>
      <c r="F522" s="3785"/>
      <c r="G522" s="3785"/>
      <c r="H522" s="3785"/>
      <c r="I522" s="3785"/>
      <c r="J522" s="3785"/>
      <c r="K522" s="3785"/>
    </row>
    <row r="523" spans="1:16" ht="24.95" customHeight="1">
      <c r="A523" s="123"/>
      <c r="B523" s="653"/>
      <c r="E523" s="3785"/>
      <c r="F523" s="3785"/>
      <c r="G523" s="3785"/>
      <c r="H523" s="3785"/>
      <c r="I523" s="3785"/>
      <c r="J523" s="3785"/>
      <c r="K523" s="3785"/>
    </row>
    <row r="524" spans="1:16" ht="24.95" customHeight="1">
      <c r="A524" s="123"/>
      <c r="B524" s="653"/>
    </row>
    <row r="525" spans="1:16" ht="24.95" customHeight="1">
      <c r="A525" s="123"/>
      <c r="B525" s="653"/>
    </row>
    <row r="526" spans="1:16" ht="24.95" customHeight="1">
      <c r="A526" s="123"/>
      <c r="B526" s="653"/>
      <c r="E526" s="3785"/>
      <c r="F526" s="3785"/>
      <c r="G526" s="3785"/>
      <c r="H526" s="3785"/>
      <c r="I526" s="3785"/>
      <c r="J526" s="3785"/>
      <c r="K526" s="3785"/>
    </row>
    <row r="527" spans="1:16" ht="24.95" customHeight="1">
      <c r="A527" s="123"/>
      <c r="B527" s="653"/>
      <c r="E527" s="3785"/>
      <c r="F527" s="3785"/>
      <c r="G527" s="3785"/>
      <c r="H527" s="3785"/>
      <c r="I527" s="3785"/>
      <c r="J527" s="3785"/>
      <c r="K527" s="3785"/>
    </row>
    <row r="528" spans="1:16" ht="24.95" customHeight="1">
      <c r="A528" s="123"/>
      <c r="B528" s="653"/>
      <c r="C528" s="1699"/>
      <c r="D528" s="1699"/>
      <c r="E528" s="1699"/>
      <c r="F528" s="1699"/>
      <c r="G528" s="1699"/>
      <c r="H528" s="1699"/>
      <c r="I528" s="1699"/>
      <c r="J528" s="1699"/>
      <c r="K528" s="1699"/>
      <c r="L528" s="1699"/>
      <c r="M528" s="1699"/>
      <c r="N528" s="1699"/>
      <c r="O528" s="1699"/>
      <c r="P528" s="1699"/>
    </row>
    <row r="529" spans="1:16" ht="72.75" customHeight="1">
      <c r="A529" s="123"/>
      <c r="B529" s="653"/>
      <c r="C529" s="3069"/>
      <c r="D529" s="3069"/>
      <c r="E529" s="3069"/>
      <c r="F529" s="5279" t="s">
        <v>1756</v>
      </c>
      <c r="G529" s="5279"/>
      <c r="H529" s="5279"/>
      <c r="I529" s="5279"/>
      <c r="J529" s="5279"/>
      <c r="K529" s="5279"/>
      <c r="L529" s="5279"/>
      <c r="M529" s="3069"/>
      <c r="N529" s="3069"/>
      <c r="O529" s="3069"/>
      <c r="P529" s="3069"/>
    </row>
    <row r="530" spans="1:16" ht="24.95" customHeight="1">
      <c r="A530" s="123"/>
      <c r="B530" s="653"/>
      <c r="C530" s="2430"/>
      <c r="D530" s="2430"/>
      <c r="E530" s="2430"/>
      <c r="F530" s="5280" t="s">
        <v>1757</v>
      </c>
      <c r="G530" s="5281"/>
      <c r="H530" s="5281"/>
      <c r="I530" s="5281"/>
      <c r="J530" s="5281"/>
      <c r="K530" s="3339" t="str">
        <f>LOOKUP(L530,$AE$14:$AE$15,$AG$14:$AG$15)</f>
        <v>No</v>
      </c>
      <c r="L530" s="3072">
        <v>1</v>
      </c>
      <c r="M530" s="2431"/>
      <c r="N530" s="2430"/>
      <c r="O530" s="2430"/>
      <c r="P530" s="2430"/>
    </row>
    <row r="531" spans="1:16" ht="37.5" customHeight="1">
      <c r="A531" s="123"/>
      <c r="B531" s="653"/>
      <c r="C531" s="2433"/>
      <c r="D531" s="2433"/>
      <c r="E531" s="2433"/>
      <c r="F531" s="5282"/>
      <c r="G531" s="5283"/>
      <c r="H531" s="5283"/>
      <c r="I531" s="5283"/>
      <c r="J531" s="5283"/>
      <c r="K531" s="3338" t="s">
        <v>1455</v>
      </c>
      <c r="L531" s="3338" t="str">
        <f>IF($GE$3=2,CONCATENATE(" CPS"),CONCATENATE("Credited into GPF Account"))</f>
        <v>Credited into GPF Account</v>
      </c>
      <c r="M531" s="3211" t="str">
        <f>IF($GE$3=2,CONCATENATE(" Cash"),"")</f>
        <v/>
      </c>
      <c r="N531" s="2433"/>
      <c r="O531" s="2433"/>
      <c r="P531" s="2433"/>
    </row>
    <row r="532" spans="1:16" ht="24.95" customHeight="1">
      <c r="A532" s="123"/>
      <c r="B532" s="653"/>
      <c r="C532" s="2433"/>
      <c r="D532" s="2433"/>
      <c r="E532" s="2433"/>
      <c r="F532" s="5284" t="s">
        <v>1758</v>
      </c>
      <c r="G532" s="5285"/>
      <c r="H532" s="5285"/>
      <c r="I532" s="5285"/>
      <c r="J532" s="5286"/>
      <c r="K532" s="3323">
        <f>IF(AND($L$530=2,'Data Sheet-II'!X122&gt;0),'Data Sheet-II'!X122,0)</f>
        <v>0</v>
      </c>
      <c r="L532" s="3325">
        <f>IF(AND($L$530=2,$GE$3=2,'Data Sheet-II'!Y122&gt;0),'Data Sheet-II'!Y122,'Data Sheet-II'!X122)</f>
        <v>0</v>
      </c>
      <c r="M532" s="3323">
        <f>IF(AND($L$530=2,$GE$3=2,'Data Sheet-II'!AA122&gt;0),'Data Sheet-II'!AA122,0)</f>
        <v>0</v>
      </c>
      <c r="N532" s="2433"/>
      <c r="O532" s="2433"/>
      <c r="P532" s="2433"/>
    </row>
    <row r="533" spans="1:16" ht="24.95" customHeight="1">
      <c r="A533" s="123"/>
      <c r="B533" s="653"/>
    </row>
    <row r="534" spans="1:16" ht="24.95" customHeight="1">
      <c r="A534" s="123"/>
      <c r="B534" s="653"/>
    </row>
    <row r="535" spans="1:16" ht="24.95" customHeight="1">
      <c r="A535" s="123"/>
      <c r="B535" s="653"/>
      <c r="C535" s="2894"/>
      <c r="D535" s="2894"/>
      <c r="E535" s="1831"/>
      <c r="F535" s="1831"/>
      <c r="G535" s="1831"/>
      <c r="H535" s="1831"/>
      <c r="I535" s="1831"/>
      <c r="J535" s="1831"/>
      <c r="K535" s="1831"/>
      <c r="L535" s="1831"/>
    </row>
    <row r="536" spans="1:16" ht="24.95" customHeight="1">
      <c r="A536" s="123"/>
      <c r="B536" s="653"/>
      <c r="C536" s="855">
        <v>1</v>
      </c>
      <c r="D536" s="2316" t="s">
        <v>445</v>
      </c>
      <c r="E536" s="1831"/>
      <c r="F536" s="1882">
        <v>45108</v>
      </c>
      <c r="G536" s="1481"/>
      <c r="H536" s="1481"/>
      <c r="I536" s="1831"/>
      <c r="J536" s="1831"/>
      <c r="K536" s="1831"/>
      <c r="L536" s="1831"/>
    </row>
    <row r="537" spans="1:16" ht="24.95" customHeight="1">
      <c r="A537" s="123"/>
      <c r="B537" s="653"/>
      <c r="C537" s="855">
        <v>2</v>
      </c>
      <c r="D537" s="2316" t="s">
        <v>447</v>
      </c>
      <c r="E537" s="1831"/>
      <c r="F537" s="723" t="s">
        <v>849</v>
      </c>
      <c r="G537" s="722" t="s">
        <v>850</v>
      </c>
      <c r="H537" s="1831"/>
      <c r="I537" s="1831"/>
      <c r="J537" s="1831"/>
      <c r="K537" s="1831"/>
      <c r="L537" s="1831"/>
    </row>
    <row r="538" spans="1:16" ht="24.95" customHeight="1">
      <c r="A538" s="123"/>
      <c r="B538" s="653"/>
      <c r="C538" s="855">
        <v>3</v>
      </c>
      <c r="D538" s="2316" t="s">
        <v>449</v>
      </c>
      <c r="E538" s="1831"/>
      <c r="F538" s="1883">
        <f>MONTH(F536)</f>
        <v>7</v>
      </c>
      <c r="G538" s="1883" t="str">
        <f>RIGHT(YEAR(F536),2)</f>
        <v>23</v>
      </c>
      <c r="H538" s="1831"/>
      <c r="I538" s="1831"/>
      <c r="J538" s="1831"/>
      <c r="K538" s="1831"/>
      <c r="L538" s="1831"/>
    </row>
    <row r="539" spans="1:16" ht="24.95" customHeight="1">
      <c r="A539" s="123"/>
      <c r="B539" s="653"/>
      <c r="C539" s="855">
        <v>4</v>
      </c>
      <c r="D539" s="2316" t="s">
        <v>451</v>
      </c>
      <c r="E539" s="1831"/>
      <c r="F539" s="1884" t="str">
        <f>LOOKUP(F538,$AE$21:$AE$32,$AG$21:$AG$32)</f>
        <v>Jul</v>
      </c>
      <c r="G539" s="1884" t="str">
        <f>G538</f>
        <v>23</v>
      </c>
      <c r="H539" s="1831"/>
      <c r="I539" s="1831"/>
      <c r="J539" s="1831"/>
      <c r="K539" s="1831"/>
      <c r="L539" s="1831"/>
    </row>
    <row r="540" spans="1:16" ht="24.95" customHeight="1">
      <c r="A540" s="123"/>
      <c r="B540" s="653"/>
      <c r="C540" s="855">
        <v>5</v>
      </c>
      <c r="D540" s="2316" t="s">
        <v>181</v>
      </c>
      <c r="E540" s="1831"/>
      <c r="F540" s="1481"/>
      <c r="G540" s="1831"/>
      <c r="H540" s="1831"/>
      <c r="I540" s="1831"/>
      <c r="J540" s="1831"/>
      <c r="K540" s="1831"/>
      <c r="L540" s="1831"/>
    </row>
    <row r="541" spans="1:16" ht="24.95" customHeight="1">
      <c r="A541" s="123"/>
      <c r="B541" s="653"/>
      <c r="C541" s="855">
        <v>6</v>
      </c>
      <c r="D541" s="2316" t="s">
        <v>454</v>
      </c>
      <c r="E541" s="1831"/>
      <c r="F541" s="1831"/>
      <c r="G541" s="1831"/>
      <c r="H541" s="1831"/>
      <c r="I541" s="5240" t="str">
        <f>CONCATENATE("G.O.Ms.No.02","    ", "Dated: 12-Jan-2026",   " :", "DA Arrears for the Period from"," ",F539,"-",G539," ","To","  ",F545,"-",G545)</f>
        <v>G.O.Ms.No.02    Dated: 12-Jan-2026 :DA Arrears for the Period from Jul-23 To  Dec-25</v>
      </c>
      <c r="J541" s="5240"/>
      <c r="K541" s="5240"/>
      <c r="L541" s="5240"/>
      <c r="M541" s="5240"/>
      <c r="N541" s="5240"/>
    </row>
    <row r="542" spans="1:16" ht="24.95" customHeight="1">
      <c r="A542" s="123"/>
      <c r="B542" s="653"/>
      <c r="C542" s="855">
        <v>7</v>
      </c>
      <c r="D542" s="2316" t="s">
        <v>456</v>
      </c>
      <c r="E542" s="1831"/>
      <c r="F542" s="1882">
        <v>45992</v>
      </c>
      <c r="G542" s="1481"/>
      <c r="H542" s="1831"/>
      <c r="I542" s="1831"/>
      <c r="J542" s="1831"/>
      <c r="K542" s="1831"/>
      <c r="L542" s="1831"/>
    </row>
    <row r="543" spans="1:16" ht="24.95" customHeight="1">
      <c r="A543" s="123"/>
      <c r="B543" s="653"/>
      <c r="C543" s="855">
        <v>8</v>
      </c>
      <c r="D543" s="2316" t="s">
        <v>458</v>
      </c>
      <c r="E543" s="1831"/>
      <c r="F543" s="1885" t="s">
        <v>849</v>
      </c>
      <c r="G543" s="1886" t="s">
        <v>850</v>
      </c>
      <c r="H543" s="1831"/>
      <c r="I543" s="5297"/>
      <c r="J543" s="5297"/>
      <c r="K543" s="5297"/>
      <c r="L543" s="5297"/>
    </row>
    <row r="544" spans="1:16" ht="24.95" customHeight="1">
      <c r="A544" s="123"/>
      <c r="B544" s="653"/>
      <c r="C544" s="855">
        <v>9</v>
      </c>
      <c r="D544" s="2316" t="s">
        <v>460</v>
      </c>
      <c r="E544" s="1831"/>
      <c r="F544" s="1887">
        <f>MONTH(F542)</f>
        <v>12</v>
      </c>
      <c r="G544" s="1887" t="str">
        <f>RIGHT(YEAR(F542),2)</f>
        <v>25</v>
      </c>
      <c r="H544" s="1831"/>
      <c r="I544" s="1831"/>
      <c r="J544" s="1831"/>
      <c r="K544" s="1831"/>
      <c r="L544" s="1831"/>
    </row>
    <row r="545" spans="1:61" ht="24.95" customHeight="1">
      <c r="A545" s="123"/>
      <c r="B545" s="653"/>
      <c r="C545" s="855">
        <v>10</v>
      </c>
      <c r="D545" s="2316" t="s">
        <v>463</v>
      </c>
      <c r="E545" s="1831"/>
      <c r="F545" s="1888" t="str">
        <f>LOOKUP(F544,$AE$21:$AE$32,$AG$21:$AG$32)</f>
        <v>Dec</v>
      </c>
      <c r="G545" s="1888" t="str">
        <f>G544</f>
        <v>25</v>
      </c>
      <c r="H545" s="1831"/>
      <c r="I545" s="1831"/>
      <c r="J545" s="1831"/>
      <c r="K545" s="1831"/>
      <c r="L545" s="1831"/>
    </row>
    <row r="546" spans="1:61" ht="24.95" customHeight="1">
      <c r="A546" s="123"/>
      <c r="B546" s="653"/>
      <c r="C546" s="855">
        <v>11</v>
      </c>
      <c r="D546" s="2316" t="s">
        <v>464</v>
      </c>
      <c r="E546" s="1831"/>
      <c r="F546" s="3228"/>
      <c r="G546" s="3782"/>
      <c r="H546" s="3750"/>
      <c r="I546" s="1831"/>
      <c r="J546" s="1475"/>
      <c r="K546" s="1831"/>
      <c r="L546" s="1831"/>
    </row>
    <row r="547" spans="1:61" ht="24.95" customHeight="1">
      <c r="A547" s="123"/>
      <c r="B547" s="653"/>
      <c r="C547" s="855">
        <v>12</v>
      </c>
      <c r="D547" s="2316" t="s">
        <v>467</v>
      </c>
      <c r="E547" s="1831"/>
      <c r="F547" s="856"/>
      <c r="G547" s="1458"/>
      <c r="H547" s="1458"/>
      <c r="I547" s="1831"/>
      <c r="J547" s="1458"/>
      <c r="K547" s="1831"/>
      <c r="L547" s="1831"/>
    </row>
    <row r="548" spans="1:61" ht="24.95" customHeight="1">
      <c r="A548" s="123"/>
      <c r="B548" s="653"/>
      <c r="E548" s="3785"/>
      <c r="F548" s="3785"/>
      <c r="G548" s="3785"/>
      <c r="H548" s="3785"/>
      <c r="I548" s="3785"/>
      <c r="J548" s="3785"/>
      <c r="K548" s="3785"/>
    </row>
    <row r="549" spans="1:61" ht="24.95" customHeight="1">
      <c r="A549" s="123"/>
      <c r="B549" s="653"/>
      <c r="E549" s="3785"/>
      <c r="F549" s="3785"/>
      <c r="G549" s="3785"/>
      <c r="H549" s="3785"/>
      <c r="I549" s="3785"/>
      <c r="J549" s="3785"/>
      <c r="K549" s="3785"/>
    </row>
    <row r="550" spans="1:61" ht="24.95" customHeight="1">
      <c r="A550" s="123"/>
      <c r="B550" s="653"/>
      <c r="E550" s="3785"/>
      <c r="F550" s="3785"/>
      <c r="G550" s="3785"/>
      <c r="H550" s="3785"/>
      <c r="I550" s="3785"/>
      <c r="J550" s="3785"/>
      <c r="K550" s="3785"/>
    </row>
    <row r="551" spans="1:61" ht="24.95" customHeight="1">
      <c r="A551" s="123"/>
      <c r="B551" s="653"/>
      <c r="E551" s="3785"/>
      <c r="F551" s="3785"/>
      <c r="G551" s="3785"/>
      <c r="H551" s="3785"/>
      <c r="I551" s="3785"/>
      <c r="J551" s="3785"/>
      <c r="K551" s="3785"/>
    </row>
    <row r="552" spans="1:61" ht="24.95" customHeight="1">
      <c r="A552" s="123"/>
      <c r="B552" s="653"/>
      <c r="E552" s="3785"/>
      <c r="F552" s="3785"/>
      <c r="G552" s="3785"/>
      <c r="H552" s="3785"/>
      <c r="I552" s="3785"/>
      <c r="J552" s="3785"/>
      <c r="K552" s="3785"/>
    </row>
    <row r="553" spans="1:61" ht="24.95" customHeight="1">
      <c r="A553" s="123"/>
      <c r="B553" s="653"/>
      <c r="E553" s="3785"/>
      <c r="F553" s="3785"/>
      <c r="G553" s="3785"/>
      <c r="H553" s="3785"/>
      <c r="I553" s="3785"/>
      <c r="J553" s="3785"/>
      <c r="K553" s="3785"/>
    </row>
    <row r="554" spans="1:61" ht="24.95" customHeight="1">
      <c r="A554" s="123"/>
      <c r="B554" s="653"/>
      <c r="C554" s="941"/>
      <c r="D554" s="941"/>
      <c r="E554" s="3786"/>
      <c r="F554" s="3786"/>
      <c r="G554" s="3786"/>
      <c r="H554" s="3786"/>
      <c r="I554" s="3786"/>
      <c r="J554" s="3786"/>
      <c r="K554" s="3786"/>
      <c r="L554" s="941"/>
      <c r="M554" s="941"/>
      <c r="N554" s="941"/>
      <c r="O554" s="941"/>
      <c r="P554" s="941"/>
      <c r="Q554" s="941"/>
      <c r="R554" s="941"/>
      <c r="S554" s="941"/>
      <c r="T554" s="941"/>
      <c r="U554" s="941"/>
      <c r="V554" s="941"/>
      <c r="W554" s="941"/>
      <c r="X554" s="941"/>
      <c r="Y554" s="941"/>
      <c r="Z554" s="941"/>
      <c r="AA554" s="941"/>
      <c r="AB554" s="941"/>
      <c r="AC554" s="941"/>
      <c r="AD554" s="941"/>
      <c r="AE554" s="941"/>
      <c r="AF554" s="941"/>
      <c r="AG554" s="941"/>
      <c r="AH554" s="941"/>
      <c r="AI554" s="941"/>
      <c r="AJ554" s="941"/>
      <c r="AK554" s="941"/>
      <c r="AL554" s="941"/>
      <c r="AM554" s="941"/>
      <c r="AN554" s="941"/>
      <c r="AO554" s="941"/>
      <c r="AP554" s="941"/>
      <c r="AQ554" s="941"/>
      <c r="AR554" s="941"/>
      <c r="AS554" s="941"/>
      <c r="AT554" s="941"/>
      <c r="AU554" s="941"/>
      <c r="AV554" s="941"/>
      <c r="AW554" s="941"/>
      <c r="AX554" s="941"/>
      <c r="AY554" s="941"/>
      <c r="AZ554" s="941"/>
      <c r="BA554" s="941"/>
      <c r="BB554" s="941"/>
      <c r="BC554" s="941"/>
      <c r="BD554" s="941"/>
      <c r="BE554" s="941"/>
      <c r="BF554" s="941"/>
      <c r="BG554" s="941"/>
      <c r="BH554" s="941"/>
      <c r="BI554" s="941"/>
    </row>
    <row r="555" spans="1:61" ht="24.95" customHeight="1">
      <c r="A555" s="123"/>
      <c r="B555" s="653"/>
      <c r="C555" s="941"/>
      <c r="D555" s="941"/>
      <c r="E555" s="941"/>
      <c r="F555" s="941"/>
      <c r="G555" s="941"/>
      <c r="H555" s="941"/>
      <c r="I555" s="941"/>
      <c r="J555" s="941"/>
      <c r="K555" s="941"/>
      <c r="L555" s="941"/>
      <c r="M555" s="941"/>
      <c r="N555" s="941"/>
      <c r="O555" s="941"/>
      <c r="P555" s="941"/>
      <c r="Q555" s="941"/>
      <c r="R555" s="941"/>
      <c r="S555" s="941"/>
      <c r="T555" s="941"/>
      <c r="U555" s="941"/>
      <c r="V555" s="941"/>
      <c r="W555" s="941"/>
      <c r="X555" s="941"/>
      <c r="Y555" s="941"/>
      <c r="Z555" s="941"/>
      <c r="AA555" s="941"/>
      <c r="AB555" s="941"/>
      <c r="AC555" s="941"/>
      <c r="AD555" s="941"/>
      <c r="AE555" s="941"/>
      <c r="AF555" s="941"/>
      <c r="AG555" s="941"/>
      <c r="AH555" s="941"/>
      <c r="AI555" s="941"/>
      <c r="AJ555" s="941"/>
      <c r="AK555" s="941"/>
      <c r="AL555" s="941"/>
      <c r="AM555" s="941"/>
      <c r="AN555" s="941"/>
      <c r="AO555" s="941"/>
      <c r="AP555" s="941"/>
      <c r="AQ555" s="941"/>
      <c r="AR555" s="941"/>
      <c r="AS555" s="941"/>
      <c r="AT555" s="941"/>
      <c r="AU555" s="941"/>
      <c r="AV555" s="941"/>
      <c r="AW555" s="941"/>
      <c r="AX555" s="941"/>
      <c r="AY555" s="941"/>
      <c r="AZ555" s="941"/>
      <c r="BA555" s="941"/>
      <c r="BB555" s="941"/>
      <c r="BC555" s="941"/>
      <c r="BD555" s="941"/>
      <c r="BE555" s="941"/>
      <c r="BF555" s="941"/>
      <c r="BG555" s="941"/>
      <c r="BH555" s="941"/>
      <c r="BI555" s="941"/>
    </row>
    <row r="556" spans="1:61" ht="24.95" customHeight="1">
      <c r="A556" s="123"/>
      <c r="B556" s="653"/>
    </row>
    <row r="557" spans="1:61" ht="24.95" customHeight="1">
      <c r="A557" s="123"/>
      <c r="B557" s="653"/>
      <c r="C557" s="873" t="s">
        <v>510</v>
      </c>
      <c r="E557" s="1484" t="s">
        <v>176</v>
      </c>
      <c r="F557" s="1484" t="s">
        <v>182</v>
      </c>
    </row>
    <row r="558" spans="1:61" ht="24.95" customHeight="1">
      <c r="A558" s="123"/>
      <c r="B558" s="653"/>
      <c r="C558" s="1139">
        <v>1</v>
      </c>
      <c r="E558" s="1139">
        <v>1</v>
      </c>
      <c r="F558" s="1483">
        <v>43466</v>
      </c>
    </row>
    <row r="559" spans="1:61" ht="24.95" customHeight="1">
      <c r="A559" s="123"/>
      <c r="B559" s="653"/>
      <c r="C559" s="1139">
        <v>2</v>
      </c>
      <c r="E559" s="1139">
        <v>2</v>
      </c>
      <c r="F559" s="1483">
        <v>43497</v>
      </c>
    </row>
    <row r="560" spans="1:61" ht="24.95" customHeight="1">
      <c r="A560" s="123"/>
      <c r="B560" s="653"/>
      <c r="C560" s="1139">
        <v>3</v>
      </c>
      <c r="E560" s="1139">
        <v>3</v>
      </c>
      <c r="F560" s="1483">
        <v>43525</v>
      </c>
    </row>
    <row r="561" spans="1:6" ht="24.95" customHeight="1">
      <c r="A561" s="123"/>
      <c r="B561" s="653"/>
      <c r="C561" s="1139">
        <v>4</v>
      </c>
      <c r="E561" s="1139">
        <v>4</v>
      </c>
      <c r="F561" s="1483">
        <v>43556</v>
      </c>
    </row>
    <row r="562" spans="1:6" ht="24.95" customHeight="1">
      <c r="A562" s="123"/>
      <c r="B562" s="653"/>
      <c r="C562" s="1139">
        <v>5</v>
      </c>
      <c r="E562" s="1139">
        <v>5</v>
      </c>
      <c r="F562" s="1483">
        <v>43586</v>
      </c>
    </row>
    <row r="563" spans="1:6" ht="24.95" customHeight="1">
      <c r="A563" s="123"/>
      <c r="B563" s="653"/>
      <c r="C563" s="1139">
        <v>6</v>
      </c>
      <c r="E563" s="1139">
        <v>6</v>
      </c>
      <c r="F563" s="1483">
        <v>43617</v>
      </c>
    </row>
    <row r="564" spans="1:6" ht="24.95" customHeight="1">
      <c r="A564" s="123"/>
      <c r="B564" s="653"/>
      <c r="C564" s="1139">
        <v>7</v>
      </c>
      <c r="E564" s="1139">
        <v>7</v>
      </c>
      <c r="F564" s="1483">
        <v>43647</v>
      </c>
    </row>
    <row r="565" spans="1:6" ht="24.95" customHeight="1">
      <c r="A565" s="123"/>
      <c r="B565" s="653"/>
      <c r="C565" s="1139">
        <v>8</v>
      </c>
      <c r="E565" s="1139">
        <v>8</v>
      </c>
      <c r="F565" s="1483">
        <v>43678</v>
      </c>
    </row>
    <row r="566" spans="1:6" ht="24.95" customHeight="1">
      <c r="A566" s="123"/>
      <c r="B566" s="653"/>
      <c r="C566" s="1139">
        <v>9</v>
      </c>
      <c r="E566" s="1139">
        <v>9</v>
      </c>
      <c r="F566" s="1483">
        <v>43709</v>
      </c>
    </row>
    <row r="567" spans="1:6" ht="24.95" customHeight="1">
      <c r="A567" s="123"/>
      <c r="B567" s="653"/>
      <c r="C567" s="1139">
        <v>10</v>
      </c>
      <c r="E567" s="1139">
        <v>10</v>
      </c>
      <c r="F567" s="1483">
        <v>43739</v>
      </c>
    </row>
    <row r="568" spans="1:6" ht="24.95" customHeight="1">
      <c r="A568" s="123"/>
      <c r="B568" s="653"/>
      <c r="C568" s="1139">
        <v>11</v>
      </c>
      <c r="E568" s="1139">
        <v>11</v>
      </c>
      <c r="F568" s="1483">
        <v>43770</v>
      </c>
    </row>
    <row r="569" spans="1:6" ht="24.95" customHeight="1">
      <c r="A569" s="123"/>
      <c r="B569" s="653"/>
      <c r="C569" s="1139">
        <v>12</v>
      </c>
      <c r="E569" s="1139">
        <v>12</v>
      </c>
      <c r="F569" s="1483">
        <v>43800</v>
      </c>
    </row>
    <row r="570" spans="1:6" ht="24.95" customHeight="1">
      <c r="A570" s="123"/>
      <c r="B570" s="653"/>
      <c r="C570" s="1139">
        <v>13</v>
      </c>
      <c r="E570" s="1139">
        <v>13</v>
      </c>
      <c r="F570" s="1483">
        <v>43831</v>
      </c>
    </row>
    <row r="571" spans="1:6" ht="24.95" customHeight="1">
      <c r="A571" s="123"/>
      <c r="B571" s="653"/>
      <c r="C571" s="1139">
        <v>14</v>
      </c>
      <c r="E571" s="1139">
        <v>14</v>
      </c>
      <c r="F571" s="1483">
        <v>43862</v>
      </c>
    </row>
    <row r="572" spans="1:6" ht="24.95" customHeight="1">
      <c r="A572" s="123"/>
      <c r="B572" s="653"/>
      <c r="C572" s="1139">
        <v>15</v>
      </c>
      <c r="E572" s="1139">
        <v>15</v>
      </c>
      <c r="F572" s="1483">
        <v>43891</v>
      </c>
    </row>
    <row r="573" spans="1:6" ht="24.95" customHeight="1">
      <c r="A573" s="123"/>
      <c r="B573" s="653"/>
      <c r="C573" s="1139">
        <v>16</v>
      </c>
      <c r="E573" s="1139">
        <v>16</v>
      </c>
      <c r="F573" s="1483">
        <v>43922</v>
      </c>
    </row>
    <row r="574" spans="1:6" ht="24.95" customHeight="1">
      <c r="A574" s="123"/>
      <c r="B574" s="653"/>
      <c r="C574" s="1139">
        <v>17</v>
      </c>
      <c r="E574" s="1139">
        <v>17</v>
      </c>
      <c r="F574" s="1483">
        <v>43952</v>
      </c>
    </row>
    <row r="575" spans="1:6" ht="24.95" customHeight="1">
      <c r="A575" s="123"/>
      <c r="B575" s="653"/>
      <c r="C575" s="1139">
        <v>18</v>
      </c>
      <c r="E575" s="1139">
        <v>18</v>
      </c>
      <c r="F575" s="1483">
        <v>43983</v>
      </c>
    </row>
    <row r="576" spans="1:6" ht="24.95" customHeight="1">
      <c r="A576" s="123"/>
      <c r="B576" s="653"/>
      <c r="C576" s="1139">
        <v>19</v>
      </c>
      <c r="E576" s="1139">
        <v>19</v>
      </c>
      <c r="F576" s="1483">
        <v>44013</v>
      </c>
    </row>
    <row r="577" spans="1:6" ht="24.95" customHeight="1">
      <c r="A577" s="123"/>
      <c r="B577" s="653"/>
      <c r="C577" s="1139">
        <v>20</v>
      </c>
      <c r="E577" s="1139">
        <v>20</v>
      </c>
      <c r="F577" s="1483">
        <v>44044</v>
      </c>
    </row>
    <row r="578" spans="1:6" ht="24.95" customHeight="1">
      <c r="A578" s="123"/>
      <c r="B578" s="653"/>
      <c r="C578" s="1139">
        <v>21</v>
      </c>
      <c r="E578" s="1139">
        <v>21</v>
      </c>
      <c r="F578" s="1483">
        <v>44075</v>
      </c>
    </row>
    <row r="579" spans="1:6" ht="24.95" customHeight="1">
      <c r="A579" s="123"/>
      <c r="B579" s="653"/>
      <c r="C579" s="1139">
        <v>22</v>
      </c>
      <c r="E579" s="1139">
        <v>22</v>
      </c>
      <c r="F579" s="1483">
        <v>44105</v>
      </c>
    </row>
    <row r="580" spans="1:6" ht="24.95" customHeight="1">
      <c r="A580" s="123"/>
      <c r="B580" s="653"/>
      <c r="C580" s="1139">
        <v>23</v>
      </c>
      <c r="E580" s="1139">
        <v>23</v>
      </c>
      <c r="F580" s="1483">
        <v>44136</v>
      </c>
    </row>
    <row r="581" spans="1:6" ht="24.95" customHeight="1">
      <c r="A581" s="123"/>
      <c r="B581" s="653"/>
      <c r="C581" s="1139">
        <v>24</v>
      </c>
      <c r="E581" s="1139">
        <v>24</v>
      </c>
      <c r="F581" s="1483">
        <v>44166</v>
      </c>
    </row>
    <row r="582" spans="1:6" ht="24.95" customHeight="1">
      <c r="A582" s="123"/>
      <c r="B582" s="653"/>
      <c r="C582" s="1139">
        <v>25</v>
      </c>
      <c r="E582" s="1139">
        <v>25</v>
      </c>
      <c r="F582" s="1483">
        <v>44197</v>
      </c>
    </row>
    <row r="583" spans="1:6" ht="24.95" customHeight="1">
      <c r="A583" s="123"/>
      <c r="B583" s="653"/>
      <c r="C583" s="1139">
        <v>26</v>
      </c>
      <c r="E583" s="1139">
        <v>26</v>
      </c>
      <c r="F583" s="1483">
        <v>44228</v>
      </c>
    </row>
    <row r="584" spans="1:6" ht="24.95" customHeight="1">
      <c r="A584" s="123"/>
      <c r="B584" s="653"/>
      <c r="C584" s="1139">
        <v>27</v>
      </c>
      <c r="E584" s="1139">
        <v>27</v>
      </c>
      <c r="F584" s="1483">
        <v>44256</v>
      </c>
    </row>
    <row r="585" spans="1:6" ht="24.95" customHeight="1">
      <c r="A585" s="123"/>
      <c r="B585" s="653"/>
      <c r="C585" s="1139">
        <v>28</v>
      </c>
      <c r="E585" s="1139">
        <v>28</v>
      </c>
      <c r="F585" s="1483">
        <v>44287</v>
      </c>
    </row>
    <row r="586" spans="1:6" ht="24.95" customHeight="1">
      <c r="A586" s="123"/>
      <c r="B586" s="653"/>
      <c r="C586" s="1139">
        <v>29</v>
      </c>
      <c r="E586" s="1139">
        <v>29</v>
      </c>
      <c r="F586" s="1483">
        <v>44317</v>
      </c>
    </row>
    <row r="587" spans="1:6" ht="24.95" customHeight="1">
      <c r="A587" s="123"/>
      <c r="B587" s="653"/>
      <c r="C587" s="1139">
        <v>30</v>
      </c>
      <c r="E587" s="1139">
        <v>30</v>
      </c>
      <c r="F587" s="1483">
        <v>44348</v>
      </c>
    </row>
    <row r="588" spans="1:6" ht="24.95" customHeight="1">
      <c r="A588" s="123"/>
      <c r="B588" s="653"/>
      <c r="C588" s="1139">
        <v>31</v>
      </c>
      <c r="E588" s="1139">
        <v>31</v>
      </c>
      <c r="F588" s="1483">
        <v>44378</v>
      </c>
    </row>
    <row r="589" spans="1:6" ht="24.95" customHeight="1">
      <c r="A589" s="123"/>
      <c r="B589" s="653"/>
      <c r="E589" s="1139">
        <v>32</v>
      </c>
      <c r="F589" s="1483">
        <v>44409</v>
      </c>
    </row>
    <row r="590" spans="1:6" ht="24.95" customHeight="1">
      <c r="A590" s="123"/>
      <c r="B590" s="653"/>
      <c r="E590" s="1139">
        <v>33</v>
      </c>
      <c r="F590" s="1483">
        <v>44440</v>
      </c>
    </row>
    <row r="591" spans="1:6" ht="24.95" customHeight="1">
      <c r="A591" s="123"/>
      <c r="B591" s="653"/>
      <c r="E591" s="1139">
        <v>34</v>
      </c>
      <c r="F591" s="1483">
        <v>44470</v>
      </c>
    </row>
    <row r="592" spans="1:6" ht="24.95" customHeight="1">
      <c r="A592" s="123"/>
      <c r="B592" s="653"/>
      <c r="E592" s="1139">
        <v>35</v>
      </c>
      <c r="F592" s="1483">
        <v>44501</v>
      </c>
    </row>
    <row r="593" spans="1:6" ht="24.95" customHeight="1">
      <c r="A593" s="123"/>
      <c r="B593" s="653"/>
      <c r="E593" s="1139">
        <v>36</v>
      </c>
      <c r="F593" s="1483">
        <v>44531</v>
      </c>
    </row>
    <row r="594" spans="1:6" ht="24.95" customHeight="1">
      <c r="A594" s="123"/>
      <c r="B594" s="653"/>
      <c r="E594" s="1139">
        <v>37</v>
      </c>
      <c r="F594" s="1483">
        <v>44562</v>
      </c>
    </row>
    <row r="595" spans="1:6" ht="24.95" customHeight="1">
      <c r="A595" s="123"/>
      <c r="B595" s="653"/>
      <c r="E595" s="1139">
        <v>38</v>
      </c>
      <c r="F595" s="1483">
        <v>44593</v>
      </c>
    </row>
    <row r="596" spans="1:6" ht="24.95" customHeight="1">
      <c r="A596" s="123"/>
      <c r="B596" s="653"/>
      <c r="E596" s="1139">
        <v>39</v>
      </c>
      <c r="F596" s="1483">
        <v>44621</v>
      </c>
    </row>
    <row r="597" spans="1:6" ht="24.95" customHeight="1">
      <c r="A597" s="123"/>
      <c r="B597" s="653"/>
      <c r="E597" s="1139">
        <v>40</v>
      </c>
      <c r="F597" s="1483">
        <v>44652</v>
      </c>
    </row>
    <row r="598" spans="1:6" ht="24.95" customHeight="1">
      <c r="A598" s="123"/>
      <c r="B598" s="653"/>
      <c r="E598" s="1139">
        <v>41</v>
      </c>
      <c r="F598" s="1483">
        <v>44682</v>
      </c>
    </row>
    <row r="599" spans="1:6" ht="24.95" customHeight="1">
      <c r="A599" s="123"/>
      <c r="B599" s="653"/>
      <c r="E599" s="1139">
        <v>42</v>
      </c>
      <c r="F599" s="1483">
        <v>44713</v>
      </c>
    </row>
    <row r="600" spans="1:6" ht="24.95" customHeight="1">
      <c r="A600" s="123"/>
      <c r="B600" s="653"/>
      <c r="E600" s="1139">
        <v>43</v>
      </c>
      <c r="F600" s="1483">
        <v>44743</v>
      </c>
    </row>
    <row r="601" spans="1:6" ht="24.95" customHeight="1">
      <c r="A601" s="123"/>
      <c r="B601" s="653"/>
      <c r="E601" s="1139">
        <v>44</v>
      </c>
      <c r="F601" s="1483">
        <v>44774</v>
      </c>
    </row>
    <row r="602" spans="1:6" ht="24.95" customHeight="1">
      <c r="A602" s="123"/>
      <c r="B602" s="653"/>
      <c r="E602" s="1139">
        <v>45</v>
      </c>
      <c r="F602" s="1483">
        <v>44805</v>
      </c>
    </row>
    <row r="603" spans="1:6" ht="24.95" customHeight="1">
      <c r="A603" s="123"/>
      <c r="B603" s="653"/>
      <c r="E603" s="1139">
        <v>46</v>
      </c>
      <c r="F603" s="1483">
        <v>44835</v>
      </c>
    </row>
    <row r="604" spans="1:6" ht="24.95" customHeight="1">
      <c r="A604" s="123"/>
      <c r="B604" s="653"/>
      <c r="E604" s="1139">
        <v>47</v>
      </c>
      <c r="F604" s="1483">
        <v>44866</v>
      </c>
    </row>
    <row r="605" spans="1:6" ht="24.95" customHeight="1">
      <c r="A605" s="123"/>
      <c r="B605" s="653"/>
      <c r="E605" s="1139">
        <v>48</v>
      </c>
      <c r="F605" s="1483">
        <v>44896</v>
      </c>
    </row>
    <row r="606" spans="1:6" ht="24.95" customHeight="1">
      <c r="A606" s="123"/>
      <c r="B606" s="653"/>
      <c r="E606" s="1139">
        <v>49</v>
      </c>
      <c r="F606" s="1483">
        <v>44927</v>
      </c>
    </row>
    <row r="607" spans="1:6" ht="24.95" customHeight="1">
      <c r="A607" s="123"/>
      <c r="B607" s="653"/>
      <c r="E607" s="1139">
        <v>50</v>
      </c>
      <c r="F607" s="1483">
        <v>44958</v>
      </c>
    </row>
    <row r="608" spans="1:6" ht="24.95" customHeight="1">
      <c r="A608" s="123"/>
      <c r="B608" s="653"/>
      <c r="E608" s="1139">
        <v>51</v>
      </c>
      <c r="F608" s="1483">
        <v>44986</v>
      </c>
    </row>
    <row r="609" spans="1:6" ht="24.95" customHeight="1">
      <c r="A609" s="123"/>
      <c r="B609" s="653"/>
      <c r="E609" s="1139">
        <v>52</v>
      </c>
      <c r="F609" s="1483">
        <v>45017</v>
      </c>
    </row>
    <row r="610" spans="1:6" ht="24.95" customHeight="1">
      <c r="A610" s="123"/>
      <c r="B610" s="653"/>
      <c r="E610" s="1139">
        <v>53</v>
      </c>
      <c r="F610" s="1483">
        <v>45047</v>
      </c>
    </row>
    <row r="611" spans="1:6" ht="24.95" customHeight="1">
      <c r="A611" s="123"/>
      <c r="B611" s="653"/>
      <c r="E611" s="1139">
        <v>54</v>
      </c>
      <c r="F611" s="1483">
        <v>45078</v>
      </c>
    </row>
    <row r="612" spans="1:6" ht="24.95" customHeight="1">
      <c r="A612" s="123"/>
      <c r="B612" s="653"/>
      <c r="E612" s="1139">
        <v>55</v>
      </c>
      <c r="F612" s="1483">
        <v>45108</v>
      </c>
    </row>
    <row r="613" spans="1:6" ht="24.95" customHeight="1">
      <c r="A613" s="123"/>
      <c r="B613" s="653"/>
      <c r="E613" s="1139">
        <v>56</v>
      </c>
      <c r="F613" s="1483">
        <v>45139</v>
      </c>
    </row>
    <row r="614" spans="1:6" ht="24.95" customHeight="1">
      <c r="A614" s="123"/>
      <c r="B614" s="653"/>
      <c r="E614" s="1139">
        <v>57</v>
      </c>
      <c r="F614" s="1483">
        <v>45170</v>
      </c>
    </row>
    <row r="615" spans="1:6" ht="24.95" customHeight="1">
      <c r="A615" s="123"/>
      <c r="B615" s="653"/>
      <c r="E615" s="1139">
        <v>58</v>
      </c>
      <c r="F615" s="1483">
        <v>45200</v>
      </c>
    </row>
    <row r="616" spans="1:6" ht="24.95" customHeight="1">
      <c r="A616" s="123"/>
      <c r="B616" s="653"/>
      <c r="E616" s="1139">
        <v>59</v>
      </c>
      <c r="F616" s="1483">
        <v>45231</v>
      </c>
    </row>
    <row r="617" spans="1:6" ht="24.95" customHeight="1">
      <c r="A617" s="123"/>
      <c r="B617" s="653"/>
      <c r="E617" s="1139">
        <v>60</v>
      </c>
      <c r="F617" s="1483">
        <v>45261</v>
      </c>
    </row>
    <row r="618" spans="1:6" ht="24.95" customHeight="1">
      <c r="A618" s="123"/>
      <c r="B618" s="653"/>
      <c r="E618" s="1139">
        <v>61</v>
      </c>
      <c r="F618" s="1483">
        <v>45292</v>
      </c>
    </row>
    <row r="619" spans="1:6" ht="24.95" customHeight="1">
      <c r="A619" s="123"/>
      <c r="B619" s="653"/>
      <c r="E619" s="1139">
        <v>62</v>
      </c>
      <c r="F619" s="1483">
        <v>45323</v>
      </c>
    </row>
    <row r="620" spans="1:6" ht="24.95" customHeight="1">
      <c r="A620" s="123"/>
      <c r="B620" s="653"/>
      <c r="E620" s="1139">
        <v>63</v>
      </c>
      <c r="F620" s="1483">
        <v>45352</v>
      </c>
    </row>
    <row r="621" spans="1:6" ht="24.95" customHeight="1">
      <c r="A621" s="123"/>
      <c r="B621" s="653"/>
      <c r="E621" s="1139">
        <v>64</v>
      </c>
      <c r="F621" s="1483">
        <v>45383</v>
      </c>
    </row>
    <row r="622" spans="1:6" ht="24.95" customHeight="1">
      <c r="A622" s="123"/>
      <c r="B622" s="653"/>
      <c r="E622" s="1139">
        <v>65</v>
      </c>
      <c r="F622" s="1483">
        <v>45413</v>
      </c>
    </row>
    <row r="623" spans="1:6" ht="24.95" customHeight="1">
      <c r="A623" s="123"/>
      <c r="B623" s="653"/>
      <c r="E623" s="1139">
        <v>66</v>
      </c>
      <c r="F623" s="1483">
        <v>45444</v>
      </c>
    </row>
    <row r="624" spans="1:6" ht="24.95" customHeight="1">
      <c r="A624" s="123"/>
      <c r="B624" s="653"/>
      <c r="E624" s="1139">
        <v>67</v>
      </c>
      <c r="F624" s="1483">
        <v>45474</v>
      </c>
    </row>
    <row r="625" spans="1:6" ht="24.95" customHeight="1">
      <c r="A625" s="123"/>
      <c r="B625" s="653"/>
      <c r="E625" s="1139">
        <v>68</v>
      </c>
      <c r="F625" s="1483">
        <v>45505</v>
      </c>
    </row>
    <row r="626" spans="1:6" ht="24.95" customHeight="1">
      <c r="A626" s="123"/>
      <c r="B626" s="653"/>
      <c r="E626" s="1139">
        <v>69</v>
      </c>
      <c r="F626" s="1483">
        <v>45536</v>
      </c>
    </row>
    <row r="627" spans="1:6" ht="24.95" customHeight="1">
      <c r="A627" s="123"/>
      <c r="B627" s="653"/>
      <c r="E627" s="1139">
        <v>70</v>
      </c>
      <c r="F627" s="1483">
        <v>45566</v>
      </c>
    </row>
    <row r="628" spans="1:6" ht="24.95" customHeight="1">
      <c r="A628" s="123"/>
      <c r="B628" s="653"/>
      <c r="E628" s="1139">
        <v>71</v>
      </c>
      <c r="F628" s="1483">
        <v>45597</v>
      </c>
    </row>
    <row r="629" spans="1:6" ht="24.95" customHeight="1">
      <c r="A629" s="123"/>
      <c r="B629" s="653"/>
      <c r="E629" s="1139">
        <v>72</v>
      </c>
      <c r="F629" s="1483">
        <v>45627</v>
      </c>
    </row>
    <row r="630" spans="1:6" ht="24.95" customHeight="1">
      <c r="A630" s="123"/>
      <c r="B630" s="653"/>
      <c r="E630" s="1139">
        <v>73</v>
      </c>
      <c r="F630" s="1483">
        <v>45658</v>
      </c>
    </row>
    <row r="631" spans="1:6" ht="24.95" customHeight="1">
      <c r="A631" s="123"/>
      <c r="B631" s="653"/>
      <c r="E631" s="1139">
        <v>74</v>
      </c>
      <c r="F631" s="1483">
        <v>45689</v>
      </c>
    </row>
    <row r="632" spans="1:6" ht="24.95" customHeight="1">
      <c r="A632" s="123"/>
      <c r="B632" s="653"/>
      <c r="E632" s="1139">
        <v>75</v>
      </c>
      <c r="F632" s="1483">
        <v>45717</v>
      </c>
    </row>
    <row r="633" spans="1:6" ht="24.95" customHeight="1">
      <c r="A633" s="123"/>
      <c r="B633" s="653"/>
      <c r="E633" s="1139">
        <v>76</v>
      </c>
      <c r="F633" s="1483">
        <v>45748</v>
      </c>
    </row>
    <row r="634" spans="1:6" ht="24.95" customHeight="1">
      <c r="A634" s="123"/>
      <c r="B634" s="653"/>
      <c r="E634" s="1139">
        <v>77</v>
      </c>
      <c r="F634" s="1483">
        <v>45778</v>
      </c>
    </row>
    <row r="635" spans="1:6" ht="24.95" customHeight="1">
      <c r="A635" s="123"/>
      <c r="B635" s="653"/>
      <c r="E635" s="1139">
        <v>78</v>
      </c>
      <c r="F635" s="1483">
        <v>45809</v>
      </c>
    </row>
    <row r="636" spans="1:6" ht="24.95" customHeight="1">
      <c r="A636" s="123"/>
      <c r="B636" s="653"/>
      <c r="E636" s="1139">
        <v>79</v>
      </c>
      <c r="F636" s="1483">
        <v>45839</v>
      </c>
    </row>
    <row r="637" spans="1:6" ht="24.95" customHeight="1">
      <c r="A637" s="123"/>
      <c r="B637" s="653"/>
      <c r="E637" s="1139">
        <v>80</v>
      </c>
      <c r="F637" s="1483">
        <v>45870</v>
      </c>
    </row>
    <row r="638" spans="1:6" ht="24.95" customHeight="1">
      <c r="A638" s="123"/>
      <c r="B638" s="653"/>
      <c r="E638" s="1139">
        <v>81</v>
      </c>
      <c r="F638" s="1483">
        <v>45901</v>
      </c>
    </row>
    <row r="639" spans="1:6" ht="24.95" customHeight="1">
      <c r="A639" s="123"/>
      <c r="B639" s="653"/>
      <c r="E639" s="1139">
        <v>82</v>
      </c>
      <c r="F639" s="1483">
        <v>45931</v>
      </c>
    </row>
    <row r="640" spans="1:6" ht="24.95" customHeight="1">
      <c r="A640" s="123"/>
      <c r="B640" s="653"/>
      <c r="E640" s="1139">
        <v>83</v>
      </c>
      <c r="F640" s="1483">
        <v>45962</v>
      </c>
    </row>
    <row r="641" spans="1:21" ht="24.95" customHeight="1">
      <c r="A641" s="123"/>
      <c r="B641" s="653"/>
      <c r="E641" s="1139">
        <v>84</v>
      </c>
      <c r="F641" s="1483">
        <v>45992</v>
      </c>
    </row>
    <row r="642" spans="1:21" ht="24.95" customHeight="1">
      <c r="A642" s="123"/>
      <c r="B642" s="653"/>
      <c r="E642" s="1139">
        <v>85</v>
      </c>
      <c r="F642" s="1483">
        <v>46023</v>
      </c>
    </row>
    <row r="643" spans="1:21" ht="24.95" customHeight="1">
      <c r="A643" s="123"/>
      <c r="B643" s="653"/>
      <c r="E643" s="1139">
        <v>86</v>
      </c>
      <c r="F643" s="1483">
        <v>46054</v>
      </c>
    </row>
    <row r="644" spans="1:21" ht="24.95" customHeight="1">
      <c r="A644" s="123"/>
      <c r="B644" s="653"/>
      <c r="E644" s="856"/>
      <c r="F644" s="1559"/>
    </row>
    <row r="645" spans="1:21" ht="24.95" customHeight="1">
      <c r="A645" s="123"/>
      <c r="B645" s="653"/>
      <c r="E645" s="856"/>
      <c r="F645" s="1559"/>
    </row>
    <row r="646" spans="1:21" ht="24.95" customHeight="1">
      <c r="A646" s="123"/>
      <c r="B646" s="653"/>
      <c r="E646" s="856"/>
      <c r="F646" s="1559"/>
    </row>
    <row r="647" spans="1:21" ht="24.95" customHeight="1">
      <c r="A647" s="123"/>
      <c r="B647" s="653"/>
      <c r="E647" s="856"/>
      <c r="F647" s="1559"/>
    </row>
    <row r="648" spans="1:21" ht="24.95" customHeight="1">
      <c r="A648" s="123"/>
      <c r="B648" s="653"/>
    </row>
    <row r="649" spans="1:21" ht="24.95" customHeight="1">
      <c r="A649" s="123"/>
      <c r="B649" s="653"/>
    </row>
    <row r="650" spans="1:21" s="872" customFormat="1" ht="24.95" customHeight="1">
      <c r="A650" s="123"/>
      <c r="B650" s="653"/>
      <c r="T650" s="857" t="s">
        <v>1454</v>
      </c>
      <c r="U650" s="857">
        <f>K779</f>
        <v>0</v>
      </c>
    </row>
    <row r="651" spans="1:21" ht="24.95" customHeight="1">
      <c r="A651" s="123"/>
      <c r="B651" s="653"/>
      <c r="H651" s="833"/>
      <c r="Q651" s="833"/>
    </row>
    <row r="652" spans="1:21" ht="24.95" customHeight="1">
      <c r="A652" s="123"/>
      <c r="B652" s="653"/>
      <c r="E652" s="5257">
        <f>J766</f>
        <v>0</v>
      </c>
      <c r="F652" s="5257"/>
      <c r="H652" s="833"/>
      <c r="K652" s="5257">
        <f>J779</f>
        <v>0</v>
      </c>
      <c r="L652" s="5257"/>
      <c r="N652" s="5257">
        <f>J785</f>
        <v>0</v>
      </c>
      <c r="O652" s="5257"/>
      <c r="Q652" s="833"/>
      <c r="S652" s="1468"/>
      <c r="T652" s="5257">
        <f>J779</f>
        <v>0</v>
      </c>
      <c r="U652" s="5257"/>
    </row>
    <row r="653" spans="1:21" ht="24.95" customHeight="1">
      <c r="A653" s="123"/>
      <c r="B653" s="653"/>
      <c r="E653" s="738">
        <v>1</v>
      </c>
      <c r="F653" s="738" t="str">
        <f t="shared" ref="F653:F692" si="304">IF(IF(AND($K$766=1),E39,IF(AND($K$766=2),F39,IF(AND($K$766=3),G39,IF(AND($K$766=4),H39,IF(AND($K$766=5),I39,IF(AND($K$766=6),J39,""))))))&gt;0,IF(AND($K$766=1),E39,IF(AND($K$766=2),F39,IF(AND($K$766=3),G39,IF(AND($K$766=4),H39,IF(AND($K$766=5),I39,IF(AND($K$766=6),J39,"")))))),"")</f>
        <v/>
      </c>
      <c r="H653" s="833"/>
      <c r="K653" s="2407">
        <v>1</v>
      </c>
      <c r="L653" s="2407" t="str">
        <f t="shared" ref="L653:L692" si="305">IF(IF(AND($K$779=1),E39,IF(AND($K$779=2),F39,IF(AND($K$779=3),G39,IF(AND($K$779=4),H39,IF(AND($K$779=5),I39,IF(AND($K$779=6),J39,""))))))&gt;0,IF(AND($K$779=1),E39,IF(AND($K$779=2),F39,IF(AND($K$779=3),G39,IF(AND($K$779=4),H39,IF(AND($K$779=5),I39,IF(AND($K$779=6),J39,"")))))),"")</f>
        <v/>
      </c>
      <c r="N653" s="2408">
        <v>1</v>
      </c>
      <c r="O653" s="2408" t="str">
        <f t="shared" ref="O653:O692" si="306">IF(IF(AND($K$785=1),E39,IF(AND($K$785=2),F39,IF(AND($K$785=3),G39,IF(AND($K$785=4),H39,IF(AND($K$785=5),I39,IF(AND($K$785=6),J39,""))))))&gt;0,IF(AND($K$785=1),E39,IF(AND($K$785=2),F39,IF(AND($K$785=3),G39,IF(AND($K$785=4),H39,IF(AND($K$785=5),I39,IF(AND($K$785=6),J39,"")))))),"")</f>
        <v/>
      </c>
      <c r="Q653" s="833"/>
      <c r="T653" s="2407">
        <v>1</v>
      </c>
      <c r="U653" s="2407" t="str">
        <f t="shared" ref="U653:U692" si="307">IF(IF(AND($U$650=1),E39,IF(AND($U$650=2),F39,IF(AND($U$650=3),G39,IF(AND($U$650=4),H39,IF(AND($U$650=5),I39,IF(AND($U$650=6),J39,""))))))&gt;0,IF(AND($U$650=1),E39,IF(AND($U$650=2),F39,IF(AND($U$650=3),G39,IF(AND($U$650=4),H39,IF(AND($U$650=5),I39,IF(AND($U$650=6),J39,"")))))),"")</f>
        <v/>
      </c>
    </row>
    <row r="654" spans="1:21" ht="24.95" customHeight="1">
      <c r="A654" s="123"/>
      <c r="B654" s="653"/>
      <c r="E654" s="738">
        <v>2</v>
      </c>
      <c r="F654" s="738" t="str">
        <f t="shared" si="304"/>
        <v/>
      </c>
      <c r="H654" s="833"/>
      <c r="K654" s="2407">
        <v>2</v>
      </c>
      <c r="L654" s="2407" t="str">
        <f t="shared" si="305"/>
        <v/>
      </c>
      <c r="N654" s="2408">
        <v>2</v>
      </c>
      <c r="O654" s="2408" t="str">
        <f t="shared" si="306"/>
        <v/>
      </c>
      <c r="Q654" s="833"/>
      <c r="T654" s="2407">
        <v>2</v>
      </c>
      <c r="U654" s="2407" t="str">
        <f t="shared" si="307"/>
        <v/>
      </c>
    </row>
    <row r="655" spans="1:21" ht="24.95" customHeight="1">
      <c r="A655" s="123"/>
      <c r="B655" s="653"/>
      <c r="E655" s="738">
        <v>3</v>
      </c>
      <c r="F655" s="738" t="str">
        <f t="shared" si="304"/>
        <v/>
      </c>
      <c r="H655" s="833"/>
      <c r="K655" s="2407">
        <v>3</v>
      </c>
      <c r="L655" s="2407" t="str">
        <f t="shared" si="305"/>
        <v/>
      </c>
      <c r="N655" s="2408">
        <v>3</v>
      </c>
      <c r="O655" s="2408" t="str">
        <f t="shared" si="306"/>
        <v/>
      </c>
      <c r="Q655" s="833"/>
      <c r="T655" s="2407">
        <v>3</v>
      </c>
      <c r="U655" s="2407" t="str">
        <f t="shared" si="307"/>
        <v/>
      </c>
    </row>
    <row r="656" spans="1:21" ht="24.95" customHeight="1">
      <c r="A656" s="123"/>
      <c r="B656" s="653"/>
      <c r="E656" s="738">
        <v>4</v>
      </c>
      <c r="F656" s="738" t="str">
        <f t="shared" si="304"/>
        <v/>
      </c>
      <c r="H656" s="833"/>
      <c r="K656" s="2407">
        <v>4</v>
      </c>
      <c r="L656" s="2407" t="str">
        <f t="shared" si="305"/>
        <v/>
      </c>
      <c r="N656" s="2408">
        <v>4</v>
      </c>
      <c r="O656" s="2408" t="str">
        <f t="shared" si="306"/>
        <v/>
      </c>
      <c r="Q656" s="833"/>
      <c r="T656" s="2407">
        <v>4</v>
      </c>
      <c r="U656" s="2407" t="str">
        <f t="shared" si="307"/>
        <v/>
      </c>
    </row>
    <row r="657" spans="1:21" ht="24.95" customHeight="1">
      <c r="A657" s="123"/>
      <c r="B657" s="653"/>
      <c r="E657" s="738">
        <v>5</v>
      </c>
      <c r="F657" s="738" t="str">
        <f t="shared" si="304"/>
        <v/>
      </c>
      <c r="H657" s="833"/>
      <c r="K657" s="2407">
        <v>5</v>
      </c>
      <c r="L657" s="2407" t="str">
        <f t="shared" si="305"/>
        <v/>
      </c>
      <c r="N657" s="2408">
        <v>5</v>
      </c>
      <c r="O657" s="2408" t="str">
        <f t="shared" si="306"/>
        <v/>
      </c>
      <c r="Q657" s="833"/>
      <c r="T657" s="2407">
        <v>5</v>
      </c>
      <c r="U657" s="2407" t="str">
        <f t="shared" si="307"/>
        <v/>
      </c>
    </row>
    <row r="658" spans="1:21" ht="24.95" customHeight="1">
      <c r="A658" s="123"/>
      <c r="B658" s="653"/>
      <c r="E658" s="738">
        <v>6</v>
      </c>
      <c r="F658" s="738" t="str">
        <f t="shared" si="304"/>
        <v/>
      </c>
      <c r="H658" s="833"/>
      <c r="K658" s="2407">
        <v>6</v>
      </c>
      <c r="L658" s="2407" t="str">
        <f t="shared" si="305"/>
        <v/>
      </c>
      <c r="N658" s="2408">
        <v>6</v>
      </c>
      <c r="O658" s="2408" t="str">
        <f t="shared" si="306"/>
        <v/>
      </c>
      <c r="Q658" s="833"/>
      <c r="T658" s="2407">
        <v>6</v>
      </c>
      <c r="U658" s="2407" t="str">
        <f t="shared" si="307"/>
        <v/>
      </c>
    </row>
    <row r="659" spans="1:21" ht="24.95" customHeight="1">
      <c r="A659" s="123"/>
      <c r="B659" s="653"/>
      <c r="E659" s="738">
        <v>7</v>
      </c>
      <c r="F659" s="738" t="str">
        <f t="shared" si="304"/>
        <v/>
      </c>
      <c r="H659" s="833"/>
      <c r="K659" s="2407">
        <v>7</v>
      </c>
      <c r="L659" s="2407" t="str">
        <f t="shared" si="305"/>
        <v/>
      </c>
      <c r="N659" s="2408">
        <v>7</v>
      </c>
      <c r="O659" s="2408" t="str">
        <f t="shared" si="306"/>
        <v/>
      </c>
      <c r="Q659" s="833"/>
      <c r="T659" s="2407">
        <v>7</v>
      </c>
      <c r="U659" s="2407" t="str">
        <f t="shared" si="307"/>
        <v/>
      </c>
    </row>
    <row r="660" spans="1:21" ht="24.95" customHeight="1">
      <c r="A660" s="123"/>
      <c r="B660" s="653"/>
      <c r="E660" s="738">
        <v>8</v>
      </c>
      <c r="F660" s="738" t="str">
        <f t="shared" si="304"/>
        <v/>
      </c>
      <c r="H660" s="833"/>
      <c r="K660" s="2407">
        <v>8</v>
      </c>
      <c r="L660" s="2407" t="str">
        <f t="shared" si="305"/>
        <v/>
      </c>
      <c r="N660" s="2408">
        <v>8</v>
      </c>
      <c r="O660" s="2408" t="str">
        <f t="shared" si="306"/>
        <v/>
      </c>
      <c r="Q660" s="833"/>
      <c r="T660" s="2407">
        <v>8</v>
      </c>
      <c r="U660" s="2407" t="str">
        <f t="shared" si="307"/>
        <v/>
      </c>
    </row>
    <row r="661" spans="1:21" ht="24.95" customHeight="1">
      <c r="A661" s="123"/>
      <c r="B661" s="653"/>
      <c r="E661" s="738">
        <v>9</v>
      </c>
      <c r="F661" s="738" t="str">
        <f t="shared" si="304"/>
        <v/>
      </c>
      <c r="H661" s="833"/>
      <c r="K661" s="2407">
        <v>9</v>
      </c>
      <c r="L661" s="2407" t="str">
        <f t="shared" si="305"/>
        <v/>
      </c>
      <c r="N661" s="2408">
        <v>9</v>
      </c>
      <c r="O661" s="2408" t="str">
        <f t="shared" si="306"/>
        <v/>
      </c>
      <c r="Q661" s="833"/>
      <c r="T661" s="2407">
        <v>9</v>
      </c>
      <c r="U661" s="2407" t="str">
        <f t="shared" si="307"/>
        <v/>
      </c>
    </row>
    <row r="662" spans="1:21" ht="24.95" customHeight="1">
      <c r="A662" s="123"/>
      <c r="B662" s="653"/>
      <c r="E662" s="738">
        <v>10</v>
      </c>
      <c r="F662" s="738" t="str">
        <f t="shared" si="304"/>
        <v/>
      </c>
      <c r="H662" s="833"/>
      <c r="K662" s="2407">
        <v>10</v>
      </c>
      <c r="L662" s="2407" t="str">
        <f t="shared" si="305"/>
        <v/>
      </c>
      <c r="N662" s="2408">
        <v>10</v>
      </c>
      <c r="O662" s="2408" t="str">
        <f t="shared" si="306"/>
        <v/>
      </c>
      <c r="Q662" s="833"/>
      <c r="T662" s="2407">
        <v>10</v>
      </c>
      <c r="U662" s="2407" t="str">
        <f t="shared" si="307"/>
        <v/>
      </c>
    </row>
    <row r="663" spans="1:21" ht="24.95" customHeight="1">
      <c r="A663" s="123"/>
      <c r="B663" s="653"/>
      <c r="E663" s="738">
        <v>11</v>
      </c>
      <c r="F663" s="738" t="str">
        <f t="shared" si="304"/>
        <v/>
      </c>
      <c r="H663" s="833"/>
      <c r="K663" s="2407">
        <v>11</v>
      </c>
      <c r="L663" s="2407" t="str">
        <f t="shared" si="305"/>
        <v/>
      </c>
      <c r="N663" s="2408">
        <v>11</v>
      </c>
      <c r="O663" s="2408" t="str">
        <f t="shared" si="306"/>
        <v/>
      </c>
      <c r="Q663" s="833"/>
      <c r="T663" s="2407">
        <v>11</v>
      </c>
      <c r="U663" s="2407" t="str">
        <f t="shared" si="307"/>
        <v/>
      </c>
    </row>
    <row r="664" spans="1:21" ht="24.95" customHeight="1">
      <c r="A664" s="123"/>
      <c r="B664" s="653"/>
      <c r="E664" s="738">
        <v>12</v>
      </c>
      <c r="F664" s="738" t="str">
        <f t="shared" si="304"/>
        <v/>
      </c>
      <c r="H664" s="833"/>
      <c r="K664" s="2407">
        <v>12</v>
      </c>
      <c r="L664" s="2407" t="str">
        <f t="shared" si="305"/>
        <v/>
      </c>
      <c r="N664" s="2408">
        <v>12</v>
      </c>
      <c r="O664" s="2408" t="str">
        <f t="shared" si="306"/>
        <v/>
      </c>
      <c r="Q664" s="833"/>
      <c r="T664" s="2407">
        <v>12</v>
      </c>
      <c r="U664" s="2407" t="str">
        <f t="shared" si="307"/>
        <v/>
      </c>
    </row>
    <row r="665" spans="1:21" ht="24.95" customHeight="1">
      <c r="A665" s="123"/>
      <c r="B665" s="653"/>
      <c r="E665" s="738">
        <v>13</v>
      </c>
      <c r="F665" s="738" t="str">
        <f t="shared" si="304"/>
        <v/>
      </c>
      <c r="H665" s="833"/>
      <c r="K665" s="2407">
        <v>13</v>
      </c>
      <c r="L665" s="2407" t="str">
        <f t="shared" si="305"/>
        <v/>
      </c>
      <c r="N665" s="2408">
        <v>13</v>
      </c>
      <c r="O665" s="2408" t="str">
        <f t="shared" si="306"/>
        <v/>
      </c>
      <c r="Q665" s="833"/>
      <c r="T665" s="2407">
        <v>13</v>
      </c>
      <c r="U665" s="2407" t="str">
        <f t="shared" si="307"/>
        <v/>
      </c>
    </row>
    <row r="666" spans="1:21" ht="24.95" customHeight="1">
      <c r="A666" s="123"/>
      <c r="B666" s="653"/>
      <c r="E666" s="738">
        <v>14</v>
      </c>
      <c r="F666" s="738" t="str">
        <f t="shared" si="304"/>
        <v/>
      </c>
      <c r="H666" s="833"/>
      <c r="K666" s="2407">
        <v>14</v>
      </c>
      <c r="L666" s="2407" t="str">
        <f t="shared" si="305"/>
        <v/>
      </c>
      <c r="N666" s="2408">
        <v>14</v>
      </c>
      <c r="O666" s="2408" t="str">
        <f t="shared" si="306"/>
        <v/>
      </c>
      <c r="Q666" s="833"/>
      <c r="T666" s="2407">
        <v>14</v>
      </c>
      <c r="U666" s="2407" t="str">
        <f t="shared" si="307"/>
        <v/>
      </c>
    </row>
    <row r="667" spans="1:21" ht="24.95" customHeight="1">
      <c r="A667" s="123"/>
      <c r="B667" s="653"/>
      <c r="E667" s="738">
        <v>15</v>
      </c>
      <c r="F667" s="738" t="str">
        <f t="shared" si="304"/>
        <v/>
      </c>
      <c r="H667" s="833"/>
      <c r="K667" s="2407">
        <v>15</v>
      </c>
      <c r="L667" s="2407" t="str">
        <f t="shared" si="305"/>
        <v/>
      </c>
      <c r="N667" s="2408">
        <v>15</v>
      </c>
      <c r="O667" s="2408" t="str">
        <f t="shared" si="306"/>
        <v/>
      </c>
      <c r="Q667" s="833"/>
      <c r="T667" s="2407">
        <v>15</v>
      </c>
      <c r="U667" s="2407" t="str">
        <f t="shared" si="307"/>
        <v/>
      </c>
    </row>
    <row r="668" spans="1:21" ht="24.95" customHeight="1">
      <c r="A668" s="123"/>
      <c r="B668" s="653"/>
      <c r="E668" s="738">
        <v>16</v>
      </c>
      <c r="F668" s="738" t="str">
        <f t="shared" si="304"/>
        <v/>
      </c>
      <c r="H668" s="833"/>
      <c r="K668" s="2407">
        <v>16</v>
      </c>
      <c r="L668" s="2407" t="str">
        <f t="shared" si="305"/>
        <v/>
      </c>
      <c r="N668" s="2408">
        <v>16</v>
      </c>
      <c r="O668" s="2408" t="str">
        <f t="shared" si="306"/>
        <v/>
      </c>
      <c r="Q668" s="833"/>
      <c r="T668" s="2407">
        <v>16</v>
      </c>
      <c r="U668" s="2407" t="str">
        <f t="shared" si="307"/>
        <v/>
      </c>
    </row>
    <row r="669" spans="1:21" ht="24.95" customHeight="1">
      <c r="A669" s="123"/>
      <c r="B669" s="653"/>
      <c r="E669" s="738">
        <v>17</v>
      </c>
      <c r="F669" s="738" t="str">
        <f t="shared" si="304"/>
        <v/>
      </c>
      <c r="H669" s="833"/>
      <c r="K669" s="2407">
        <v>17</v>
      </c>
      <c r="L669" s="2407" t="str">
        <f t="shared" si="305"/>
        <v/>
      </c>
      <c r="N669" s="2408">
        <v>17</v>
      </c>
      <c r="O669" s="2408" t="str">
        <f t="shared" si="306"/>
        <v/>
      </c>
      <c r="Q669" s="833"/>
      <c r="T669" s="2407">
        <v>17</v>
      </c>
      <c r="U669" s="2407" t="str">
        <f t="shared" si="307"/>
        <v/>
      </c>
    </row>
    <row r="670" spans="1:21" ht="24.95" customHeight="1">
      <c r="A670" s="123"/>
      <c r="B670" s="653"/>
      <c r="E670" s="738">
        <v>18</v>
      </c>
      <c r="F670" s="738" t="str">
        <f t="shared" si="304"/>
        <v/>
      </c>
      <c r="H670" s="833"/>
      <c r="K670" s="2407">
        <v>18</v>
      </c>
      <c r="L670" s="2407" t="str">
        <f t="shared" si="305"/>
        <v/>
      </c>
      <c r="N670" s="2408">
        <v>18</v>
      </c>
      <c r="O670" s="2408" t="str">
        <f t="shared" si="306"/>
        <v/>
      </c>
      <c r="Q670" s="833"/>
      <c r="T670" s="2407">
        <v>18</v>
      </c>
      <c r="U670" s="2407" t="str">
        <f t="shared" si="307"/>
        <v/>
      </c>
    </row>
    <row r="671" spans="1:21" ht="24.95" customHeight="1">
      <c r="A671" s="123"/>
      <c r="B671" s="653"/>
      <c r="E671" s="738">
        <v>19</v>
      </c>
      <c r="F671" s="738" t="str">
        <f t="shared" si="304"/>
        <v/>
      </c>
      <c r="H671" s="833"/>
      <c r="K671" s="2407">
        <v>19</v>
      </c>
      <c r="L671" s="2407" t="str">
        <f t="shared" si="305"/>
        <v/>
      </c>
      <c r="N671" s="2408">
        <v>19</v>
      </c>
      <c r="O671" s="2408" t="str">
        <f t="shared" si="306"/>
        <v/>
      </c>
      <c r="Q671" s="833"/>
      <c r="T671" s="2407">
        <v>19</v>
      </c>
      <c r="U671" s="2407" t="str">
        <f t="shared" si="307"/>
        <v/>
      </c>
    </row>
    <row r="672" spans="1:21" ht="24.95" customHeight="1">
      <c r="A672" s="123"/>
      <c r="B672" s="653"/>
      <c r="E672" s="738">
        <v>20</v>
      </c>
      <c r="F672" s="738" t="str">
        <f t="shared" si="304"/>
        <v/>
      </c>
      <c r="H672" s="833"/>
      <c r="K672" s="2407">
        <v>20</v>
      </c>
      <c r="L672" s="2407" t="str">
        <f t="shared" si="305"/>
        <v/>
      </c>
      <c r="N672" s="2408">
        <v>20</v>
      </c>
      <c r="O672" s="2408" t="str">
        <f t="shared" si="306"/>
        <v/>
      </c>
      <c r="Q672" s="833"/>
      <c r="T672" s="2407">
        <v>20</v>
      </c>
      <c r="U672" s="2407" t="str">
        <f t="shared" si="307"/>
        <v/>
      </c>
    </row>
    <row r="673" spans="1:21" ht="24.95" customHeight="1">
      <c r="A673" s="123"/>
      <c r="B673" s="653"/>
      <c r="E673" s="738">
        <v>21</v>
      </c>
      <c r="F673" s="738" t="str">
        <f t="shared" si="304"/>
        <v/>
      </c>
      <c r="H673" s="833"/>
      <c r="K673" s="2407">
        <v>21</v>
      </c>
      <c r="L673" s="2407" t="str">
        <f t="shared" si="305"/>
        <v/>
      </c>
      <c r="N673" s="2408">
        <v>21</v>
      </c>
      <c r="O673" s="2408" t="str">
        <f t="shared" si="306"/>
        <v/>
      </c>
      <c r="Q673" s="833"/>
      <c r="T673" s="2407">
        <v>21</v>
      </c>
      <c r="U673" s="2407" t="str">
        <f t="shared" si="307"/>
        <v/>
      </c>
    </row>
    <row r="674" spans="1:21" ht="24.95" customHeight="1">
      <c r="A674" s="123"/>
      <c r="B674" s="653"/>
      <c r="E674" s="738">
        <v>22</v>
      </c>
      <c r="F674" s="738" t="str">
        <f t="shared" si="304"/>
        <v/>
      </c>
      <c r="H674" s="833"/>
      <c r="K674" s="2407">
        <v>22</v>
      </c>
      <c r="L674" s="2407" t="str">
        <f t="shared" si="305"/>
        <v/>
      </c>
      <c r="N674" s="2408">
        <v>22</v>
      </c>
      <c r="O674" s="2408" t="str">
        <f t="shared" si="306"/>
        <v/>
      </c>
      <c r="Q674" s="833"/>
      <c r="T674" s="2407">
        <v>22</v>
      </c>
      <c r="U674" s="2407" t="str">
        <f t="shared" si="307"/>
        <v/>
      </c>
    </row>
    <row r="675" spans="1:21" ht="24.95" customHeight="1">
      <c r="A675" s="123"/>
      <c r="B675" s="653"/>
      <c r="E675" s="738">
        <v>23</v>
      </c>
      <c r="F675" s="738" t="str">
        <f t="shared" si="304"/>
        <v/>
      </c>
      <c r="H675" s="833"/>
      <c r="K675" s="2407">
        <v>23</v>
      </c>
      <c r="L675" s="2407" t="str">
        <f t="shared" si="305"/>
        <v/>
      </c>
      <c r="N675" s="2408">
        <v>23</v>
      </c>
      <c r="O675" s="2408" t="str">
        <f t="shared" si="306"/>
        <v/>
      </c>
      <c r="Q675" s="833"/>
      <c r="T675" s="2407">
        <v>23</v>
      </c>
      <c r="U675" s="2407" t="str">
        <f t="shared" si="307"/>
        <v/>
      </c>
    </row>
    <row r="676" spans="1:21" ht="24.95" customHeight="1">
      <c r="A676" s="123"/>
      <c r="B676" s="653"/>
      <c r="E676" s="738">
        <v>24</v>
      </c>
      <c r="F676" s="738" t="str">
        <f t="shared" si="304"/>
        <v/>
      </c>
      <c r="H676" s="833"/>
      <c r="K676" s="2407">
        <v>24</v>
      </c>
      <c r="L676" s="2407" t="str">
        <f t="shared" si="305"/>
        <v/>
      </c>
      <c r="N676" s="2408">
        <v>24</v>
      </c>
      <c r="O676" s="2408" t="str">
        <f t="shared" si="306"/>
        <v/>
      </c>
      <c r="Q676" s="833"/>
      <c r="T676" s="2407">
        <v>24</v>
      </c>
      <c r="U676" s="2407" t="str">
        <f t="shared" si="307"/>
        <v/>
      </c>
    </row>
    <row r="677" spans="1:21" ht="24.95" customHeight="1">
      <c r="A677" s="123"/>
      <c r="B677" s="653"/>
      <c r="E677" s="738">
        <v>25</v>
      </c>
      <c r="F677" s="738" t="str">
        <f t="shared" si="304"/>
        <v/>
      </c>
      <c r="H677" s="833"/>
      <c r="K677" s="2407">
        <v>25</v>
      </c>
      <c r="L677" s="2407" t="str">
        <f t="shared" si="305"/>
        <v/>
      </c>
      <c r="N677" s="2408">
        <v>25</v>
      </c>
      <c r="O677" s="2408" t="str">
        <f t="shared" si="306"/>
        <v/>
      </c>
      <c r="Q677" s="833"/>
      <c r="T677" s="2407">
        <v>25</v>
      </c>
      <c r="U677" s="2407" t="str">
        <f t="shared" si="307"/>
        <v/>
      </c>
    </row>
    <row r="678" spans="1:21" ht="24.95" customHeight="1">
      <c r="A678" s="123"/>
      <c r="B678" s="653"/>
      <c r="E678" s="738">
        <v>26</v>
      </c>
      <c r="F678" s="738" t="str">
        <f t="shared" si="304"/>
        <v/>
      </c>
      <c r="H678" s="833"/>
      <c r="K678" s="2407">
        <v>26</v>
      </c>
      <c r="L678" s="2407" t="str">
        <f t="shared" si="305"/>
        <v/>
      </c>
      <c r="N678" s="2408">
        <v>26</v>
      </c>
      <c r="O678" s="2408" t="str">
        <f t="shared" si="306"/>
        <v/>
      </c>
      <c r="Q678" s="833"/>
      <c r="T678" s="2407">
        <v>26</v>
      </c>
      <c r="U678" s="2407" t="str">
        <f t="shared" si="307"/>
        <v/>
      </c>
    </row>
    <row r="679" spans="1:21" ht="24.95" customHeight="1">
      <c r="A679" s="123"/>
      <c r="B679" s="653"/>
      <c r="E679" s="738">
        <v>27</v>
      </c>
      <c r="F679" s="738" t="str">
        <f t="shared" si="304"/>
        <v/>
      </c>
      <c r="H679" s="833"/>
      <c r="K679" s="2407">
        <v>27</v>
      </c>
      <c r="L679" s="2407" t="str">
        <f t="shared" si="305"/>
        <v/>
      </c>
      <c r="N679" s="2408">
        <v>27</v>
      </c>
      <c r="O679" s="2408" t="str">
        <f t="shared" si="306"/>
        <v/>
      </c>
      <c r="Q679" s="833"/>
      <c r="T679" s="2407">
        <v>27</v>
      </c>
      <c r="U679" s="2407" t="str">
        <f t="shared" si="307"/>
        <v/>
      </c>
    </row>
    <row r="680" spans="1:21" ht="24.95" customHeight="1">
      <c r="A680" s="123"/>
      <c r="B680" s="653"/>
      <c r="E680" s="738">
        <v>28</v>
      </c>
      <c r="F680" s="738" t="str">
        <f t="shared" si="304"/>
        <v/>
      </c>
      <c r="H680" s="833"/>
      <c r="K680" s="2407">
        <v>28</v>
      </c>
      <c r="L680" s="2407" t="str">
        <f t="shared" si="305"/>
        <v/>
      </c>
      <c r="N680" s="2408">
        <v>28</v>
      </c>
      <c r="O680" s="2408" t="str">
        <f t="shared" si="306"/>
        <v/>
      </c>
      <c r="Q680" s="833"/>
      <c r="T680" s="2407">
        <v>28</v>
      </c>
      <c r="U680" s="2407" t="str">
        <f t="shared" si="307"/>
        <v/>
      </c>
    </row>
    <row r="681" spans="1:21" ht="24.95" customHeight="1">
      <c r="A681" s="123"/>
      <c r="B681" s="653"/>
      <c r="E681" s="738">
        <v>29</v>
      </c>
      <c r="F681" s="738" t="str">
        <f t="shared" si="304"/>
        <v/>
      </c>
      <c r="H681" s="833"/>
      <c r="K681" s="2407">
        <v>29</v>
      </c>
      <c r="L681" s="2407" t="str">
        <f t="shared" si="305"/>
        <v/>
      </c>
      <c r="N681" s="2408">
        <v>29</v>
      </c>
      <c r="O681" s="2408" t="str">
        <f t="shared" si="306"/>
        <v/>
      </c>
      <c r="Q681" s="833"/>
      <c r="T681" s="2407">
        <v>29</v>
      </c>
      <c r="U681" s="2407" t="str">
        <f t="shared" si="307"/>
        <v/>
      </c>
    </row>
    <row r="682" spans="1:21" ht="24.95" customHeight="1">
      <c r="A682" s="123"/>
      <c r="B682" s="653"/>
      <c r="E682" s="738">
        <v>30</v>
      </c>
      <c r="F682" s="738" t="str">
        <f t="shared" si="304"/>
        <v/>
      </c>
      <c r="H682" s="833"/>
      <c r="K682" s="2407">
        <v>30</v>
      </c>
      <c r="L682" s="2407" t="str">
        <f t="shared" si="305"/>
        <v/>
      </c>
      <c r="N682" s="2408">
        <v>30</v>
      </c>
      <c r="O682" s="2408" t="str">
        <f t="shared" si="306"/>
        <v/>
      </c>
      <c r="Q682" s="833"/>
      <c r="T682" s="2407">
        <v>30</v>
      </c>
      <c r="U682" s="2407" t="str">
        <f t="shared" si="307"/>
        <v/>
      </c>
    </row>
    <row r="683" spans="1:21" ht="24.95" customHeight="1">
      <c r="A683" s="123"/>
      <c r="B683" s="653"/>
      <c r="E683" s="738">
        <v>31</v>
      </c>
      <c r="F683" s="738" t="str">
        <f t="shared" si="304"/>
        <v/>
      </c>
      <c r="H683" s="833"/>
      <c r="K683" s="2407">
        <v>31</v>
      </c>
      <c r="L683" s="2407" t="str">
        <f t="shared" si="305"/>
        <v/>
      </c>
      <c r="N683" s="2408">
        <v>31</v>
      </c>
      <c r="O683" s="2408" t="str">
        <f t="shared" si="306"/>
        <v/>
      </c>
      <c r="Q683" s="833"/>
      <c r="T683" s="2407">
        <v>31</v>
      </c>
      <c r="U683" s="2407" t="str">
        <f t="shared" si="307"/>
        <v/>
      </c>
    </row>
    <row r="684" spans="1:21" ht="24.95" customHeight="1">
      <c r="A684" s="123"/>
      <c r="B684" s="653"/>
      <c r="E684" s="738">
        <v>32</v>
      </c>
      <c r="F684" s="738" t="str">
        <f t="shared" si="304"/>
        <v/>
      </c>
      <c r="H684" s="833"/>
      <c r="K684" s="2407">
        <v>32</v>
      </c>
      <c r="L684" s="2407" t="str">
        <f t="shared" si="305"/>
        <v/>
      </c>
      <c r="N684" s="2408">
        <v>32</v>
      </c>
      <c r="O684" s="2408" t="str">
        <f t="shared" si="306"/>
        <v/>
      </c>
      <c r="Q684" s="833"/>
      <c r="T684" s="2407">
        <v>32</v>
      </c>
      <c r="U684" s="2407" t="str">
        <f t="shared" si="307"/>
        <v/>
      </c>
    </row>
    <row r="685" spans="1:21" ht="24.95" customHeight="1">
      <c r="A685" s="123"/>
      <c r="B685" s="653"/>
      <c r="E685" s="738">
        <v>33</v>
      </c>
      <c r="F685" s="738" t="str">
        <f t="shared" si="304"/>
        <v/>
      </c>
      <c r="H685" s="833"/>
      <c r="K685" s="2407">
        <v>33</v>
      </c>
      <c r="L685" s="2407" t="str">
        <f t="shared" si="305"/>
        <v/>
      </c>
      <c r="N685" s="2408">
        <v>33</v>
      </c>
      <c r="O685" s="2408" t="str">
        <f t="shared" si="306"/>
        <v/>
      </c>
      <c r="Q685" s="833"/>
      <c r="T685" s="2407">
        <v>33</v>
      </c>
      <c r="U685" s="2407" t="str">
        <f t="shared" si="307"/>
        <v/>
      </c>
    </row>
    <row r="686" spans="1:21" ht="24.95" customHeight="1">
      <c r="A686" s="123"/>
      <c r="B686" s="653"/>
      <c r="E686" s="738">
        <v>34</v>
      </c>
      <c r="F686" s="738" t="str">
        <f t="shared" si="304"/>
        <v/>
      </c>
      <c r="H686" s="833"/>
      <c r="K686" s="2407">
        <v>34</v>
      </c>
      <c r="L686" s="2407" t="str">
        <f t="shared" si="305"/>
        <v/>
      </c>
      <c r="N686" s="2408">
        <v>34</v>
      </c>
      <c r="O686" s="2408" t="str">
        <f t="shared" si="306"/>
        <v/>
      </c>
      <c r="Q686" s="833"/>
      <c r="T686" s="2407">
        <v>34</v>
      </c>
      <c r="U686" s="2407" t="str">
        <f t="shared" si="307"/>
        <v/>
      </c>
    </row>
    <row r="687" spans="1:21" ht="24.95" customHeight="1">
      <c r="A687" s="123"/>
      <c r="B687" s="653"/>
      <c r="E687" s="738">
        <v>35</v>
      </c>
      <c r="F687" s="738" t="str">
        <f t="shared" si="304"/>
        <v/>
      </c>
      <c r="H687" s="833"/>
      <c r="K687" s="2407">
        <v>35</v>
      </c>
      <c r="L687" s="2407" t="str">
        <f t="shared" si="305"/>
        <v/>
      </c>
      <c r="N687" s="2408">
        <v>35</v>
      </c>
      <c r="O687" s="2408" t="str">
        <f t="shared" si="306"/>
        <v/>
      </c>
      <c r="Q687" s="833"/>
      <c r="T687" s="2407">
        <v>35</v>
      </c>
      <c r="U687" s="2407" t="str">
        <f t="shared" si="307"/>
        <v/>
      </c>
    </row>
    <row r="688" spans="1:21" ht="24.95" customHeight="1">
      <c r="A688" s="123"/>
      <c r="B688" s="653"/>
      <c r="E688" s="738">
        <v>36</v>
      </c>
      <c r="F688" s="738" t="str">
        <f t="shared" si="304"/>
        <v/>
      </c>
      <c r="H688" s="833"/>
      <c r="K688" s="2407">
        <v>36</v>
      </c>
      <c r="L688" s="2407" t="str">
        <f t="shared" si="305"/>
        <v/>
      </c>
      <c r="N688" s="2408">
        <v>36</v>
      </c>
      <c r="O688" s="2408" t="str">
        <f t="shared" si="306"/>
        <v/>
      </c>
      <c r="Q688" s="833"/>
      <c r="T688" s="2407">
        <v>36</v>
      </c>
      <c r="U688" s="2407" t="str">
        <f t="shared" si="307"/>
        <v/>
      </c>
    </row>
    <row r="689" spans="1:21" ht="24.95" customHeight="1">
      <c r="A689" s="123"/>
      <c r="B689" s="653"/>
      <c r="E689" s="738">
        <v>37</v>
      </c>
      <c r="F689" s="738" t="str">
        <f t="shared" si="304"/>
        <v/>
      </c>
      <c r="H689" s="833"/>
      <c r="K689" s="2407">
        <v>37</v>
      </c>
      <c r="L689" s="2407" t="str">
        <f t="shared" si="305"/>
        <v/>
      </c>
      <c r="N689" s="2408">
        <v>37</v>
      </c>
      <c r="O689" s="2408" t="str">
        <f t="shared" si="306"/>
        <v/>
      </c>
      <c r="Q689" s="833"/>
      <c r="T689" s="2407">
        <v>37</v>
      </c>
      <c r="U689" s="2407" t="str">
        <f t="shared" si="307"/>
        <v/>
      </c>
    </row>
    <row r="690" spans="1:21" ht="24.95" customHeight="1">
      <c r="A690" s="123"/>
      <c r="B690" s="653"/>
      <c r="E690" s="738">
        <v>38</v>
      </c>
      <c r="F690" s="738" t="str">
        <f t="shared" si="304"/>
        <v/>
      </c>
      <c r="H690" s="833"/>
      <c r="K690" s="2407">
        <v>38</v>
      </c>
      <c r="L690" s="2407" t="str">
        <f t="shared" si="305"/>
        <v/>
      </c>
      <c r="N690" s="2408">
        <v>38</v>
      </c>
      <c r="O690" s="2408" t="str">
        <f t="shared" si="306"/>
        <v/>
      </c>
      <c r="Q690" s="833"/>
      <c r="T690" s="2407">
        <v>38</v>
      </c>
      <c r="U690" s="2407" t="str">
        <f t="shared" si="307"/>
        <v/>
      </c>
    </row>
    <row r="691" spans="1:21" ht="24.95" customHeight="1">
      <c r="A691" s="123"/>
      <c r="B691" s="653"/>
      <c r="E691" s="738">
        <v>39</v>
      </c>
      <c r="F691" s="738" t="str">
        <f t="shared" si="304"/>
        <v/>
      </c>
      <c r="H691" s="833"/>
      <c r="K691" s="2407">
        <v>39</v>
      </c>
      <c r="L691" s="2407" t="str">
        <f t="shared" si="305"/>
        <v/>
      </c>
      <c r="N691" s="2408">
        <v>39</v>
      </c>
      <c r="O691" s="2408" t="str">
        <f t="shared" si="306"/>
        <v/>
      </c>
      <c r="Q691" s="833"/>
      <c r="T691" s="2407">
        <v>39</v>
      </c>
      <c r="U691" s="2407" t="str">
        <f t="shared" si="307"/>
        <v/>
      </c>
    </row>
    <row r="692" spans="1:21" ht="24.95" customHeight="1">
      <c r="A692" s="123"/>
      <c r="B692" s="653"/>
      <c r="E692" s="738">
        <v>40</v>
      </c>
      <c r="F692" s="738" t="str">
        <f t="shared" si="304"/>
        <v/>
      </c>
      <c r="H692" s="833"/>
      <c r="K692" s="2407">
        <v>40</v>
      </c>
      <c r="L692" s="2407" t="str">
        <f t="shared" si="305"/>
        <v/>
      </c>
      <c r="N692" s="2408">
        <v>40</v>
      </c>
      <c r="O692" s="2408" t="str">
        <f t="shared" si="306"/>
        <v/>
      </c>
      <c r="Q692" s="833"/>
      <c r="T692" s="2407">
        <v>40</v>
      </c>
      <c r="U692" s="2407" t="str">
        <f t="shared" si="307"/>
        <v/>
      </c>
    </row>
    <row r="693" spans="1:21" ht="24.95" customHeight="1">
      <c r="A693" s="123"/>
      <c r="B693" s="653"/>
      <c r="H693" s="833"/>
      <c r="Q693" s="833"/>
    </row>
    <row r="694" spans="1:21" ht="24.95" customHeight="1">
      <c r="A694" s="123"/>
      <c r="B694" s="653"/>
      <c r="H694" s="833"/>
      <c r="Q694" s="833"/>
    </row>
    <row r="695" spans="1:21" ht="24.95" customHeight="1">
      <c r="A695" s="123"/>
      <c r="B695" s="653"/>
      <c r="H695" s="833"/>
      <c r="Q695" s="833"/>
    </row>
    <row r="696" spans="1:21" ht="24.95" customHeight="1">
      <c r="A696" s="123"/>
      <c r="B696" s="653"/>
      <c r="H696" s="833"/>
      <c r="Q696" s="833"/>
    </row>
    <row r="697" spans="1:21" ht="24.95" customHeight="1">
      <c r="A697" s="123"/>
      <c r="B697" s="653"/>
      <c r="H697" s="833"/>
      <c r="Q697" s="833"/>
    </row>
    <row r="698" spans="1:21" ht="24.95" customHeight="1">
      <c r="A698" s="123"/>
      <c r="B698" s="653"/>
      <c r="H698" s="833"/>
      <c r="Q698" s="833"/>
    </row>
    <row r="699" spans="1:21" ht="24.95" customHeight="1">
      <c r="A699" s="123"/>
      <c r="B699" s="653"/>
      <c r="H699" s="833"/>
      <c r="Q699" s="833"/>
    </row>
    <row r="700" spans="1:21" ht="24.95" customHeight="1">
      <c r="A700" s="123"/>
      <c r="B700" s="653"/>
      <c r="H700" s="833"/>
      <c r="Q700" s="833"/>
    </row>
    <row r="701" spans="1:21" ht="24.95" customHeight="1">
      <c r="A701" s="123"/>
      <c r="B701" s="653"/>
      <c r="H701" s="833"/>
      <c r="Q701" s="833"/>
    </row>
    <row r="702" spans="1:21" ht="24.95" customHeight="1">
      <c r="A702" s="123"/>
      <c r="B702" s="653"/>
      <c r="H702" s="833"/>
      <c r="Q702" s="833"/>
    </row>
    <row r="703" spans="1:21" ht="24.95" customHeight="1">
      <c r="A703" s="123"/>
      <c r="B703" s="653"/>
      <c r="H703" s="833"/>
      <c r="Q703" s="833"/>
    </row>
    <row r="704" spans="1:21" ht="24.95" customHeight="1">
      <c r="A704" s="123"/>
      <c r="B704" s="653"/>
      <c r="H704" s="833"/>
      <c r="Q704" s="833"/>
    </row>
    <row r="705" spans="1:17" ht="24.95" customHeight="1">
      <c r="A705" s="123"/>
      <c r="B705" s="653"/>
      <c r="H705" s="833"/>
      <c r="Q705" s="833"/>
    </row>
    <row r="706" spans="1:17" ht="24.95" customHeight="1">
      <c r="A706" s="123"/>
      <c r="B706" s="653"/>
      <c r="H706" s="833"/>
      <c r="Q706" s="833"/>
    </row>
    <row r="707" spans="1:17" ht="24.95" customHeight="1">
      <c r="A707" s="123"/>
      <c r="B707" s="653"/>
      <c r="H707" s="833"/>
      <c r="Q707" s="833"/>
    </row>
    <row r="708" spans="1:17" ht="24.95" customHeight="1">
      <c r="A708" s="123"/>
      <c r="B708" s="653"/>
      <c r="H708" s="833"/>
      <c r="Q708" s="833"/>
    </row>
    <row r="709" spans="1:17" ht="24.95" customHeight="1">
      <c r="A709" s="123"/>
      <c r="B709" s="653"/>
      <c r="H709" s="833"/>
      <c r="Q709" s="833"/>
    </row>
    <row r="710" spans="1:17" ht="24.95" customHeight="1">
      <c r="A710" s="123"/>
      <c r="B710" s="653"/>
      <c r="H710" s="833"/>
      <c r="Q710" s="833"/>
    </row>
    <row r="711" spans="1:17" ht="24.95" customHeight="1">
      <c r="A711" s="123"/>
      <c r="B711" s="653"/>
      <c r="H711" s="833"/>
      <c r="Q711" s="833"/>
    </row>
    <row r="712" spans="1:17" ht="24.95" customHeight="1">
      <c r="A712" s="123"/>
      <c r="B712" s="653"/>
      <c r="H712" s="833"/>
      <c r="Q712" s="833"/>
    </row>
    <row r="713" spans="1:17" ht="24.95" customHeight="1">
      <c r="A713" s="123"/>
      <c r="B713" s="653"/>
      <c r="H713" s="833"/>
      <c r="Q713" s="833"/>
    </row>
    <row r="714" spans="1:17" ht="24.95" customHeight="1">
      <c r="A714" s="123"/>
      <c r="B714" s="653"/>
      <c r="H714" s="833"/>
      <c r="Q714" s="833"/>
    </row>
    <row r="715" spans="1:17" ht="24.95" customHeight="1">
      <c r="A715" s="123"/>
      <c r="B715" s="653"/>
      <c r="H715" s="833"/>
      <c r="Q715" s="833"/>
    </row>
    <row r="716" spans="1:17" ht="24.95" customHeight="1">
      <c r="A716" s="123"/>
      <c r="B716" s="653"/>
      <c r="H716" s="833"/>
      <c r="Q716" s="833"/>
    </row>
    <row r="717" spans="1:17" ht="24.95" customHeight="1">
      <c r="A717" s="123"/>
      <c r="B717" s="653"/>
      <c r="H717" s="833"/>
      <c r="Q717" s="833"/>
    </row>
    <row r="718" spans="1:17" ht="24.95" customHeight="1">
      <c r="A718" s="123"/>
      <c r="B718" s="653"/>
      <c r="H718" s="833"/>
      <c r="Q718" s="833"/>
    </row>
    <row r="719" spans="1:17" ht="24.95" customHeight="1">
      <c r="A719" s="123"/>
      <c r="B719" s="653"/>
      <c r="H719" s="833"/>
      <c r="Q719" s="833"/>
    </row>
    <row r="720" spans="1:17" ht="24.95" customHeight="1">
      <c r="A720" s="123"/>
      <c r="B720" s="653"/>
      <c r="H720" s="833"/>
      <c r="Q720" s="833"/>
    </row>
    <row r="721" spans="1:17" ht="24.95" customHeight="1">
      <c r="A721" s="123"/>
      <c r="B721" s="653"/>
      <c r="H721" s="833"/>
      <c r="Q721" s="833"/>
    </row>
    <row r="722" spans="1:17" ht="24.95" customHeight="1">
      <c r="A722" s="123"/>
      <c r="B722" s="653"/>
      <c r="H722" s="833"/>
      <c r="Q722" s="833"/>
    </row>
    <row r="723" spans="1:17" ht="24.95" customHeight="1">
      <c r="A723" s="123"/>
      <c r="B723" s="653"/>
      <c r="H723" s="833"/>
      <c r="Q723" s="833"/>
    </row>
    <row r="724" spans="1:17" ht="24.95" customHeight="1">
      <c r="A724" s="123"/>
      <c r="B724" s="653"/>
      <c r="H724" s="833"/>
      <c r="Q724" s="833"/>
    </row>
    <row r="725" spans="1:17" ht="24.95" customHeight="1">
      <c r="A725" s="123"/>
      <c r="B725" s="653"/>
      <c r="H725" s="833"/>
      <c r="Q725" s="833"/>
    </row>
    <row r="726" spans="1:17" ht="24.95" customHeight="1">
      <c r="A726" s="123"/>
      <c r="B726" s="653"/>
      <c r="H726" s="833"/>
      <c r="Q726" s="833"/>
    </row>
    <row r="727" spans="1:17" ht="24.95" customHeight="1">
      <c r="A727" s="123"/>
      <c r="B727" s="653"/>
      <c r="H727" s="833"/>
      <c r="Q727" s="833"/>
    </row>
    <row r="728" spans="1:17" ht="24.95" customHeight="1">
      <c r="A728" s="123"/>
      <c r="B728" s="653"/>
      <c r="H728" s="833"/>
      <c r="Q728" s="833"/>
    </row>
    <row r="729" spans="1:17" ht="24.95" customHeight="1">
      <c r="A729" s="123"/>
      <c r="B729" s="653"/>
      <c r="H729" s="833"/>
      <c r="Q729" s="833"/>
    </row>
    <row r="730" spans="1:17" ht="24.95" customHeight="1">
      <c r="A730" s="123"/>
      <c r="B730" s="653"/>
      <c r="H730" s="833"/>
      <c r="Q730" s="833"/>
    </row>
    <row r="731" spans="1:17" ht="24.95" customHeight="1">
      <c r="A731" s="123"/>
      <c r="B731" s="653"/>
      <c r="H731" s="833"/>
      <c r="Q731" s="833"/>
    </row>
    <row r="732" spans="1:17" ht="24.95" customHeight="1">
      <c r="A732" s="123"/>
      <c r="B732" s="653"/>
      <c r="H732" s="833"/>
      <c r="Q732" s="833"/>
    </row>
    <row r="733" spans="1:17" ht="24.95" customHeight="1">
      <c r="A733" s="123"/>
      <c r="B733" s="653"/>
      <c r="H733" s="833"/>
      <c r="Q733" s="833"/>
    </row>
    <row r="734" spans="1:17" ht="24.95" customHeight="1">
      <c r="A734" s="123"/>
      <c r="B734" s="653"/>
      <c r="H734" s="833"/>
      <c r="Q734" s="833"/>
    </row>
    <row r="735" spans="1:17" ht="24.95" customHeight="1">
      <c r="A735" s="123"/>
      <c r="B735" s="653"/>
      <c r="H735" s="833"/>
      <c r="Q735" s="833"/>
    </row>
    <row r="736" spans="1:17" ht="24.95" customHeight="1">
      <c r="A736" s="123"/>
      <c r="B736" s="653"/>
      <c r="H736" s="833"/>
      <c r="Q736" s="833"/>
    </row>
    <row r="737" spans="1:17" ht="24.95" customHeight="1">
      <c r="A737" s="123"/>
      <c r="B737" s="653"/>
      <c r="H737" s="833"/>
      <c r="Q737" s="833"/>
    </row>
    <row r="738" spans="1:17" ht="24.95" customHeight="1">
      <c r="A738" s="123"/>
      <c r="B738" s="653"/>
      <c r="H738" s="833"/>
      <c r="Q738" s="833"/>
    </row>
    <row r="739" spans="1:17" ht="24.95" customHeight="1">
      <c r="A739" s="123"/>
      <c r="B739" s="653"/>
      <c r="H739" s="833"/>
      <c r="Q739" s="833"/>
    </row>
    <row r="740" spans="1:17" ht="24.95" customHeight="1">
      <c r="A740" s="123"/>
      <c r="B740" s="653"/>
      <c r="H740" s="833"/>
      <c r="Q740" s="833"/>
    </row>
    <row r="741" spans="1:17" ht="24.95" customHeight="1">
      <c r="A741" s="123"/>
      <c r="B741" s="653"/>
      <c r="H741" s="833"/>
      <c r="Q741" s="833"/>
    </row>
    <row r="742" spans="1:17" ht="24.95" customHeight="1">
      <c r="A742" s="123"/>
      <c r="B742" s="653"/>
      <c r="H742" s="833"/>
      <c r="Q742" s="833"/>
    </row>
    <row r="743" spans="1:17" ht="24.95" customHeight="1">
      <c r="A743" s="123"/>
      <c r="B743" s="653"/>
      <c r="H743" s="833"/>
      <c r="Q743" s="833"/>
    </row>
    <row r="744" spans="1:17" ht="24.95" customHeight="1">
      <c r="A744" s="123"/>
      <c r="B744" s="653"/>
      <c r="H744" s="833"/>
      <c r="Q744" s="833"/>
    </row>
    <row r="745" spans="1:17" ht="24.95" customHeight="1">
      <c r="A745" s="123"/>
      <c r="B745" s="653"/>
      <c r="H745" s="833"/>
      <c r="Q745" s="833"/>
    </row>
    <row r="746" spans="1:17" ht="24.95" customHeight="1">
      <c r="A746" s="123"/>
      <c r="B746" s="653"/>
      <c r="H746" s="833"/>
      <c r="Q746" s="833"/>
    </row>
    <row r="747" spans="1:17" ht="24.95" customHeight="1">
      <c r="A747" s="123"/>
      <c r="B747" s="653"/>
      <c r="H747" s="833"/>
      <c r="Q747" s="833"/>
    </row>
    <row r="748" spans="1:17" ht="24.95" customHeight="1">
      <c r="A748" s="123"/>
      <c r="B748" s="653"/>
      <c r="H748" s="833"/>
      <c r="Q748" s="833"/>
    </row>
    <row r="749" spans="1:17" ht="24.95" customHeight="1">
      <c r="A749" s="123"/>
      <c r="B749" s="653"/>
      <c r="H749" s="833"/>
      <c r="Q749" s="833"/>
    </row>
    <row r="750" spans="1:17" ht="24.95" customHeight="1">
      <c r="A750" s="123"/>
      <c r="B750" s="653"/>
      <c r="H750" s="833"/>
      <c r="Q750" s="833"/>
    </row>
    <row r="751" spans="1:17" ht="24.95" customHeight="1">
      <c r="A751" s="123"/>
      <c r="B751" s="653"/>
      <c r="H751" s="833"/>
      <c r="Q751" s="833"/>
    </row>
    <row r="752" spans="1:17" ht="24.95" customHeight="1">
      <c r="A752" s="123"/>
      <c r="B752" s="653"/>
      <c r="H752" s="833"/>
      <c r="Q752" s="833"/>
    </row>
    <row r="753" spans="1:17" ht="24.95" customHeight="1">
      <c r="A753" s="123"/>
      <c r="B753" s="653"/>
      <c r="H753" s="833"/>
      <c r="Q753" s="833"/>
    </row>
    <row r="754" spans="1:17" ht="24.95" customHeight="1">
      <c r="A754" s="123"/>
      <c r="B754" s="653"/>
      <c r="H754" s="833"/>
      <c r="Q754" s="833"/>
    </row>
    <row r="755" spans="1:17" ht="24.95" customHeight="1">
      <c r="A755" s="123"/>
      <c r="B755" s="653"/>
      <c r="H755" s="833"/>
      <c r="Q755" s="833"/>
    </row>
    <row r="756" spans="1:17" ht="24.95" customHeight="1">
      <c r="A756" s="123"/>
      <c r="B756" s="653"/>
      <c r="H756" s="833"/>
      <c r="Q756" s="833"/>
    </row>
    <row r="757" spans="1:17" ht="24.95" customHeight="1">
      <c r="A757" s="123"/>
      <c r="B757" s="653"/>
      <c r="H757" s="833"/>
      <c r="Q757" s="833"/>
    </row>
    <row r="758" spans="1:17" ht="24.95" customHeight="1">
      <c r="A758" s="123"/>
      <c r="B758" s="653"/>
      <c r="H758" s="833"/>
      <c r="Q758" s="833"/>
    </row>
    <row r="759" spans="1:17" ht="24.95" customHeight="1">
      <c r="A759" s="123"/>
      <c r="B759" s="653"/>
      <c r="H759" s="833"/>
      <c r="Q759" s="833"/>
    </row>
    <row r="760" spans="1:17" ht="24.95" customHeight="1">
      <c r="A760" s="123"/>
      <c r="B760" s="653"/>
      <c r="H760" s="833"/>
      <c r="Q760" s="833"/>
    </row>
    <row r="761" spans="1:17" ht="24.95" customHeight="1">
      <c r="A761" s="123"/>
      <c r="B761" s="653"/>
      <c r="H761" s="833"/>
      <c r="Q761" s="833"/>
    </row>
    <row r="762" spans="1:17" ht="24.95" customHeight="1">
      <c r="B762" s="653"/>
      <c r="H762" s="833"/>
      <c r="Q762" s="833"/>
    </row>
    <row r="763" spans="1:17" ht="24.95" customHeight="1">
      <c r="B763" s="653"/>
      <c r="H763" s="833"/>
      <c r="Q763" s="833"/>
    </row>
    <row r="764" spans="1:17" ht="24.95" customHeight="1">
      <c r="H764" s="833"/>
      <c r="Q764" s="833"/>
    </row>
    <row r="765" spans="1:17" ht="24.95" customHeight="1">
      <c r="H765" s="833"/>
      <c r="Q765" s="833"/>
    </row>
    <row r="766" spans="1:17" s="2177" customFormat="1" ht="27.95" customHeight="1">
      <c r="A766" s="934"/>
      <c r="B766" s="935"/>
      <c r="E766" s="5271"/>
      <c r="F766" s="5272"/>
      <c r="G766" s="5272"/>
      <c r="H766" s="5272"/>
      <c r="I766" s="5272"/>
      <c r="J766" s="2393"/>
      <c r="K766" s="2396"/>
      <c r="L766" s="2384"/>
      <c r="M766" s="2384"/>
    </row>
    <row r="767" spans="1:17" s="941" customFormat="1" ht="27.95" customHeight="1">
      <c r="A767" s="934"/>
      <c r="B767" s="935"/>
      <c r="E767" s="5265"/>
      <c r="F767" s="5266"/>
      <c r="G767" s="5266"/>
      <c r="H767" s="5266"/>
      <c r="I767" s="5266"/>
      <c r="J767" s="2394"/>
      <c r="K767" s="2121"/>
      <c r="L767" s="2385"/>
      <c r="M767" s="2385"/>
    </row>
    <row r="768" spans="1:17" s="833" customFormat="1" ht="27.95" customHeight="1">
      <c r="A768" s="934"/>
      <c r="B768" s="935"/>
      <c r="E768" s="5273"/>
      <c r="F768" s="5274"/>
      <c r="G768" s="5274"/>
      <c r="H768" s="5274"/>
      <c r="I768" s="5275"/>
      <c r="J768" s="2395"/>
      <c r="K768" s="2387"/>
      <c r="L768" s="2386"/>
      <c r="M768" s="2386"/>
    </row>
    <row r="769" spans="1:48" s="833" customFormat="1" ht="27.95" customHeight="1">
      <c r="A769" s="934"/>
      <c r="B769" s="935"/>
      <c r="E769" s="5276"/>
      <c r="F769" s="5277"/>
      <c r="G769" s="5277"/>
      <c r="H769" s="5277"/>
      <c r="I769" s="5278"/>
      <c r="J769" s="1645"/>
      <c r="K769" s="3060"/>
      <c r="L769" s="3061"/>
      <c r="M769" s="3061"/>
    </row>
    <row r="770" spans="1:48" s="833" customFormat="1" ht="27.95" customHeight="1">
      <c r="A770" s="934"/>
      <c r="B770" s="935"/>
      <c r="E770" s="5276"/>
      <c r="F770" s="5277"/>
      <c r="G770" s="5277"/>
      <c r="H770" s="5277"/>
      <c r="I770" s="5278"/>
      <c r="J770" s="2395"/>
      <c r="K770" s="3060"/>
      <c r="L770" s="3061"/>
      <c r="M770" s="3061"/>
    </row>
    <row r="771" spans="1:48" ht="27.95" customHeight="1">
      <c r="C771" s="2388"/>
      <c r="D771" s="877"/>
      <c r="E771" s="5227"/>
      <c r="F771" s="5228"/>
      <c r="G771" s="5228"/>
      <c r="H771" s="5228"/>
      <c r="I771" s="5229"/>
      <c r="J771" s="1877"/>
      <c r="K771" s="2397"/>
      <c r="L771" s="877"/>
      <c r="M771" s="877"/>
      <c r="N771" s="877"/>
      <c r="O771" s="877"/>
      <c r="P771" s="877"/>
      <c r="Q771" s="877"/>
      <c r="R771" s="877"/>
      <c r="S771" s="877"/>
      <c r="T771" s="877"/>
      <c r="U771" s="877"/>
      <c r="V771" s="877"/>
      <c r="W771" s="877"/>
      <c r="X771" s="877"/>
      <c r="Y771" s="877"/>
      <c r="Z771" s="877"/>
      <c r="AA771" s="877"/>
      <c r="AB771" s="877"/>
      <c r="AC771" s="877"/>
      <c r="AD771" s="877"/>
      <c r="AE771" s="877"/>
      <c r="AF771" s="877"/>
      <c r="AG771" s="877"/>
      <c r="AH771" s="877"/>
      <c r="AI771" s="877"/>
      <c r="AJ771" s="877"/>
      <c r="AK771" s="877"/>
      <c r="AL771" s="877"/>
      <c r="AM771" s="877"/>
      <c r="AN771" s="877"/>
      <c r="AO771" s="877"/>
      <c r="AP771" s="877"/>
      <c r="AQ771" s="877"/>
      <c r="AR771" s="877"/>
      <c r="AS771" s="877"/>
      <c r="AT771" s="877"/>
      <c r="AU771" s="877"/>
      <c r="AV771" s="877"/>
    </row>
    <row r="772" spans="1:48" ht="27.95" customHeight="1">
      <c r="C772" s="2178"/>
      <c r="E772" s="5265"/>
      <c r="F772" s="5266"/>
      <c r="G772" s="5266"/>
      <c r="H772" s="5266"/>
      <c r="I772" s="5267"/>
      <c r="J772" s="706"/>
      <c r="K772" s="2162"/>
      <c r="L772" s="787"/>
      <c r="M772" s="2389"/>
    </row>
    <row r="773" spans="1:48" ht="27.95" customHeight="1">
      <c r="C773" s="1458"/>
      <c r="E773" s="5259"/>
      <c r="F773" s="5260"/>
      <c r="G773" s="5260"/>
      <c r="H773" s="5260"/>
      <c r="I773" s="5261"/>
      <c r="J773" s="745"/>
      <c r="K773" s="2122"/>
      <c r="L773" s="627"/>
      <c r="M773" s="2390"/>
      <c r="P773" s="5221" t="s">
        <v>1453</v>
      </c>
      <c r="Q773" s="5221"/>
      <c r="R773" s="5221"/>
      <c r="S773" s="5221"/>
      <c r="T773" s="5221"/>
      <c r="AJ773" s="5223" t="s">
        <v>887</v>
      </c>
      <c r="AK773" s="5223"/>
      <c r="AL773" s="5223"/>
      <c r="AM773" s="5223"/>
      <c r="AN773" s="5223"/>
    </row>
    <row r="774" spans="1:48" ht="27.95" customHeight="1">
      <c r="C774" s="2178"/>
      <c r="E774" s="5212"/>
      <c r="F774" s="5213"/>
      <c r="G774" s="5213"/>
      <c r="H774" s="5213"/>
      <c r="I774" s="5214"/>
      <c r="J774" s="2127"/>
      <c r="K774" s="761"/>
      <c r="L774" s="788"/>
      <c r="M774" s="2391"/>
      <c r="P774" s="5221" t="s">
        <v>1438</v>
      </c>
      <c r="Q774" s="5221"/>
      <c r="R774" s="5221"/>
      <c r="S774" s="5221"/>
      <c r="T774" s="2210">
        <f>J772</f>
        <v>0</v>
      </c>
      <c r="X774" s="5215" t="s">
        <v>1421</v>
      </c>
      <c r="Y774" s="5216"/>
      <c r="Z774" s="5216"/>
      <c r="AA774" s="5216"/>
      <c r="AB774" s="5216"/>
      <c r="AC774" s="5216"/>
      <c r="AD774" s="5216"/>
      <c r="AE774" s="5216"/>
      <c r="AF774" s="5217"/>
      <c r="AG774" s="5218"/>
      <c r="AJ774" s="5221" t="s">
        <v>1438</v>
      </c>
      <c r="AK774" s="5221"/>
      <c r="AL774" s="5221"/>
      <c r="AM774" s="5221"/>
      <c r="AN774" s="2210">
        <f>J789</f>
        <v>0</v>
      </c>
    </row>
    <row r="775" spans="1:48" ht="27.95" customHeight="1">
      <c r="C775" s="1458"/>
      <c r="E775" s="5268"/>
      <c r="F775" s="5269"/>
      <c r="G775" s="5269"/>
      <c r="H775" s="5269"/>
      <c r="I775" s="5270"/>
      <c r="J775" s="2163"/>
      <c r="K775" s="2398"/>
      <c r="L775" s="652"/>
      <c r="M775" s="2392"/>
      <c r="P775" s="5221" t="s">
        <v>1439</v>
      </c>
      <c r="Q775" s="5221"/>
      <c r="R775" s="5221"/>
      <c r="S775" s="5221"/>
      <c r="T775" s="2401">
        <f>K775</f>
        <v>0</v>
      </c>
      <c r="W775" s="766"/>
      <c r="X775" s="5219" t="s">
        <v>1422</v>
      </c>
      <c r="Y775" s="5219"/>
      <c r="Z775" s="5219"/>
      <c r="AA775" s="5219"/>
      <c r="AB775" s="5219"/>
      <c r="AC775" s="5219"/>
      <c r="AD775" s="5219"/>
      <c r="AE775" s="5219"/>
      <c r="AF775" s="5220"/>
      <c r="AG775" s="5219"/>
      <c r="AJ775" s="5221" t="s">
        <v>1439</v>
      </c>
      <c r="AK775" s="5221"/>
      <c r="AL775" s="5221"/>
      <c r="AM775" s="5221"/>
      <c r="AN775" s="2401">
        <f>K792</f>
        <v>0</v>
      </c>
    </row>
    <row r="776" spans="1:48" ht="27.95" customHeight="1">
      <c r="C776" s="2178"/>
      <c r="E776" s="5313"/>
      <c r="F776" s="5313"/>
      <c r="G776" s="5313"/>
      <c r="H776" s="5313"/>
      <c r="I776" s="2399"/>
      <c r="J776" s="2400"/>
      <c r="K776" s="1293"/>
      <c r="L776" s="1293"/>
      <c r="M776" s="1293"/>
      <c r="P776" s="5221" t="s">
        <v>1445</v>
      </c>
      <c r="Q776" s="5221"/>
      <c r="R776" s="5221"/>
      <c r="S776" s="2401">
        <f>I776</f>
        <v>0</v>
      </c>
      <c r="T776" s="2210">
        <f>J776</f>
        <v>0</v>
      </c>
      <c r="W776" s="766"/>
      <c r="X776" s="1718" t="s">
        <v>176</v>
      </c>
      <c r="Y776" s="5219" t="s">
        <v>871</v>
      </c>
      <c r="Z776" s="5219"/>
      <c r="AA776" s="5219"/>
      <c r="AB776" s="5219"/>
      <c r="AC776" s="5219"/>
      <c r="AD776" s="5219"/>
      <c r="AE776" s="5219"/>
      <c r="AF776" s="3194"/>
      <c r="AG776" s="2291"/>
      <c r="AJ776" s="5221" t="s">
        <v>1445</v>
      </c>
      <c r="AK776" s="5221"/>
      <c r="AL776" s="5221"/>
      <c r="AM776" s="2401">
        <f>K792</f>
        <v>0</v>
      </c>
      <c r="AN776" s="2210">
        <f>J793</f>
        <v>0</v>
      </c>
    </row>
    <row r="777" spans="1:48" ht="27.95" customHeight="1">
      <c r="C777" s="1458"/>
      <c r="E777" s="5289"/>
      <c r="F777" s="5289"/>
      <c r="G777" s="5289"/>
      <c r="H777" s="5289"/>
      <c r="I777" s="5289"/>
      <c r="J777" s="5289"/>
      <c r="K777" s="5289"/>
      <c r="L777" s="5289"/>
      <c r="M777" s="5289"/>
      <c r="P777" s="5221" t="s">
        <v>1441</v>
      </c>
      <c r="Q777" s="5221"/>
      <c r="R777" s="5221"/>
      <c r="S777" s="2401">
        <f>S776</f>
        <v>0</v>
      </c>
      <c r="T777" s="2210">
        <f>J766</f>
        <v>0</v>
      </c>
      <c r="U777" s="2210">
        <f>K766</f>
        <v>0</v>
      </c>
      <c r="W777" s="766"/>
      <c r="X777" s="1718">
        <v>1</v>
      </c>
      <c r="Y777" s="5219" t="s">
        <v>847</v>
      </c>
      <c r="Z777" s="5219"/>
      <c r="AA777" s="5219"/>
      <c r="AB777" s="5219"/>
      <c r="AC777" s="5219"/>
      <c r="AD777" s="5219"/>
      <c r="AE777" s="2292">
        <f>K782</f>
        <v>0</v>
      </c>
      <c r="AF777" s="3195"/>
      <c r="AG777" s="1718">
        <f>J783</f>
        <v>0</v>
      </c>
      <c r="AJ777" s="5221" t="s">
        <v>1441</v>
      </c>
      <c r="AK777" s="5221"/>
      <c r="AL777" s="5221"/>
      <c r="AM777" s="2401">
        <f>AM776</f>
        <v>0</v>
      </c>
      <c r="AN777" s="2210">
        <f>J785</f>
        <v>0</v>
      </c>
      <c r="AO777" s="2210">
        <f>K785</f>
        <v>0</v>
      </c>
    </row>
    <row r="778" spans="1:48" ht="27.95" customHeight="1">
      <c r="C778" s="2178"/>
      <c r="E778" s="5224"/>
      <c r="F778" s="5225"/>
      <c r="G778" s="5225"/>
      <c r="H778" s="5225"/>
      <c r="I778" s="5226"/>
      <c r="J778" s="2406"/>
      <c r="K778" s="2210"/>
      <c r="L778" s="2403"/>
      <c r="M778" s="2403"/>
      <c r="P778" s="5222" t="s">
        <v>1446</v>
      </c>
      <c r="Q778" s="5222"/>
      <c r="R778" s="5222"/>
      <c r="S778" s="5222"/>
      <c r="T778" s="2210">
        <f>J767</f>
        <v>0</v>
      </c>
      <c r="U778" s="2210">
        <f>K767</f>
        <v>0</v>
      </c>
      <c r="W778" s="2293">
        <f>K779</f>
        <v>0</v>
      </c>
      <c r="X778" s="1718">
        <v>2</v>
      </c>
      <c r="Y778" s="5219" t="s">
        <v>872</v>
      </c>
      <c r="Z778" s="5219"/>
      <c r="AA778" s="5219"/>
      <c r="AB778" s="5219"/>
      <c r="AC778" s="5219"/>
      <c r="AD778" s="5219"/>
      <c r="AE778" s="5219"/>
      <c r="AF778" s="3194"/>
      <c r="AG778" s="1718">
        <f>J780</f>
        <v>0</v>
      </c>
      <c r="AJ778" s="5222" t="s">
        <v>1446</v>
      </c>
      <c r="AK778" s="5222"/>
      <c r="AL778" s="5222"/>
      <c r="AM778" s="5222"/>
      <c r="AN778" s="2210">
        <f>J786</f>
        <v>0</v>
      </c>
      <c r="AO778" s="2210">
        <f>AO777</f>
        <v>0</v>
      </c>
    </row>
    <row r="779" spans="1:48" ht="27.95" customHeight="1">
      <c r="C779" s="1458"/>
      <c r="E779" s="5304"/>
      <c r="F779" s="5305"/>
      <c r="G779" s="5305"/>
      <c r="H779" s="5305"/>
      <c r="I779" s="5306"/>
      <c r="J779" s="2393"/>
      <c r="K779" s="2210"/>
      <c r="L779" s="2403"/>
      <c r="M779" s="2403"/>
      <c r="P779" s="5223" t="s">
        <v>1447</v>
      </c>
      <c r="Q779" s="5223"/>
      <c r="R779" s="5223"/>
      <c r="S779" s="5223"/>
      <c r="T779" s="2210" t="s">
        <v>1449</v>
      </c>
      <c r="W779" s="2293">
        <f>K784</f>
        <v>0</v>
      </c>
      <c r="X779" s="1718">
        <v>3</v>
      </c>
      <c r="Y779" s="5219" t="s">
        <v>873</v>
      </c>
      <c r="Z779" s="5219"/>
      <c r="AA779" s="5219"/>
      <c r="AB779" s="5219"/>
      <c r="AC779" s="5219"/>
      <c r="AD779" s="5219"/>
      <c r="AE779" s="5219"/>
      <c r="AF779" s="3194"/>
      <c r="AG779" s="1718">
        <f>J786</f>
        <v>0</v>
      </c>
      <c r="AJ779" s="5223" t="s">
        <v>1447</v>
      </c>
      <c r="AK779" s="5223"/>
      <c r="AL779" s="5223"/>
      <c r="AM779" s="5223"/>
      <c r="AN779" s="2210" t="s">
        <v>1449</v>
      </c>
    </row>
    <row r="780" spans="1:48" ht="27.95" customHeight="1">
      <c r="C780" s="2178"/>
      <c r="E780" s="5307"/>
      <c r="F780" s="5308"/>
      <c r="G780" s="5308"/>
      <c r="H780" s="5308"/>
      <c r="I780" s="5309"/>
      <c r="J780" s="2394"/>
      <c r="K780" s="2210"/>
      <c r="L780" s="2403"/>
      <c r="M780" s="2403"/>
      <c r="P780" s="5221" t="s">
        <v>1448</v>
      </c>
      <c r="Q780" s="5221"/>
      <c r="R780" s="5221"/>
      <c r="S780" s="5221"/>
      <c r="T780" s="2210">
        <v>1730</v>
      </c>
      <c r="W780" s="5298"/>
      <c r="X780" s="5299"/>
      <c r="Y780" s="5300" t="s">
        <v>1423</v>
      </c>
      <c r="Z780" s="5301"/>
      <c r="AA780" s="5301"/>
      <c r="AB780" s="5301"/>
      <c r="AC780" s="5301"/>
      <c r="AD780" s="5301"/>
      <c r="AE780" s="5302"/>
      <c r="AF780" s="3196"/>
      <c r="AG780" s="2294" t="s">
        <v>1452</v>
      </c>
      <c r="AJ780" s="5221" t="s">
        <v>1448</v>
      </c>
      <c r="AK780" s="5221"/>
      <c r="AL780" s="5221"/>
      <c r="AM780" s="5221"/>
      <c r="AN780" s="2210">
        <v>1730</v>
      </c>
    </row>
    <row r="781" spans="1:48" ht="27.95" customHeight="1">
      <c r="C781" s="1458"/>
      <c r="E781" s="5310"/>
      <c r="F781" s="5311"/>
      <c r="G781" s="5311"/>
      <c r="H781" s="5311"/>
      <c r="I781" s="5312"/>
      <c r="J781" s="2410"/>
      <c r="K781" s="2411"/>
      <c r="L781" s="2412"/>
      <c r="M781" s="2412"/>
      <c r="P781" s="5230" t="s">
        <v>1443</v>
      </c>
      <c r="Q781" s="5230"/>
      <c r="R781" s="5230"/>
      <c r="S781" s="2210">
        <f>T774</f>
        <v>0</v>
      </c>
      <c r="T781" s="2210">
        <f>J773</f>
        <v>0</v>
      </c>
      <c r="W781" s="2295" t="e">
        <f>MATCH(AG777,$L$653:$L$692,0)</f>
        <v>#N/A</v>
      </c>
      <c r="X781" s="1718">
        <v>4</v>
      </c>
      <c r="Y781" s="1718" t="e">
        <f>SUM(W781+1)</f>
        <v>#N/A</v>
      </c>
      <c r="Z781" s="5303" t="s">
        <v>1424</v>
      </c>
      <c r="AA781" s="5303"/>
      <c r="AB781" s="5303"/>
      <c r="AC781" s="5303"/>
      <c r="AD781" s="5303"/>
      <c r="AE781" s="1718">
        <f>AG778</f>
        <v>0</v>
      </c>
      <c r="AF781" s="3194"/>
      <c r="AG781" s="1718" t="e">
        <f>LOOKUP(Y781,$K$653:$K$692,$L$653:$L$692)</f>
        <v>#N/A</v>
      </c>
      <c r="AJ781" s="5230" t="s">
        <v>1443</v>
      </c>
      <c r="AK781" s="5230"/>
      <c r="AL781" s="5230"/>
      <c r="AM781" s="2212">
        <f>AN774</f>
        <v>0</v>
      </c>
      <c r="AN781" s="2212">
        <f>J790</f>
        <v>0</v>
      </c>
    </row>
    <row r="782" spans="1:48" ht="27.95" customHeight="1">
      <c r="C782" s="2178"/>
      <c r="E782" s="5314"/>
      <c r="F782" s="5315"/>
      <c r="G782" s="5315"/>
      <c r="H782" s="5315"/>
      <c r="I782" s="5316"/>
      <c r="J782" s="2418"/>
      <c r="K782" s="2398"/>
      <c r="L782" s="2212"/>
      <c r="M782" s="2403"/>
      <c r="P782" s="5231" t="str">
        <f>CONCATENATE("After Adding Incentive Increments for","  ", S781, " ,","The Pay becomes")</f>
        <v>After Adding Incentive Increments for  0 ,The Pay becomes</v>
      </c>
      <c r="Q782" s="5232"/>
      <c r="R782" s="5232"/>
      <c r="S782" s="5233"/>
      <c r="T782" s="2210">
        <f>SUM(T776+T781*T780)</f>
        <v>0</v>
      </c>
      <c r="W782" s="766"/>
      <c r="X782" s="1718">
        <v>5</v>
      </c>
      <c r="Y782" s="5300" t="s">
        <v>1425</v>
      </c>
      <c r="Z782" s="5301"/>
      <c r="AA782" s="5301"/>
      <c r="AB782" s="2409">
        <f>AE777</f>
        <v>0</v>
      </c>
      <c r="AC782" s="5301" t="s">
        <v>1426</v>
      </c>
      <c r="AD782" s="5302"/>
      <c r="AE782" s="1718">
        <f>AG779</f>
        <v>0</v>
      </c>
      <c r="AF782" s="3194"/>
      <c r="AG782" s="2297" t="b">
        <f>IF($W$779=1,LOOKUP(MATCH($AG$781,O,-1),N,O),IF($W$779=2,LOOKUP(MATCH($AG$781,P,-1),N,P),IF($W$779=3,LOOKUP(MATCH($AG$781,Q,-1),N,Q),IF($W$779=4,LOOKUP(MATCH($AG$781,RR,-1),N,RR),IF($W$779=5,LOOKUP(MATCH($AG$781,S,-1),N,S),IF($W$779=6,LOOKUP(MATCH($AG$781,T,-1),N,T)))))))</f>
        <v>0</v>
      </c>
      <c r="AJ782" s="5231" t="str">
        <f>CONCATENATE("After Adding Incentive Increments for","  ", AM781, " ,","The Pay becomes")</f>
        <v>After Adding Incentive Increments for  0 ,The Pay becomes</v>
      </c>
      <c r="AK782" s="5232"/>
      <c r="AL782" s="5232"/>
      <c r="AM782" s="5233"/>
      <c r="AN782" s="2210">
        <f>SUM(AN776+AN781*AN780)</f>
        <v>0</v>
      </c>
    </row>
    <row r="783" spans="1:48" ht="27.95" customHeight="1">
      <c r="C783" s="1458"/>
      <c r="E783" s="5317"/>
      <c r="F783" s="5317"/>
      <c r="G783" s="5317"/>
      <c r="H783" s="5317"/>
      <c r="I783" s="2419"/>
      <c r="J783" s="2420"/>
      <c r="K783" s="2212"/>
      <c r="L783" s="2405"/>
      <c r="M783" s="2405"/>
      <c r="P783" s="5221" t="s">
        <v>1450</v>
      </c>
      <c r="Q783" s="5221"/>
      <c r="R783" s="5221"/>
      <c r="S783" s="2402">
        <f>S776</f>
        <v>0</v>
      </c>
      <c r="T783" s="2210" t="b">
        <f>IF($U$777=1,LOOKUP(MATCH($T$782,O,-1),N,O),IF($U$777=2,LOOKUP(MATCH($T$782,P,-1),N,P),IF($U$777=3,LOOKUP(MATCH($T$782,Q,-1),N,Q),IF($U$777=4,LOOKUP(MATCH($T$782,RR,-1),N,RR),IF($U$777=5,LOOKUP(MATCH($T$782,S,-1),N,S),IF($U$777=6,LOOKUP(MATCH($T$782,T,-1),N,T)))))))</f>
        <v>0</v>
      </c>
      <c r="W783" s="766"/>
      <c r="X783" s="1718">
        <v>6</v>
      </c>
      <c r="Y783" s="5300" t="s">
        <v>1427</v>
      </c>
      <c r="Z783" s="5301"/>
      <c r="AA783" s="5301"/>
      <c r="AB783" s="5301"/>
      <c r="AC783" s="5301"/>
      <c r="AD783" s="5301"/>
      <c r="AE783" s="5302"/>
      <c r="AF783" s="3196"/>
      <c r="AG783" s="2298">
        <f>F808</f>
        <v>0</v>
      </c>
      <c r="AJ783" s="5221" t="s">
        <v>1450</v>
      </c>
      <c r="AK783" s="5221"/>
      <c r="AL783" s="5221"/>
      <c r="AM783" s="2402">
        <f>AM776</f>
        <v>0</v>
      </c>
      <c r="AN783" s="2210" t="b">
        <f>IF($AO$777=1,LOOKUP(MATCH($AN$782,O,-1),N,O),IF($AO$777=2,LOOKUP(MATCH($AN$782,P,-1),N,P),IF($AO$777=3,LOOKUP(MATCH($AN$782,Q,-1),N,Q),IF($AO$777=4,LOOKUP(MATCH($AN$782,RR,-1),N,RR),IF($AO$777=5,LOOKUP(MATCH($AN$782,S,-1),N,S),IF($AO$777=6,LOOKUP(MATCH($AN$782,T,-1),N,T)))))))</f>
        <v>0</v>
      </c>
    </row>
    <row r="784" spans="1:48" ht="27.95" customHeight="1">
      <c r="C784" s="2178"/>
      <c r="E784" s="5318"/>
      <c r="F784" s="5318"/>
      <c r="G784" s="5318"/>
      <c r="H784" s="5318"/>
      <c r="I784" s="5318"/>
      <c r="J784" s="2225"/>
      <c r="K784" s="2212"/>
      <c r="L784" s="2403"/>
      <c r="M784" s="2403"/>
    </row>
    <row r="785" spans="3:43" ht="27.95" customHeight="1">
      <c r="C785" s="1458"/>
      <c r="E785" s="5320"/>
      <c r="F785" s="5321"/>
      <c r="G785" s="5321"/>
      <c r="H785" s="5321"/>
      <c r="I785" s="5322"/>
      <c r="J785" s="2393"/>
      <c r="K785" s="2210"/>
      <c r="L785" s="2403"/>
      <c r="M785" s="2403"/>
    </row>
    <row r="786" spans="3:43" ht="27.95" customHeight="1">
      <c r="C786" s="2178"/>
      <c r="E786" s="5323"/>
      <c r="F786" s="5323"/>
      <c r="G786" s="5323"/>
      <c r="H786" s="5323"/>
      <c r="I786" s="5323"/>
      <c r="J786" s="2394"/>
      <c r="K786" s="2210"/>
      <c r="L786" s="2403"/>
      <c r="M786" s="2403"/>
      <c r="O786" s="5221" t="str">
        <f>CONCATENATE("After Sanction of Incentive Increments for"," ", S781," ","Qualification"," .","The Pay  as on"," ",R793, "   ","will be fixed at")</f>
        <v>After Sanction of Incentive Increments for 0 Qualification .The Pay  as on 0-Jan-00   will be fixed at</v>
      </c>
      <c r="P786" s="5221"/>
      <c r="Q786" s="5221"/>
      <c r="R786" s="5221"/>
      <c r="S786" s="5221"/>
      <c r="T786" s="5221"/>
      <c r="U786" s="5221"/>
      <c r="V786" s="1688" t="str">
        <f>CONCATENATE("Rs.",T783)</f>
        <v>Rs.FALSE</v>
      </c>
      <c r="AJ786" s="5221" t="str">
        <f>CONCATENATE("After Sanction of Incentive Increments for"," ", AN774," ","Qualification"," .","The Pay  as on"," ",AL793, "   ","will be fixed at")</f>
        <v>After Sanction of Incentive Increments for 0 Qualification .The Pay  as on 0-Jan-00   will be fixed at</v>
      </c>
      <c r="AK786" s="5221"/>
      <c r="AL786" s="5221"/>
      <c r="AM786" s="5221"/>
      <c r="AN786" s="5221"/>
      <c r="AO786" s="5221"/>
      <c r="AP786" s="5221"/>
      <c r="AQ786" s="1688" t="str">
        <f>CONCATENATE("Rs.",AN783)</f>
        <v>Rs.FALSE</v>
      </c>
    </row>
    <row r="787" spans="3:43" ht="36.75" customHeight="1">
      <c r="C787" s="1458"/>
      <c r="E787" s="5319"/>
      <c r="F787" s="5319"/>
      <c r="G787" s="5319"/>
      <c r="H787" s="5319"/>
      <c r="I787" s="5319"/>
      <c r="J787" s="5319"/>
      <c r="K787" s="5319"/>
      <c r="L787" s="5319"/>
      <c r="M787" s="5319"/>
      <c r="Y787" s="5234" t="str">
        <f>CONCATENATE("In the Pay Scale of","  ",J785,   "(","Academic Level","-",J786,  ")",  " Under CAS in UGC-2016 Pay Scales","    ", "Your Pay will be fixed at"," ",)</f>
        <v xml:space="preserve">In the Pay Scale of  (Academic Level-) Under CAS in UGC-2016 Pay Scales    Your Pay will be fixed at </v>
      </c>
      <c r="Z787" s="5234"/>
      <c r="AA787" s="5234"/>
      <c r="AB787" s="5234"/>
      <c r="AC787" s="5234"/>
      <c r="AD787" s="5234"/>
      <c r="AE787" s="1688" t="str">
        <f>CONCATENATE("Rs."," ",AG782)</f>
        <v>Rs. FALSE</v>
      </c>
      <c r="AF787" s="3071"/>
      <c r="AG787" s="1688" t="str">
        <f>CONCATENATE("w.e.f."," ",AB793)</f>
        <v>w.e.f. 0-Jan-00</v>
      </c>
    </row>
    <row r="788" spans="3:43" ht="27.95" customHeight="1">
      <c r="C788" s="2178"/>
      <c r="E788" s="5227"/>
      <c r="F788" s="5228"/>
      <c r="G788" s="5228"/>
      <c r="H788" s="5228"/>
      <c r="I788" s="5229"/>
      <c r="J788" s="1877"/>
      <c r="K788" s="2397"/>
      <c r="L788" s="2704"/>
      <c r="M788" s="2403"/>
    </row>
    <row r="789" spans="3:43" ht="27.95" customHeight="1">
      <c r="C789" s="1458"/>
      <c r="E789" s="5265"/>
      <c r="F789" s="5266"/>
      <c r="G789" s="5266"/>
      <c r="H789" s="5266"/>
      <c r="I789" s="5267"/>
      <c r="J789" s="706"/>
      <c r="K789" s="2162"/>
      <c r="L789" s="787"/>
      <c r="M789" s="2403"/>
      <c r="Q789" s="710" t="s">
        <v>848</v>
      </c>
      <c r="R789" s="711" t="s">
        <v>849</v>
      </c>
      <c r="S789" s="710" t="s">
        <v>850</v>
      </c>
      <c r="AA789" s="710" t="s">
        <v>848</v>
      </c>
      <c r="AB789" s="711" t="s">
        <v>849</v>
      </c>
      <c r="AC789" s="710" t="s">
        <v>850</v>
      </c>
      <c r="AK789" s="710" t="s">
        <v>848</v>
      </c>
      <c r="AL789" s="711" t="s">
        <v>849</v>
      </c>
      <c r="AM789" s="710" t="s">
        <v>850</v>
      </c>
    </row>
    <row r="790" spans="3:43" ht="27.95" customHeight="1">
      <c r="C790" s="2178"/>
      <c r="E790" s="5259"/>
      <c r="F790" s="5260"/>
      <c r="G790" s="5260"/>
      <c r="H790" s="5260"/>
      <c r="I790" s="5261"/>
      <c r="J790" s="745"/>
      <c r="K790" s="2122"/>
      <c r="L790" s="627"/>
      <c r="M790" s="2403"/>
      <c r="Q790" s="710">
        <f>J775</f>
        <v>0</v>
      </c>
      <c r="R790" s="662">
        <f>MONTH(K775)</f>
        <v>1</v>
      </c>
      <c r="S790" s="662" t="str">
        <f>RIGHT(YEAR(K775),2)</f>
        <v>00</v>
      </c>
      <c r="AA790" s="710">
        <f>J782</f>
        <v>0</v>
      </c>
      <c r="AB790" s="662">
        <f>MONTH(K782)</f>
        <v>1</v>
      </c>
      <c r="AC790" s="662" t="str">
        <f>RIGHT(YEAR(K782),2)</f>
        <v>00</v>
      </c>
      <c r="AK790" s="710">
        <f>J792</f>
        <v>0</v>
      </c>
      <c r="AL790" s="662">
        <f>MONTH(K792)</f>
        <v>1</v>
      </c>
      <c r="AM790" s="662" t="str">
        <f>RIGHT(YEAR(K792),2)</f>
        <v>00</v>
      </c>
    </row>
    <row r="791" spans="3:43" ht="27.95" customHeight="1">
      <c r="C791" s="1458"/>
      <c r="E791" s="5212"/>
      <c r="F791" s="5213"/>
      <c r="G791" s="5213"/>
      <c r="H791" s="5213"/>
      <c r="I791" s="5214"/>
      <c r="J791" s="2127"/>
      <c r="K791" s="761"/>
      <c r="L791" s="788"/>
      <c r="M791" s="2403"/>
      <c r="Q791" s="710">
        <f>Q790</f>
        <v>0</v>
      </c>
      <c r="R791" s="710" t="str">
        <f>LOOKUP(R790,$AE$21:$AE$32,$AG$21:$AG$32)</f>
        <v>Jan</v>
      </c>
      <c r="S791" s="710" t="str">
        <f>S790</f>
        <v>00</v>
      </c>
      <c r="AA791" s="710">
        <f>AA790</f>
        <v>0</v>
      </c>
      <c r="AB791" s="710" t="str">
        <f>LOOKUP(AB790,$AE$21:$AE$32,$AG$21:$AG$32)</f>
        <v>Jan</v>
      </c>
      <c r="AC791" s="710" t="str">
        <f>AC790</f>
        <v>00</v>
      </c>
      <c r="AK791" s="710">
        <f>AK790</f>
        <v>0</v>
      </c>
      <c r="AL791" s="710" t="str">
        <f>LOOKUP(AL790,$AE$21:$AE$32,$AG$21:$AG$32)</f>
        <v>Jan</v>
      </c>
      <c r="AM791" s="710" t="str">
        <f>AM790</f>
        <v>00</v>
      </c>
    </row>
    <row r="792" spans="3:43" ht="27.95" customHeight="1">
      <c r="C792" s="2178"/>
      <c r="E792" s="5268"/>
      <c r="F792" s="5269"/>
      <c r="G792" s="5269"/>
      <c r="H792" s="5269"/>
      <c r="I792" s="5270"/>
      <c r="J792" s="2163"/>
      <c r="K792" s="2398"/>
      <c r="L792" s="652"/>
      <c r="M792" s="2403"/>
    </row>
    <row r="793" spans="3:43" ht="27.95" customHeight="1">
      <c r="C793" s="1458"/>
      <c r="E793" s="5313"/>
      <c r="F793" s="5313"/>
      <c r="G793" s="5313"/>
      <c r="H793" s="5313"/>
      <c r="I793" s="2399"/>
      <c r="J793" s="2400"/>
      <c r="K793" s="1293"/>
      <c r="L793" s="1293"/>
      <c r="M793" s="2403"/>
      <c r="R793" s="2694" t="str">
        <f>CONCATENATE(Q791,"-",R791,"-",S791)</f>
        <v>0-Jan-00</v>
      </c>
      <c r="AB793" s="709" t="str">
        <f>CONCATENATE(AA791,"-",AB791,"-",AC791)</f>
        <v>0-Jan-00</v>
      </c>
      <c r="AL793" s="709" t="str">
        <f>CONCATENATE(AK791,"-",AL791,"-",AM791)</f>
        <v>0-Jan-00</v>
      </c>
    </row>
    <row r="794" spans="3:43" ht="27.95" customHeight="1">
      <c r="C794" s="2178"/>
      <c r="E794" s="2403"/>
      <c r="F794" s="2403"/>
      <c r="G794" s="2403"/>
      <c r="H794" s="2403"/>
      <c r="I794" s="2403"/>
      <c r="J794" s="2403"/>
      <c r="K794" s="2403"/>
      <c r="L794" s="2403"/>
      <c r="M794" s="2403"/>
    </row>
    <row r="795" spans="3:43" ht="27.95" customHeight="1">
      <c r="C795" s="1458"/>
    </row>
    <row r="796" spans="3:43" ht="27.95" customHeight="1">
      <c r="C796" s="2178"/>
    </row>
    <row r="797" spans="3:43" ht="27.95" customHeight="1">
      <c r="C797" s="1458"/>
    </row>
    <row r="798" spans="3:43" ht="27.95" customHeight="1">
      <c r="C798" s="2178"/>
    </row>
    <row r="799" spans="3:43" ht="27.95" customHeight="1">
      <c r="C799" s="1458"/>
    </row>
    <row r="800" spans="3:43" ht="27.95" customHeight="1">
      <c r="C800" s="2178"/>
    </row>
    <row r="801" spans="3:14" ht="27.95" customHeight="1">
      <c r="C801" s="1458"/>
    </row>
    <row r="804" spans="3:14" ht="27.95" customHeight="1">
      <c r="D804" s="1474"/>
      <c r="E804" s="1474"/>
      <c r="F804" s="1474"/>
      <c r="G804" s="1474"/>
      <c r="H804" s="1474"/>
      <c r="I804" s="1474"/>
      <c r="J804" s="1474"/>
      <c r="K804" s="1474"/>
      <c r="L804" s="1474"/>
      <c r="M804" s="1474"/>
      <c r="N804" s="1474"/>
    </row>
    <row r="805" spans="3:14" ht="27.95" customHeight="1">
      <c r="D805" s="1474"/>
      <c r="E805" s="1474"/>
      <c r="F805" s="1474"/>
      <c r="G805" s="1474"/>
      <c r="H805" s="1474"/>
      <c r="I805" s="1474"/>
      <c r="J805" s="1474"/>
      <c r="K805" s="1474"/>
      <c r="L805" s="1474"/>
      <c r="M805" s="1474"/>
      <c r="N805" s="1474"/>
    </row>
    <row r="806" spans="3:14" ht="27.95" customHeight="1" thickBot="1">
      <c r="D806" s="1474"/>
      <c r="E806" s="1474"/>
      <c r="F806" s="1474"/>
      <c r="G806" s="1474"/>
      <c r="H806" s="1474"/>
      <c r="I806" s="1474"/>
      <c r="J806" s="1474"/>
      <c r="K806" s="1474"/>
      <c r="L806" s="1474"/>
      <c r="M806" s="1474"/>
      <c r="N806" s="1474"/>
    </row>
    <row r="807" spans="3:14" ht="27.95" customHeight="1" thickBot="1">
      <c r="C807" s="5716"/>
      <c r="D807" s="5717"/>
      <c r="E807" s="5718"/>
      <c r="F807" s="2421"/>
      <c r="G807" s="1474"/>
      <c r="H807" s="1474"/>
      <c r="I807" s="1474"/>
      <c r="J807" s="1474"/>
      <c r="K807" s="1474"/>
      <c r="L807" s="1474"/>
      <c r="M807" s="1474"/>
      <c r="N807" s="1474"/>
    </row>
    <row r="808" spans="3:14" ht="27.95" customHeight="1" thickBot="1">
      <c r="C808" s="5716"/>
      <c r="D808" s="5717"/>
      <c r="E808" s="5718"/>
      <c r="F808" s="2285"/>
      <c r="G808" s="1474"/>
      <c r="H808" s="1474"/>
      <c r="I808" s="1474"/>
      <c r="J808" s="1474"/>
      <c r="K808" s="1474"/>
      <c r="L808" s="1474"/>
      <c r="M808" s="1474"/>
      <c r="N808" s="1474"/>
    </row>
    <row r="809" spans="3:14" ht="27.95" customHeight="1">
      <c r="D809" s="1474"/>
      <c r="E809" s="1474"/>
      <c r="F809" s="1474"/>
      <c r="G809" s="1474"/>
      <c r="H809" s="1474"/>
      <c r="I809" s="1474"/>
      <c r="J809" s="1474"/>
      <c r="K809" s="1474"/>
      <c r="L809" s="1474"/>
      <c r="M809" s="1474"/>
      <c r="N809" s="1474"/>
    </row>
    <row r="810" spans="3:14" ht="27.95" customHeight="1">
      <c r="C810" s="2214"/>
      <c r="D810" s="2284"/>
      <c r="E810" s="2212"/>
      <c r="F810" s="1474"/>
      <c r="G810" s="1474"/>
      <c r="H810" s="1474"/>
      <c r="I810" s="1474"/>
      <c r="J810" s="1474"/>
      <c r="K810" s="1474"/>
      <c r="L810" s="1474"/>
      <c r="M810" s="1474"/>
      <c r="N810" s="1474"/>
    </row>
    <row r="811" spans="3:14" ht="27.95" customHeight="1">
      <c r="C811" s="2214"/>
      <c r="D811" s="2284"/>
      <c r="E811" s="2217"/>
      <c r="F811" s="1474"/>
      <c r="G811" s="2326"/>
      <c r="H811" s="2258"/>
      <c r="I811" s="2258"/>
      <c r="J811" s="2258"/>
      <c r="K811" s="1468"/>
      <c r="L811" s="2259"/>
      <c r="M811" s="1474"/>
      <c r="N811" s="1474"/>
    </row>
    <row r="812" spans="3:14" ht="27.95" customHeight="1">
      <c r="C812" s="2214"/>
      <c r="D812" s="2284"/>
      <c r="E812" s="2212"/>
      <c r="F812" s="1474"/>
      <c r="G812" s="1474"/>
      <c r="H812" s="1474"/>
      <c r="I812" s="1474"/>
      <c r="J812" s="1474"/>
      <c r="K812" s="1474"/>
      <c r="L812" s="1474"/>
      <c r="M812" s="1474"/>
      <c r="N812" s="1474"/>
    </row>
    <row r="814" spans="3:14" ht="27.95" customHeight="1">
      <c r="D814" s="2264"/>
      <c r="H814" s="2258"/>
      <c r="I814" s="2258"/>
      <c r="J814" s="2258"/>
      <c r="L814" s="2259"/>
    </row>
    <row r="815" spans="3:14" ht="27.95" customHeight="1">
      <c r="H815" s="2258"/>
      <c r="I815" s="2258"/>
      <c r="J815" s="2258"/>
      <c r="L815" s="2259"/>
    </row>
    <row r="816" spans="3:14" ht="27.95" customHeight="1">
      <c r="D816" s="2422"/>
      <c r="E816" s="2423"/>
    </row>
    <row r="845" spans="4:14" ht="27.95" customHeight="1">
      <c r="D845" s="2212"/>
      <c r="E845" s="2212"/>
      <c r="F845" s="2212"/>
      <c r="H845" s="2212"/>
      <c r="I845" s="2212"/>
      <c r="J845" s="2212"/>
      <c r="L845" s="2212"/>
      <c r="M845" s="2212"/>
      <c r="N845" s="2212"/>
    </row>
    <row r="846" spans="4:14" ht="27.95" customHeight="1">
      <c r="D846" s="1688"/>
      <c r="E846" s="2300"/>
      <c r="F846" s="2210"/>
      <c r="H846" s="1688"/>
      <c r="I846" s="2300"/>
      <c r="J846" s="2210"/>
      <c r="L846" s="1688"/>
      <c r="M846" s="2300"/>
      <c r="N846" s="2210"/>
    </row>
    <row r="847" spans="4:14" ht="27.95" customHeight="1">
      <c r="D847" s="5222"/>
      <c r="E847" s="5222"/>
      <c r="F847" s="1688"/>
      <c r="H847" s="5222"/>
      <c r="I847" s="5222"/>
      <c r="J847" s="1688"/>
      <c r="L847" s="5222"/>
      <c r="M847" s="5222"/>
      <c r="N847" s="1688"/>
    </row>
    <row r="848" spans="4:14" ht="27.95" customHeight="1">
      <c r="D848" s="5222"/>
      <c r="E848" s="5222"/>
      <c r="F848" s="1688"/>
      <c r="H848" s="5222"/>
      <c r="I848" s="5222"/>
      <c r="J848" s="1688"/>
      <c r="L848" s="5222"/>
      <c r="M848" s="5222"/>
      <c r="N848" s="1688"/>
    </row>
    <row r="851" spans="3:77" ht="27.95" customHeight="1">
      <c r="D851" s="2212"/>
      <c r="E851" s="2378"/>
      <c r="F851" s="2212"/>
      <c r="H851" s="2212"/>
      <c r="I851" s="2378"/>
      <c r="J851" s="2212"/>
      <c r="L851" s="2212"/>
      <c r="M851" s="2378"/>
      <c r="N851" s="2212"/>
    </row>
    <row r="852" spans="3:77" ht="27.95" customHeight="1">
      <c r="D852" s="2212"/>
      <c r="E852" s="2378"/>
      <c r="F852" s="2212"/>
      <c r="H852" s="2212"/>
      <c r="I852" s="2378"/>
      <c r="J852" s="2212"/>
      <c r="L852" s="2212"/>
      <c r="M852" s="2378"/>
      <c r="N852" s="2212"/>
    </row>
    <row r="854" spans="3:77" ht="27.95" customHeight="1">
      <c r="D854" s="2212"/>
      <c r="E854" s="2378"/>
      <c r="F854" s="2212"/>
      <c r="H854" s="2212"/>
      <c r="I854" s="2378"/>
      <c r="J854" s="2212"/>
      <c r="L854" s="2212"/>
      <c r="M854" s="2378"/>
      <c r="N854" s="2212"/>
    </row>
    <row r="855" spans="3:77" ht="27.95" customHeight="1">
      <c r="D855" s="2212"/>
      <c r="E855" s="2378"/>
      <c r="F855" s="2212"/>
      <c r="H855" s="2212"/>
      <c r="I855" s="2378"/>
      <c r="J855" s="2212"/>
      <c r="L855" s="2212"/>
      <c r="M855" s="2378"/>
      <c r="N855" s="2212"/>
    </row>
    <row r="856" spans="3:77" ht="27.95" customHeight="1">
      <c r="D856" s="2322"/>
      <c r="E856" s="2404"/>
      <c r="F856" s="2404"/>
    </row>
    <row r="857" spans="3:77" ht="27.95" customHeight="1">
      <c r="C857" s="942"/>
      <c r="D857" s="942"/>
      <c r="E857" s="942"/>
      <c r="F857" s="2693"/>
      <c r="G857" s="942"/>
      <c r="H857" s="942"/>
      <c r="I857" s="942"/>
      <c r="J857" s="942"/>
      <c r="K857" s="942"/>
      <c r="L857" s="942"/>
      <c r="M857" s="942"/>
      <c r="N857" s="942"/>
      <c r="O857" s="2691"/>
      <c r="P857" s="942"/>
      <c r="Q857" s="942"/>
      <c r="R857" s="942"/>
      <c r="S857" s="942"/>
      <c r="T857" s="942"/>
      <c r="U857" s="942"/>
      <c r="V857" s="942"/>
      <c r="W857" s="942"/>
      <c r="X857" s="2691"/>
      <c r="Y857" s="942"/>
      <c r="Z857" s="942"/>
      <c r="AA857" s="942"/>
      <c r="AB857" s="942"/>
      <c r="AC857" s="942"/>
      <c r="AD857" s="942"/>
      <c r="AE857" s="942"/>
      <c r="AF857" s="942"/>
      <c r="AG857" s="942"/>
      <c r="AH857" s="942"/>
      <c r="AI857" s="942"/>
      <c r="AJ857" s="942"/>
      <c r="AK857" s="942"/>
      <c r="AL857" s="942"/>
      <c r="AM857" s="942"/>
      <c r="AN857" s="942"/>
      <c r="AO857" s="942"/>
      <c r="AP857" s="942"/>
      <c r="AQ857" s="942"/>
      <c r="AR857" s="942"/>
      <c r="AS857" s="942"/>
      <c r="AT857" s="942"/>
      <c r="AU857" s="942"/>
      <c r="AV857" s="942"/>
      <c r="AW857" s="942"/>
      <c r="AX857" s="942"/>
      <c r="AY857" s="942"/>
      <c r="AZ857" s="942"/>
      <c r="BA857" s="942"/>
      <c r="BB857" s="942"/>
      <c r="BC857" s="942"/>
      <c r="BD857" s="942"/>
      <c r="BE857" s="942"/>
      <c r="BF857" s="942"/>
      <c r="BG857" s="942"/>
      <c r="BH857" s="942"/>
      <c r="BI857" s="942"/>
      <c r="BJ857" s="942"/>
      <c r="BK857" s="942"/>
      <c r="BL857" s="942"/>
      <c r="BM857" s="942"/>
      <c r="BN857" s="942"/>
      <c r="BO857" s="942"/>
      <c r="BP857" s="942"/>
      <c r="BQ857" s="942"/>
      <c r="BR857" s="942"/>
      <c r="BS857" s="942"/>
      <c r="BT857" s="942"/>
      <c r="BU857" s="942"/>
      <c r="BV857" s="942"/>
      <c r="BW857" s="942"/>
      <c r="BX857" s="942"/>
    </row>
    <row r="858" spans="3:77" ht="27.95" customHeight="1">
      <c r="C858" s="1699"/>
      <c r="D858" s="1699"/>
      <c r="E858" s="1699"/>
      <c r="F858" s="2692"/>
      <c r="G858" s="1699"/>
      <c r="H858" s="1699"/>
      <c r="I858" s="1699"/>
      <c r="J858" s="1699"/>
      <c r="K858" s="1699"/>
      <c r="L858" s="1699"/>
      <c r="M858" s="1699"/>
      <c r="N858" s="1699"/>
      <c r="O858" s="2692"/>
      <c r="P858" s="1699"/>
      <c r="Q858" s="1699"/>
      <c r="R858" s="1699"/>
      <c r="S858" s="1699"/>
      <c r="T858" s="1699"/>
      <c r="U858" s="1699"/>
      <c r="V858" s="1699"/>
      <c r="W858" s="1699"/>
      <c r="X858" s="2692"/>
      <c r="Y858" s="1699"/>
      <c r="Z858" s="1699"/>
      <c r="AA858" s="1699"/>
      <c r="AB858" s="1699"/>
      <c r="AC858" s="1699"/>
      <c r="AD858" s="1699"/>
      <c r="AE858" s="1699"/>
      <c r="AF858" s="1699"/>
      <c r="AG858" s="1699"/>
      <c r="AH858" s="1699"/>
      <c r="AI858" s="1699"/>
      <c r="AJ858" s="1699"/>
      <c r="AK858" s="1699"/>
      <c r="AL858" s="1699"/>
      <c r="AM858" s="1699"/>
      <c r="AN858" s="1699"/>
      <c r="AO858" s="1699"/>
      <c r="AP858" s="1699"/>
      <c r="AQ858" s="1699"/>
      <c r="AR858" s="1699"/>
      <c r="AS858" s="1699"/>
      <c r="AT858" s="1699"/>
      <c r="AU858" s="1699"/>
      <c r="AV858" s="1699"/>
      <c r="AW858" s="1699"/>
      <c r="AX858" s="1699"/>
      <c r="AY858" s="1699"/>
      <c r="AZ858" s="1699"/>
      <c r="BA858" s="1699"/>
      <c r="BB858" s="1699"/>
      <c r="BC858" s="1699"/>
      <c r="BD858" s="1699"/>
      <c r="BE858" s="1699"/>
      <c r="BF858" s="1699"/>
      <c r="BG858" s="1699"/>
      <c r="BH858" s="1699"/>
      <c r="BI858" s="1699"/>
      <c r="BJ858" s="1699"/>
      <c r="BK858" s="1699"/>
      <c r="BL858" s="1699"/>
      <c r="BM858" s="1699"/>
      <c r="BN858" s="1699"/>
      <c r="BO858" s="1699"/>
      <c r="BP858" s="1699"/>
      <c r="BQ858" s="1699"/>
      <c r="BR858" s="1699"/>
      <c r="BS858" s="1699"/>
      <c r="BT858" s="1699"/>
      <c r="BU858" s="1699"/>
      <c r="BV858" s="1699"/>
      <c r="BW858" s="1699"/>
      <c r="BX858" s="1699"/>
      <c r="BY858" s="1699"/>
    </row>
    <row r="859" spans="3:77" ht="27.95" customHeight="1">
      <c r="F859" s="2701"/>
      <c r="O859" s="2703"/>
      <c r="X859" s="2703"/>
    </row>
    <row r="860" spans="3:77" ht="27.95" customHeight="1">
      <c r="F860" s="2702"/>
      <c r="X860" s="2702"/>
    </row>
    <row r="862" spans="3:77" ht="27.95" customHeight="1">
      <c r="D862" s="5741"/>
      <c r="E862" s="2690"/>
      <c r="F862" s="2690"/>
      <c r="G862" s="2690"/>
      <c r="H862" s="5742"/>
      <c r="I862" s="2690"/>
      <c r="J862" s="2690"/>
      <c r="K862" s="2690"/>
      <c r="M862" s="5741"/>
      <c r="N862" s="2690"/>
      <c r="O862" s="2690"/>
      <c r="P862" s="2690"/>
      <c r="Q862" s="5742"/>
      <c r="R862" s="2690"/>
      <c r="S862" s="2690"/>
      <c r="T862" s="2690"/>
      <c r="V862" s="5741"/>
      <c r="W862" s="2690"/>
      <c r="X862" s="2690"/>
      <c r="Y862" s="2690"/>
      <c r="Z862" s="5742"/>
      <c r="AA862" s="2690"/>
      <c r="AB862" s="2690"/>
      <c r="AC862" s="2690"/>
    </row>
    <row r="863" spans="3:77" ht="27.95" customHeight="1">
      <c r="D863" s="5741"/>
      <c r="E863" s="2690"/>
      <c r="F863" s="2690"/>
      <c r="G863" s="2690"/>
      <c r="H863" s="5743"/>
      <c r="I863" s="2690"/>
      <c r="J863" s="2690"/>
      <c r="K863" s="2690"/>
      <c r="M863" s="5741"/>
      <c r="N863" s="2690"/>
      <c r="O863" s="2690"/>
      <c r="P863" s="2690"/>
      <c r="Q863" s="5743"/>
      <c r="R863" s="2690"/>
      <c r="S863" s="2690"/>
      <c r="T863" s="2690"/>
      <c r="V863" s="5741"/>
      <c r="W863" s="2690"/>
      <c r="X863" s="2690"/>
      <c r="Y863" s="2690"/>
      <c r="Z863" s="5743"/>
      <c r="AA863" s="2690"/>
      <c r="AB863" s="2690"/>
      <c r="AC863" s="2690"/>
    </row>
    <row r="864" spans="3:77" ht="27.95" customHeight="1">
      <c r="D864" s="5741"/>
      <c r="E864" s="2690"/>
      <c r="F864" s="2690"/>
      <c r="G864" s="2690"/>
      <c r="H864" s="5744"/>
      <c r="I864" s="2690"/>
      <c r="J864" s="2690"/>
      <c r="K864" s="2690"/>
      <c r="M864" s="5741"/>
      <c r="N864" s="2690"/>
      <c r="O864" s="2690"/>
      <c r="P864" s="2690"/>
      <c r="Q864" s="5744"/>
      <c r="R864" s="2690"/>
      <c r="S864" s="2690"/>
      <c r="T864" s="2690"/>
      <c r="V864" s="5741"/>
      <c r="W864" s="2690"/>
      <c r="X864" s="2690"/>
      <c r="Y864" s="2690"/>
      <c r="Z864" s="5744"/>
      <c r="AA864" s="2690"/>
      <c r="AB864" s="2690"/>
      <c r="AC864" s="2690"/>
    </row>
    <row r="867" spans="4:29" ht="27.95" customHeight="1">
      <c r="D867" s="5741"/>
      <c r="E867" s="2690"/>
      <c r="F867" s="2690"/>
      <c r="G867" s="2690"/>
      <c r="H867" s="5742"/>
      <c r="I867" s="2690"/>
      <c r="J867" s="2690"/>
      <c r="K867" s="2690"/>
      <c r="M867" s="5741"/>
      <c r="N867" s="2690"/>
      <c r="O867" s="2690"/>
      <c r="P867" s="2690"/>
      <c r="Q867" s="5742"/>
      <c r="R867" s="2690"/>
      <c r="S867" s="2690"/>
      <c r="T867" s="2690"/>
      <c r="V867" s="5741"/>
      <c r="W867" s="2690"/>
      <c r="X867" s="2690"/>
      <c r="Y867" s="2690"/>
      <c r="Z867" s="5742"/>
      <c r="AA867" s="2690"/>
      <c r="AB867" s="2690"/>
      <c r="AC867" s="2690"/>
    </row>
    <row r="868" spans="4:29" ht="27.95" customHeight="1">
      <c r="D868" s="5741"/>
      <c r="E868" s="2690"/>
      <c r="F868" s="2690"/>
      <c r="G868" s="2690"/>
      <c r="H868" s="5743"/>
      <c r="I868" s="2690"/>
      <c r="J868" s="2690"/>
      <c r="K868" s="2690"/>
      <c r="M868" s="5741"/>
      <c r="N868" s="2690"/>
      <c r="O868" s="2690"/>
      <c r="P868" s="2690"/>
      <c r="Q868" s="5743"/>
      <c r="R868" s="2690"/>
      <c r="S868" s="2690"/>
      <c r="T868" s="2690"/>
      <c r="V868" s="5741"/>
      <c r="W868" s="2690"/>
      <c r="X868" s="2690"/>
      <c r="Y868" s="2690"/>
      <c r="Z868" s="5743"/>
      <c r="AA868" s="2690"/>
      <c r="AB868" s="2690"/>
      <c r="AC868" s="2690"/>
    </row>
    <row r="869" spans="4:29" ht="27.95" customHeight="1">
      <c r="D869" s="5741"/>
      <c r="E869" s="2690"/>
      <c r="F869" s="2690"/>
      <c r="G869" s="2690"/>
      <c r="H869" s="5744"/>
      <c r="I869" s="2690"/>
      <c r="J869" s="2690"/>
      <c r="K869" s="2690"/>
      <c r="M869" s="5741"/>
      <c r="N869" s="2690"/>
      <c r="O869" s="2690"/>
      <c r="P869" s="2690"/>
      <c r="Q869" s="5744"/>
      <c r="R869" s="2690"/>
      <c r="S869" s="2690"/>
      <c r="T869" s="2690"/>
      <c r="V869" s="5741"/>
      <c r="W869" s="2690"/>
      <c r="X869" s="2690"/>
      <c r="Y869" s="2690"/>
      <c r="Z869" s="5744"/>
      <c r="AA869" s="2690"/>
      <c r="AB869" s="2690"/>
      <c r="AC869" s="2690"/>
    </row>
    <row r="870" spans="4:29" ht="29.25" customHeight="1"/>
    <row r="871" spans="4:29" ht="49.5" customHeight="1">
      <c r="F871" s="2699"/>
      <c r="G871" s="2697"/>
      <c r="H871" s="2695"/>
      <c r="O871" s="2699"/>
      <c r="P871" s="2697"/>
      <c r="Q871" s="2695"/>
      <c r="X871" s="2699"/>
      <c r="Y871" s="2697"/>
      <c r="Z871" s="2695"/>
    </row>
    <row r="872" spans="4:29" ht="57" customHeight="1">
      <c r="F872" s="2700"/>
      <c r="G872" s="2698"/>
      <c r="H872" s="2696"/>
      <c r="O872" s="2700"/>
      <c r="P872" s="2698"/>
      <c r="Q872" s="2696"/>
      <c r="X872" s="2700"/>
      <c r="Y872" s="2698"/>
      <c r="Z872" s="2696"/>
    </row>
    <row r="873" spans="4:29" ht="33.75" customHeight="1">
      <c r="E873" s="955"/>
      <c r="F873" s="955"/>
      <c r="N873" s="955"/>
      <c r="O873" s="955"/>
      <c r="W873" s="955"/>
      <c r="X873" s="955"/>
    </row>
    <row r="874" spans="4:29" ht="27.95" customHeight="1">
      <c r="E874" s="856"/>
      <c r="F874" s="856"/>
    </row>
    <row r="915" spans="1:73" s="833" customFormat="1" ht="35.25" customHeight="1">
      <c r="A915" s="934"/>
      <c r="B915" s="935"/>
      <c r="G915" s="5745" t="s">
        <v>1603</v>
      </c>
      <c r="H915" s="5745"/>
      <c r="I915" s="5745"/>
      <c r="J915" s="5745"/>
      <c r="U915" s="5780" t="s">
        <v>1613</v>
      </c>
      <c r="V915" s="5780"/>
      <c r="W915" s="5780"/>
      <c r="X915" s="5780"/>
      <c r="Y915" s="5780"/>
      <c r="Z915" s="5780"/>
      <c r="AA915" s="5780"/>
      <c r="AI915" s="844"/>
      <c r="AL915" s="5205" t="s">
        <v>1621</v>
      </c>
      <c r="AM915" s="5205"/>
      <c r="AN915" s="5205"/>
      <c r="AO915" s="5205"/>
      <c r="AP915" s="5205"/>
      <c r="AQ915" s="5205"/>
      <c r="AR915" s="5205"/>
      <c r="BC915" s="5205" t="s">
        <v>1693</v>
      </c>
      <c r="BD915" s="5205"/>
      <c r="BE915" s="5205"/>
      <c r="BF915" s="5205"/>
      <c r="BG915" s="5205"/>
      <c r="BH915" s="5205"/>
      <c r="BI915" s="5205"/>
    </row>
    <row r="916" spans="1:73" s="833" customFormat="1" ht="27.95" customHeight="1">
      <c r="A916" s="934"/>
      <c r="B916" s="935"/>
      <c r="C916" s="941"/>
      <c r="D916" s="941"/>
      <c r="E916" s="941"/>
      <c r="F916" s="941"/>
      <c r="G916" s="941"/>
      <c r="H916" s="941"/>
      <c r="I916" s="941"/>
      <c r="J916" s="941"/>
      <c r="K916" s="941"/>
      <c r="L916" s="941"/>
      <c r="M916" s="941"/>
      <c r="N916" s="941"/>
      <c r="O916" s="941"/>
      <c r="P916" s="941"/>
      <c r="Q916" s="941"/>
      <c r="R916" s="941"/>
      <c r="S916" s="941"/>
      <c r="T916" s="941"/>
      <c r="U916" s="941"/>
      <c r="V916" s="941"/>
      <c r="W916" s="941"/>
      <c r="X916" s="941"/>
      <c r="Y916" s="941"/>
      <c r="Z916" s="941"/>
      <c r="AA916" s="941"/>
      <c r="AB916" s="941"/>
      <c r="AC916" s="941"/>
      <c r="AD916" s="941"/>
      <c r="AE916" s="941"/>
      <c r="AF916" s="941"/>
      <c r="AG916" s="941"/>
      <c r="AH916" s="941"/>
      <c r="AI916" s="844"/>
      <c r="AJ916" s="941"/>
      <c r="AK916" s="941"/>
      <c r="AL916" s="941"/>
      <c r="AM916" s="941"/>
      <c r="AN916" s="941"/>
      <c r="AO916" s="941"/>
      <c r="AP916" s="941"/>
      <c r="AQ916" s="941"/>
      <c r="AR916" s="941"/>
      <c r="AS916" s="941"/>
      <c r="AT916" s="941"/>
      <c r="AU916" s="941"/>
      <c r="AV916" s="941"/>
      <c r="AW916" s="941"/>
      <c r="AX916" s="941"/>
      <c r="AY916" s="941"/>
      <c r="AZ916" s="941"/>
      <c r="BA916" s="941"/>
      <c r="BB916" s="941"/>
      <c r="BC916" s="941"/>
      <c r="BD916" s="941"/>
      <c r="BE916" s="941"/>
      <c r="BF916" s="941"/>
      <c r="BG916" s="941"/>
      <c r="BH916" s="941"/>
      <c r="BI916" s="941"/>
      <c r="BJ916" s="941"/>
      <c r="BK916" s="941"/>
      <c r="BL916" s="941"/>
      <c r="BM916" s="941"/>
      <c r="BN916" s="941"/>
      <c r="BO916" s="941"/>
      <c r="BP916" s="941"/>
      <c r="BQ916" s="941"/>
      <c r="BR916" s="941"/>
      <c r="BS916" s="941"/>
      <c r="BT916" s="941"/>
      <c r="BU916" s="941"/>
    </row>
    <row r="917" spans="1:73" ht="33.75" customHeight="1">
      <c r="C917" s="3151"/>
      <c r="D917" s="3151"/>
      <c r="E917" s="5729" t="s">
        <v>1608</v>
      </c>
      <c r="F917" s="5729"/>
      <c r="G917" s="5729"/>
      <c r="H917" s="5729"/>
      <c r="I917" s="5729"/>
      <c r="J917" s="3118" t="str">
        <f>LOOKUP(K917,$AE$14:$AE$15,$AG$14:$AG$15)</f>
        <v>No</v>
      </c>
      <c r="K917" s="2703">
        <v>1</v>
      </c>
      <c r="L917" s="1461"/>
      <c r="M917" s="1461"/>
      <c r="N917" s="1461"/>
      <c r="O917" s="3143"/>
      <c r="P917" s="840"/>
      <c r="Q917" s="840"/>
      <c r="R917" s="1699"/>
      <c r="S917" s="840"/>
      <c r="T917" s="840"/>
      <c r="U917" s="5206" t="s">
        <v>1614</v>
      </c>
      <c r="V917" s="5207"/>
      <c r="W917" s="5207"/>
      <c r="X917" s="5207"/>
      <c r="Y917" s="5208"/>
      <c r="Z917" s="3118" t="str">
        <f>LOOKUP(AA917,$AE$14:$AE$15,$AG$14:$AG$15)</f>
        <v>No</v>
      </c>
      <c r="AA917" s="2703">
        <v>1</v>
      </c>
      <c r="AB917" s="1461"/>
      <c r="AC917" s="3143"/>
      <c r="AD917" s="840"/>
      <c r="AE917" s="840"/>
      <c r="AF917" s="840"/>
      <c r="AG917" s="840"/>
      <c r="AH917" s="840"/>
      <c r="AI917" s="844"/>
      <c r="AJ917" s="840"/>
      <c r="AK917" s="840"/>
      <c r="AL917" s="5206" t="s">
        <v>1622</v>
      </c>
      <c r="AM917" s="5207"/>
      <c r="AN917" s="5207"/>
      <c r="AO917" s="5207"/>
      <c r="AP917" s="5208"/>
      <c r="AQ917" s="3118" t="str">
        <f>LOOKUP(AR917,$AE$14:$AE$15,$AG$14:$AG$15)</f>
        <v>No</v>
      </c>
      <c r="AR917" s="2703">
        <v>1</v>
      </c>
      <c r="AS917" s="1461"/>
      <c r="AT917" s="3143"/>
      <c r="AU917" s="840"/>
      <c r="AV917" s="840"/>
      <c r="AW917" s="840"/>
      <c r="AX917" s="840"/>
      <c r="AY917" s="840"/>
      <c r="AZ917" s="942"/>
      <c r="BA917" s="840"/>
      <c r="BB917" s="840"/>
      <c r="BC917" s="5206" t="s">
        <v>1691</v>
      </c>
      <c r="BD917" s="5207"/>
      <c r="BE917" s="5207"/>
      <c r="BF917" s="5207"/>
      <c r="BG917" s="5208"/>
      <c r="BH917" s="3118" t="str">
        <f>LOOKUP(BI917,$AE$14:$AE$15,$AG$14:$AG$15)</f>
        <v>No</v>
      </c>
      <c r="BI917" s="2703">
        <v>1</v>
      </c>
      <c r="BJ917" s="1461"/>
      <c r="BK917" s="3143"/>
      <c r="BL917" s="840"/>
      <c r="BM917" s="840"/>
      <c r="BN917" s="840"/>
      <c r="BO917" s="840"/>
      <c r="BP917" s="840"/>
      <c r="BQ917" s="942"/>
    </row>
    <row r="918" spans="1:73" ht="40.5" customHeight="1">
      <c r="C918" s="3119"/>
      <c r="D918" s="3119"/>
      <c r="E918" s="3153"/>
      <c r="F918" s="3154"/>
      <c r="G918" s="3154"/>
      <c r="H918" s="3154"/>
      <c r="I918" s="3155"/>
      <c r="J918" s="1569"/>
      <c r="K918" s="1569">
        <v>204</v>
      </c>
      <c r="L918" s="1569"/>
      <c r="M918" s="3120">
        <v>214</v>
      </c>
      <c r="N918" s="3119"/>
      <c r="O918" s="3144"/>
      <c r="P918" s="831"/>
      <c r="Q918" s="831"/>
      <c r="R918" s="1699"/>
      <c r="S918" s="831"/>
      <c r="T918" s="831"/>
      <c r="U918" s="3153"/>
      <c r="V918" s="3154"/>
      <c r="W918" s="3154"/>
      <c r="X918" s="3154"/>
      <c r="Y918" s="3155"/>
      <c r="Z918" s="1569"/>
      <c r="AA918" s="1569">
        <v>8</v>
      </c>
      <c r="AB918" s="1569"/>
      <c r="AC918" s="3120">
        <v>11</v>
      </c>
      <c r="AD918" s="831"/>
      <c r="AE918" s="831"/>
      <c r="AF918" s="831"/>
      <c r="AG918" s="831"/>
      <c r="AH918" s="831"/>
      <c r="AI918" s="844"/>
      <c r="AJ918" s="831"/>
      <c r="AK918" s="831"/>
      <c r="AL918" s="3153"/>
      <c r="AM918" s="3154"/>
      <c r="AN918" s="3154"/>
      <c r="AO918" s="3154"/>
      <c r="AP918" s="3155"/>
      <c r="AQ918" s="1569"/>
      <c r="AR918" s="1569">
        <v>92</v>
      </c>
      <c r="AS918" s="1569"/>
      <c r="AT918" s="3120">
        <v>107</v>
      </c>
      <c r="AU918" s="831"/>
      <c r="AV918" s="831"/>
      <c r="AW918" s="831"/>
      <c r="AX918" s="831"/>
      <c r="AY918" s="831"/>
      <c r="AZ918" s="942"/>
      <c r="BA918" s="831"/>
      <c r="BB918" s="831"/>
      <c r="BC918" s="3546"/>
      <c r="BD918" s="3547"/>
      <c r="BE918" s="3547"/>
      <c r="BF918" s="3547"/>
      <c r="BG918" s="3548"/>
      <c r="BH918" s="1569"/>
      <c r="BI918" s="1569"/>
      <c r="BJ918" s="1569"/>
      <c r="BK918" s="3120"/>
      <c r="BL918" s="831"/>
      <c r="BM918" s="831"/>
      <c r="BN918" s="831"/>
      <c r="BO918" s="831"/>
      <c r="BP918" s="831"/>
      <c r="BQ918" s="942"/>
    </row>
    <row r="919" spans="1:73" ht="38.25" customHeight="1">
      <c r="C919" s="3152"/>
      <c r="D919" s="3156"/>
      <c r="E919" s="5730" t="s">
        <v>1609</v>
      </c>
      <c r="F919" s="5730"/>
      <c r="G919" s="5730"/>
      <c r="H919" s="5730"/>
      <c r="I919" s="5730"/>
      <c r="J919" s="1570" t="s">
        <v>1181</v>
      </c>
      <c r="K919" s="1570">
        <f>VLOOKUP(K918,$P$931:$Q$1148,2)</f>
        <v>45627</v>
      </c>
      <c r="L919" s="1570" t="s">
        <v>1182</v>
      </c>
      <c r="M919" s="1570">
        <f>VLOOKUP(M918,$P$931:$Q$1148,2)</f>
        <v>45931</v>
      </c>
      <c r="N919" s="3145"/>
      <c r="O919" s="3145"/>
      <c r="P919" s="877"/>
      <c r="Q919" s="877"/>
      <c r="R919" s="1699"/>
      <c r="S919" s="877"/>
      <c r="T919" s="877"/>
      <c r="U919" s="5730" t="s">
        <v>1615</v>
      </c>
      <c r="V919" s="5730"/>
      <c r="W919" s="5730"/>
      <c r="X919" s="5730"/>
      <c r="Y919" s="5730"/>
      <c r="Z919" s="1570" t="s">
        <v>1181</v>
      </c>
      <c r="AA919" s="1570">
        <f>VLOOKUP(AA918,$AG$925:$AH$936,2)</f>
        <v>45931</v>
      </c>
      <c r="AB919" s="1570" t="s">
        <v>1182</v>
      </c>
      <c r="AC919" s="1570">
        <f>VLOOKUP(AC918,$AG$925:$AH$936,2)</f>
        <v>46023</v>
      </c>
      <c r="AD919" s="877"/>
      <c r="AE919" s="877"/>
      <c r="AF919" s="877"/>
      <c r="AG919" s="877"/>
      <c r="AH919" s="877"/>
      <c r="AI919" s="844"/>
      <c r="AJ919" s="877"/>
      <c r="AK919" s="877"/>
      <c r="AL919" s="5730" t="s">
        <v>1623</v>
      </c>
      <c r="AM919" s="5730"/>
      <c r="AN919" s="5730"/>
      <c r="AO919" s="5730"/>
      <c r="AP919" s="5730"/>
      <c r="AQ919" s="1570" t="s">
        <v>1181</v>
      </c>
      <c r="AR919" s="1570">
        <f>VLOOKUP(AR918,$AX$925:$AY$1034,2)</f>
        <v>45505</v>
      </c>
      <c r="AS919" s="1570" t="s">
        <v>1182</v>
      </c>
      <c r="AT919" s="1570">
        <f>VLOOKUP(AT918,$AX$925:$AY$1034,2)</f>
        <v>45962</v>
      </c>
      <c r="AU919" s="877"/>
      <c r="AV919" s="877"/>
      <c r="AW919" s="877"/>
      <c r="AX919" s="877"/>
      <c r="AY919" s="877"/>
      <c r="AZ919" s="942"/>
      <c r="BA919" s="877"/>
      <c r="BB919" s="877"/>
      <c r="BC919" s="3549"/>
      <c r="BD919" s="3549"/>
      <c r="BE919" s="3549"/>
      <c r="BF919" s="3549"/>
      <c r="BG919" s="3549"/>
      <c r="BH919" s="1570"/>
      <c r="BI919" s="1570"/>
      <c r="BJ919" s="1570"/>
      <c r="BK919" s="1570"/>
      <c r="BL919" s="877"/>
      <c r="BM919" s="877"/>
      <c r="BN919" s="877"/>
      <c r="BO919" s="877"/>
      <c r="BP919" s="877"/>
      <c r="BQ919" s="942"/>
    </row>
    <row r="920" spans="1:73" ht="30" customHeight="1">
      <c r="C920" s="3161"/>
      <c r="D920" s="3161"/>
      <c r="E920" s="3162"/>
      <c r="F920" s="3162"/>
      <c r="G920" s="3162"/>
      <c r="H920" s="3162"/>
      <c r="I920" s="3162"/>
      <c r="J920" s="3163"/>
      <c r="K920" s="3163"/>
      <c r="L920" s="3163"/>
      <c r="M920" s="3163"/>
      <c r="N920" s="3164"/>
      <c r="O920" s="3164"/>
      <c r="P920" s="1457"/>
      <c r="Q920" s="1457"/>
      <c r="R920" s="1699"/>
      <c r="S920" s="1457"/>
      <c r="T920" s="1457"/>
      <c r="U920" s="1457"/>
      <c r="V920" s="1457"/>
      <c r="W920" s="1457"/>
      <c r="X920" s="1457"/>
      <c r="Y920" s="1457"/>
      <c r="Z920" s="1457"/>
      <c r="AA920" s="1457"/>
      <c r="AB920" s="1457"/>
      <c r="AC920" s="1457"/>
      <c r="AD920" s="1457"/>
      <c r="AE920" s="1457"/>
      <c r="AF920" s="1457"/>
      <c r="AG920" s="1457"/>
      <c r="AH920" s="1457"/>
      <c r="AI920" s="844"/>
      <c r="AJ920" s="1457"/>
      <c r="AK920" s="1457"/>
      <c r="AL920" s="1457"/>
      <c r="AM920" s="1457"/>
      <c r="AN920" s="1457"/>
      <c r="AO920" s="1457"/>
      <c r="AP920" s="1457"/>
      <c r="AQ920" s="1457"/>
      <c r="AR920" s="1457"/>
      <c r="AS920" s="1457"/>
      <c r="AT920" s="1457"/>
      <c r="AU920" s="1457"/>
      <c r="AV920" s="1457"/>
      <c r="AW920" s="1457"/>
      <c r="AX920" s="1457"/>
      <c r="AY920" s="1457"/>
      <c r="AZ920" s="942"/>
      <c r="BA920" s="1457"/>
      <c r="BB920" s="1457"/>
      <c r="BC920" s="1457"/>
      <c r="BD920" s="1457"/>
      <c r="BE920" s="1457"/>
      <c r="BF920" s="1457"/>
      <c r="BG920" s="1457"/>
      <c r="BH920" s="1457"/>
      <c r="BI920" s="1457"/>
      <c r="BJ920" s="1457"/>
      <c r="BK920" s="1457"/>
      <c r="BL920" s="1457"/>
      <c r="BM920" s="1457"/>
      <c r="BN920" s="1457"/>
      <c r="BO920" s="1457"/>
      <c r="BP920" s="1457"/>
      <c r="BQ920" s="942"/>
    </row>
    <row r="921" spans="1:73" ht="36" customHeight="1">
      <c r="C921" s="3167"/>
      <c r="D921" s="3167"/>
      <c r="E921" s="5735" t="str">
        <f>CONCATENATE("After claiming the pay protection under FR-22(a)(iv) cum fixation"," ", "Select Your UGC-2016 Pay Scale as on", "  ", M947)</f>
        <v>After claiming the pay protection under FR-22(a)(iv) cum fixation Select Your UGC-2016 Pay Scale as on  Nov-25</v>
      </c>
      <c r="F921" s="5735"/>
      <c r="G921" s="5735"/>
      <c r="H921" s="5735"/>
      <c r="I921" s="5735"/>
      <c r="J921" s="3169" t="str">
        <f>LOOKUP(K921,$AA$14:$AA$19,$AB$14:$AB$19)</f>
        <v>Rs.79800-211500</v>
      </c>
      <c r="K921" s="3140">
        <v>3</v>
      </c>
      <c r="L921" s="3168"/>
      <c r="M921" s="3168"/>
      <c r="N921" s="872"/>
      <c r="O921" s="872"/>
      <c r="P921" s="2174"/>
      <c r="Q921" s="2174"/>
      <c r="R921" s="1699"/>
      <c r="S921" s="842"/>
      <c r="T921" s="842"/>
      <c r="U921" s="3147"/>
      <c r="V921" s="3147"/>
      <c r="W921" s="3147"/>
      <c r="X921" s="3147"/>
      <c r="Y921" s="3147"/>
      <c r="Z921" s="3129" t="s">
        <v>521</v>
      </c>
      <c r="AA921" s="3129" t="s">
        <v>188</v>
      </c>
      <c r="AB921" s="3129" t="s">
        <v>189</v>
      </c>
      <c r="AC921" s="3129" t="s">
        <v>22</v>
      </c>
      <c r="AD921" s="3129" t="str">
        <f>IF($GE$3=1,"","CPS")</f>
        <v/>
      </c>
      <c r="AE921" s="842"/>
      <c r="AF921" s="842"/>
      <c r="AG921" s="842"/>
      <c r="AH921" s="842"/>
      <c r="AI921" s="844"/>
      <c r="AJ921" s="842"/>
      <c r="AK921" s="842"/>
      <c r="AL921" s="3147"/>
      <c r="AM921" s="3147"/>
      <c r="AN921" s="3147"/>
      <c r="AO921" s="3147"/>
      <c r="AP921" s="3147"/>
      <c r="AQ921" s="3129" t="s">
        <v>521</v>
      </c>
      <c r="AR921" s="3129" t="s">
        <v>188</v>
      </c>
      <c r="AS921" s="3129" t="s">
        <v>189</v>
      </c>
      <c r="AT921" s="3129" t="s">
        <v>22</v>
      </c>
      <c r="AU921" s="3129" t="str">
        <f>IF($GE$3=1,"","CPS")</f>
        <v/>
      </c>
      <c r="AV921" s="842"/>
      <c r="AW921" s="842"/>
      <c r="AX921" s="842"/>
      <c r="AY921" s="842"/>
      <c r="AZ921" s="942"/>
      <c r="BA921" s="842"/>
      <c r="BB921" s="842"/>
      <c r="BC921" s="3147"/>
      <c r="BD921" s="3147"/>
      <c r="BE921" s="3147"/>
      <c r="BF921" s="3147"/>
      <c r="BG921" s="3147"/>
      <c r="BH921" s="3129" t="s">
        <v>521</v>
      </c>
      <c r="BI921" s="3129" t="s">
        <v>188</v>
      </c>
      <c r="BJ921" s="3129" t="s">
        <v>189</v>
      </c>
      <c r="BK921" s="3129" t="s">
        <v>22</v>
      </c>
      <c r="BL921" s="3544"/>
      <c r="BM921" s="842"/>
      <c r="BN921" s="842"/>
      <c r="BO921" s="842"/>
      <c r="BP921" s="842"/>
      <c r="BQ921" s="942"/>
    </row>
    <row r="922" spans="1:73" ht="32.25" customHeight="1">
      <c r="C922" s="3165"/>
      <c r="D922" s="3165"/>
      <c r="E922" s="5736" t="s">
        <v>824</v>
      </c>
      <c r="F922" s="5737"/>
      <c r="G922" s="5737"/>
      <c r="H922" s="5737"/>
      <c r="I922" s="5738"/>
      <c r="J922" s="3172">
        <f>VLOOKUP(K922,$AA$14:$AC$19,3)</f>
        <v>12</v>
      </c>
      <c r="K922" s="3173">
        <f>K921</f>
        <v>3</v>
      </c>
      <c r="L922" s="3166"/>
      <c r="M922" s="3166"/>
      <c r="N922" s="2200"/>
      <c r="O922" s="2200"/>
      <c r="P922" s="833"/>
      <c r="Q922" s="833"/>
      <c r="R922" s="1699"/>
      <c r="S922" s="1523"/>
      <c r="T922" s="1523"/>
      <c r="U922" s="5209" t="str">
        <f>IF(X925="","",CONCATENATE(" Fitment Arrears  for the Period From","  ",   AA928," ",  "To", "  ",  AD928))</f>
        <v xml:space="preserve"> Fitment Arrears  for the Period From  Oct-25 To  Jan-26</v>
      </c>
      <c r="V922" s="5210"/>
      <c r="W922" s="5210"/>
      <c r="X922" s="5210"/>
      <c r="Y922" s="5211"/>
      <c r="Z922" s="3182">
        <f>IF($AA$917=2,'Data Sheet-II'!X140,0)</f>
        <v>0</v>
      </c>
      <c r="AA922" s="3182">
        <f>IF($AA$917=2,'Data Sheet-II'!Y140,0)</f>
        <v>0</v>
      </c>
      <c r="AB922" s="3182">
        <f>IF($AA$917=2,'Data Sheet-II'!Z140,0)</f>
        <v>0</v>
      </c>
      <c r="AC922" s="3183">
        <f>IF($AA$917=2,'Data Sheet-II'!AA140,0)</f>
        <v>0</v>
      </c>
      <c r="AD922" s="3182">
        <f>IF(AND($AA$917=2,$GE$3=2),'Data Sheet-II'!AB140,0)</f>
        <v>0</v>
      </c>
      <c r="AE922" s="1523"/>
      <c r="AF922" s="1523"/>
      <c r="AG922" s="1523"/>
      <c r="AH922" s="1523"/>
      <c r="AI922" s="844"/>
      <c r="AJ922" s="1523"/>
      <c r="AK922" s="1523"/>
      <c r="AL922" s="5209" t="str">
        <f>IF(AO926="","",CONCATENATE(" CAS Arrears  for the Period From","  ",   AR929," ",  "To", "  ",  AU929))</f>
        <v xml:space="preserve"> CAS Arrears  for the Period From  Aug-24 To  Nov-25</v>
      </c>
      <c r="AM922" s="5210"/>
      <c r="AN922" s="5210"/>
      <c r="AO922" s="5210"/>
      <c r="AP922" s="5211"/>
      <c r="AQ922" s="3182">
        <f>IF($AR$917=2,'Data Sheet-II'!X147,0)</f>
        <v>0</v>
      </c>
      <c r="AR922" s="3182">
        <f>IF($AR$917=2,'Data Sheet-II'!Y147,0)</f>
        <v>0</v>
      </c>
      <c r="AS922" s="3182">
        <f>IF($AR$917=2,'Data Sheet-II'!Z147,0)</f>
        <v>0</v>
      </c>
      <c r="AT922" s="3183">
        <f>IF($AR$917=2,'Data Sheet-II'!AA147,0)</f>
        <v>0</v>
      </c>
      <c r="AU922" s="3182">
        <f>IF(AND($AR$917=2,$GE$3=2),'Data Sheet-II'!AB147,0)</f>
        <v>0</v>
      </c>
      <c r="AV922" s="1523"/>
      <c r="AW922" s="1523"/>
      <c r="AX922" s="1523"/>
      <c r="AY922" s="1523"/>
      <c r="AZ922" s="942"/>
      <c r="BA922" s="1523"/>
      <c r="BB922" s="1523"/>
      <c r="BC922" s="5209" t="s">
        <v>1692</v>
      </c>
      <c r="BD922" s="5210"/>
      <c r="BE922" s="5210"/>
      <c r="BF922" s="5210"/>
      <c r="BG922" s="5211"/>
      <c r="BH922" s="3182">
        <f>IF($BI$917=2,'Data Sheet-II'!X153,0)</f>
        <v>0</v>
      </c>
      <c r="BI922" s="3182">
        <f>IF($BI$917=2,'Data Sheet-II'!Y153,0)</f>
        <v>0</v>
      </c>
      <c r="BJ922" s="3182">
        <f>IF($BI$917=2,'Data Sheet-II'!Z153,0)</f>
        <v>0</v>
      </c>
      <c r="BK922" s="3182">
        <f>IF($BI$917=2,'Data Sheet-II'!AA153,0)</f>
        <v>0</v>
      </c>
      <c r="BL922" s="3545"/>
      <c r="BM922" s="1523"/>
      <c r="BN922" s="1523"/>
      <c r="BO922" s="1523"/>
      <c r="BP922" s="1523"/>
      <c r="BQ922" s="942"/>
    </row>
    <row r="923" spans="1:73" ht="35.25" customHeight="1">
      <c r="C923" s="3121"/>
      <c r="D923" s="1577"/>
      <c r="E923" s="5739" t="str">
        <f>CONCATENATE("After claiming the pay protection under FR-22(a)(iv) cum fixation", " ", "Select Your Basic Pay  as on", " ",  M947)</f>
        <v>After claiming the pay protection under FR-22(a)(iv) cum fixation Select Your Basic Pay  as on Nov-25</v>
      </c>
      <c r="F923" s="5739"/>
      <c r="G923" s="5739"/>
      <c r="H923" s="5739"/>
      <c r="I923" s="5739"/>
      <c r="J923" s="3174">
        <f>VLOOKUP(K923,$F$939:$G$978,2)</f>
        <v>107200</v>
      </c>
      <c r="K923" s="3174">
        <v>11</v>
      </c>
      <c r="L923" s="3121"/>
      <c r="M923" s="3121"/>
      <c r="N923" s="3146"/>
      <c r="O923" s="3146"/>
      <c r="P923" s="834"/>
      <c r="Q923" s="834"/>
      <c r="R923" s="1699"/>
      <c r="S923" s="834"/>
      <c r="T923" s="834"/>
      <c r="U923" s="834"/>
      <c r="V923" s="834"/>
      <c r="W923" s="834"/>
      <c r="X923" s="834"/>
      <c r="Y923" s="834"/>
      <c r="Z923" s="834"/>
      <c r="AA923" s="834"/>
      <c r="AB923" s="834"/>
      <c r="AC923" s="834"/>
      <c r="AD923" s="834"/>
      <c r="AE923" s="834"/>
      <c r="AF923" s="834"/>
      <c r="AG923" s="834"/>
      <c r="AH923" s="834"/>
      <c r="AI923" s="844"/>
      <c r="AJ923" s="834"/>
      <c r="AK923" s="834"/>
      <c r="AL923" s="5767" t="s">
        <v>545</v>
      </c>
      <c r="AM923" s="5767"/>
      <c r="AN923" s="5767"/>
      <c r="AO923" s="5767"/>
      <c r="AP923" s="5767"/>
      <c r="AQ923" s="3073">
        <f>IF(AND($AR$917=2,'Data Sheet-II'!X148&gt;0),'Data Sheet-II'!X148,0)</f>
        <v>0</v>
      </c>
      <c r="AR923" s="834"/>
      <c r="AS923" s="834"/>
      <c r="AT923" s="834"/>
      <c r="AU923" s="834"/>
      <c r="AV923" s="834"/>
      <c r="AW923" s="834"/>
      <c r="AX923" s="834"/>
      <c r="AY923" s="834"/>
      <c r="AZ923" s="942"/>
      <c r="BA923" s="834"/>
      <c r="BB923" s="834"/>
      <c r="BC923" s="5235"/>
      <c r="BD923" s="5235"/>
      <c r="BE923" s="5235"/>
      <c r="BF923" s="5235"/>
      <c r="BG923" s="5235"/>
      <c r="BH923" s="3543"/>
      <c r="BI923" s="834"/>
      <c r="BJ923" s="834"/>
      <c r="BK923" s="834"/>
      <c r="BL923" s="834"/>
      <c r="BM923" s="834"/>
      <c r="BN923" s="834"/>
      <c r="BO923" s="834"/>
      <c r="BP923" s="834"/>
      <c r="BQ923" s="942"/>
    </row>
    <row r="924" spans="1:73" ht="35.25" customHeight="1">
      <c r="C924" s="3170"/>
      <c r="D924" s="3171"/>
      <c r="E924" s="5740" t="str">
        <f>CONCATENATE("After claiming the pay protection under FR-22(a)(iv) cum fixation"," "," Select the month of next AGI in the existing Academic Level","-",J922)</f>
        <v>After claiming the pay protection under FR-22(a)(iv) cum fixation  Select the month of next AGI in the existing Academic Level-12</v>
      </c>
      <c r="F924" s="5740"/>
      <c r="G924" s="5740"/>
      <c r="H924" s="5740"/>
      <c r="I924" s="5740"/>
      <c r="J924" s="3170"/>
      <c r="K924" s="3175">
        <v>1</v>
      </c>
      <c r="L924" s="3170"/>
      <c r="M924" s="3175" t="s">
        <v>1612</v>
      </c>
      <c r="N924" s="3179">
        <f>VLOOKUP(O924,$P$931:$Q$1148,2)</f>
        <v>45962</v>
      </c>
      <c r="O924" s="3175">
        <f>SUM(M918+1)</f>
        <v>215</v>
      </c>
      <c r="P924" s="1295"/>
      <c r="Q924" s="1295"/>
      <c r="R924" s="1699"/>
      <c r="AG924" s="3140" t="s">
        <v>176</v>
      </c>
      <c r="AH924" s="3140" t="s">
        <v>182</v>
      </c>
      <c r="AI924" s="844"/>
      <c r="AX924" s="3140" t="s">
        <v>176</v>
      </c>
      <c r="AY924" s="3140" t="s">
        <v>182</v>
      </c>
      <c r="AZ924" s="942"/>
      <c r="BQ924" s="942"/>
    </row>
    <row r="925" spans="1:73" ht="27.95" customHeight="1">
      <c r="C925" s="3122"/>
      <c r="D925" s="3122"/>
      <c r="E925" s="3122"/>
      <c r="F925" s="3122"/>
      <c r="G925" s="3122"/>
      <c r="H925" s="3122"/>
      <c r="I925" s="3122"/>
      <c r="J925" s="3122"/>
      <c r="K925" s="3122"/>
      <c r="L925" s="3122"/>
      <c r="M925" s="3122"/>
      <c r="N925" s="3147"/>
      <c r="O925" s="3147"/>
      <c r="P925" s="842"/>
      <c r="Q925" s="842"/>
      <c r="R925" s="1699"/>
      <c r="U925" s="856">
        <v>1</v>
      </c>
      <c r="V925" s="3133">
        <f>MIN($T$931:$T$942)</f>
        <v>45931</v>
      </c>
      <c r="W925" s="3134"/>
      <c r="X925" s="3133">
        <f>MAX($T$931:$T$942)</f>
        <v>46023</v>
      </c>
      <c r="AA925" s="3135" t="s">
        <v>849</v>
      </c>
      <c r="AB925" s="3136" t="s">
        <v>850</v>
      </c>
      <c r="AD925" s="3135" t="s">
        <v>849</v>
      </c>
      <c r="AE925" s="3136" t="s">
        <v>850</v>
      </c>
      <c r="AF925" s="1560"/>
      <c r="AG925" s="3071">
        <v>1</v>
      </c>
      <c r="AH925" s="3150">
        <v>45717</v>
      </c>
      <c r="AI925" s="844"/>
      <c r="AX925" s="3071">
        <v>1</v>
      </c>
      <c r="AY925" s="3150">
        <v>42736</v>
      </c>
      <c r="AZ925" s="942"/>
      <c r="BQ925" s="942"/>
    </row>
    <row r="926" spans="1:73" ht="34.5" customHeight="1">
      <c r="C926" s="3123"/>
      <c r="D926" s="3123"/>
      <c r="E926" s="3123"/>
      <c r="F926" s="3123"/>
      <c r="G926" s="3123"/>
      <c r="H926" s="3123"/>
      <c r="I926" s="3123"/>
      <c r="J926" s="3124" t="s">
        <v>1610</v>
      </c>
      <c r="K926" s="3124" t="s">
        <v>794</v>
      </c>
      <c r="L926" s="3125" t="str">
        <f>IF($GE$3=1,"","CPS")</f>
        <v/>
      </c>
      <c r="M926" s="3123"/>
      <c r="N926" s="3148"/>
      <c r="O926" s="3148"/>
      <c r="P926" s="880"/>
      <c r="Q926" s="880"/>
      <c r="R926" s="1699"/>
      <c r="AA926" s="3137">
        <f>MONTH(V925)</f>
        <v>10</v>
      </c>
      <c r="AB926" s="3137" t="str">
        <f>RIGHT(YEAR(V925),2)</f>
        <v>25</v>
      </c>
      <c r="AD926" s="3137">
        <f>MONTH(X925)</f>
        <v>1</v>
      </c>
      <c r="AE926" s="3137" t="str">
        <f>RIGHT(YEAR(X925),2)</f>
        <v>26</v>
      </c>
      <c r="AF926" s="3132"/>
      <c r="AG926" s="3071">
        <v>2</v>
      </c>
      <c r="AH926" s="3150">
        <v>45748</v>
      </c>
      <c r="AI926" s="844"/>
      <c r="AL926" s="856">
        <v>1</v>
      </c>
      <c r="AM926" s="3133">
        <f>MIN($AK$931:$AK$1040)</f>
        <v>45505</v>
      </c>
      <c r="AN926" s="3134"/>
      <c r="AO926" s="3133">
        <f>MAX($AK$931:$AK$1040)</f>
        <v>45962</v>
      </c>
      <c r="AR926" s="3135" t="s">
        <v>849</v>
      </c>
      <c r="AS926" s="3136" t="s">
        <v>850</v>
      </c>
      <c r="AU926" s="3135" t="s">
        <v>849</v>
      </c>
      <c r="AV926" s="3136" t="s">
        <v>850</v>
      </c>
      <c r="AX926" s="3071">
        <v>2</v>
      </c>
      <c r="AY926" s="3150">
        <v>42767</v>
      </c>
      <c r="AZ926" s="942"/>
      <c r="BQ926" s="942"/>
    </row>
    <row r="927" spans="1:73" ht="31.5" customHeight="1">
      <c r="C927" s="3157"/>
      <c r="D927" s="3157"/>
      <c r="E927" s="5731" t="str">
        <f>CONCATENATE("Previous Financial Years Pay Protection under FR-22 (a)(iv) cum fixation Arrears for the Period From","  ",   J936," ",  "To", "  ",  M936)</f>
        <v>Previous Financial Years Pay Protection under FR-22 (a)(iv) cum fixation Arrears for the Period From  Dec-24 To  Feb-25</v>
      </c>
      <c r="F927" s="5731"/>
      <c r="G927" s="5731"/>
      <c r="H927" s="5731"/>
      <c r="I927" s="5732"/>
      <c r="J927" s="3126">
        <f>IF($K$917=2,'Data Sheet-II'!X132,0)</f>
        <v>0</v>
      </c>
      <c r="K927" s="3126">
        <f>IF($K$917=2,'Data Sheet-II'!Z132,0)</f>
        <v>0</v>
      </c>
      <c r="L927" s="3126">
        <f>IF(AND($K$917=2,$GE$3=2),'Data Sheet-II'!AB132,0)</f>
        <v>0</v>
      </c>
      <c r="M927" s="1568"/>
      <c r="N927" s="1568"/>
      <c r="O927" s="1568"/>
      <c r="P927" s="941"/>
      <c r="Q927" s="941"/>
      <c r="R927" s="1699"/>
      <c r="AA927" s="3136" t="str">
        <f>LOOKUP(AA926,$AE$21:$AE$32,$AG$21:$AG$32)</f>
        <v>Oct</v>
      </c>
      <c r="AB927" s="3136" t="str">
        <f>AB926</f>
        <v>25</v>
      </c>
      <c r="AD927" s="3136" t="str">
        <f>LOOKUP(AD926,$AE$21:$AE$32,$AG$21:$AG$32)</f>
        <v>Jan</v>
      </c>
      <c r="AE927" s="3136" t="str">
        <f>AE926</f>
        <v>26</v>
      </c>
      <c r="AF927" s="1560"/>
      <c r="AG927" s="3071">
        <v>3</v>
      </c>
      <c r="AH927" s="3150">
        <v>45778</v>
      </c>
      <c r="AI927" s="844"/>
      <c r="AR927" s="3137">
        <f>MONTH(AM926)</f>
        <v>8</v>
      </c>
      <c r="AS927" s="3137" t="str">
        <f>RIGHT(YEAR(AM926),2)</f>
        <v>24</v>
      </c>
      <c r="AU927" s="3137">
        <f>MONTH(AO926)</f>
        <v>11</v>
      </c>
      <c r="AV927" s="3137" t="str">
        <f>RIGHT(YEAR(AO926),2)</f>
        <v>25</v>
      </c>
      <c r="AX927" s="3071">
        <v>3</v>
      </c>
      <c r="AY927" s="3150">
        <v>42795</v>
      </c>
      <c r="AZ927" s="942"/>
      <c r="BQ927" s="942"/>
    </row>
    <row r="928" spans="1:73" ht="27.95" customHeight="1">
      <c r="C928" s="3127"/>
      <c r="D928" s="3127"/>
      <c r="E928" s="3127"/>
      <c r="F928" s="3127"/>
      <c r="G928" s="3127"/>
      <c r="H928" s="3127"/>
      <c r="I928" s="3127"/>
      <c r="J928" s="3128" t="s">
        <v>521</v>
      </c>
      <c r="K928" s="3128" t="s">
        <v>188</v>
      </c>
      <c r="L928" s="3128" t="s">
        <v>189</v>
      </c>
      <c r="M928" s="3129" t="s">
        <v>22</v>
      </c>
      <c r="N928" s="3129" t="str">
        <f>IF($GE$3=1,"","CPS")</f>
        <v/>
      </c>
      <c r="O928" s="3149"/>
      <c r="P928" s="864"/>
      <c r="Q928" s="864"/>
      <c r="R928" s="1699"/>
      <c r="AA928" s="3139" t="str">
        <f>CONCATENATE(AA927,"-",AB927)</f>
        <v>Oct-25</v>
      </c>
      <c r="AD928" s="3139" t="str">
        <f>CONCATENATE(AD927,"-",AE927)</f>
        <v>Jan-26</v>
      </c>
      <c r="AG928" s="3071">
        <v>4</v>
      </c>
      <c r="AH928" s="3150">
        <v>45809</v>
      </c>
      <c r="AI928" s="844"/>
      <c r="AR928" s="3136" t="str">
        <f>LOOKUP(AR927,$AE$21:$AE$32,$AG$21:$AG$32)</f>
        <v>Aug</v>
      </c>
      <c r="AS928" s="3136" t="str">
        <f>AS927</f>
        <v>24</v>
      </c>
      <c r="AU928" s="3136" t="str">
        <f>LOOKUP(AU927,$AE$21:$AE$32,$AG$21:$AG$32)</f>
        <v>Nov</v>
      </c>
      <c r="AV928" s="3136" t="str">
        <f>AV927</f>
        <v>25</v>
      </c>
      <c r="AX928" s="3071">
        <v>4</v>
      </c>
      <c r="AY928" s="3150">
        <v>42826</v>
      </c>
      <c r="AZ928" s="942"/>
      <c r="BQ928" s="942"/>
    </row>
    <row r="929" spans="3:69" ht="33.75" customHeight="1">
      <c r="C929" s="3158"/>
      <c r="D929" s="3158"/>
      <c r="E929" s="5733" t="str">
        <f>IF(G935="","",CONCATENATE("Current Financial Year Pay Protection under FR-22 (a)(iv) cum fixation Arrears  for the Period From","  ",   J942," ",  "To", "  ",  M942))</f>
        <v>Current Financial Year Pay Protection under FR-22 (a)(iv) cum fixation Arrears  for the Period From  Mar-25 To  Oct-25</v>
      </c>
      <c r="F929" s="5733"/>
      <c r="G929" s="5733"/>
      <c r="H929" s="5733"/>
      <c r="I929" s="5734"/>
      <c r="J929" s="3130">
        <f>IF($K$917=2,'Data Sheet-II'!X134,0)</f>
        <v>0</v>
      </c>
      <c r="K929" s="3130">
        <f>IF($K$917=2,'Data Sheet-II'!Y134,0)</f>
        <v>0</v>
      </c>
      <c r="L929" s="3130">
        <f>IF($K$917=2,'Data Sheet-II'!Z134,0)</f>
        <v>0</v>
      </c>
      <c r="M929" s="3131">
        <f>IF($K$917=2,'Data Sheet-II'!AA134,0)</f>
        <v>0</v>
      </c>
      <c r="N929" s="3130">
        <f>IF(AND($K$917=2,$GE$3=2),'Data Sheet-II'!AB134,0)</f>
        <v>0</v>
      </c>
      <c r="O929" s="1523"/>
      <c r="P929" s="1523"/>
      <c r="Q929" s="1523"/>
      <c r="R929" s="1699"/>
      <c r="AG929" s="3071">
        <v>5</v>
      </c>
      <c r="AH929" s="3150">
        <v>45839</v>
      </c>
      <c r="AI929" s="844"/>
      <c r="AR929" s="3139" t="str">
        <f>CONCATENATE(AR928,"-",AS928)</f>
        <v>Aug-24</v>
      </c>
      <c r="AU929" s="3139" t="str">
        <f>CONCATENATE(AU928,"-",AV928)</f>
        <v>Nov-25</v>
      </c>
      <c r="AX929" s="3071">
        <v>5</v>
      </c>
      <c r="AY929" s="3150">
        <v>42856</v>
      </c>
      <c r="AZ929" s="942"/>
      <c r="BQ929" s="942"/>
    </row>
    <row r="930" spans="3:69" ht="27.95" customHeight="1">
      <c r="C930" s="1560"/>
      <c r="D930" s="1560"/>
      <c r="E930" s="1560"/>
      <c r="F930" s="1560"/>
      <c r="G930" s="1560"/>
      <c r="H930" s="1560"/>
      <c r="I930" s="1560"/>
      <c r="J930" s="1560"/>
      <c r="K930" s="1560"/>
      <c r="L930" s="1560"/>
      <c r="M930" s="1560"/>
      <c r="N930" s="1560"/>
      <c r="O930" s="1560"/>
      <c r="P930" s="3140" t="s">
        <v>176</v>
      </c>
      <c r="Q930" s="3140" t="s">
        <v>182</v>
      </c>
      <c r="R930" s="1699"/>
      <c r="S930" s="3140" t="s">
        <v>176</v>
      </c>
      <c r="T930" s="3140" t="s">
        <v>182</v>
      </c>
      <c r="AG930" s="3071">
        <v>6</v>
      </c>
      <c r="AH930" s="3150">
        <v>45870</v>
      </c>
      <c r="AI930" s="844"/>
      <c r="AJ930" s="3140" t="s">
        <v>176</v>
      </c>
      <c r="AK930" s="3140" t="s">
        <v>182</v>
      </c>
      <c r="AX930" s="3071">
        <v>6</v>
      </c>
      <c r="AY930" s="3150">
        <v>42887</v>
      </c>
      <c r="AZ930" s="942"/>
      <c r="BQ930" s="942"/>
    </row>
    <row r="931" spans="3:69" ht="27.95" customHeight="1">
      <c r="C931" s="3132"/>
      <c r="D931" s="3132"/>
      <c r="E931" s="3132"/>
      <c r="F931" s="3132"/>
      <c r="G931" s="3132"/>
      <c r="H931" s="3132"/>
      <c r="I931" s="3132"/>
      <c r="J931" s="3132"/>
      <c r="K931" s="3132"/>
      <c r="L931" s="3132"/>
      <c r="M931" s="3132"/>
      <c r="N931" s="3132"/>
      <c r="O931" s="3132"/>
      <c r="P931" s="3342">
        <v>1</v>
      </c>
      <c r="Q931" s="3799">
        <v>39448</v>
      </c>
      <c r="R931" s="1699"/>
      <c r="S931" s="3071">
        <v>1</v>
      </c>
      <c r="T931" s="3141" t="str">
        <f>IF(AND($AA$919&lt;=AH925,AH925&lt;=$AC$919),AH925,"")</f>
        <v/>
      </c>
      <c r="AG931" s="3071">
        <v>7</v>
      </c>
      <c r="AH931" s="3150">
        <v>45901</v>
      </c>
      <c r="AI931" s="844"/>
      <c r="AJ931" s="3071">
        <v>1</v>
      </c>
      <c r="AK931" s="3141" t="str">
        <f>IF(AND($AR$919&lt;=AY925,AY925&lt;=$AT$919),AY925,"")</f>
        <v/>
      </c>
      <c r="AX931" s="3071">
        <v>7</v>
      </c>
      <c r="AY931" s="3150">
        <v>42917</v>
      </c>
      <c r="AZ931" s="942"/>
      <c r="BQ931" s="942"/>
    </row>
    <row r="932" spans="3:69" ht="27.95" customHeight="1">
      <c r="C932" s="1560"/>
      <c r="D932" s="1560"/>
      <c r="E932" s="1560"/>
      <c r="F932" s="1560"/>
      <c r="G932" s="1560"/>
      <c r="H932" s="1560"/>
      <c r="I932" s="1560"/>
      <c r="J932" s="1560"/>
      <c r="K932" s="1560"/>
      <c r="L932" s="1560"/>
      <c r="M932" s="1560"/>
      <c r="N932" s="1560"/>
      <c r="O932" s="1560"/>
      <c r="P932" s="3342">
        <v>2</v>
      </c>
      <c r="Q932" s="3799">
        <v>39479</v>
      </c>
      <c r="R932" s="1699"/>
      <c r="S932" s="3071">
        <v>2</v>
      </c>
      <c r="T932" s="3141" t="str">
        <f t="shared" ref="T932:T942" si="308">IF(AND($AA$919&lt;=AH926,AH926&lt;=$AC$919),AH926,"")</f>
        <v/>
      </c>
      <c r="AG932" s="3071">
        <v>8</v>
      </c>
      <c r="AH932" s="3150">
        <v>45931</v>
      </c>
      <c r="AI932" s="844"/>
      <c r="AJ932" s="3071">
        <v>2</v>
      </c>
      <c r="AK932" s="3141" t="str">
        <f t="shared" ref="AK932:AK995" si="309">IF(AND($AR$919&lt;=AY926,AY926&lt;=$AT$919),AY926,"")</f>
        <v/>
      </c>
      <c r="AX932" s="3071">
        <v>8</v>
      </c>
      <c r="AY932" s="3150">
        <v>42948</v>
      </c>
      <c r="AZ932" s="942"/>
      <c r="BQ932" s="942"/>
    </row>
    <row r="933" spans="3:69" ht="27.95" customHeight="1">
      <c r="D933" s="856">
        <v>1</v>
      </c>
      <c r="E933" s="3133">
        <f>MIN($D$939:$D$1144)</f>
        <v>45627</v>
      </c>
      <c r="F933" s="3134"/>
      <c r="G933" s="3133">
        <f>MAX($D$939:$D$1144)</f>
        <v>45689</v>
      </c>
      <c r="J933" s="3135" t="s">
        <v>849</v>
      </c>
      <c r="K933" s="3136" t="s">
        <v>850</v>
      </c>
      <c r="M933" s="3135" t="s">
        <v>849</v>
      </c>
      <c r="N933" s="3136" t="s">
        <v>850</v>
      </c>
      <c r="P933" s="3342">
        <v>3</v>
      </c>
      <c r="Q933" s="3799">
        <v>39508</v>
      </c>
      <c r="R933" s="1699"/>
      <c r="S933" s="3071">
        <v>3</v>
      </c>
      <c r="T933" s="3141" t="str">
        <f t="shared" si="308"/>
        <v/>
      </c>
      <c r="AG933" s="3071">
        <v>9</v>
      </c>
      <c r="AH933" s="3150">
        <v>45962</v>
      </c>
      <c r="AI933" s="844"/>
      <c r="AJ933" s="3071">
        <v>3</v>
      </c>
      <c r="AK933" s="3141" t="str">
        <f t="shared" si="309"/>
        <v/>
      </c>
      <c r="AX933" s="3071">
        <v>9</v>
      </c>
      <c r="AY933" s="3150">
        <v>42979</v>
      </c>
      <c r="AZ933" s="942"/>
      <c r="BQ933" s="942"/>
    </row>
    <row r="934" spans="3:69" ht="27.95" customHeight="1">
      <c r="D934" s="1468"/>
      <c r="E934" s="1468"/>
      <c r="F934" s="1468"/>
      <c r="G934" s="1468"/>
      <c r="J934" s="3137">
        <f>MONTH(E933)</f>
        <v>12</v>
      </c>
      <c r="K934" s="3137" t="str">
        <f>RIGHT(YEAR(E933),2)</f>
        <v>24</v>
      </c>
      <c r="M934" s="3137">
        <f>MONTH(G933)</f>
        <v>2</v>
      </c>
      <c r="N934" s="3137" t="str">
        <f>RIGHT(YEAR(G933),2)</f>
        <v>25</v>
      </c>
      <c r="P934" s="3342">
        <v>4</v>
      </c>
      <c r="Q934" s="3799">
        <v>39539</v>
      </c>
      <c r="R934" s="1699"/>
      <c r="S934" s="3071">
        <v>4</v>
      </c>
      <c r="T934" s="3141" t="str">
        <f t="shared" si="308"/>
        <v/>
      </c>
      <c r="AG934" s="3071">
        <v>10</v>
      </c>
      <c r="AH934" s="3150">
        <v>45992</v>
      </c>
      <c r="AI934" s="844"/>
      <c r="AJ934" s="3071">
        <v>4</v>
      </c>
      <c r="AK934" s="3141" t="str">
        <f t="shared" si="309"/>
        <v/>
      </c>
      <c r="AX934" s="3071">
        <v>10</v>
      </c>
      <c r="AY934" s="3150">
        <v>43009</v>
      </c>
      <c r="AZ934" s="942"/>
      <c r="BQ934" s="942"/>
    </row>
    <row r="935" spans="3:69" ht="27.95" customHeight="1">
      <c r="D935" s="955">
        <v>2</v>
      </c>
      <c r="E935" s="3138">
        <f>IF(MIN($D$1145:$D$1156)=0,"",MIN($D$1145:$D$1156))</f>
        <v>45717</v>
      </c>
      <c r="F935" s="3074"/>
      <c r="G935" s="3138">
        <f>IF(MAX($D$1145:$D$1156)=0,"",MAX($D$1145:$D$1156))</f>
        <v>45931</v>
      </c>
      <c r="J935" s="3136" t="str">
        <f>LOOKUP(J934,$AE$21:$AE$32,$AG$21:$AG$32)</f>
        <v>Dec</v>
      </c>
      <c r="K935" s="3136" t="str">
        <f>K934</f>
        <v>24</v>
      </c>
      <c r="M935" s="3136" t="str">
        <f>LOOKUP(M934,$AE$21:$AE$32,$AG$21:$AG$32)</f>
        <v>Feb</v>
      </c>
      <c r="N935" s="3136" t="str">
        <f>N934</f>
        <v>25</v>
      </c>
      <c r="P935" s="3342">
        <v>5</v>
      </c>
      <c r="Q935" s="3799">
        <v>39569</v>
      </c>
      <c r="R935" s="1699"/>
      <c r="S935" s="3071">
        <v>5</v>
      </c>
      <c r="T935" s="3141" t="str">
        <f t="shared" si="308"/>
        <v/>
      </c>
      <c r="AG935" s="3071">
        <v>11</v>
      </c>
      <c r="AH935" s="3150">
        <v>46023</v>
      </c>
      <c r="AI935" s="844"/>
      <c r="AJ935" s="3071">
        <v>5</v>
      </c>
      <c r="AK935" s="3141" t="str">
        <f t="shared" si="309"/>
        <v/>
      </c>
      <c r="AX935" s="3071">
        <v>11</v>
      </c>
      <c r="AY935" s="3150">
        <v>43040</v>
      </c>
      <c r="AZ935" s="942"/>
      <c r="BQ935" s="942"/>
    </row>
    <row r="936" spans="3:69" ht="27.95" customHeight="1">
      <c r="C936" s="1560"/>
      <c r="D936" s="1560"/>
      <c r="E936" s="1560"/>
      <c r="F936" s="1560"/>
      <c r="G936" s="1560"/>
      <c r="H936" s="1560"/>
      <c r="I936" s="1560"/>
      <c r="J936" s="3139" t="str">
        <f>CONCATENATE(J935,"-",K935)</f>
        <v>Dec-24</v>
      </c>
      <c r="M936" s="3139" t="str">
        <f>CONCATENATE(M935,"-",N935)</f>
        <v>Feb-25</v>
      </c>
      <c r="O936" s="1560"/>
      <c r="P936" s="3342">
        <v>6</v>
      </c>
      <c r="Q936" s="3799">
        <v>39600</v>
      </c>
      <c r="R936" s="1699"/>
      <c r="S936" s="3071">
        <v>6</v>
      </c>
      <c r="T936" s="3141" t="str">
        <f t="shared" si="308"/>
        <v/>
      </c>
      <c r="AG936" s="3071">
        <v>12</v>
      </c>
      <c r="AH936" s="3150">
        <v>46054</v>
      </c>
      <c r="AI936" s="844"/>
      <c r="AJ936" s="3071">
        <v>6</v>
      </c>
      <c r="AK936" s="3141" t="str">
        <f t="shared" si="309"/>
        <v/>
      </c>
      <c r="AX936" s="3071">
        <v>12</v>
      </c>
      <c r="AY936" s="3150">
        <v>43070</v>
      </c>
      <c r="AZ936" s="942"/>
      <c r="BQ936" s="942"/>
    </row>
    <row r="937" spans="3:69" ht="27.95" customHeight="1">
      <c r="C937" s="3132"/>
      <c r="D937" s="3132"/>
      <c r="E937" s="3132"/>
      <c r="F937" s="3132"/>
      <c r="G937" s="3132"/>
      <c r="H937" s="3132"/>
      <c r="I937" s="3132"/>
      <c r="J937" s="1458"/>
      <c r="K937" s="1475"/>
      <c r="L937" s="1475"/>
      <c r="M937" s="1475"/>
      <c r="N937" s="1475"/>
      <c r="O937" s="3132"/>
      <c r="P937" s="3342">
        <v>7</v>
      </c>
      <c r="Q937" s="3799">
        <v>39630</v>
      </c>
      <c r="R937" s="1699"/>
      <c r="S937" s="3071">
        <v>7</v>
      </c>
      <c r="T937" s="3141" t="str">
        <f t="shared" si="308"/>
        <v/>
      </c>
      <c r="AI937" s="844"/>
      <c r="AJ937" s="3071">
        <v>7</v>
      </c>
      <c r="AK937" s="3141" t="str">
        <f t="shared" si="309"/>
        <v/>
      </c>
      <c r="AX937" s="3071">
        <v>13</v>
      </c>
      <c r="AY937" s="3150">
        <v>43101</v>
      </c>
      <c r="AZ937" s="942"/>
      <c r="BQ937" s="942"/>
    </row>
    <row r="938" spans="3:69" ht="27.95" customHeight="1">
      <c r="C938" s="3140" t="s">
        <v>176</v>
      </c>
      <c r="D938" s="3140" t="s">
        <v>182</v>
      </c>
      <c r="E938" s="1560" t="s">
        <v>1187</v>
      </c>
      <c r="F938" s="5257" t="str">
        <f>J921</f>
        <v>Rs.79800-211500</v>
      </c>
      <c r="G938" s="5257"/>
      <c r="H938" s="1560"/>
      <c r="I938" s="1560"/>
      <c r="J938" s="1458"/>
      <c r="K938" s="1475"/>
      <c r="L938" s="1475"/>
      <c r="M938" s="1475"/>
      <c r="N938" s="1475"/>
      <c r="O938" s="1560"/>
      <c r="P938" s="3342">
        <v>8</v>
      </c>
      <c r="Q938" s="3799">
        <v>39661</v>
      </c>
      <c r="R938" s="1699"/>
      <c r="S938" s="3071">
        <v>8</v>
      </c>
      <c r="T938" s="3141">
        <f t="shared" si="308"/>
        <v>45931</v>
      </c>
      <c r="AI938" s="844"/>
      <c r="AJ938" s="3071">
        <v>8</v>
      </c>
      <c r="AK938" s="3141" t="str">
        <f t="shared" si="309"/>
        <v/>
      </c>
      <c r="AX938" s="3071">
        <v>14</v>
      </c>
      <c r="AY938" s="3150">
        <v>43132</v>
      </c>
      <c r="AZ938" s="942"/>
      <c r="BQ938" s="942"/>
    </row>
    <row r="939" spans="3:69" ht="27.95" customHeight="1">
      <c r="C939" s="3071">
        <v>1</v>
      </c>
      <c r="D939" s="3141" t="str">
        <f>IF(AND($K$919&lt;=Q931,Q931&lt;=$M$919),Q931,"")</f>
        <v/>
      </c>
      <c r="F939" s="738">
        <v>1</v>
      </c>
      <c r="G939" s="3470">
        <f t="shared" ref="G939:G978" si="310">IF(IF(AND($K$921=1),E39,IF(AND($K$921=2),F39,IF(AND($K$921=3),G39,IF(AND($K$921=4),H39,IF(AND($K$921=5),I39,IF(AND($K$921=6),J39,""))))))&gt;0,IF(AND($K$921=1),E39,IF(AND($K$921=2),F39,IF(AND($K$921=3),G39,IF(AND($K$921=4),H39,IF(AND($K$921=5),I39,IF(AND($K$921=6),J39,"")))))),"")</f>
        <v>79800</v>
      </c>
      <c r="J939" s="3135" t="s">
        <v>849</v>
      </c>
      <c r="K939" s="3136" t="s">
        <v>850</v>
      </c>
      <c r="M939" s="3135" t="s">
        <v>849</v>
      </c>
      <c r="N939" s="3136" t="s">
        <v>850</v>
      </c>
      <c r="P939" s="3342">
        <v>9</v>
      </c>
      <c r="Q939" s="3799">
        <v>39692</v>
      </c>
      <c r="R939" s="1699"/>
      <c r="S939" s="3071">
        <v>9</v>
      </c>
      <c r="T939" s="3141">
        <f t="shared" si="308"/>
        <v>45962</v>
      </c>
      <c r="AI939" s="844"/>
      <c r="AJ939" s="3071">
        <v>9</v>
      </c>
      <c r="AK939" s="3141" t="str">
        <f t="shared" si="309"/>
        <v/>
      </c>
      <c r="AX939" s="3071">
        <v>15</v>
      </c>
      <c r="AY939" s="3150">
        <v>43160</v>
      </c>
      <c r="AZ939" s="942"/>
      <c r="BQ939" s="942"/>
    </row>
    <row r="940" spans="3:69" ht="27.95" customHeight="1">
      <c r="C940" s="3071">
        <v>2</v>
      </c>
      <c r="D940" s="3141" t="str">
        <f t="shared" ref="D940:D1003" si="311">IF(AND($K$919&lt;=Q932,Q932&lt;=$M$919),Q932,"")</f>
        <v/>
      </c>
      <c r="F940" s="738">
        <v>2</v>
      </c>
      <c r="G940" s="3470">
        <f t="shared" si="310"/>
        <v>82200</v>
      </c>
      <c r="J940" s="3137">
        <f>MONTH(E935)</f>
        <v>3</v>
      </c>
      <c r="K940" s="3137" t="str">
        <f>RIGHT(YEAR(E935),2)</f>
        <v>25</v>
      </c>
      <c r="M940" s="3137">
        <f>MONTH(G935)</f>
        <v>10</v>
      </c>
      <c r="N940" s="3137" t="str">
        <f>RIGHT(YEAR(G935),2)</f>
        <v>25</v>
      </c>
      <c r="P940" s="3342">
        <v>10</v>
      </c>
      <c r="Q940" s="3799">
        <v>39722</v>
      </c>
      <c r="R940" s="1699"/>
      <c r="S940" s="3071">
        <v>10</v>
      </c>
      <c r="T940" s="3141">
        <f t="shared" si="308"/>
        <v>45992</v>
      </c>
      <c r="AI940" s="844"/>
      <c r="AJ940" s="3071">
        <v>10</v>
      </c>
      <c r="AK940" s="3141" t="str">
        <f t="shared" si="309"/>
        <v/>
      </c>
      <c r="AX940" s="3071">
        <v>16</v>
      </c>
      <c r="AY940" s="3150">
        <v>43191</v>
      </c>
      <c r="AZ940" s="942"/>
      <c r="BQ940" s="942"/>
    </row>
    <row r="941" spans="3:69" ht="27.95" customHeight="1">
      <c r="C941" s="3071">
        <v>3</v>
      </c>
      <c r="D941" s="3141" t="str">
        <f t="shared" si="311"/>
        <v/>
      </c>
      <c r="F941" s="738">
        <v>3</v>
      </c>
      <c r="G941" s="3470">
        <f t="shared" si="310"/>
        <v>84700</v>
      </c>
      <c r="J941" s="3136" t="str">
        <f>LOOKUP(J940,$AE$21:$AE$32,$AG$21:$AG$32)</f>
        <v>Mar</v>
      </c>
      <c r="K941" s="3136" t="str">
        <f>K940</f>
        <v>25</v>
      </c>
      <c r="M941" s="3136" t="str">
        <f>LOOKUP(M940,$AE$21:$AE$32,$AG$21:$AG$32)</f>
        <v>Oct</v>
      </c>
      <c r="N941" s="3136" t="str">
        <f>N940</f>
        <v>25</v>
      </c>
      <c r="P941" s="3342">
        <v>11</v>
      </c>
      <c r="Q941" s="3799">
        <v>39753</v>
      </c>
      <c r="R941" s="1699"/>
      <c r="S941" s="3071">
        <v>11</v>
      </c>
      <c r="T941" s="3141">
        <f t="shared" si="308"/>
        <v>46023</v>
      </c>
      <c r="AI941" s="844"/>
      <c r="AJ941" s="3071">
        <v>11</v>
      </c>
      <c r="AK941" s="3141" t="str">
        <f t="shared" si="309"/>
        <v/>
      </c>
      <c r="AX941" s="3071">
        <v>17</v>
      </c>
      <c r="AY941" s="3150">
        <v>43221</v>
      </c>
      <c r="AZ941" s="942"/>
      <c r="BQ941" s="942"/>
    </row>
    <row r="942" spans="3:69" ht="27.95" customHeight="1">
      <c r="C942" s="3071">
        <v>4</v>
      </c>
      <c r="D942" s="3141" t="str">
        <f t="shared" si="311"/>
        <v/>
      </c>
      <c r="F942" s="738">
        <v>4</v>
      </c>
      <c r="G942" s="3470">
        <f t="shared" si="310"/>
        <v>87200</v>
      </c>
      <c r="J942" s="3139" t="str">
        <f>CONCATENATE(J941,"-",K941)</f>
        <v>Mar-25</v>
      </c>
      <c r="M942" s="3139" t="str">
        <f>CONCATENATE(M941,"-",N941)</f>
        <v>Oct-25</v>
      </c>
      <c r="P942" s="3342">
        <v>12</v>
      </c>
      <c r="Q942" s="3799">
        <v>39783</v>
      </c>
      <c r="R942" s="1699"/>
      <c r="S942" s="3071">
        <v>12</v>
      </c>
      <c r="T942" s="3141" t="str">
        <f t="shared" si="308"/>
        <v/>
      </c>
      <c r="AI942" s="844"/>
      <c r="AJ942" s="3071">
        <v>12</v>
      </c>
      <c r="AK942" s="3141" t="str">
        <f t="shared" si="309"/>
        <v/>
      </c>
      <c r="AX942" s="3071">
        <v>18</v>
      </c>
      <c r="AY942" s="3150">
        <v>43252</v>
      </c>
      <c r="AZ942" s="942"/>
      <c r="BQ942" s="942"/>
    </row>
    <row r="943" spans="3:69" ht="27.95" customHeight="1">
      <c r="C943" s="3071">
        <v>5</v>
      </c>
      <c r="D943" s="3141" t="str">
        <f t="shared" si="311"/>
        <v/>
      </c>
      <c r="F943" s="738">
        <v>5</v>
      </c>
      <c r="G943" s="3470">
        <f t="shared" si="310"/>
        <v>89800</v>
      </c>
      <c r="P943" s="3342">
        <v>13</v>
      </c>
      <c r="Q943" s="3799">
        <v>39814</v>
      </c>
      <c r="R943" s="1699"/>
      <c r="AI943" s="844"/>
      <c r="AJ943" s="3071">
        <v>13</v>
      </c>
      <c r="AK943" s="3141" t="str">
        <f t="shared" si="309"/>
        <v/>
      </c>
      <c r="AX943" s="3071">
        <v>19</v>
      </c>
      <c r="AY943" s="3150">
        <v>43282</v>
      </c>
      <c r="AZ943" s="942"/>
      <c r="BQ943" s="942"/>
    </row>
    <row r="944" spans="3:69" ht="27.95" customHeight="1">
      <c r="C944" s="3071">
        <v>6</v>
      </c>
      <c r="D944" s="3141" t="str">
        <f t="shared" si="311"/>
        <v/>
      </c>
      <c r="F944" s="738">
        <v>6</v>
      </c>
      <c r="G944" s="3470">
        <f t="shared" si="310"/>
        <v>92500</v>
      </c>
      <c r="P944" s="3342">
        <v>14</v>
      </c>
      <c r="Q944" s="3799">
        <v>39845</v>
      </c>
      <c r="R944" s="1699"/>
      <c r="AI944" s="844"/>
      <c r="AJ944" s="3071">
        <v>14</v>
      </c>
      <c r="AK944" s="3141" t="str">
        <f t="shared" si="309"/>
        <v/>
      </c>
      <c r="AX944" s="3071">
        <v>20</v>
      </c>
      <c r="AY944" s="3150">
        <v>43313</v>
      </c>
      <c r="AZ944" s="942"/>
      <c r="BQ944" s="942"/>
    </row>
    <row r="945" spans="3:69" ht="27.95" customHeight="1">
      <c r="C945" s="3071">
        <v>7</v>
      </c>
      <c r="D945" s="3141" t="str">
        <f t="shared" si="311"/>
        <v/>
      </c>
      <c r="F945" s="738">
        <v>7</v>
      </c>
      <c r="G945" s="3470">
        <f t="shared" si="310"/>
        <v>95300</v>
      </c>
      <c r="J945" s="3135" t="s">
        <v>849</v>
      </c>
      <c r="K945" s="3136" t="s">
        <v>850</v>
      </c>
      <c r="M945" s="3180"/>
      <c r="N945" s="1458"/>
      <c r="P945" s="3342">
        <v>15</v>
      </c>
      <c r="Q945" s="3799">
        <v>39873</v>
      </c>
      <c r="R945" s="1699"/>
      <c r="AI945" s="844"/>
      <c r="AJ945" s="3071">
        <v>15</v>
      </c>
      <c r="AK945" s="3141" t="str">
        <f t="shared" si="309"/>
        <v/>
      </c>
      <c r="AX945" s="3071">
        <v>21</v>
      </c>
      <c r="AY945" s="3150">
        <v>43344</v>
      </c>
      <c r="AZ945" s="942"/>
      <c r="BQ945" s="942"/>
    </row>
    <row r="946" spans="3:69" ht="27.95" customHeight="1">
      <c r="C946" s="3071">
        <v>8</v>
      </c>
      <c r="D946" s="3141" t="str">
        <f t="shared" si="311"/>
        <v/>
      </c>
      <c r="F946" s="738">
        <v>8</v>
      </c>
      <c r="G946" s="3470">
        <f t="shared" si="310"/>
        <v>98200</v>
      </c>
      <c r="J946" s="3137">
        <f>MONTH(N924)</f>
        <v>11</v>
      </c>
      <c r="K946" s="3137" t="str">
        <f>RIGHT(YEAR(N924),2)</f>
        <v>25</v>
      </c>
      <c r="P946" s="3342">
        <v>16</v>
      </c>
      <c r="Q946" s="3799">
        <v>39904</v>
      </c>
      <c r="R946" s="1699"/>
      <c r="AI946" s="844"/>
      <c r="AJ946" s="3071">
        <v>16</v>
      </c>
      <c r="AK946" s="3141" t="str">
        <f t="shared" si="309"/>
        <v/>
      </c>
      <c r="AX946" s="3071">
        <v>22</v>
      </c>
      <c r="AY946" s="3150">
        <v>43374</v>
      </c>
      <c r="AZ946" s="942"/>
      <c r="BQ946" s="942"/>
    </row>
    <row r="947" spans="3:69" ht="27.95" customHeight="1">
      <c r="C947" s="3071">
        <v>9</v>
      </c>
      <c r="D947" s="3141" t="str">
        <f t="shared" si="311"/>
        <v/>
      </c>
      <c r="F947" s="738">
        <v>9</v>
      </c>
      <c r="G947" s="3470">
        <f t="shared" si="310"/>
        <v>101100</v>
      </c>
      <c r="J947" s="3136" t="str">
        <f>LOOKUP(J946,$AE$21:$AE$32,$AG$21:$AG$32)</f>
        <v>Nov</v>
      </c>
      <c r="K947" s="3136" t="str">
        <f>K946</f>
        <v>25</v>
      </c>
      <c r="M947" s="3178" t="str">
        <f>IFERROR(J948,M942)</f>
        <v>Nov-25</v>
      </c>
      <c r="P947" s="3342">
        <v>17</v>
      </c>
      <c r="Q947" s="3799">
        <v>39934</v>
      </c>
      <c r="R947" s="1699"/>
      <c r="AI947" s="844"/>
      <c r="AJ947" s="3071">
        <v>17</v>
      </c>
      <c r="AK947" s="3141" t="str">
        <f t="shared" si="309"/>
        <v/>
      </c>
      <c r="AX947" s="3071">
        <v>23</v>
      </c>
      <c r="AY947" s="3150">
        <v>43405</v>
      </c>
      <c r="AZ947" s="942"/>
      <c r="BQ947" s="942"/>
    </row>
    <row r="948" spans="3:69" ht="27.95" customHeight="1">
      <c r="C948" s="3071">
        <v>10</v>
      </c>
      <c r="D948" s="3141" t="str">
        <f t="shared" si="311"/>
        <v/>
      </c>
      <c r="F948" s="738">
        <v>10</v>
      </c>
      <c r="G948" s="3470">
        <f t="shared" si="310"/>
        <v>104100</v>
      </c>
      <c r="J948" s="3139" t="str">
        <f>CONCATENATE(J947,"-",K947)</f>
        <v>Nov-25</v>
      </c>
      <c r="P948" s="3342">
        <v>18</v>
      </c>
      <c r="Q948" s="3799">
        <v>39965</v>
      </c>
      <c r="R948" s="1699"/>
      <c r="AI948" s="844"/>
      <c r="AJ948" s="3071">
        <v>18</v>
      </c>
      <c r="AK948" s="3141" t="str">
        <f t="shared" si="309"/>
        <v/>
      </c>
      <c r="AX948" s="3071">
        <v>24</v>
      </c>
      <c r="AY948" s="3150">
        <v>43435</v>
      </c>
      <c r="AZ948" s="942"/>
      <c r="BQ948" s="942"/>
    </row>
    <row r="949" spans="3:69" ht="27.95" customHeight="1">
      <c r="C949" s="3071">
        <v>11</v>
      </c>
      <c r="D949" s="3141" t="str">
        <f t="shared" si="311"/>
        <v/>
      </c>
      <c r="F949" s="738">
        <v>11</v>
      </c>
      <c r="G949" s="3470">
        <f t="shared" si="310"/>
        <v>107200</v>
      </c>
      <c r="P949" s="3342">
        <v>19</v>
      </c>
      <c r="Q949" s="3799">
        <v>39995</v>
      </c>
      <c r="R949" s="1699"/>
      <c r="AI949" s="844"/>
      <c r="AJ949" s="3071">
        <v>19</v>
      </c>
      <c r="AK949" s="3141" t="str">
        <f t="shared" si="309"/>
        <v/>
      </c>
      <c r="AX949" s="3071">
        <v>25</v>
      </c>
      <c r="AY949" s="3150">
        <v>43466</v>
      </c>
      <c r="AZ949" s="942"/>
      <c r="BQ949" s="942"/>
    </row>
    <row r="950" spans="3:69" ht="27.95" customHeight="1">
      <c r="C950" s="3071">
        <v>12</v>
      </c>
      <c r="D950" s="3141" t="str">
        <f t="shared" si="311"/>
        <v/>
      </c>
      <c r="F950" s="738">
        <v>12</v>
      </c>
      <c r="G950" s="3470">
        <f t="shared" si="310"/>
        <v>110400</v>
      </c>
      <c r="P950" s="3342">
        <v>20</v>
      </c>
      <c r="Q950" s="3799">
        <v>40026</v>
      </c>
      <c r="R950" s="1699"/>
      <c r="AI950" s="844"/>
      <c r="AJ950" s="3071">
        <v>20</v>
      </c>
      <c r="AK950" s="3141" t="str">
        <f t="shared" si="309"/>
        <v/>
      </c>
      <c r="AX950" s="3071">
        <v>26</v>
      </c>
      <c r="AY950" s="3150">
        <v>43497</v>
      </c>
      <c r="AZ950" s="942"/>
      <c r="BQ950" s="942"/>
    </row>
    <row r="951" spans="3:69" ht="27.95" customHeight="1">
      <c r="C951" s="3071">
        <v>13</v>
      </c>
      <c r="D951" s="3141" t="str">
        <f t="shared" si="311"/>
        <v/>
      </c>
      <c r="F951" s="738">
        <v>13</v>
      </c>
      <c r="G951" s="3470">
        <f t="shared" si="310"/>
        <v>113700</v>
      </c>
      <c r="P951" s="3342">
        <v>21</v>
      </c>
      <c r="Q951" s="3799">
        <v>40057</v>
      </c>
      <c r="R951" s="1699"/>
      <c r="AI951" s="844"/>
      <c r="AJ951" s="3071">
        <v>21</v>
      </c>
      <c r="AK951" s="3141" t="str">
        <f t="shared" si="309"/>
        <v/>
      </c>
      <c r="AX951" s="3071">
        <v>27</v>
      </c>
      <c r="AY951" s="3150">
        <v>43525</v>
      </c>
      <c r="AZ951" s="942"/>
      <c r="BQ951" s="942"/>
    </row>
    <row r="952" spans="3:69" ht="27.95" customHeight="1">
      <c r="C952" s="3071">
        <v>14</v>
      </c>
      <c r="D952" s="3141" t="str">
        <f t="shared" si="311"/>
        <v/>
      </c>
      <c r="F952" s="738">
        <v>14</v>
      </c>
      <c r="G952" s="3470">
        <f t="shared" si="310"/>
        <v>117100</v>
      </c>
      <c r="P952" s="3342">
        <v>22</v>
      </c>
      <c r="Q952" s="3799">
        <v>40087</v>
      </c>
      <c r="R952" s="1699"/>
      <c r="AI952" s="844"/>
      <c r="AJ952" s="3071">
        <v>22</v>
      </c>
      <c r="AK952" s="3141" t="str">
        <f t="shared" si="309"/>
        <v/>
      </c>
      <c r="AX952" s="3071">
        <v>28</v>
      </c>
      <c r="AY952" s="3150">
        <v>43556</v>
      </c>
      <c r="AZ952" s="942"/>
      <c r="BQ952" s="942"/>
    </row>
    <row r="953" spans="3:69" ht="27.95" customHeight="1">
      <c r="C953" s="3071">
        <v>15</v>
      </c>
      <c r="D953" s="3141" t="str">
        <f t="shared" si="311"/>
        <v/>
      </c>
      <c r="F953" s="738">
        <v>15</v>
      </c>
      <c r="G953" s="3470">
        <f t="shared" si="310"/>
        <v>120600</v>
      </c>
      <c r="P953" s="3342">
        <v>23</v>
      </c>
      <c r="Q953" s="3799">
        <v>40118</v>
      </c>
      <c r="R953" s="1699"/>
      <c r="AI953" s="844"/>
      <c r="AJ953" s="3071">
        <v>23</v>
      </c>
      <c r="AK953" s="3141" t="str">
        <f t="shared" si="309"/>
        <v/>
      </c>
      <c r="AX953" s="3071">
        <v>29</v>
      </c>
      <c r="AY953" s="3150">
        <v>43586</v>
      </c>
      <c r="AZ953" s="942"/>
      <c r="BQ953" s="942"/>
    </row>
    <row r="954" spans="3:69" ht="27.95" customHeight="1">
      <c r="C954" s="3071">
        <v>16</v>
      </c>
      <c r="D954" s="3141" t="str">
        <f t="shared" si="311"/>
        <v/>
      </c>
      <c r="F954" s="738">
        <v>16</v>
      </c>
      <c r="G954" s="3470">
        <f t="shared" si="310"/>
        <v>124200</v>
      </c>
      <c r="P954" s="3342">
        <v>24</v>
      </c>
      <c r="Q954" s="3799">
        <v>40148</v>
      </c>
      <c r="R954" s="1699"/>
      <c r="AI954" s="844"/>
      <c r="AJ954" s="3071">
        <v>24</v>
      </c>
      <c r="AK954" s="3141" t="str">
        <f t="shared" si="309"/>
        <v/>
      </c>
      <c r="AX954" s="3071">
        <v>30</v>
      </c>
      <c r="AY954" s="3150">
        <v>43617</v>
      </c>
      <c r="AZ954" s="942"/>
      <c r="BQ954" s="942"/>
    </row>
    <row r="955" spans="3:69" ht="27.95" customHeight="1">
      <c r="C955" s="3071">
        <v>17</v>
      </c>
      <c r="D955" s="3141" t="str">
        <f t="shared" si="311"/>
        <v/>
      </c>
      <c r="F955" s="738">
        <v>17</v>
      </c>
      <c r="G955" s="3470">
        <f t="shared" si="310"/>
        <v>127900</v>
      </c>
      <c r="P955" s="3342">
        <v>25</v>
      </c>
      <c r="Q955" s="3799">
        <v>40179</v>
      </c>
      <c r="R955" s="1699"/>
      <c r="AI955" s="844"/>
      <c r="AJ955" s="3071">
        <v>25</v>
      </c>
      <c r="AK955" s="3141" t="str">
        <f t="shared" si="309"/>
        <v/>
      </c>
      <c r="AX955" s="3071">
        <v>31</v>
      </c>
      <c r="AY955" s="3150">
        <v>43647</v>
      </c>
      <c r="AZ955" s="942"/>
      <c r="BQ955" s="942"/>
    </row>
    <row r="956" spans="3:69" ht="27.95" customHeight="1">
      <c r="C956" s="3071">
        <v>18</v>
      </c>
      <c r="D956" s="3141" t="str">
        <f t="shared" si="311"/>
        <v/>
      </c>
      <c r="F956" s="738">
        <v>18</v>
      </c>
      <c r="G956" s="3470">
        <f t="shared" si="310"/>
        <v>131700</v>
      </c>
      <c r="P956" s="3342">
        <v>26</v>
      </c>
      <c r="Q956" s="3799">
        <v>40210</v>
      </c>
      <c r="R956" s="1699"/>
      <c r="AI956" s="844"/>
      <c r="AJ956" s="3071">
        <v>26</v>
      </c>
      <c r="AK956" s="3141" t="str">
        <f t="shared" si="309"/>
        <v/>
      </c>
      <c r="AX956" s="3071">
        <v>32</v>
      </c>
      <c r="AY956" s="3150">
        <v>43678</v>
      </c>
      <c r="AZ956" s="942"/>
      <c r="BQ956" s="942"/>
    </row>
    <row r="957" spans="3:69" ht="27.95" customHeight="1">
      <c r="C957" s="3071">
        <v>19</v>
      </c>
      <c r="D957" s="3141" t="str">
        <f t="shared" si="311"/>
        <v/>
      </c>
      <c r="F957" s="738">
        <v>19</v>
      </c>
      <c r="G957" s="3470">
        <f t="shared" si="310"/>
        <v>135700</v>
      </c>
      <c r="P957" s="3342">
        <v>27</v>
      </c>
      <c r="Q957" s="3799">
        <v>40238</v>
      </c>
      <c r="R957" s="1699"/>
      <c r="AI957" s="844"/>
      <c r="AJ957" s="3071">
        <v>27</v>
      </c>
      <c r="AK957" s="3141" t="str">
        <f t="shared" si="309"/>
        <v/>
      </c>
      <c r="AX957" s="3071">
        <v>33</v>
      </c>
      <c r="AY957" s="3150">
        <v>43709</v>
      </c>
      <c r="AZ957" s="942"/>
      <c r="BQ957" s="942"/>
    </row>
    <row r="958" spans="3:69" ht="27.95" customHeight="1">
      <c r="C958" s="3071">
        <v>20</v>
      </c>
      <c r="D958" s="3141" t="str">
        <f t="shared" si="311"/>
        <v/>
      </c>
      <c r="F958" s="738">
        <v>20</v>
      </c>
      <c r="G958" s="3470">
        <f t="shared" si="310"/>
        <v>139800</v>
      </c>
      <c r="P958" s="3342">
        <v>28</v>
      </c>
      <c r="Q958" s="3799">
        <v>40269</v>
      </c>
      <c r="R958" s="1699"/>
      <c r="AI958" s="844"/>
      <c r="AJ958" s="3071">
        <v>28</v>
      </c>
      <c r="AK958" s="3141" t="str">
        <f t="shared" si="309"/>
        <v/>
      </c>
      <c r="AX958" s="3071">
        <v>34</v>
      </c>
      <c r="AY958" s="3150">
        <v>43739</v>
      </c>
      <c r="AZ958" s="942"/>
      <c r="BQ958" s="942"/>
    </row>
    <row r="959" spans="3:69" ht="27.95" customHeight="1">
      <c r="C959" s="3071">
        <v>21</v>
      </c>
      <c r="D959" s="3141" t="str">
        <f t="shared" si="311"/>
        <v/>
      </c>
      <c r="F959" s="738">
        <v>21</v>
      </c>
      <c r="G959" s="3470">
        <f t="shared" si="310"/>
        <v>144000</v>
      </c>
      <c r="P959" s="3342">
        <v>29</v>
      </c>
      <c r="Q959" s="3799">
        <v>40299</v>
      </c>
      <c r="R959" s="1699"/>
      <c r="AI959" s="844"/>
      <c r="AJ959" s="3071">
        <v>29</v>
      </c>
      <c r="AK959" s="3141" t="str">
        <f t="shared" si="309"/>
        <v/>
      </c>
      <c r="AX959" s="3071">
        <v>35</v>
      </c>
      <c r="AY959" s="3150">
        <v>43770</v>
      </c>
      <c r="AZ959" s="942"/>
      <c r="BQ959" s="942"/>
    </row>
    <row r="960" spans="3:69" ht="27.95" customHeight="1">
      <c r="C960" s="3071">
        <v>22</v>
      </c>
      <c r="D960" s="3141" t="str">
        <f t="shared" si="311"/>
        <v/>
      </c>
      <c r="F960" s="738">
        <v>22</v>
      </c>
      <c r="G960" s="3470">
        <f t="shared" si="310"/>
        <v>148300</v>
      </c>
      <c r="P960" s="3342">
        <v>30</v>
      </c>
      <c r="Q960" s="3799">
        <v>40330</v>
      </c>
      <c r="R960" s="1699"/>
      <c r="AI960" s="844"/>
      <c r="AJ960" s="3071">
        <v>30</v>
      </c>
      <c r="AK960" s="3141" t="str">
        <f t="shared" si="309"/>
        <v/>
      </c>
      <c r="AX960" s="3071">
        <v>36</v>
      </c>
      <c r="AY960" s="3150">
        <v>43800</v>
      </c>
      <c r="AZ960" s="942"/>
      <c r="BQ960" s="942"/>
    </row>
    <row r="961" spans="3:69" ht="27.95" customHeight="1">
      <c r="C961" s="3071">
        <v>23</v>
      </c>
      <c r="D961" s="3141" t="str">
        <f t="shared" si="311"/>
        <v/>
      </c>
      <c r="F961" s="738">
        <v>23</v>
      </c>
      <c r="G961" s="3470">
        <f t="shared" si="310"/>
        <v>152700</v>
      </c>
      <c r="P961" s="3342">
        <v>31</v>
      </c>
      <c r="Q961" s="3799">
        <v>40360</v>
      </c>
      <c r="R961" s="1699"/>
      <c r="AI961" s="844"/>
      <c r="AJ961" s="3071">
        <v>31</v>
      </c>
      <c r="AK961" s="3141" t="str">
        <f t="shared" si="309"/>
        <v/>
      </c>
      <c r="AX961" s="3071">
        <v>37</v>
      </c>
      <c r="AY961" s="3150">
        <v>43831</v>
      </c>
      <c r="AZ961" s="942"/>
      <c r="BQ961" s="942"/>
    </row>
    <row r="962" spans="3:69" ht="27.95" customHeight="1">
      <c r="C962" s="3071">
        <v>24</v>
      </c>
      <c r="D962" s="3141" t="str">
        <f t="shared" si="311"/>
        <v/>
      </c>
      <c r="F962" s="738">
        <v>24</v>
      </c>
      <c r="G962" s="3470">
        <f t="shared" si="310"/>
        <v>157300</v>
      </c>
      <c r="P962" s="3342">
        <v>32</v>
      </c>
      <c r="Q962" s="3799">
        <v>40391</v>
      </c>
      <c r="R962" s="1699"/>
      <c r="AI962" s="844"/>
      <c r="AJ962" s="3071">
        <v>32</v>
      </c>
      <c r="AK962" s="3141" t="str">
        <f t="shared" si="309"/>
        <v/>
      </c>
      <c r="AX962" s="3071">
        <v>38</v>
      </c>
      <c r="AY962" s="3150">
        <v>43862</v>
      </c>
      <c r="AZ962" s="942"/>
      <c r="BQ962" s="942"/>
    </row>
    <row r="963" spans="3:69" ht="27.95" customHeight="1">
      <c r="C963" s="3071">
        <v>25</v>
      </c>
      <c r="D963" s="3141" t="str">
        <f t="shared" si="311"/>
        <v/>
      </c>
      <c r="F963" s="738">
        <v>25</v>
      </c>
      <c r="G963" s="3470">
        <f t="shared" si="310"/>
        <v>162000</v>
      </c>
      <c r="P963" s="3342">
        <v>33</v>
      </c>
      <c r="Q963" s="3799">
        <v>40422</v>
      </c>
      <c r="R963" s="1699"/>
      <c r="AI963" s="844"/>
      <c r="AJ963" s="3071">
        <v>33</v>
      </c>
      <c r="AK963" s="3141" t="str">
        <f t="shared" si="309"/>
        <v/>
      </c>
      <c r="AX963" s="3071">
        <v>39</v>
      </c>
      <c r="AY963" s="3150">
        <v>43891</v>
      </c>
      <c r="AZ963" s="942"/>
      <c r="BQ963" s="942"/>
    </row>
    <row r="964" spans="3:69" ht="27.95" customHeight="1">
      <c r="C964" s="3071">
        <v>26</v>
      </c>
      <c r="D964" s="3141" t="str">
        <f t="shared" si="311"/>
        <v/>
      </c>
      <c r="F964" s="738">
        <v>26</v>
      </c>
      <c r="G964" s="3470">
        <f t="shared" si="310"/>
        <v>166900</v>
      </c>
      <c r="P964" s="3342">
        <v>34</v>
      </c>
      <c r="Q964" s="3799">
        <v>40452</v>
      </c>
      <c r="R964" s="1699"/>
      <c r="AI964" s="844"/>
      <c r="AJ964" s="3071">
        <v>34</v>
      </c>
      <c r="AK964" s="3141" t="str">
        <f t="shared" si="309"/>
        <v/>
      </c>
      <c r="AX964" s="3071">
        <v>40</v>
      </c>
      <c r="AY964" s="3150">
        <v>43922</v>
      </c>
      <c r="AZ964" s="942"/>
      <c r="BQ964" s="942"/>
    </row>
    <row r="965" spans="3:69" ht="27.95" customHeight="1">
      <c r="C965" s="3071">
        <v>27</v>
      </c>
      <c r="D965" s="3141" t="str">
        <f t="shared" si="311"/>
        <v/>
      </c>
      <c r="F965" s="738">
        <v>27</v>
      </c>
      <c r="G965" s="3470">
        <f t="shared" si="310"/>
        <v>171900</v>
      </c>
      <c r="P965" s="3342">
        <v>35</v>
      </c>
      <c r="Q965" s="3799">
        <v>40483</v>
      </c>
      <c r="R965" s="1699"/>
      <c r="AI965" s="844"/>
      <c r="AJ965" s="3071">
        <v>35</v>
      </c>
      <c r="AK965" s="3141" t="str">
        <f t="shared" si="309"/>
        <v/>
      </c>
      <c r="AX965" s="3071">
        <v>41</v>
      </c>
      <c r="AY965" s="3150">
        <v>43952</v>
      </c>
      <c r="AZ965" s="942"/>
      <c r="BQ965" s="942"/>
    </row>
    <row r="966" spans="3:69" ht="27.95" customHeight="1">
      <c r="C966" s="3071">
        <v>28</v>
      </c>
      <c r="D966" s="3141" t="str">
        <f t="shared" si="311"/>
        <v/>
      </c>
      <c r="F966" s="738">
        <v>28</v>
      </c>
      <c r="G966" s="3470">
        <f t="shared" si="310"/>
        <v>177100</v>
      </c>
      <c r="P966" s="3342">
        <v>36</v>
      </c>
      <c r="Q966" s="3799">
        <v>40513</v>
      </c>
      <c r="R966" s="1699"/>
      <c r="AI966" s="844"/>
      <c r="AJ966" s="3071">
        <v>36</v>
      </c>
      <c r="AK966" s="3141" t="str">
        <f t="shared" si="309"/>
        <v/>
      </c>
      <c r="AX966" s="3071">
        <v>42</v>
      </c>
      <c r="AY966" s="3150">
        <v>43983</v>
      </c>
      <c r="AZ966" s="942"/>
      <c r="BQ966" s="942"/>
    </row>
    <row r="967" spans="3:69" ht="27.95" customHeight="1">
      <c r="C967" s="3071">
        <v>29</v>
      </c>
      <c r="D967" s="3141" t="str">
        <f t="shared" si="311"/>
        <v/>
      </c>
      <c r="F967" s="738">
        <v>29</v>
      </c>
      <c r="G967" s="3470">
        <f t="shared" si="310"/>
        <v>182400</v>
      </c>
      <c r="P967" s="3342">
        <v>37</v>
      </c>
      <c r="Q967" s="3799">
        <v>40544</v>
      </c>
      <c r="R967" s="1699"/>
      <c r="AI967" s="844"/>
      <c r="AJ967" s="3071">
        <v>37</v>
      </c>
      <c r="AK967" s="3141" t="str">
        <f t="shared" si="309"/>
        <v/>
      </c>
      <c r="AX967" s="3071">
        <v>43</v>
      </c>
      <c r="AY967" s="3150">
        <v>44013</v>
      </c>
      <c r="AZ967" s="942"/>
      <c r="BQ967" s="942"/>
    </row>
    <row r="968" spans="3:69" ht="27.95" customHeight="1">
      <c r="C968" s="3071">
        <v>30</v>
      </c>
      <c r="D968" s="3141" t="str">
        <f t="shared" si="311"/>
        <v/>
      </c>
      <c r="F968" s="738">
        <v>30</v>
      </c>
      <c r="G968" s="3470">
        <f t="shared" si="310"/>
        <v>187900</v>
      </c>
      <c r="P968" s="3342">
        <v>38</v>
      </c>
      <c r="Q968" s="3799">
        <v>40575</v>
      </c>
      <c r="R968" s="1699"/>
      <c r="AI968" s="844"/>
      <c r="AJ968" s="3071">
        <v>38</v>
      </c>
      <c r="AK968" s="3141" t="str">
        <f t="shared" si="309"/>
        <v/>
      </c>
      <c r="AX968" s="3071">
        <v>44</v>
      </c>
      <c r="AY968" s="3150">
        <v>44044</v>
      </c>
      <c r="AZ968" s="942"/>
    </row>
    <row r="969" spans="3:69" ht="27.95" customHeight="1">
      <c r="C969" s="3071">
        <v>31</v>
      </c>
      <c r="D969" s="3141" t="str">
        <f t="shared" si="311"/>
        <v/>
      </c>
      <c r="F969" s="738">
        <v>31</v>
      </c>
      <c r="G969" s="3470">
        <f t="shared" si="310"/>
        <v>193500</v>
      </c>
      <c r="P969" s="3342">
        <v>39</v>
      </c>
      <c r="Q969" s="3799">
        <v>40603</v>
      </c>
      <c r="R969" s="1699"/>
      <c r="AI969" s="844"/>
      <c r="AJ969" s="3071">
        <v>39</v>
      </c>
      <c r="AK969" s="3141" t="str">
        <f t="shared" si="309"/>
        <v/>
      </c>
      <c r="AX969" s="3071">
        <v>45</v>
      </c>
      <c r="AY969" s="3150">
        <v>44075</v>
      </c>
      <c r="AZ969" s="942"/>
    </row>
    <row r="970" spans="3:69" ht="27.95" customHeight="1">
      <c r="C970" s="3071">
        <v>32</v>
      </c>
      <c r="D970" s="3141" t="str">
        <f t="shared" si="311"/>
        <v/>
      </c>
      <c r="F970" s="738">
        <v>32</v>
      </c>
      <c r="G970" s="3470">
        <f t="shared" si="310"/>
        <v>199300</v>
      </c>
      <c r="P970" s="3342">
        <v>40</v>
      </c>
      <c r="Q970" s="3799">
        <v>40634</v>
      </c>
      <c r="R970" s="1699"/>
      <c r="AI970" s="844"/>
      <c r="AJ970" s="3071">
        <v>40</v>
      </c>
      <c r="AK970" s="3141" t="str">
        <f t="shared" si="309"/>
        <v/>
      </c>
      <c r="AX970" s="3071">
        <v>46</v>
      </c>
      <c r="AY970" s="3150">
        <v>44105</v>
      </c>
      <c r="AZ970" s="942"/>
    </row>
    <row r="971" spans="3:69" ht="27.95" customHeight="1">
      <c r="C971" s="3071">
        <v>33</v>
      </c>
      <c r="D971" s="3141" t="str">
        <f t="shared" si="311"/>
        <v/>
      </c>
      <c r="F971" s="738">
        <v>33</v>
      </c>
      <c r="G971" s="3470">
        <f t="shared" si="310"/>
        <v>205300</v>
      </c>
      <c r="P971" s="3342">
        <v>41</v>
      </c>
      <c r="Q971" s="3799">
        <v>40664</v>
      </c>
      <c r="R971" s="1699"/>
      <c r="AI971" s="844"/>
      <c r="AJ971" s="3071">
        <v>41</v>
      </c>
      <c r="AK971" s="3141" t="str">
        <f t="shared" si="309"/>
        <v/>
      </c>
      <c r="AX971" s="3071">
        <v>47</v>
      </c>
      <c r="AY971" s="3150">
        <v>44136</v>
      </c>
      <c r="AZ971" s="942"/>
    </row>
    <row r="972" spans="3:69" ht="27.95" customHeight="1">
      <c r="C972" s="3071">
        <v>34</v>
      </c>
      <c r="D972" s="3141" t="str">
        <f t="shared" si="311"/>
        <v/>
      </c>
      <c r="F972" s="738">
        <v>34</v>
      </c>
      <c r="G972" s="3470">
        <f t="shared" si="310"/>
        <v>211500</v>
      </c>
      <c r="P972" s="3342">
        <v>42</v>
      </c>
      <c r="Q972" s="3799">
        <v>40695</v>
      </c>
      <c r="R972" s="1699"/>
      <c r="AI972" s="844"/>
      <c r="AJ972" s="3071">
        <v>42</v>
      </c>
      <c r="AK972" s="3141" t="str">
        <f t="shared" si="309"/>
        <v/>
      </c>
      <c r="AX972" s="3071">
        <v>48</v>
      </c>
      <c r="AY972" s="3150">
        <v>44166</v>
      </c>
      <c r="AZ972" s="942"/>
    </row>
    <row r="973" spans="3:69" ht="27.95" customHeight="1">
      <c r="C973" s="3071">
        <v>35</v>
      </c>
      <c r="D973" s="3141" t="str">
        <f t="shared" si="311"/>
        <v/>
      </c>
      <c r="F973" s="738">
        <v>35</v>
      </c>
      <c r="G973" s="3470" t="str">
        <f t="shared" si="310"/>
        <v/>
      </c>
      <c r="P973" s="3342">
        <v>43</v>
      </c>
      <c r="Q973" s="3799">
        <v>40725</v>
      </c>
      <c r="R973" s="1699"/>
      <c r="AI973" s="844"/>
      <c r="AJ973" s="3071">
        <v>43</v>
      </c>
      <c r="AK973" s="3141" t="str">
        <f t="shared" si="309"/>
        <v/>
      </c>
      <c r="AX973" s="3071">
        <v>49</v>
      </c>
      <c r="AY973" s="3150">
        <v>44197</v>
      </c>
      <c r="AZ973" s="942"/>
    </row>
    <row r="974" spans="3:69" ht="27.95" customHeight="1">
      <c r="C974" s="3071">
        <v>36</v>
      </c>
      <c r="D974" s="3141" t="str">
        <f t="shared" si="311"/>
        <v/>
      </c>
      <c r="F974" s="738">
        <v>36</v>
      </c>
      <c r="G974" s="3470" t="str">
        <f t="shared" si="310"/>
        <v/>
      </c>
      <c r="P974" s="3342">
        <v>44</v>
      </c>
      <c r="Q974" s="3799">
        <v>40756</v>
      </c>
      <c r="R974" s="1699"/>
      <c r="AI974" s="844"/>
      <c r="AJ974" s="3071">
        <v>44</v>
      </c>
      <c r="AK974" s="3141" t="str">
        <f t="shared" si="309"/>
        <v/>
      </c>
      <c r="AX974" s="3071">
        <v>50</v>
      </c>
      <c r="AY974" s="3150">
        <v>44228</v>
      </c>
      <c r="AZ974" s="942"/>
    </row>
    <row r="975" spans="3:69" ht="27.95" customHeight="1">
      <c r="C975" s="3071">
        <v>37</v>
      </c>
      <c r="D975" s="3141" t="str">
        <f t="shared" si="311"/>
        <v/>
      </c>
      <c r="F975" s="738">
        <v>37</v>
      </c>
      <c r="G975" s="3470" t="str">
        <f t="shared" si="310"/>
        <v/>
      </c>
      <c r="P975" s="3342">
        <v>45</v>
      </c>
      <c r="Q975" s="3799">
        <v>40787</v>
      </c>
      <c r="R975" s="1699"/>
      <c r="AI975" s="844"/>
      <c r="AJ975" s="3071">
        <v>45</v>
      </c>
      <c r="AK975" s="3141" t="str">
        <f t="shared" si="309"/>
        <v/>
      </c>
      <c r="AX975" s="3071">
        <v>51</v>
      </c>
      <c r="AY975" s="3150">
        <v>44256</v>
      </c>
      <c r="AZ975" s="942"/>
    </row>
    <row r="976" spans="3:69" ht="27.95" customHeight="1">
      <c r="C976" s="3071">
        <v>38</v>
      </c>
      <c r="D976" s="3141" t="str">
        <f t="shared" si="311"/>
        <v/>
      </c>
      <c r="F976" s="738">
        <v>38</v>
      </c>
      <c r="G976" s="3470" t="str">
        <f t="shared" si="310"/>
        <v/>
      </c>
      <c r="P976" s="3342">
        <v>46</v>
      </c>
      <c r="Q976" s="3799">
        <v>40817</v>
      </c>
      <c r="R976" s="1699"/>
      <c r="AI976" s="844"/>
      <c r="AJ976" s="3071">
        <v>46</v>
      </c>
      <c r="AK976" s="3141" t="str">
        <f t="shared" si="309"/>
        <v/>
      </c>
      <c r="AX976" s="3071">
        <v>52</v>
      </c>
      <c r="AY976" s="3150">
        <v>44287</v>
      </c>
      <c r="AZ976" s="942"/>
    </row>
    <row r="977" spans="3:52" ht="27.95" customHeight="1">
      <c r="C977" s="3071">
        <v>39</v>
      </c>
      <c r="D977" s="3141" t="str">
        <f t="shared" si="311"/>
        <v/>
      </c>
      <c r="F977" s="738">
        <v>39</v>
      </c>
      <c r="G977" s="3470" t="str">
        <f t="shared" si="310"/>
        <v/>
      </c>
      <c r="P977" s="3342">
        <v>47</v>
      </c>
      <c r="Q977" s="3799">
        <v>40848</v>
      </c>
      <c r="R977" s="1699"/>
      <c r="AI977" s="844"/>
      <c r="AJ977" s="3071">
        <v>47</v>
      </c>
      <c r="AK977" s="3141" t="str">
        <f t="shared" si="309"/>
        <v/>
      </c>
      <c r="AX977" s="3071">
        <v>53</v>
      </c>
      <c r="AY977" s="3150">
        <v>44317</v>
      </c>
      <c r="AZ977" s="942"/>
    </row>
    <row r="978" spans="3:52" ht="27.95" customHeight="1">
      <c r="C978" s="3071">
        <v>40</v>
      </c>
      <c r="D978" s="3141" t="str">
        <f t="shared" si="311"/>
        <v/>
      </c>
      <c r="F978" s="738">
        <v>40</v>
      </c>
      <c r="G978" s="3470" t="str">
        <f t="shared" si="310"/>
        <v/>
      </c>
      <c r="P978" s="3342">
        <v>48</v>
      </c>
      <c r="Q978" s="3799">
        <v>40878</v>
      </c>
      <c r="R978" s="1699"/>
      <c r="AI978" s="844"/>
      <c r="AJ978" s="3071">
        <v>48</v>
      </c>
      <c r="AK978" s="3141" t="str">
        <f t="shared" si="309"/>
        <v/>
      </c>
      <c r="AX978" s="3071">
        <v>54</v>
      </c>
      <c r="AY978" s="3150">
        <v>44348</v>
      </c>
      <c r="AZ978" s="942"/>
    </row>
    <row r="979" spans="3:52" ht="27.95" customHeight="1">
      <c r="C979" s="3071">
        <v>41</v>
      </c>
      <c r="D979" s="3141" t="str">
        <f t="shared" si="311"/>
        <v/>
      </c>
      <c r="G979" s="2142"/>
      <c r="P979" s="3342">
        <v>49</v>
      </c>
      <c r="Q979" s="3799">
        <v>40909</v>
      </c>
      <c r="R979" s="1699"/>
      <c r="AI979" s="844"/>
      <c r="AJ979" s="3071">
        <v>49</v>
      </c>
      <c r="AK979" s="3141" t="str">
        <f t="shared" si="309"/>
        <v/>
      </c>
      <c r="AX979" s="3071">
        <v>55</v>
      </c>
      <c r="AY979" s="3150">
        <v>44378</v>
      </c>
      <c r="AZ979" s="942"/>
    </row>
    <row r="980" spans="3:52" ht="27.95" customHeight="1">
      <c r="C980" s="3071">
        <v>42</v>
      </c>
      <c r="D980" s="3141" t="str">
        <f t="shared" si="311"/>
        <v/>
      </c>
      <c r="G980" s="632"/>
      <c r="P980" s="3342">
        <v>50</v>
      </c>
      <c r="Q980" s="3799">
        <v>40940</v>
      </c>
      <c r="R980" s="1699"/>
      <c r="AI980" s="844"/>
      <c r="AJ980" s="3071">
        <v>50</v>
      </c>
      <c r="AK980" s="3141" t="str">
        <f t="shared" si="309"/>
        <v/>
      </c>
      <c r="AX980" s="3071">
        <v>56</v>
      </c>
      <c r="AY980" s="3150">
        <v>44409</v>
      </c>
      <c r="AZ980" s="942"/>
    </row>
    <row r="981" spans="3:52" ht="27.95" customHeight="1">
      <c r="C981" s="3071">
        <v>43</v>
      </c>
      <c r="D981" s="3141" t="str">
        <f t="shared" si="311"/>
        <v/>
      </c>
      <c r="F981" s="2212">
        <v>1</v>
      </c>
      <c r="G981" s="1688" t="s">
        <v>445</v>
      </c>
      <c r="P981" s="3342">
        <v>51</v>
      </c>
      <c r="Q981" s="3799">
        <v>40969</v>
      </c>
      <c r="R981" s="1699"/>
      <c r="AI981" s="844"/>
      <c r="AJ981" s="3071">
        <v>51</v>
      </c>
      <c r="AK981" s="3141" t="str">
        <f t="shared" si="309"/>
        <v/>
      </c>
      <c r="AX981" s="3071">
        <v>57</v>
      </c>
      <c r="AY981" s="3150">
        <v>44440</v>
      </c>
      <c r="AZ981" s="942"/>
    </row>
    <row r="982" spans="3:52" ht="27.95" customHeight="1">
      <c r="C982" s="3071">
        <v>44</v>
      </c>
      <c r="D982" s="3141" t="str">
        <f t="shared" si="311"/>
        <v/>
      </c>
      <c r="F982" s="2212">
        <v>2</v>
      </c>
      <c r="G982" s="1688" t="s">
        <v>456</v>
      </c>
      <c r="P982" s="3342">
        <v>52</v>
      </c>
      <c r="Q982" s="3799">
        <v>41000</v>
      </c>
      <c r="R982" s="1699"/>
      <c r="AI982" s="844"/>
      <c r="AJ982" s="3071">
        <v>52</v>
      </c>
      <c r="AK982" s="3141" t="str">
        <f t="shared" si="309"/>
        <v/>
      </c>
      <c r="AX982" s="3071">
        <v>58</v>
      </c>
      <c r="AY982" s="3150">
        <v>44470</v>
      </c>
      <c r="AZ982" s="942"/>
    </row>
    <row r="983" spans="3:52" ht="27.95" customHeight="1">
      <c r="C983" s="3071">
        <v>45</v>
      </c>
      <c r="D983" s="3141" t="str">
        <f t="shared" si="311"/>
        <v/>
      </c>
      <c r="F983" s="9"/>
      <c r="G983" s="9"/>
      <c r="P983" s="3342">
        <v>53</v>
      </c>
      <c r="Q983" s="3799">
        <v>41030</v>
      </c>
      <c r="R983" s="1699"/>
      <c r="AI983" s="844"/>
      <c r="AJ983" s="3071">
        <v>53</v>
      </c>
      <c r="AK983" s="3141" t="str">
        <f t="shared" si="309"/>
        <v/>
      </c>
      <c r="AX983" s="3071">
        <v>59</v>
      </c>
      <c r="AY983" s="3150">
        <v>44501</v>
      </c>
      <c r="AZ983" s="942"/>
    </row>
    <row r="984" spans="3:52" ht="27.95" customHeight="1">
      <c r="C984" s="3071">
        <v>46</v>
      </c>
      <c r="D984" s="3141" t="str">
        <f t="shared" si="311"/>
        <v/>
      </c>
      <c r="F984" s="2212">
        <v>1</v>
      </c>
      <c r="G984" s="2212" t="s">
        <v>1412</v>
      </c>
      <c r="P984" s="3342">
        <v>54</v>
      </c>
      <c r="Q984" s="3799">
        <v>41061</v>
      </c>
      <c r="R984" s="1699"/>
      <c r="AI984" s="844"/>
      <c r="AJ984" s="3071">
        <v>54</v>
      </c>
      <c r="AK984" s="3141" t="str">
        <f t="shared" si="309"/>
        <v/>
      </c>
      <c r="AX984" s="3071">
        <v>60</v>
      </c>
      <c r="AY984" s="3150">
        <v>44531</v>
      </c>
      <c r="AZ984" s="942"/>
    </row>
    <row r="985" spans="3:52" ht="27.95" customHeight="1">
      <c r="C985" s="3071">
        <v>47</v>
      </c>
      <c r="D985" s="3141" t="str">
        <f t="shared" si="311"/>
        <v/>
      </c>
      <c r="F985" s="2212">
        <v>2</v>
      </c>
      <c r="G985" s="2212" t="s">
        <v>1413</v>
      </c>
      <c r="P985" s="3342">
        <v>55</v>
      </c>
      <c r="Q985" s="3799">
        <v>41091</v>
      </c>
      <c r="R985" s="1699"/>
      <c r="AI985" s="844"/>
      <c r="AJ985" s="3071">
        <v>55</v>
      </c>
      <c r="AK985" s="3141" t="str">
        <f t="shared" si="309"/>
        <v/>
      </c>
      <c r="AX985" s="3071">
        <v>61</v>
      </c>
      <c r="AY985" s="3150">
        <v>44562</v>
      </c>
      <c r="AZ985" s="942"/>
    </row>
    <row r="986" spans="3:52" ht="27.95" customHeight="1">
      <c r="C986" s="3071">
        <v>48</v>
      </c>
      <c r="D986" s="3141" t="str">
        <f t="shared" si="311"/>
        <v/>
      </c>
      <c r="G986" s="632"/>
      <c r="P986" s="3342">
        <v>56</v>
      </c>
      <c r="Q986" s="3799">
        <v>41122</v>
      </c>
      <c r="R986" s="1699"/>
      <c r="AI986" s="844"/>
      <c r="AJ986" s="3071">
        <v>56</v>
      </c>
      <c r="AK986" s="3141" t="str">
        <f t="shared" si="309"/>
        <v/>
      </c>
      <c r="AX986" s="3071">
        <v>62</v>
      </c>
      <c r="AY986" s="3150">
        <v>44593</v>
      </c>
      <c r="AZ986" s="942"/>
    </row>
    <row r="987" spans="3:52" ht="27.95" customHeight="1">
      <c r="C987" s="3071">
        <v>49</v>
      </c>
      <c r="D987" s="3141" t="str">
        <f t="shared" si="311"/>
        <v/>
      </c>
      <c r="G987" s="632"/>
      <c r="P987" s="3342">
        <v>57</v>
      </c>
      <c r="Q987" s="3799">
        <v>41153</v>
      </c>
      <c r="R987" s="1699"/>
      <c r="AI987" s="844"/>
      <c r="AJ987" s="3071">
        <v>57</v>
      </c>
      <c r="AK987" s="3141" t="str">
        <f t="shared" si="309"/>
        <v/>
      </c>
      <c r="AX987" s="3071">
        <v>63</v>
      </c>
      <c r="AY987" s="3150">
        <v>44621</v>
      </c>
      <c r="AZ987" s="942"/>
    </row>
    <row r="988" spans="3:52" ht="27.95" customHeight="1">
      <c r="C988" s="3071">
        <v>50</v>
      </c>
      <c r="D988" s="3141" t="str">
        <f t="shared" si="311"/>
        <v/>
      </c>
      <c r="G988" s="632"/>
      <c r="P988" s="3342">
        <v>58</v>
      </c>
      <c r="Q988" s="3799">
        <v>41183</v>
      </c>
      <c r="R988" s="1699"/>
      <c r="AI988" s="844"/>
      <c r="AJ988" s="3071">
        <v>58</v>
      </c>
      <c r="AK988" s="3141" t="str">
        <f t="shared" si="309"/>
        <v/>
      </c>
      <c r="AX988" s="3071">
        <v>64</v>
      </c>
      <c r="AY988" s="3150">
        <v>44652</v>
      </c>
      <c r="AZ988" s="942"/>
    </row>
    <row r="989" spans="3:52" ht="27.95" customHeight="1">
      <c r="C989" s="3071">
        <v>51</v>
      </c>
      <c r="D989" s="3141" t="str">
        <f t="shared" si="311"/>
        <v/>
      </c>
      <c r="G989" s="632"/>
      <c r="P989" s="3342">
        <v>59</v>
      </c>
      <c r="Q989" s="3799">
        <v>41214</v>
      </c>
      <c r="R989" s="1699"/>
      <c r="AI989" s="844"/>
      <c r="AJ989" s="3071">
        <v>59</v>
      </c>
      <c r="AK989" s="3141" t="str">
        <f t="shared" si="309"/>
        <v/>
      </c>
      <c r="AX989" s="3071">
        <v>65</v>
      </c>
      <c r="AY989" s="3150">
        <v>44682</v>
      </c>
      <c r="AZ989" s="942"/>
    </row>
    <row r="990" spans="3:52" ht="27.95" customHeight="1">
      <c r="C990" s="3071">
        <v>52</v>
      </c>
      <c r="D990" s="3141" t="str">
        <f t="shared" si="311"/>
        <v/>
      </c>
      <c r="G990" s="632"/>
      <c r="P990" s="3342">
        <v>60</v>
      </c>
      <c r="Q990" s="3799">
        <v>41244</v>
      </c>
      <c r="R990" s="1699"/>
      <c r="AI990" s="844"/>
      <c r="AJ990" s="3071">
        <v>60</v>
      </c>
      <c r="AK990" s="3141" t="str">
        <f t="shared" si="309"/>
        <v/>
      </c>
      <c r="AX990" s="3071">
        <v>66</v>
      </c>
      <c r="AY990" s="3150">
        <v>44713</v>
      </c>
      <c r="AZ990" s="942"/>
    </row>
    <row r="991" spans="3:52" ht="27.95" customHeight="1">
      <c r="C991" s="3071">
        <v>53</v>
      </c>
      <c r="D991" s="3141" t="str">
        <f t="shared" si="311"/>
        <v/>
      </c>
      <c r="G991" s="632"/>
      <c r="P991" s="3342">
        <v>61</v>
      </c>
      <c r="Q991" s="3799">
        <v>41275</v>
      </c>
      <c r="R991" s="1699"/>
      <c r="AI991" s="844"/>
      <c r="AJ991" s="3071">
        <v>61</v>
      </c>
      <c r="AK991" s="3141" t="str">
        <f t="shared" si="309"/>
        <v/>
      </c>
      <c r="AX991" s="3071">
        <v>67</v>
      </c>
      <c r="AY991" s="3150">
        <v>44743</v>
      </c>
      <c r="AZ991" s="942"/>
    </row>
    <row r="992" spans="3:52" ht="27.95" customHeight="1">
      <c r="C992" s="3071">
        <v>54</v>
      </c>
      <c r="D992" s="3141" t="str">
        <f t="shared" si="311"/>
        <v/>
      </c>
      <c r="G992" s="632"/>
      <c r="P992" s="3342">
        <v>62</v>
      </c>
      <c r="Q992" s="3799">
        <v>41306</v>
      </c>
      <c r="R992" s="1699"/>
      <c r="AI992" s="844"/>
      <c r="AJ992" s="3071">
        <v>62</v>
      </c>
      <c r="AK992" s="3141" t="str">
        <f t="shared" si="309"/>
        <v/>
      </c>
      <c r="AX992" s="3071">
        <v>68</v>
      </c>
      <c r="AY992" s="3150">
        <v>44774</v>
      </c>
      <c r="AZ992" s="942"/>
    </row>
    <row r="993" spans="3:52" ht="27.95" customHeight="1">
      <c r="C993" s="3071">
        <v>55</v>
      </c>
      <c r="D993" s="3141" t="str">
        <f t="shared" si="311"/>
        <v/>
      </c>
      <c r="G993" s="632"/>
      <c r="P993" s="3342">
        <v>63</v>
      </c>
      <c r="Q993" s="3799">
        <v>41334</v>
      </c>
      <c r="R993" s="1699"/>
      <c r="AI993" s="844"/>
      <c r="AJ993" s="3071">
        <v>63</v>
      </c>
      <c r="AK993" s="3141" t="str">
        <f t="shared" si="309"/>
        <v/>
      </c>
      <c r="AX993" s="3071">
        <v>69</v>
      </c>
      <c r="AY993" s="3150">
        <v>44805</v>
      </c>
      <c r="AZ993" s="942"/>
    </row>
    <row r="994" spans="3:52" ht="27.95" customHeight="1">
      <c r="C994" s="3071">
        <v>56</v>
      </c>
      <c r="D994" s="3141" t="str">
        <f t="shared" si="311"/>
        <v/>
      </c>
      <c r="G994" s="632"/>
      <c r="P994" s="3342">
        <v>64</v>
      </c>
      <c r="Q994" s="3799">
        <v>41365</v>
      </c>
      <c r="R994" s="1699"/>
      <c r="AI994" s="844"/>
      <c r="AJ994" s="3071">
        <v>64</v>
      </c>
      <c r="AK994" s="3141" t="str">
        <f t="shared" si="309"/>
        <v/>
      </c>
      <c r="AX994" s="3071">
        <v>70</v>
      </c>
      <c r="AY994" s="3150">
        <v>44835</v>
      </c>
      <c r="AZ994" s="942"/>
    </row>
    <row r="995" spans="3:52" ht="27.95" customHeight="1">
      <c r="C995" s="3071">
        <v>57</v>
      </c>
      <c r="D995" s="3141" t="str">
        <f t="shared" si="311"/>
        <v/>
      </c>
      <c r="G995" s="632"/>
      <c r="P995" s="3342">
        <v>65</v>
      </c>
      <c r="Q995" s="3799">
        <v>41395</v>
      </c>
      <c r="R995" s="1699"/>
      <c r="AI995" s="844"/>
      <c r="AJ995" s="3071">
        <v>65</v>
      </c>
      <c r="AK995" s="3141" t="str">
        <f t="shared" si="309"/>
        <v/>
      </c>
      <c r="AX995" s="3071">
        <v>71</v>
      </c>
      <c r="AY995" s="3150">
        <v>44866</v>
      </c>
      <c r="AZ995" s="942"/>
    </row>
    <row r="996" spans="3:52" ht="27.95" customHeight="1">
      <c r="C996" s="3071">
        <v>58</v>
      </c>
      <c r="D996" s="3141" t="str">
        <f t="shared" si="311"/>
        <v/>
      </c>
      <c r="G996" s="632"/>
      <c r="P996" s="3342">
        <v>66</v>
      </c>
      <c r="Q996" s="3799">
        <v>41426</v>
      </c>
      <c r="R996" s="1699"/>
      <c r="AI996" s="844"/>
      <c r="AJ996" s="3071">
        <v>66</v>
      </c>
      <c r="AK996" s="3141" t="str">
        <f t="shared" ref="AK996:AK1037" si="312">IF(AND($AR$919&lt;=AY990,AY990&lt;=$AT$919),AY990,"")</f>
        <v/>
      </c>
      <c r="AX996" s="3071">
        <v>72</v>
      </c>
      <c r="AY996" s="3150">
        <v>44896</v>
      </c>
      <c r="AZ996" s="942"/>
    </row>
    <row r="997" spans="3:52" ht="27.95" customHeight="1">
      <c r="C997" s="3071">
        <v>59</v>
      </c>
      <c r="D997" s="3141" t="str">
        <f t="shared" si="311"/>
        <v/>
      </c>
      <c r="G997" s="632"/>
      <c r="P997" s="3342">
        <v>67</v>
      </c>
      <c r="Q997" s="3799">
        <v>41456</v>
      </c>
      <c r="R997" s="1699"/>
      <c r="AI997" s="844"/>
      <c r="AJ997" s="3071">
        <v>67</v>
      </c>
      <c r="AK997" s="3141" t="str">
        <f t="shared" si="312"/>
        <v/>
      </c>
      <c r="AX997" s="3071">
        <v>73</v>
      </c>
      <c r="AY997" s="3150">
        <v>44927</v>
      </c>
      <c r="AZ997" s="942"/>
    </row>
    <row r="998" spans="3:52" ht="27.95" customHeight="1">
      <c r="C998" s="3071">
        <v>60</v>
      </c>
      <c r="D998" s="3141" t="str">
        <f t="shared" si="311"/>
        <v/>
      </c>
      <c r="G998" s="632"/>
      <c r="P998" s="3342">
        <v>68</v>
      </c>
      <c r="Q998" s="3799">
        <v>41487</v>
      </c>
      <c r="R998" s="1699"/>
      <c r="AI998" s="844"/>
      <c r="AJ998" s="3071">
        <v>68</v>
      </c>
      <c r="AK998" s="3141" t="str">
        <f t="shared" si="312"/>
        <v/>
      </c>
      <c r="AX998" s="3071">
        <v>74</v>
      </c>
      <c r="AY998" s="3150">
        <v>44958</v>
      </c>
      <c r="AZ998" s="942"/>
    </row>
    <row r="999" spans="3:52" ht="27.95" customHeight="1">
      <c r="C999" s="3071">
        <v>61</v>
      </c>
      <c r="D999" s="3141" t="str">
        <f t="shared" si="311"/>
        <v/>
      </c>
      <c r="G999" s="632"/>
      <c r="P999" s="3342">
        <v>69</v>
      </c>
      <c r="Q999" s="3799">
        <v>41518</v>
      </c>
      <c r="R999" s="1699"/>
      <c r="AI999" s="844"/>
      <c r="AJ999" s="3071">
        <v>69</v>
      </c>
      <c r="AK999" s="3141" t="str">
        <f t="shared" si="312"/>
        <v/>
      </c>
      <c r="AX999" s="3071">
        <v>75</v>
      </c>
      <c r="AY999" s="3150">
        <v>44986</v>
      </c>
      <c r="AZ999" s="942"/>
    </row>
    <row r="1000" spans="3:52" ht="27.95" customHeight="1">
      <c r="C1000" s="3071">
        <v>62</v>
      </c>
      <c r="D1000" s="3141" t="str">
        <f t="shared" si="311"/>
        <v/>
      </c>
      <c r="G1000" s="632"/>
      <c r="P1000" s="3342">
        <v>70</v>
      </c>
      <c r="Q1000" s="3799">
        <v>41548</v>
      </c>
      <c r="R1000" s="1699"/>
      <c r="AI1000" s="844"/>
      <c r="AJ1000" s="3071">
        <v>70</v>
      </c>
      <c r="AK1000" s="3141" t="str">
        <f t="shared" si="312"/>
        <v/>
      </c>
      <c r="AX1000" s="3071">
        <v>76</v>
      </c>
      <c r="AY1000" s="3150">
        <v>45017</v>
      </c>
      <c r="AZ1000" s="942"/>
    </row>
    <row r="1001" spans="3:52" ht="27.95" customHeight="1">
      <c r="C1001" s="3071">
        <v>63</v>
      </c>
      <c r="D1001" s="3141" t="str">
        <f t="shared" si="311"/>
        <v/>
      </c>
      <c r="G1001" s="632"/>
      <c r="P1001" s="3342">
        <v>71</v>
      </c>
      <c r="Q1001" s="3799">
        <v>41579</v>
      </c>
      <c r="R1001" s="1699"/>
      <c r="AI1001" s="844"/>
      <c r="AJ1001" s="3071">
        <v>71</v>
      </c>
      <c r="AK1001" s="3141" t="str">
        <f t="shared" si="312"/>
        <v/>
      </c>
      <c r="AX1001" s="3071">
        <v>77</v>
      </c>
      <c r="AY1001" s="3150">
        <v>45047</v>
      </c>
      <c r="AZ1001" s="942"/>
    </row>
    <row r="1002" spans="3:52" ht="27.95" customHeight="1">
      <c r="C1002" s="3071">
        <v>64</v>
      </c>
      <c r="D1002" s="3141" t="str">
        <f t="shared" si="311"/>
        <v/>
      </c>
      <c r="G1002" s="632"/>
      <c r="P1002" s="3342">
        <v>72</v>
      </c>
      <c r="Q1002" s="3799">
        <v>41609</v>
      </c>
      <c r="R1002" s="1699"/>
      <c r="AI1002" s="844"/>
      <c r="AJ1002" s="3071">
        <v>72</v>
      </c>
      <c r="AK1002" s="3141" t="str">
        <f t="shared" si="312"/>
        <v/>
      </c>
      <c r="AX1002" s="3071">
        <v>78</v>
      </c>
      <c r="AY1002" s="3150">
        <v>45078</v>
      </c>
      <c r="AZ1002" s="942"/>
    </row>
    <row r="1003" spans="3:52" ht="27.95" customHeight="1">
      <c r="C1003" s="3071">
        <v>65</v>
      </c>
      <c r="D1003" s="3141" t="str">
        <f t="shared" si="311"/>
        <v/>
      </c>
      <c r="G1003" s="632"/>
      <c r="P1003" s="3342">
        <v>73</v>
      </c>
      <c r="Q1003" s="3799">
        <v>41640</v>
      </c>
      <c r="R1003" s="1699"/>
      <c r="AI1003" s="844"/>
      <c r="AJ1003" s="3071">
        <v>73</v>
      </c>
      <c r="AK1003" s="3141" t="str">
        <f t="shared" si="312"/>
        <v/>
      </c>
      <c r="AX1003" s="3071">
        <v>79</v>
      </c>
      <c r="AY1003" s="3150">
        <v>45108</v>
      </c>
      <c r="AZ1003" s="942"/>
    </row>
    <row r="1004" spans="3:52" ht="27.95" customHeight="1">
      <c r="C1004" s="3071">
        <v>66</v>
      </c>
      <c r="D1004" s="3141" t="str">
        <f t="shared" ref="D1004:D1067" si="313">IF(AND($K$919&lt;=Q996,Q996&lt;=$M$919),Q996,"")</f>
        <v/>
      </c>
      <c r="G1004" s="632"/>
      <c r="P1004" s="3342">
        <v>74</v>
      </c>
      <c r="Q1004" s="3799">
        <v>41671</v>
      </c>
      <c r="R1004" s="1699"/>
      <c r="AC1004" s="1458"/>
      <c r="AI1004" s="844"/>
      <c r="AJ1004" s="3071">
        <v>74</v>
      </c>
      <c r="AK1004" s="3141" t="str">
        <f t="shared" si="312"/>
        <v/>
      </c>
      <c r="AX1004" s="3071">
        <v>80</v>
      </c>
      <c r="AY1004" s="3150">
        <v>45139</v>
      </c>
      <c r="AZ1004" s="942"/>
    </row>
    <row r="1005" spans="3:52" ht="27.95" customHeight="1">
      <c r="C1005" s="3071">
        <v>67</v>
      </c>
      <c r="D1005" s="3141" t="str">
        <f t="shared" si="313"/>
        <v/>
      </c>
      <c r="G1005" s="632"/>
      <c r="P1005" s="3342">
        <v>75</v>
      </c>
      <c r="Q1005" s="3799">
        <v>41699</v>
      </c>
      <c r="R1005" s="1699"/>
      <c r="S1005" s="1468"/>
      <c r="T1005" s="1468"/>
      <c r="U1005" s="1468"/>
      <c r="W1005" s="3113"/>
      <c r="Y1005" s="1468"/>
      <c r="Z1005" s="1468"/>
      <c r="AA1005" s="1468"/>
      <c r="AC1005" s="3112"/>
      <c r="AI1005" s="844"/>
      <c r="AJ1005" s="3071">
        <v>75</v>
      </c>
      <c r="AK1005" s="3141" t="str">
        <f t="shared" si="312"/>
        <v/>
      </c>
      <c r="AX1005" s="3071">
        <v>81</v>
      </c>
      <c r="AY1005" s="3150">
        <v>45170</v>
      </c>
      <c r="AZ1005" s="942"/>
    </row>
    <row r="1006" spans="3:52" ht="27.95" customHeight="1">
      <c r="C1006" s="3071">
        <v>68</v>
      </c>
      <c r="D1006" s="3141" t="str">
        <f t="shared" si="313"/>
        <v/>
      </c>
      <c r="G1006" s="632"/>
      <c r="P1006" s="3342">
        <v>76</v>
      </c>
      <c r="Q1006" s="3799">
        <v>41730</v>
      </c>
      <c r="R1006" s="3142"/>
      <c r="S1006" s="1468"/>
      <c r="T1006" s="1458"/>
      <c r="U1006" s="1468"/>
      <c r="W1006" s="3112"/>
      <c r="Y1006" s="1468"/>
      <c r="Z1006" s="1468"/>
      <c r="AA1006" s="1468"/>
      <c r="AC1006" s="3112"/>
      <c r="AI1006" s="844"/>
      <c r="AJ1006" s="3071">
        <v>76</v>
      </c>
      <c r="AK1006" s="3141" t="str">
        <f t="shared" si="312"/>
        <v/>
      </c>
      <c r="AX1006" s="3071">
        <v>82</v>
      </c>
      <c r="AY1006" s="3150">
        <v>45200</v>
      </c>
      <c r="AZ1006" s="942"/>
    </row>
    <row r="1007" spans="3:52" ht="27.95" customHeight="1">
      <c r="C1007" s="3071">
        <v>69</v>
      </c>
      <c r="D1007" s="3141" t="str">
        <f t="shared" si="313"/>
        <v/>
      </c>
      <c r="G1007" s="632"/>
      <c r="P1007" s="3342">
        <v>77</v>
      </c>
      <c r="Q1007" s="3799">
        <v>41760</v>
      </c>
      <c r="R1007" s="3142"/>
      <c r="S1007" s="1559"/>
      <c r="T1007" s="1458"/>
      <c r="U1007" s="1458"/>
      <c r="V1007" s="1485"/>
      <c r="W1007" s="1458"/>
      <c r="X1007" s="2178"/>
      <c r="Y1007" s="1485"/>
      <c r="Z1007" s="1458"/>
      <c r="AA1007" s="1458"/>
      <c r="AB1007" s="1485"/>
      <c r="AC1007" s="1458"/>
      <c r="AI1007" s="844"/>
      <c r="AJ1007" s="3071">
        <v>77</v>
      </c>
      <c r="AK1007" s="3141" t="str">
        <f t="shared" si="312"/>
        <v/>
      </c>
      <c r="AX1007" s="3071">
        <v>83</v>
      </c>
      <c r="AY1007" s="3150">
        <v>45231</v>
      </c>
      <c r="AZ1007" s="942"/>
    </row>
    <row r="1008" spans="3:52" ht="27.95" customHeight="1">
      <c r="C1008" s="3071">
        <v>70</v>
      </c>
      <c r="D1008" s="3141" t="str">
        <f t="shared" si="313"/>
        <v/>
      </c>
      <c r="G1008" s="632"/>
      <c r="P1008" s="3342">
        <v>78</v>
      </c>
      <c r="Q1008" s="3799">
        <v>41791</v>
      </c>
      <c r="R1008" s="3142"/>
      <c r="S1008" s="1559"/>
      <c r="T1008" s="1458"/>
      <c r="U1008" s="2178"/>
      <c r="V1008" s="1485"/>
      <c r="W1008" s="1458"/>
      <c r="X1008" s="1458"/>
      <c r="Y1008" s="1485"/>
      <c r="Z1008" s="1458"/>
      <c r="AA1008" s="2178"/>
      <c r="AB1008" s="1485"/>
      <c r="AC1008" s="1458"/>
      <c r="AI1008" s="844"/>
      <c r="AJ1008" s="3071">
        <v>78</v>
      </c>
      <c r="AK1008" s="3141" t="str">
        <f t="shared" si="312"/>
        <v/>
      </c>
      <c r="AX1008" s="3071">
        <v>84</v>
      </c>
      <c r="AY1008" s="3150">
        <v>45261</v>
      </c>
      <c r="AZ1008" s="942"/>
    </row>
    <row r="1009" spans="3:52" ht="27.95" customHeight="1">
      <c r="C1009" s="3071">
        <v>71</v>
      </c>
      <c r="D1009" s="3141" t="str">
        <f t="shared" si="313"/>
        <v/>
      </c>
      <c r="G1009" s="632"/>
      <c r="P1009" s="3342">
        <v>79</v>
      </c>
      <c r="Q1009" s="3799">
        <v>41821</v>
      </c>
      <c r="R1009" s="3142"/>
      <c r="S1009" s="1559"/>
      <c r="T1009" s="1458"/>
      <c r="U1009" s="2178"/>
      <c r="V1009" s="1485"/>
      <c r="W1009" s="1458"/>
      <c r="X1009" s="1458"/>
      <c r="Y1009" s="1485"/>
      <c r="Z1009" s="1458"/>
      <c r="AA1009" s="2178"/>
      <c r="AB1009" s="1485"/>
      <c r="AC1009" s="1458"/>
      <c r="AI1009" s="844"/>
      <c r="AJ1009" s="3071">
        <v>79</v>
      </c>
      <c r="AK1009" s="3141" t="str">
        <f t="shared" si="312"/>
        <v/>
      </c>
      <c r="AX1009" s="3071">
        <v>85</v>
      </c>
      <c r="AY1009" s="3150">
        <v>45292</v>
      </c>
      <c r="AZ1009" s="942"/>
    </row>
    <row r="1010" spans="3:52" ht="27.95" customHeight="1">
      <c r="C1010" s="3071">
        <v>72</v>
      </c>
      <c r="D1010" s="3141" t="str">
        <f t="shared" si="313"/>
        <v/>
      </c>
      <c r="G1010" s="632"/>
      <c r="P1010" s="3342">
        <v>80</v>
      </c>
      <c r="Q1010" s="3799">
        <v>41852</v>
      </c>
      <c r="R1010" s="3142"/>
      <c r="S1010" s="1559"/>
      <c r="T1010" s="1458"/>
      <c r="U1010" s="2178"/>
      <c r="V1010" s="1485"/>
      <c r="W1010" s="1458"/>
      <c r="X1010" s="1458"/>
      <c r="Y1010" s="1485"/>
      <c r="Z1010" s="1458"/>
      <c r="AA1010" s="2178"/>
      <c r="AB1010" s="1485"/>
      <c r="AC1010" s="1458"/>
      <c r="AI1010" s="844"/>
      <c r="AJ1010" s="3071">
        <v>80</v>
      </c>
      <c r="AK1010" s="3141" t="str">
        <f t="shared" si="312"/>
        <v/>
      </c>
      <c r="AX1010" s="3071">
        <v>86</v>
      </c>
      <c r="AY1010" s="3150">
        <v>45323</v>
      </c>
      <c r="AZ1010" s="942"/>
    </row>
    <row r="1011" spans="3:52" ht="27.95" customHeight="1">
      <c r="C1011" s="3071">
        <v>73</v>
      </c>
      <c r="D1011" s="3141" t="str">
        <f t="shared" si="313"/>
        <v/>
      </c>
      <c r="G1011" s="632"/>
      <c r="P1011" s="3342">
        <v>81</v>
      </c>
      <c r="Q1011" s="3799">
        <v>41883</v>
      </c>
      <c r="R1011" s="3142"/>
      <c r="S1011" s="1559"/>
      <c r="T1011" s="1458"/>
      <c r="U1011" s="2178"/>
      <c r="V1011" s="1485"/>
      <c r="W1011" s="1458"/>
      <c r="X1011" s="1458"/>
      <c r="Y1011" s="1485"/>
      <c r="Z1011" s="1458"/>
      <c r="AA1011" s="2178"/>
      <c r="AB1011" s="1485"/>
      <c r="AC1011" s="1458"/>
      <c r="AI1011" s="844"/>
      <c r="AJ1011" s="3071">
        <v>81</v>
      </c>
      <c r="AK1011" s="3141" t="str">
        <f t="shared" si="312"/>
        <v/>
      </c>
      <c r="AX1011" s="3071">
        <v>87</v>
      </c>
      <c r="AY1011" s="3150">
        <v>45352</v>
      </c>
      <c r="AZ1011" s="942"/>
    </row>
    <row r="1012" spans="3:52" ht="27.95" customHeight="1">
      <c r="C1012" s="3071">
        <v>74</v>
      </c>
      <c r="D1012" s="3141" t="str">
        <f t="shared" si="313"/>
        <v/>
      </c>
      <c r="G1012" s="632"/>
      <c r="P1012" s="3342">
        <v>82</v>
      </c>
      <c r="Q1012" s="3799">
        <v>41913</v>
      </c>
      <c r="R1012" s="3142"/>
      <c r="S1012" s="1559"/>
      <c r="T1012" s="1458"/>
      <c r="U1012" s="2178"/>
      <c r="V1012" s="1485"/>
      <c r="W1012" s="1458"/>
      <c r="X1012" s="1458"/>
      <c r="Y1012" s="1485"/>
      <c r="Z1012" s="1458"/>
      <c r="AA1012" s="2178"/>
      <c r="AB1012" s="1485"/>
      <c r="AC1012" s="1458"/>
      <c r="AI1012" s="844"/>
      <c r="AJ1012" s="3071">
        <v>82</v>
      </c>
      <c r="AK1012" s="3141" t="str">
        <f t="shared" si="312"/>
        <v/>
      </c>
      <c r="AX1012" s="3071">
        <v>88</v>
      </c>
      <c r="AY1012" s="3150">
        <v>45383</v>
      </c>
      <c r="AZ1012" s="942"/>
    </row>
    <row r="1013" spans="3:52" ht="27.95" customHeight="1">
      <c r="C1013" s="3071">
        <v>75</v>
      </c>
      <c r="D1013" s="3141" t="str">
        <f t="shared" si="313"/>
        <v/>
      </c>
      <c r="G1013" s="632"/>
      <c r="P1013" s="3342">
        <v>83</v>
      </c>
      <c r="Q1013" s="3799">
        <v>41944</v>
      </c>
      <c r="R1013" s="3142"/>
      <c r="S1013" s="1559"/>
      <c r="T1013" s="1458"/>
      <c r="U1013" s="2178"/>
      <c r="V1013" s="1485"/>
      <c r="W1013" s="1458"/>
      <c r="X1013" s="1458"/>
      <c r="Y1013" s="1485"/>
      <c r="Z1013" s="1458"/>
      <c r="AA1013" s="2178"/>
      <c r="AB1013" s="1485"/>
      <c r="AC1013" s="1458"/>
      <c r="AI1013" s="844"/>
      <c r="AJ1013" s="3071">
        <v>83</v>
      </c>
      <c r="AK1013" s="3141" t="str">
        <f t="shared" si="312"/>
        <v/>
      </c>
      <c r="AX1013" s="3071">
        <v>89</v>
      </c>
      <c r="AY1013" s="3150">
        <v>45413</v>
      </c>
      <c r="AZ1013" s="942"/>
    </row>
    <row r="1014" spans="3:52" ht="27.95" customHeight="1">
      <c r="C1014" s="3071">
        <v>76</v>
      </c>
      <c r="D1014" s="3141" t="str">
        <f t="shared" si="313"/>
        <v/>
      </c>
      <c r="G1014" s="632"/>
      <c r="P1014" s="3342">
        <v>84</v>
      </c>
      <c r="Q1014" s="3799">
        <v>41974</v>
      </c>
      <c r="R1014" s="3142"/>
      <c r="S1014" s="1485"/>
      <c r="T1014" s="1458"/>
      <c r="U1014" s="2178"/>
      <c r="V1014" s="1485"/>
      <c r="W1014" s="1458"/>
      <c r="X1014" s="2178"/>
      <c r="Y1014" s="1485"/>
      <c r="Z1014" s="1458"/>
      <c r="AA1014" s="2178"/>
      <c r="AB1014" s="1485"/>
      <c r="AC1014" s="1458"/>
      <c r="AI1014" s="844"/>
      <c r="AJ1014" s="3071">
        <v>84</v>
      </c>
      <c r="AK1014" s="3141" t="str">
        <f t="shared" si="312"/>
        <v/>
      </c>
      <c r="AX1014" s="3071">
        <v>90</v>
      </c>
      <c r="AY1014" s="3150">
        <v>45444</v>
      </c>
      <c r="AZ1014" s="942"/>
    </row>
    <row r="1015" spans="3:52" ht="27.95" customHeight="1">
      <c r="C1015" s="3071">
        <v>77</v>
      </c>
      <c r="D1015" s="3141" t="str">
        <f t="shared" si="313"/>
        <v/>
      </c>
      <c r="G1015" s="632"/>
      <c r="P1015" s="3342">
        <v>85</v>
      </c>
      <c r="Q1015" s="3799">
        <v>42005</v>
      </c>
      <c r="R1015" s="3142"/>
      <c r="S1015" s="1485"/>
      <c r="T1015" s="1458"/>
      <c r="U1015" s="2178"/>
      <c r="V1015" s="1485"/>
      <c r="W1015" s="1458"/>
      <c r="X1015" s="2178"/>
      <c r="Y1015" s="1485"/>
      <c r="Z1015" s="1458"/>
      <c r="AA1015" s="2178"/>
      <c r="AB1015" s="1485"/>
      <c r="AC1015" s="1458"/>
      <c r="AI1015" s="844"/>
      <c r="AJ1015" s="3071">
        <v>85</v>
      </c>
      <c r="AK1015" s="3141" t="str">
        <f t="shared" si="312"/>
        <v/>
      </c>
      <c r="AX1015" s="3071">
        <v>91</v>
      </c>
      <c r="AY1015" s="3150">
        <v>45474</v>
      </c>
      <c r="AZ1015" s="942"/>
    </row>
    <row r="1016" spans="3:52" ht="27.95" customHeight="1">
      <c r="C1016" s="3071">
        <v>78</v>
      </c>
      <c r="D1016" s="3141" t="str">
        <f t="shared" si="313"/>
        <v/>
      </c>
      <c r="G1016" s="632"/>
      <c r="P1016" s="3342">
        <v>86</v>
      </c>
      <c r="Q1016" s="3799">
        <v>42036</v>
      </c>
      <c r="R1016" s="1699"/>
      <c r="AA1016" s="2178"/>
      <c r="AI1016" s="844"/>
      <c r="AJ1016" s="3071">
        <v>86</v>
      </c>
      <c r="AK1016" s="3141" t="str">
        <f t="shared" si="312"/>
        <v/>
      </c>
      <c r="AX1016" s="3071">
        <v>92</v>
      </c>
      <c r="AY1016" s="3150">
        <v>45505</v>
      </c>
      <c r="AZ1016" s="942"/>
    </row>
    <row r="1017" spans="3:52" ht="27.95" customHeight="1">
      <c r="C1017" s="3071">
        <v>79</v>
      </c>
      <c r="D1017" s="3141" t="str">
        <f t="shared" si="313"/>
        <v/>
      </c>
      <c r="G1017" s="632"/>
      <c r="P1017" s="3342">
        <v>87</v>
      </c>
      <c r="Q1017" s="3799">
        <v>42064</v>
      </c>
      <c r="R1017" s="1699"/>
      <c r="AA1017" s="2178"/>
      <c r="AI1017" s="844"/>
      <c r="AJ1017" s="3071">
        <v>87</v>
      </c>
      <c r="AK1017" s="3141" t="str">
        <f t="shared" si="312"/>
        <v/>
      </c>
      <c r="AX1017" s="3071">
        <v>93</v>
      </c>
      <c r="AY1017" s="3150">
        <v>45536</v>
      </c>
      <c r="AZ1017" s="942"/>
    </row>
    <row r="1018" spans="3:52" ht="27.95" customHeight="1">
      <c r="C1018" s="3071">
        <v>80</v>
      </c>
      <c r="D1018" s="3141" t="str">
        <f t="shared" si="313"/>
        <v/>
      </c>
      <c r="E1018" s="868"/>
      <c r="F1018" s="728"/>
      <c r="G1018" s="632"/>
      <c r="I1018" s="2140"/>
      <c r="J1018" s="1559"/>
      <c r="K1018" s="1458"/>
      <c r="L1018" s="2178"/>
      <c r="M1018" s="1559"/>
      <c r="N1018" s="1458"/>
      <c r="O1018" s="1458" t="str">
        <f t="shared" ref="O1018:O1025" si="314">IFERROR(IF(SUM(O1017+1)&lt;=MAX($L$1007:$L$1024)-1,SUM(O1017+1),""),"")</f>
        <v/>
      </c>
      <c r="P1018" s="3342">
        <v>88</v>
      </c>
      <c r="Q1018" s="3799">
        <v>42095</v>
      </c>
      <c r="R1018" s="1699"/>
      <c r="AA1018" s="2178"/>
      <c r="AI1018" s="844"/>
      <c r="AJ1018" s="3071">
        <v>88</v>
      </c>
      <c r="AK1018" s="3141" t="str">
        <f t="shared" si="312"/>
        <v/>
      </c>
      <c r="AX1018" s="3071">
        <v>94</v>
      </c>
      <c r="AY1018" s="3150">
        <v>45566</v>
      </c>
      <c r="AZ1018" s="942"/>
    </row>
    <row r="1019" spans="3:52" ht="27.95" customHeight="1">
      <c r="C1019" s="3071">
        <v>81</v>
      </c>
      <c r="D1019" s="3141" t="str">
        <f t="shared" si="313"/>
        <v/>
      </c>
      <c r="E1019" s="868"/>
      <c r="F1019" s="728"/>
      <c r="G1019" s="632"/>
      <c r="I1019" s="2140"/>
      <c r="J1019" s="1559"/>
      <c r="K1019" s="1458"/>
      <c r="L1019" s="2178"/>
      <c r="M1019" s="1559"/>
      <c r="N1019" s="1458"/>
      <c r="O1019" s="1458" t="str">
        <f t="shared" si="314"/>
        <v/>
      </c>
      <c r="P1019" s="3342">
        <v>89</v>
      </c>
      <c r="Q1019" s="3799">
        <v>42125</v>
      </c>
      <c r="R1019" s="1699"/>
      <c r="AA1019" s="2178"/>
      <c r="AI1019" s="844"/>
      <c r="AJ1019" s="3071">
        <v>89</v>
      </c>
      <c r="AK1019" s="3141" t="str">
        <f t="shared" si="312"/>
        <v/>
      </c>
      <c r="AX1019" s="3071">
        <v>95</v>
      </c>
      <c r="AY1019" s="3150">
        <v>45597</v>
      </c>
      <c r="AZ1019" s="942"/>
    </row>
    <row r="1020" spans="3:52" ht="27.95" customHeight="1">
      <c r="C1020" s="3071">
        <v>82</v>
      </c>
      <c r="D1020" s="3141" t="str">
        <f t="shared" si="313"/>
        <v/>
      </c>
      <c r="E1020" s="868"/>
      <c r="F1020" s="728"/>
      <c r="G1020" s="632"/>
      <c r="I1020" s="2140"/>
      <c r="J1020" s="1559"/>
      <c r="K1020" s="1458"/>
      <c r="L1020" s="2178"/>
      <c r="M1020" s="1559"/>
      <c r="N1020" s="1458"/>
      <c r="O1020" s="1458" t="str">
        <f t="shared" si="314"/>
        <v/>
      </c>
      <c r="P1020" s="3342">
        <v>90</v>
      </c>
      <c r="Q1020" s="3799">
        <v>42156</v>
      </c>
      <c r="R1020" s="1699"/>
      <c r="AA1020" s="2178"/>
      <c r="AI1020" s="844"/>
      <c r="AJ1020" s="3071">
        <v>90</v>
      </c>
      <c r="AK1020" s="3141" t="str">
        <f t="shared" si="312"/>
        <v/>
      </c>
      <c r="AX1020" s="3071">
        <v>96</v>
      </c>
      <c r="AY1020" s="3150">
        <v>45627</v>
      </c>
      <c r="AZ1020" s="942"/>
    </row>
    <row r="1021" spans="3:52" ht="27.95" customHeight="1">
      <c r="C1021" s="3071">
        <v>83</v>
      </c>
      <c r="D1021" s="3141" t="str">
        <f t="shared" si="313"/>
        <v/>
      </c>
      <c r="E1021" s="868"/>
      <c r="F1021" s="728"/>
      <c r="G1021" s="632"/>
      <c r="I1021" s="2140"/>
      <c r="J1021" s="1559"/>
      <c r="K1021" s="1458"/>
      <c r="L1021" s="2178"/>
      <c r="M1021" s="1559"/>
      <c r="N1021" s="1458"/>
      <c r="O1021" s="1458" t="str">
        <f t="shared" si="314"/>
        <v/>
      </c>
      <c r="P1021" s="3342">
        <v>91</v>
      </c>
      <c r="Q1021" s="3799">
        <v>42186</v>
      </c>
      <c r="R1021" s="1699"/>
      <c r="AA1021" s="2178"/>
      <c r="AI1021" s="844"/>
      <c r="AJ1021" s="3071">
        <v>91</v>
      </c>
      <c r="AK1021" s="3141" t="str">
        <f t="shared" si="312"/>
        <v/>
      </c>
      <c r="AX1021" s="3071">
        <v>97</v>
      </c>
      <c r="AY1021" s="3150">
        <v>45658</v>
      </c>
      <c r="AZ1021" s="942"/>
    </row>
    <row r="1022" spans="3:52" ht="27.95" customHeight="1">
      <c r="C1022" s="3071">
        <v>84</v>
      </c>
      <c r="D1022" s="3141" t="str">
        <f t="shared" si="313"/>
        <v/>
      </c>
      <c r="E1022" s="868"/>
      <c r="F1022" s="728"/>
      <c r="G1022" s="632"/>
      <c r="I1022" s="2140"/>
      <c r="J1022" s="1559"/>
      <c r="K1022" s="1458"/>
      <c r="L1022" s="2178"/>
      <c r="M1022" s="1559"/>
      <c r="N1022" s="1458"/>
      <c r="O1022" s="1458" t="str">
        <f t="shared" si="314"/>
        <v/>
      </c>
      <c r="P1022" s="3342">
        <v>92</v>
      </c>
      <c r="Q1022" s="3799">
        <v>42217</v>
      </c>
      <c r="R1022" s="1699"/>
      <c r="AA1022" s="2178"/>
      <c r="AI1022" s="844"/>
      <c r="AJ1022" s="3071">
        <v>92</v>
      </c>
      <c r="AK1022" s="3141">
        <f t="shared" si="312"/>
        <v>45505</v>
      </c>
      <c r="AX1022" s="3071">
        <v>98</v>
      </c>
      <c r="AY1022" s="3150">
        <v>45689</v>
      </c>
      <c r="AZ1022" s="942"/>
    </row>
    <row r="1023" spans="3:52" ht="27.95" customHeight="1">
      <c r="C1023" s="3071">
        <v>85</v>
      </c>
      <c r="D1023" s="3141" t="str">
        <f t="shared" si="313"/>
        <v/>
      </c>
      <c r="E1023" s="868"/>
      <c r="F1023" s="728"/>
      <c r="G1023" s="632"/>
      <c r="I1023" s="2140"/>
      <c r="J1023" s="1559"/>
      <c r="K1023" s="1458"/>
      <c r="L1023" s="2178"/>
      <c r="M1023" s="1559"/>
      <c r="N1023" s="1458"/>
      <c r="O1023" s="1458" t="str">
        <f t="shared" si="314"/>
        <v/>
      </c>
      <c r="P1023" s="3342">
        <v>93</v>
      </c>
      <c r="Q1023" s="3799">
        <v>42248</v>
      </c>
      <c r="R1023" s="1699"/>
      <c r="AA1023" s="2178"/>
      <c r="AI1023" s="844"/>
      <c r="AJ1023" s="3071">
        <v>93</v>
      </c>
      <c r="AK1023" s="3141">
        <f t="shared" si="312"/>
        <v>45536</v>
      </c>
      <c r="AX1023" s="3071">
        <v>99</v>
      </c>
      <c r="AY1023" s="3150">
        <v>45717</v>
      </c>
      <c r="AZ1023" s="942"/>
    </row>
    <row r="1024" spans="3:52" ht="27.95" customHeight="1">
      <c r="C1024" s="3071">
        <v>86</v>
      </c>
      <c r="D1024" s="3141" t="str">
        <f t="shared" si="313"/>
        <v/>
      </c>
      <c r="E1024" s="868"/>
      <c r="F1024" s="728"/>
      <c r="G1024" s="632"/>
      <c r="I1024" s="2140"/>
      <c r="J1024" s="1559"/>
      <c r="K1024" s="1458"/>
      <c r="L1024" s="2178"/>
      <c r="M1024" s="1559"/>
      <c r="N1024" s="1458"/>
      <c r="O1024" s="1458" t="str">
        <f t="shared" si="314"/>
        <v/>
      </c>
      <c r="P1024" s="3342">
        <v>94</v>
      </c>
      <c r="Q1024" s="3799">
        <v>42278</v>
      </c>
      <c r="R1024" s="1699"/>
      <c r="AA1024" s="2178"/>
      <c r="AI1024" s="844"/>
      <c r="AJ1024" s="3071">
        <v>94</v>
      </c>
      <c r="AK1024" s="3141">
        <f t="shared" si="312"/>
        <v>45566</v>
      </c>
      <c r="AX1024" s="3071">
        <v>100</v>
      </c>
      <c r="AY1024" s="3150">
        <v>45748</v>
      </c>
      <c r="AZ1024" s="942"/>
    </row>
    <row r="1025" spans="3:52" ht="27.95" customHeight="1">
      <c r="C1025" s="3071">
        <v>87</v>
      </c>
      <c r="D1025" s="3141" t="str">
        <f t="shared" si="313"/>
        <v/>
      </c>
      <c r="E1025" s="868"/>
      <c r="G1025" s="632"/>
      <c r="O1025" s="1458" t="str">
        <f t="shared" si="314"/>
        <v/>
      </c>
      <c r="P1025" s="3342">
        <v>95</v>
      </c>
      <c r="Q1025" s="3799">
        <v>42309</v>
      </c>
      <c r="R1025" s="1699"/>
      <c r="AA1025" s="2178"/>
      <c r="AI1025" s="844"/>
      <c r="AJ1025" s="3071">
        <v>95</v>
      </c>
      <c r="AK1025" s="3141">
        <f t="shared" si="312"/>
        <v>45597</v>
      </c>
      <c r="AX1025" s="3071">
        <v>101</v>
      </c>
      <c r="AY1025" s="3150">
        <v>45778</v>
      </c>
      <c r="AZ1025" s="942"/>
    </row>
    <row r="1026" spans="3:52" ht="27.95" customHeight="1">
      <c r="C1026" s="3071">
        <v>88</v>
      </c>
      <c r="D1026" s="3141" t="str">
        <f t="shared" si="313"/>
        <v/>
      </c>
      <c r="E1026" s="868"/>
      <c r="G1026" s="632"/>
      <c r="P1026" s="3342">
        <v>96</v>
      </c>
      <c r="Q1026" s="3799">
        <v>42339</v>
      </c>
      <c r="R1026" s="1699"/>
      <c r="AA1026" s="2178"/>
      <c r="AI1026" s="844"/>
      <c r="AJ1026" s="3071">
        <v>96</v>
      </c>
      <c r="AK1026" s="3141">
        <f t="shared" si="312"/>
        <v>45627</v>
      </c>
      <c r="AX1026" s="3071">
        <v>102</v>
      </c>
      <c r="AY1026" s="3150">
        <v>45809</v>
      </c>
      <c r="AZ1026" s="942"/>
    </row>
    <row r="1027" spans="3:52" ht="27.95" customHeight="1">
      <c r="C1027" s="3071">
        <v>89</v>
      </c>
      <c r="D1027" s="3141" t="str">
        <f t="shared" si="313"/>
        <v/>
      </c>
      <c r="E1027" s="868"/>
      <c r="G1027" s="632"/>
      <c r="P1027" s="3342">
        <v>97</v>
      </c>
      <c r="Q1027" s="3799">
        <v>42370</v>
      </c>
      <c r="R1027" s="1699"/>
      <c r="AA1027" s="2178"/>
      <c r="AI1027" s="844"/>
      <c r="AJ1027" s="3071">
        <v>97</v>
      </c>
      <c r="AK1027" s="3141">
        <f t="shared" si="312"/>
        <v>45658</v>
      </c>
      <c r="AX1027" s="3071">
        <v>103</v>
      </c>
      <c r="AY1027" s="3150">
        <v>45839</v>
      </c>
      <c r="AZ1027" s="942"/>
    </row>
    <row r="1028" spans="3:52" ht="27.95" customHeight="1">
      <c r="C1028" s="3071">
        <v>90</v>
      </c>
      <c r="D1028" s="3141" t="str">
        <f t="shared" si="313"/>
        <v/>
      </c>
      <c r="E1028" s="868"/>
      <c r="G1028" s="632"/>
      <c r="P1028" s="3342">
        <v>98</v>
      </c>
      <c r="Q1028" s="3799">
        <v>42401</v>
      </c>
      <c r="R1028" s="1699"/>
      <c r="AA1028" s="2178"/>
      <c r="AI1028" s="844"/>
      <c r="AJ1028" s="3071">
        <v>98</v>
      </c>
      <c r="AK1028" s="3141">
        <f t="shared" si="312"/>
        <v>45689</v>
      </c>
      <c r="AX1028" s="3071">
        <v>104</v>
      </c>
      <c r="AY1028" s="3150">
        <v>45870</v>
      </c>
      <c r="AZ1028" s="942"/>
    </row>
    <row r="1029" spans="3:52" ht="27.95" customHeight="1">
      <c r="C1029" s="3071">
        <v>91</v>
      </c>
      <c r="D1029" s="3141" t="str">
        <f t="shared" si="313"/>
        <v/>
      </c>
      <c r="E1029" s="868"/>
      <c r="G1029" s="632"/>
      <c r="P1029" s="3342">
        <v>99</v>
      </c>
      <c r="Q1029" s="3799">
        <v>42430</v>
      </c>
      <c r="R1029" s="1699"/>
      <c r="AA1029" s="2178"/>
      <c r="AI1029" s="844"/>
      <c r="AJ1029" s="3071">
        <v>99</v>
      </c>
      <c r="AK1029" s="3141">
        <f t="shared" si="312"/>
        <v>45717</v>
      </c>
      <c r="AX1029" s="3071">
        <v>105</v>
      </c>
      <c r="AY1029" s="3150">
        <v>45901</v>
      </c>
      <c r="AZ1029" s="942"/>
    </row>
    <row r="1030" spans="3:52" ht="27.95" customHeight="1">
      <c r="C1030" s="3071">
        <v>92</v>
      </c>
      <c r="D1030" s="3141" t="str">
        <f t="shared" si="313"/>
        <v/>
      </c>
      <c r="E1030" s="868"/>
      <c r="G1030" s="632"/>
      <c r="P1030" s="3342">
        <v>100</v>
      </c>
      <c r="Q1030" s="3799">
        <v>42461</v>
      </c>
      <c r="R1030" s="1699"/>
      <c r="AA1030" s="2178"/>
      <c r="AI1030" s="844"/>
      <c r="AJ1030" s="3071">
        <v>100</v>
      </c>
      <c r="AK1030" s="3141">
        <f t="shared" si="312"/>
        <v>45748</v>
      </c>
      <c r="AX1030" s="3071">
        <v>106</v>
      </c>
      <c r="AY1030" s="3150">
        <v>45931</v>
      </c>
      <c r="AZ1030" s="942"/>
    </row>
    <row r="1031" spans="3:52" ht="27.95" customHeight="1">
      <c r="C1031" s="3071">
        <v>93</v>
      </c>
      <c r="D1031" s="3141" t="str">
        <f t="shared" si="313"/>
        <v/>
      </c>
      <c r="E1031" s="868"/>
      <c r="G1031" s="632"/>
      <c r="P1031" s="3342">
        <v>101</v>
      </c>
      <c r="Q1031" s="3799">
        <v>42491</v>
      </c>
      <c r="R1031" s="1699"/>
      <c r="AA1031" s="2178"/>
      <c r="AI1031" s="844"/>
      <c r="AJ1031" s="3071">
        <v>101</v>
      </c>
      <c r="AK1031" s="3141">
        <f t="shared" si="312"/>
        <v>45778</v>
      </c>
      <c r="AX1031" s="3071">
        <v>107</v>
      </c>
      <c r="AY1031" s="3150">
        <v>45962</v>
      </c>
      <c r="AZ1031" s="942"/>
    </row>
    <row r="1032" spans="3:52" ht="27.95" customHeight="1">
      <c r="C1032" s="3071">
        <v>94</v>
      </c>
      <c r="D1032" s="3141" t="str">
        <f t="shared" si="313"/>
        <v/>
      </c>
      <c r="E1032" s="868"/>
      <c r="G1032" s="632"/>
      <c r="P1032" s="3342">
        <v>102</v>
      </c>
      <c r="Q1032" s="3799">
        <v>42522</v>
      </c>
      <c r="R1032" s="1699"/>
      <c r="AA1032" s="2178"/>
      <c r="AI1032" s="844"/>
      <c r="AJ1032" s="3071">
        <v>102</v>
      </c>
      <c r="AK1032" s="3141">
        <f t="shared" si="312"/>
        <v>45809</v>
      </c>
      <c r="AX1032" s="3071">
        <v>108</v>
      </c>
      <c r="AY1032" s="3150">
        <v>45992</v>
      </c>
      <c r="AZ1032" s="942"/>
    </row>
    <row r="1033" spans="3:52" ht="27.95" customHeight="1">
      <c r="C1033" s="3071">
        <v>95</v>
      </c>
      <c r="D1033" s="3141" t="str">
        <f t="shared" si="313"/>
        <v/>
      </c>
      <c r="E1033" s="868"/>
      <c r="G1033" s="632"/>
      <c r="P1033" s="3342">
        <v>103</v>
      </c>
      <c r="Q1033" s="3799">
        <v>42552</v>
      </c>
      <c r="R1033" s="1699"/>
      <c r="AA1033" s="2178"/>
      <c r="AI1033" s="844"/>
      <c r="AJ1033" s="3071">
        <v>103</v>
      </c>
      <c r="AK1033" s="3141">
        <f t="shared" si="312"/>
        <v>45839</v>
      </c>
      <c r="AX1033" s="3071">
        <v>109</v>
      </c>
      <c r="AY1033" s="3150">
        <v>46023</v>
      </c>
      <c r="AZ1033" s="942"/>
    </row>
    <row r="1034" spans="3:52" ht="27.95" customHeight="1">
      <c r="C1034" s="3071">
        <v>96</v>
      </c>
      <c r="D1034" s="3141" t="str">
        <f t="shared" si="313"/>
        <v/>
      </c>
      <c r="E1034" s="868"/>
      <c r="G1034" s="632"/>
      <c r="P1034" s="3342">
        <v>104</v>
      </c>
      <c r="Q1034" s="3799">
        <v>42583</v>
      </c>
      <c r="R1034" s="1699"/>
      <c r="AA1034" s="2178"/>
      <c r="AI1034" s="844"/>
      <c r="AJ1034" s="3071">
        <v>104</v>
      </c>
      <c r="AK1034" s="3141">
        <f t="shared" si="312"/>
        <v>45870</v>
      </c>
      <c r="AX1034" s="3071">
        <v>110</v>
      </c>
      <c r="AY1034" s="3150">
        <v>46054</v>
      </c>
      <c r="AZ1034" s="942"/>
    </row>
    <row r="1035" spans="3:52" ht="27.95" customHeight="1">
      <c r="C1035" s="3071">
        <v>97</v>
      </c>
      <c r="D1035" s="3141" t="str">
        <f t="shared" si="313"/>
        <v/>
      </c>
      <c r="E1035" s="868"/>
      <c r="G1035" s="632"/>
      <c r="P1035" s="3342">
        <v>105</v>
      </c>
      <c r="Q1035" s="3799">
        <v>42614</v>
      </c>
      <c r="R1035" s="1699"/>
      <c r="AA1035" s="2178"/>
      <c r="AI1035" s="844"/>
      <c r="AJ1035" s="3071">
        <v>105</v>
      </c>
      <c r="AK1035" s="3141">
        <f t="shared" si="312"/>
        <v>45901</v>
      </c>
      <c r="AZ1035" s="942"/>
    </row>
    <row r="1036" spans="3:52" ht="27.95" customHeight="1">
      <c r="C1036" s="3071">
        <v>98</v>
      </c>
      <c r="D1036" s="3141" t="str">
        <f t="shared" si="313"/>
        <v/>
      </c>
      <c r="E1036" s="868"/>
      <c r="G1036" s="632"/>
      <c r="P1036" s="3342">
        <v>106</v>
      </c>
      <c r="Q1036" s="3799">
        <v>42644</v>
      </c>
      <c r="R1036" s="1699"/>
      <c r="AA1036" s="2178"/>
      <c r="AI1036" s="844"/>
      <c r="AJ1036" s="3071">
        <v>106</v>
      </c>
      <c r="AK1036" s="3141">
        <f t="shared" si="312"/>
        <v>45931</v>
      </c>
      <c r="AZ1036" s="942"/>
    </row>
    <row r="1037" spans="3:52" ht="27.95" customHeight="1">
      <c r="C1037" s="3071">
        <v>99</v>
      </c>
      <c r="D1037" s="3141" t="str">
        <f t="shared" si="313"/>
        <v/>
      </c>
      <c r="E1037" s="868"/>
      <c r="G1037" s="632"/>
      <c r="P1037" s="3342">
        <v>107</v>
      </c>
      <c r="Q1037" s="3799">
        <v>42675</v>
      </c>
      <c r="R1037" s="1699"/>
      <c r="AA1037" s="2178"/>
      <c r="AI1037" s="844"/>
      <c r="AJ1037" s="3071">
        <v>107</v>
      </c>
      <c r="AK1037" s="3141">
        <f t="shared" si="312"/>
        <v>45962</v>
      </c>
      <c r="AZ1037" s="942"/>
    </row>
    <row r="1038" spans="3:52" ht="27.95" customHeight="1">
      <c r="C1038" s="3071">
        <v>100</v>
      </c>
      <c r="D1038" s="3141" t="str">
        <f t="shared" si="313"/>
        <v/>
      </c>
      <c r="E1038" s="868"/>
      <c r="G1038" s="632"/>
      <c r="P1038" s="3342">
        <v>108</v>
      </c>
      <c r="Q1038" s="3799">
        <v>42705</v>
      </c>
      <c r="R1038" s="1699"/>
      <c r="AA1038" s="2178"/>
      <c r="AI1038" s="844"/>
      <c r="AJ1038" s="3071">
        <v>108</v>
      </c>
      <c r="AK1038" s="3141" t="str">
        <f t="shared" ref="AK1038:AK1040" si="315">IF(AND($AR$919&lt;=AY1032,AY1032&lt;=$AT$919),AY1032,"")</f>
        <v/>
      </c>
      <c r="AZ1038" s="942"/>
    </row>
    <row r="1039" spans="3:52" ht="27.95" customHeight="1">
      <c r="C1039" s="3071">
        <v>101</v>
      </c>
      <c r="D1039" s="3141" t="str">
        <f t="shared" si="313"/>
        <v/>
      </c>
      <c r="E1039" s="868"/>
      <c r="G1039" s="632"/>
      <c r="P1039" s="3342">
        <v>109</v>
      </c>
      <c r="Q1039" s="3799">
        <v>42736</v>
      </c>
      <c r="R1039" s="1699"/>
      <c r="AI1039" s="844"/>
      <c r="AJ1039" s="3071">
        <v>109</v>
      </c>
      <c r="AK1039" s="3141" t="str">
        <f t="shared" si="315"/>
        <v/>
      </c>
      <c r="AZ1039" s="942"/>
    </row>
    <row r="1040" spans="3:52" ht="27.95" customHeight="1">
      <c r="C1040" s="3071">
        <v>102</v>
      </c>
      <c r="D1040" s="3141" t="str">
        <f t="shared" si="313"/>
        <v/>
      </c>
      <c r="G1040" s="632"/>
      <c r="P1040" s="3342">
        <v>110</v>
      </c>
      <c r="Q1040" s="3799">
        <v>42767</v>
      </c>
      <c r="R1040" s="1699"/>
      <c r="AI1040" s="844"/>
      <c r="AJ1040" s="3071">
        <v>110</v>
      </c>
      <c r="AK1040" s="3141" t="str">
        <f t="shared" si="315"/>
        <v/>
      </c>
      <c r="AZ1040" s="942"/>
    </row>
    <row r="1041" spans="3:52" ht="27.95" customHeight="1">
      <c r="C1041" s="3071">
        <v>103</v>
      </c>
      <c r="D1041" s="3141" t="str">
        <f t="shared" si="313"/>
        <v/>
      </c>
      <c r="G1041" s="632"/>
      <c r="I1041" s="3117"/>
      <c r="J1041" s="3117"/>
      <c r="P1041" s="3342">
        <v>111</v>
      </c>
      <c r="Q1041" s="3799">
        <v>42795</v>
      </c>
      <c r="R1041" s="1699"/>
      <c r="AI1041" s="844"/>
      <c r="AJ1041" s="3802"/>
      <c r="AK1041" s="3803"/>
      <c r="AZ1041" s="942"/>
    </row>
    <row r="1042" spans="3:52" ht="27.95" customHeight="1">
      <c r="C1042" s="3071">
        <v>104</v>
      </c>
      <c r="D1042" s="3141" t="str">
        <f t="shared" si="313"/>
        <v/>
      </c>
      <c r="G1042" s="632"/>
      <c r="I1042" s="3117"/>
      <c r="J1042" s="3117"/>
      <c r="P1042" s="3342">
        <v>112</v>
      </c>
      <c r="Q1042" s="3799">
        <v>42826</v>
      </c>
      <c r="R1042" s="1699"/>
      <c r="AI1042" s="844"/>
      <c r="AZ1042" s="942"/>
    </row>
    <row r="1043" spans="3:52" ht="27.95" customHeight="1">
      <c r="C1043" s="3071">
        <v>105</v>
      </c>
      <c r="D1043" s="3141" t="str">
        <f t="shared" si="313"/>
        <v/>
      </c>
      <c r="G1043" s="632"/>
      <c r="L1043" s="692"/>
      <c r="N1043" s="2140"/>
      <c r="P1043" s="3342">
        <v>113</v>
      </c>
      <c r="Q1043" s="3799">
        <v>42856</v>
      </c>
      <c r="R1043" s="1699"/>
      <c r="AI1043" s="844"/>
      <c r="AZ1043" s="942"/>
    </row>
    <row r="1044" spans="3:52" ht="27.95" customHeight="1">
      <c r="C1044" s="3071">
        <v>106</v>
      </c>
      <c r="D1044" s="3141" t="str">
        <f t="shared" si="313"/>
        <v/>
      </c>
      <c r="G1044" s="632"/>
      <c r="L1044" s="3112"/>
      <c r="M1044" s="3113"/>
      <c r="N1044" s="3112"/>
      <c r="P1044" s="3342">
        <v>114</v>
      </c>
      <c r="Q1044" s="3799">
        <v>42887</v>
      </c>
      <c r="R1044" s="1699"/>
      <c r="AI1044" s="844"/>
      <c r="AZ1044" s="942"/>
    </row>
    <row r="1045" spans="3:52" ht="27.95" customHeight="1">
      <c r="C1045" s="3071">
        <v>107</v>
      </c>
      <c r="D1045" s="3141" t="str">
        <f t="shared" si="313"/>
        <v/>
      </c>
      <c r="G1045" s="632"/>
      <c r="I1045" s="3114"/>
      <c r="J1045" s="3115"/>
      <c r="K1045" s="3116"/>
      <c r="L1045" s="3112"/>
      <c r="M1045" s="3112"/>
      <c r="N1045" s="3112"/>
      <c r="P1045" s="3342">
        <v>115</v>
      </c>
      <c r="Q1045" s="3799">
        <v>42917</v>
      </c>
      <c r="R1045" s="1699"/>
      <c r="AI1045" s="844"/>
      <c r="AZ1045" s="942"/>
    </row>
    <row r="1046" spans="3:52" ht="27.95" customHeight="1">
      <c r="C1046" s="3071">
        <v>108</v>
      </c>
      <c r="D1046" s="3141" t="str">
        <f t="shared" si="313"/>
        <v/>
      </c>
      <c r="G1046" s="632"/>
      <c r="I1046" s="2140"/>
      <c r="J1046" s="1559"/>
      <c r="K1046" s="1458"/>
      <c r="L1046" s="1458"/>
      <c r="M1046" s="1458"/>
      <c r="N1046" s="1458"/>
      <c r="P1046" s="3342">
        <v>116</v>
      </c>
      <c r="Q1046" s="3799">
        <v>42948</v>
      </c>
      <c r="R1046" s="1699"/>
      <c r="AI1046" s="844"/>
      <c r="AZ1046" s="942"/>
    </row>
    <row r="1047" spans="3:52" ht="27.95" customHeight="1">
      <c r="C1047" s="3071">
        <v>109</v>
      </c>
      <c r="D1047" s="3141" t="str">
        <f t="shared" si="313"/>
        <v/>
      </c>
      <c r="G1047" s="632"/>
      <c r="I1047" s="2140"/>
      <c r="J1047" s="1559"/>
      <c r="K1047" s="1458"/>
      <c r="L1047" s="1458"/>
      <c r="M1047" s="1458"/>
      <c r="N1047" s="1458"/>
      <c r="P1047" s="3342">
        <v>117</v>
      </c>
      <c r="Q1047" s="3799">
        <v>42979</v>
      </c>
      <c r="R1047" s="1699"/>
      <c r="AI1047" s="844"/>
      <c r="AZ1047" s="942"/>
    </row>
    <row r="1048" spans="3:52" ht="27.95" customHeight="1">
      <c r="C1048" s="3071">
        <v>110</v>
      </c>
      <c r="D1048" s="3141" t="str">
        <f t="shared" si="313"/>
        <v/>
      </c>
      <c r="G1048" s="632"/>
      <c r="I1048" s="2140"/>
      <c r="J1048" s="1559"/>
      <c r="K1048" s="1458"/>
      <c r="L1048" s="1458"/>
      <c r="M1048" s="1458"/>
      <c r="N1048" s="1458"/>
      <c r="P1048" s="3342">
        <v>118</v>
      </c>
      <c r="Q1048" s="3799">
        <v>43009</v>
      </c>
      <c r="R1048" s="1699"/>
      <c r="AI1048" s="844"/>
      <c r="AZ1048" s="942"/>
    </row>
    <row r="1049" spans="3:52" ht="27.95" customHeight="1">
      <c r="C1049" s="3071">
        <v>111</v>
      </c>
      <c r="D1049" s="3141" t="str">
        <f t="shared" si="313"/>
        <v/>
      </c>
      <c r="G1049" s="632"/>
      <c r="I1049" s="2140"/>
      <c r="J1049" s="1559"/>
      <c r="K1049" s="1458"/>
      <c r="L1049" s="1458"/>
      <c r="M1049" s="1458"/>
      <c r="N1049" s="1458"/>
      <c r="P1049" s="3342">
        <v>119</v>
      </c>
      <c r="Q1049" s="3799">
        <v>43040</v>
      </c>
      <c r="R1049" s="1699"/>
      <c r="AI1049" s="844"/>
      <c r="AZ1049" s="942"/>
    </row>
    <row r="1050" spans="3:52" ht="27.95" customHeight="1">
      <c r="C1050" s="3071">
        <v>112</v>
      </c>
      <c r="D1050" s="3141" t="str">
        <f t="shared" si="313"/>
        <v/>
      </c>
      <c r="G1050" s="632"/>
      <c r="I1050" s="2140"/>
      <c r="J1050" s="1559"/>
      <c r="K1050" s="1458"/>
      <c r="L1050" s="1458"/>
      <c r="M1050" s="1458"/>
      <c r="N1050" s="1458"/>
      <c r="P1050" s="3342">
        <v>120</v>
      </c>
      <c r="Q1050" s="3799">
        <v>43070</v>
      </c>
      <c r="R1050" s="1699"/>
      <c r="AI1050" s="844"/>
      <c r="AZ1050" s="942"/>
    </row>
    <row r="1051" spans="3:52" ht="27.95" customHeight="1">
      <c r="C1051" s="3071">
        <v>113</v>
      </c>
      <c r="D1051" s="3141" t="str">
        <f t="shared" si="313"/>
        <v/>
      </c>
      <c r="G1051" s="632"/>
      <c r="I1051" s="2140"/>
      <c r="J1051" s="1559"/>
      <c r="K1051" s="1458"/>
      <c r="L1051" s="1458"/>
      <c r="M1051" s="1458"/>
      <c r="N1051" s="1458"/>
      <c r="P1051" s="3342">
        <v>121</v>
      </c>
      <c r="Q1051" s="3799">
        <v>43101</v>
      </c>
      <c r="R1051" s="1699"/>
      <c r="AI1051" s="844"/>
      <c r="AZ1051" s="942"/>
    </row>
    <row r="1052" spans="3:52" ht="27.95" customHeight="1">
      <c r="C1052" s="3071">
        <v>114</v>
      </c>
      <c r="D1052" s="3141" t="str">
        <f t="shared" si="313"/>
        <v/>
      </c>
      <c r="G1052" s="632"/>
      <c r="P1052" s="3342">
        <v>122</v>
      </c>
      <c r="Q1052" s="3799">
        <v>43132</v>
      </c>
      <c r="R1052" s="1699"/>
      <c r="AI1052" s="844"/>
      <c r="AZ1052" s="942"/>
    </row>
    <row r="1053" spans="3:52" ht="27.95" customHeight="1">
      <c r="C1053" s="3071">
        <v>115</v>
      </c>
      <c r="D1053" s="3141" t="str">
        <f t="shared" si="313"/>
        <v/>
      </c>
      <c r="G1053" s="632"/>
      <c r="P1053" s="3342">
        <v>123</v>
      </c>
      <c r="Q1053" s="3799">
        <v>43160</v>
      </c>
      <c r="R1053" s="1699"/>
      <c r="AI1053" s="844"/>
      <c r="AZ1053" s="942"/>
    </row>
    <row r="1054" spans="3:52" ht="27.95" customHeight="1">
      <c r="C1054" s="3071">
        <v>116</v>
      </c>
      <c r="D1054" s="3141" t="str">
        <f t="shared" si="313"/>
        <v/>
      </c>
      <c r="G1054" s="632"/>
      <c r="P1054" s="3342">
        <v>124</v>
      </c>
      <c r="Q1054" s="3799">
        <v>43191</v>
      </c>
      <c r="R1054" s="1699"/>
      <c r="AI1054" s="844"/>
      <c r="AZ1054" s="942"/>
    </row>
    <row r="1055" spans="3:52" ht="27.95" customHeight="1">
      <c r="C1055" s="3071">
        <v>117</v>
      </c>
      <c r="D1055" s="3141" t="str">
        <f t="shared" si="313"/>
        <v/>
      </c>
      <c r="G1055" s="632"/>
      <c r="P1055" s="3342">
        <v>125</v>
      </c>
      <c r="Q1055" s="3799">
        <v>43221</v>
      </c>
      <c r="R1055" s="1699"/>
      <c r="AI1055" s="844"/>
      <c r="AZ1055" s="942"/>
    </row>
    <row r="1056" spans="3:52" ht="27.95" customHeight="1">
      <c r="C1056" s="3071">
        <v>118</v>
      </c>
      <c r="D1056" s="3141" t="str">
        <f t="shared" si="313"/>
        <v/>
      </c>
      <c r="G1056" s="632"/>
      <c r="P1056" s="3342">
        <v>126</v>
      </c>
      <c r="Q1056" s="3799">
        <v>43252</v>
      </c>
      <c r="R1056" s="1699"/>
      <c r="AI1056" s="844"/>
      <c r="AZ1056" s="942"/>
    </row>
    <row r="1057" spans="3:52" ht="27.95" customHeight="1">
      <c r="C1057" s="3071">
        <v>119</v>
      </c>
      <c r="D1057" s="3141" t="str">
        <f t="shared" si="313"/>
        <v/>
      </c>
      <c r="G1057" s="632"/>
      <c r="P1057" s="3342">
        <v>127</v>
      </c>
      <c r="Q1057" s="3799">
        <v>43282</v>
      </c>
      <c r="R1057" s="1699"/>
      <c r="AI1057" s="844"/>
      <c r="AZ1057" s="942"/>
    </row>
    <row r="1058" spans="3:52" ht="27.95" customHeight="1">
      <c r="C1058" s="3071">
        <v>120</v>
      </c>
      <c r="D1058" s="3141" t="str">
        <f t="shared" si="313"/>
        <v/>
      </c>
      <c r="G1058" s="632"/>
      <c r="P1058" s="3342">
        <v>128</v>
      </c>
      <c r="Q1058" s="3799">
        <v>43313</v>
      </c>
      <c r="R1058" s="1699"/>
      <c r="AI1058" s="844"/>
      <c r="AZ1058" s="942"/>
    </row>
    <row r="1059" spans="3:52" ht="27.95" customHeight="1">
      <c r="C1059" s="3071">
        <v>121</v>
      </c>
      <c r="D1059" s="3141" t="str">
        <f t="shared" si="313"/>
        <v/>
      </c>
      <c r="E1059" s="1831"/>
      <c r="F1059" s="1831"/>
      <c r="G1059" s="632"/>
      <c r="H1059" s="1831"/>
      <c r="I1059" s="1831"/>
      <c r="J1059" s="1831"/>
      <c r="K1059" s="5766"/>
      <c r="P1059" s="3342">
        <v>129</v>
      </c>
      <c r="Q1059" s="3799">
        <v>43344</v>
      </c>
      <c r="R1059" s="1699"/>
      <c r="AI1059" s="844"/>
      <c r="AZ1059" s="942"/>
    </row>
    <row r="1060" spans="3:52" ht="27.95" customHeight="1">
      <c r="C1060" s="3071">
        <v>122</v>
      </c>
      <c r="D1060" s="3141" t="str">
        <f t="shared" si="313"/>
        <v/>
      </c>
      <c r="E1060" s="1831"/>
      <c r="F1060" s="1831"/>
      <c r="G1060" s="632"/>
      <c r="H1060" s="1831"/>
      <c r="I1060" s="1831"/>
      <c r="J1060" s="1831"/>
      <c r="K1060" s="5766"/>
      <c r="P1060" s="3342">
        <v>130</v>
      </c>
      <c r="Q1060" s="3799">
        <v>43374</v>
      </c>
      <c r="R1060" s="1699"/>
      <c r="AI1060" s="844"/>
      <c r="AZ1060" s="942"/>
    </row>
    <row r="1061" spans="3:52" ht="27.95" customHeight="1">
      <c r="C1061" s="3071">
        <v>123</v>
      </c>
      <c r="D1061" s="3141" t="str">
        <f t="shared" si="313"/>
        <v/>
      </c>
      <c r="E1061" s="1831"/>
      <c r="F1061" s="1831"/>
      <c r="G1061" s="632"/>
      <c r="H1061" s="1831"/>
      <c r="I1061" s="1831"/>
      <c r="J1061" s="1831"/>
      <c r="K1061" s="1458"/>
      <c r="P1061" s="3342">
        <v>131</v>
      </c>
      <c r="Q1061" s="3799">
        <v>43405</v>
      </c>
      <c r="R1061" s="1699"/>
      <c r="AI1061" s="844"/>
      <c r="AZ1061" s="942"/>
    </row>
    <row r="1062" spans="3:52" ht="27.95" customHeight="1">
      <c r="C1062" s="3071">
        <v>124</v>
      </c>
      <c r="D1062" s="3141" t="str">
        <f t="shared" si="313"/>
        <v/>
      </c>
      <c r="E1062" s="1831"/>
      <c r="F1062" s="1831"/>
      <c r="G1062" s="632"/>
      <c r="H1062" s="1831"/>
      <c r="I1062" s="1831"/>
      <c r="J1062" s="1831"/>
      <c r="K1062" s="1458"/>
      <c r="P1062" s="3342">
        <v>132</v>
      </c>
      <c r="Q1062" s="3799">
        <v>43435</v>
      </c>
      <c r="R1062" s="1699"/>
      <c r="AI1062" s="844"/>
      <c r="AZ1062" s="942"/>
    </row>
    <row r="1063" spans="3:52" ht="27.95" customHeight="1">
      <c r="C1063" s="3071">
        <v>125</v>
      </c>
      <c r="D1063" s="3141" t="str">
        <f t="shared" si="313"/>
        <v/>
      </c>
      <c r="E1063" s="1831"/>
      <c r="F1063" s="1831"/>
      <c r="G1063" s="632"/>
      <c r="H1063" s="1831"/>
      <c r="I1063" s="1831"/>
      <c r="J1063" s="1831"/>
      <c r="K1063" s="1458"/>
      <c r="P1063" s="3342">
        <v>133</v>
      </c>
      <c r="Q1063" s="3799">
        <v>43466</v>
      </c>
      <c r="R1063" s="1699"/>
      <c r="AI1063" s="844"/>
      <c r="AZ1063" s="942"/>
    </row>
    <row r="1064" spans="3:52" ht="27.95" customHeight="1">
      <c r="C1064" s="3071">
        <v>126</v>
      </c>
      <c r="D1064" s="3141" t="str">
        <f t="shared" si="313"/>
        <v/>
      </c>
      <c r="E1064" s="1831"/>
      <c r="F1064" s="1831"/>
      <c r="G1064" s="632"/>
      <c r="H1064" s="1831"/>
      <c r="I1064" s="1831"/>
      <c r="J1064" s="1831"/>
      <c r="K1064" s="1458"/>
      <c r="P1064" s="3342">
        <v>134</v>
      </c>
      <c r="Q1064" s="3799">
        <v>43497</v>
      </c>
      <c r="R1064" s="1699"/>
      <c r="AI1064" s="844"/>
      <c r="AZ1064" s="942"/>
    </row>
    <row r="1065" spans="3:52" ht="27.95" customHeight="1">
      <c r="C1065" s="3071">
        <v>127</v>
      </c>
      <c r="D1065" s="3141" t="str">
        <f t="shared" si="313"/>
        <v/>
      </c>
      <c r="E1065" s="1831"/>
      <c r="F1065" s="1831"/>
      <c r="G1065" s="632"/>
      <c r="H1065" s="1831"/>
      <c r="I1065" s="1831"/>
      <c r="J1065" s="1831"/>
      <c r="K1065" s="1458"/>
      <c r="P1065" s="3342">
        <v>135</v>
      </c>
      <c r="Q1065" s="3799">
        <v>43525</v>
      </c>
      <c r="R1065" s="1699"/>
      <c r="AI1065" s="844"/>
      <c r="AZ1065" s="942"/>
    </row>
    <row r="1066" spans="3:52" ht="27.95" customHeight="1">
      <c r="C1066" s="3071">
        <v>128</v>
      </c>
      <c r="D1066" s="3141" t="str">
        <f t="shared" si="313"/>
        <v/>
      </c>
      <c r="E1066" s="1831"/>
      <c r="F1066" s="1831"/>
      <c r="G1066" s="632"/>
      <c r="H1066" s="1831"/>
      <c r="I1066" s="1831"/>
      <c r="J1066" s="1831"/>
      <c r="K1066" s="1458"/>
      <c r="P1066" s="3342">
        <v>136</v>
      </c>
      <c r="Q1066" s="3799">
        <v>43556</v>
      </c>
      <c r="R1066" s="1699"/>
      <c r="AI1066" s="844"/>
      <c r="AZ1066" s="942"/>
    </row>
    <row r="1067" spans="3:52" ht="27.95" customHeight="1">
      <c r="C1067" s="3071">
        <v>129</v>
      </c>
      <c r="D1067" s="3141" t="str">
        <f t="shared" si="313"/>
        <v/>
      </c>
      <c r="E1067" s="1831"/>
      <c r="F1067" s="1831"/>
      <c r="G1067" s="632"/>
      <c r="H1067" s="1831"/>
      <c r="I1067" s="1831"/>
      <c r="J1067" s="1831"/>
      <c r="K1067" s="1458"/>
      <c r="P1067" s="3342">
        <v>137</v>
      </c>
      <c r="Q1067" s="3799">
        <v>43586</v>
      </c>
      <c r="R1067" s="1699"/>
      <c r="AI1067" s="844"/>
      <c r="AZ1067" s="942"/>
    </row>
    <row r="1068" spans="3:52" ht="27.95" customHeight="1">
      <c r="C1068" s="3071">
        <v>130</v>
      </c>
      <c r="D1068" s="3141" t="str">
        <f t="shared" ref="D1068:D1131" si="316">IF(AND($K$919&lt;=Q1060,Q1060&lt;=$M$919),Q1060,"")</f>
        <v/>
      </c>
      <c r="E1068" s="1831"/>
      <c r="F1068" s="1831"/>
      <c r="G1068" s="632"/>
      <c r="H1068" s="1831"/>
      <c r="I1068" s="1831"/>
      <c r="J1068" s="1831"/>
      <c r="K1068" s="1458"/>
      <c r="P1068" s="3342">
        <v>138</v>
      </c>
      <c r="Q1068" s="3799">
        <v>43617</v>
      </c>
      <c r="R1068" s="1699"/>
      <c r="AI1068" s="844"/>
      <c r="AZ1068" s="942"/>
    </row>
    <row r="1069" spans="3:52" ht="27.95" customHeight="1">
      <c r="C1069" s="3071">
        <v>131</v>
      </c>
      <c r="D1069" s="3141" t="str">
        <f t="shared" si="316"/>
        <v/>
      </c>
      <c r="E1069" s="1831"/>
      <c r="F1069" s="1831"/>
      <c r="G1069" s="632"/>
      <c r="H1069" s="1831"/>
      <c r="I1069" s="1831"/>
      <c r="J1069" s="1831"/>
      <c r="K1069" s="3111"/>
      <c r="P1069" s="3342">
        <v>139</v>
      </c>
      <c r="Q1069" s="3799">
        <v>43647</v>
      </c>
      <c r="R1069" s="1699"/>
      <c r="AI1069" s="844"/>
      <c r="AZ1069" s="942"/>
    </row>
    <row r="1070" spans="3:52" ht="27.95" customHeight="1">
      <c r="C1070" s="3071">
        <v>132</v>
      </c>
      <c r="D1070" s="3141" t="str">
        <f t="shared" si="316"/>
        <v/>
      </c>
      <c r="E1070" s="1831"/>
      <c r="F1070" s="1831"/>
      <c r="G1070" s="632"/>
      <c r="H1070" s="1831"/>
      <c r="I1070" s="1831"/>
      <c r="J1070" s="1831"/>
      <c r="P1070" s="3342">
        <v>140</v>
      </c>
      <c r="Q1070" s="3799">
        <v>43678</v>
      </c>
      <c r="R1070" s="1699"/>
      <c r="AI1070" s="844"/>
      <c r="AZ1070" s="942"/>
    </row>
    <row r="1071" spans="3:52" ht="27.95" customHeight="1">
      <c r="C1071" s="3071">
        <v>133</v>
      </c>
      <c r="D1071" s="3141" t="str">
        <f t="shared" si="316"/>
        <v/>
      </c>
      <c r="E1071" s="1831"/>
      <c r="F1071" s="1831"/>
      <c r="G1071" s="632"/>
      <c r="H1071" s="1831"/>
      <c r="I1071" s="1831"/>
      <c r="J1071" s="1831"/>
      <c r="P1071" s="3342">
        <v>141</v>
      </c>
      <c r="Q1071" s="3799">
        <v>43709</v>
      </c>
      <c r="R1071" s="1699"/>
      <c r="AI1071" s="844"/>
      <c r="AZ1071" s="942"/>
    </row>
    <row r="1072" spans="3:52" ht="27.95" customHeight="1">
      <c r="C1072" s="3071">
        <v>134</v>
      </c>
      <c r="D1072" s="3141" t="str">
        <f t="shared" si="316"/>
        <v/>
      </c>
      <c r="E1072" s="1831"/>
      <c r="F1072" s="1831"/>
      <c r="G1072" s="632"/>
      <c r="H1072" s="1831"/>
      <c r="I1072" s="1831"/>
      <c r="J1072" s="1831"/>
      <c r="P1072" s="3342">
        <v>142</v>
      </c>
      <c r="Q1072" s="3799">
        <v>43739</v>
      </c>
      <c r="R1072" s="1699"/>
      <c r="AI1072" s="844"/>
      <c r="AZ1072" s="942"/>
    </row>
    <row r="1073" spans="3:52" ht="27.95" customHeight="1">
      <c r="C1073" s="3071">
        <v>135</v>
      </c>
      <c r="D1073" s="3141" t="str">
        <f t="shared" si="316"/>
        <v/>
      </c>
      <c r="E1073" s="1831"/>
      <c r="F1073" s="1831"/>
      <c r="G1073" s="632"/>
      <c r="H1073" s="1831"/>
      <c r="I1073" s="1831"/>
      <c r="J1073" s="1831"/>
      <c r="P1073" s="3342">
        <v>143</v>
      </c>
      <c r="Q1073" s="3799">
        <v>43770</v>
      </c>
      <c r="R1073" s="1699"/>
      <c r="AI1073" s="844"/>
      <c r="AZ1073" s="942"/>
    </row>
    <row r="1074" spans="3:52" ht="27.95" customHeight="1">
      <c r="C1074" s="3071">
        <v>136</v>
      </c>
      <c r="D1074" s="3141" t="str">
        <f t="shared" si="316"/>
        <v/>
      </c>
      <c r="E1074" s="1831"/>
      <c r="F1074" s="1831"/>
      <c r="G1074" s="632"/>
      <c r="H1074" s="1831"/>
      <c r="I1074" s="1831"/>
      <c r="J1074" s="1831"/>
      <c r="P1074" s="3342">
        <v>144</v>
      </c>
      <c r="Q1074" s="3799">
        <v>43800</v>
      </c>
      <c r="R1074" s="1699"/>
      <c r="AI1074" s="844"/>
      <c r="AZ1074" s="942"/>
    </row>
    <row r="1075" spans="3:52" ht="27.95" customHeight="1">
      <c r="C1075" s="3071">
        <v>137</v>
      </c>
      <c r="D1075" s="3141" t="str">
        <f t="shared" si="316"/>
        <v/>
      </c>
      <c r="E1075" s="1831"/>
      <c r="F1075" s="1831"/>
      <c r="G1075" s="632"/>
      <c r="H1075" s="1831"/>
      <c r="I1075" s="1831"/>
      <c r="J1075" s="1831"/>
      <c r="P1075" s="3342">
        <v>145</v>
      </c>
      <c r="Q1075" s="3799">
        <v>43831</v>
      </c>
      <c r="R1075" s="1699"/>
      <c r="AI1075" s="844"/>
      <c r="AZ1075" s="942"/>
    </row>
    <row r="1076" spans="3:52" ht="27.95" customHeight="1">
      <c r="C1076" s="3071">
        <v>138</v>
      </c>
      <c r="D1076" s="3141" t="str">
        <f t="shared" si="316"/>
        <v/>
      </c>
      <c r="E1076" s="1831"/>
      <c r="F1076" s="1831"/>
      <c r="G1076" s="632"/>
      <c r="H1076" s="1831"/>
      <c r="I1076" s="1831"/>
      <c r="J1076" s="1831"/>
      <c r="P1076" s="3342">
        <v>146</v>
      </c>
      <c r="Q1076" s="3799">
        <v>43862</v>
      </c>
      <c r="R1076" s="1699"/>
      <c r="AI1076" s="844"/>
      <c r="AZ1076" s="942"/>
    </row>
    <row r="1077" spans="3:52" ht="27.95" customHeight="1">
      <c r="C1077" s="3071">
        <v>139</v>
      </c>
      <c r="D1077" s="3141" t="str">
        <f t="shared" si="316"/>
        <v/>
      </c>
      <c r="E1077" s="1831"/>
      <c r="F1077" s="1831"/>
      <c r="G1077" s="632"/>
      <c r="H1077" s="1831"/>
      <c r="I1077" s="1831"/>
      <c r="J1077" s="1831"/>
      <c r="P1077" s="3342">
        <v>147</v>
      </c>
      <c r="Q1077" s="3799">
        <v>43891</v>
      </c>
      <c r="R1077" s="1699"/>
      <c r="AI1077" s="844"/>
      <c r="AZ1077" s="942"/>
    </row>
    <row r="1078" spans="3:52" ht="27.95" customHeight="1">
      <c r="C1078" s="3071">
        <v>140</v>
      </c>
      <c r="D1078" s="3141" t="str">
        <f t="shared" si="316"/>
        <v/>
      </c>
      <c r="E1078" s="1831"/>
      <c r="F1078" s="1831"/>
      <c r="G1078" s="632"/>
      <c r="H1078" s="1831"/>
      <c r="I1078" s="1831"/>
      <c r="J1078" s="1831"/>
      <c r="P1078" s="3342">
        <v>148</v>
      </c>
      <c r="Q1078" s="3799">
        <v>43922</v>
      </c>
      <c r="R1078" s="1699"/>
      <c r="AI1078" s="844"/>
      <c r="AZ1078" s="942"/>
    </row>
    <row r="1079" spans="3:52" ht="27.95" customHeight="1">
      <c r="C1079" s="3071">
        <v>141</v>
      </c>
      <c r="D1079" s="3141" t="str">
        <f t="shared" si="316"/>
        <v/>
      </c>
      <c r="G1079" s="632"/>
      <c r="P1079" s="3342">
        <v>149</v>
      </c>
      <c r="Q1079" s="3799">
        <v>43952</v>
      </c>
      <c r="R1079" s="1699"/>
      <c r="AI1079" s="844"/>
      <c r="AZ1079" s="942"/>
    </row>
    <row r="1080" spans="3:52" ht="27.95" customHeight="1">
      <c r="C1080" s="3071">
        <v>142</v>
      </c>
      <c r="D1080" s="3141" t="str">
        <f t="shared" si="316"/>
        <v/>
      </c>
      <c r="G1080" s="632"/>
      <c r="P1080" s="3342">
        <v>150</v>
      </c>
      <c r="Q1080" s="3799">
        <v>43983</v>
      </c>
      <c r="R1080" s="1699"/>
      <c r="AI1080" s="844"/>
      <c r="AZ1080" s="942"/>
    </row>
    <row r="1081" spans="3:52" ht="27.95" customHeight="1">
      <c r="C1081" s="3071">
        <v>143</v>
      </c>
      <c r="D1081" s="3141" t="str">
        <f t="shared" si="316"/>
        <v/>
      </c>
      <c r="G1081" s="632"/>
      <c r="P1081" s="3342">
        <v>151</v>
      </c>
      <c r="Q1081" s="3799">
        <v>44013</v>
      </c>
      <c r="R1081" s="1699"/>
      <c r="AI1081" s="844"/>
      <c r="AZ1081" s="942"/>
    </row>
    <row r="1082" spans="3:52" ht="27.95" customHeight="1">
      <c r="C1082" s="3071">
        <v>144</v>
      </c>
      <c r="D1082" s="3141" t="str">
        <f t="shared" si="316"/>
        <v/>
      </c>
      <c r="G1082" s="632"/>
      <c r="P1082" s="3342">
        <v>152</v>
      </c>
      <c r="Q1082" s="3799">
        <v>44044</v>
      </c>
      <c r="R1082" s="1699"/>
      <c r="AI1082" s="844"/>
      <c r="AZ1082" s="942"/>
    </row>
    <row r="1083" spans="3:52" ht="27.95" customHeight="1">
      <c r="C1083" s="3071">
        <v>145</v>
      </c>
      <c r="D1083" s="3141" t="str">
        <f t="shared" si="316"/>
        <v/>
      </c>
      <c r="G1083" s="632"/>
      <c r="P1083" s="3342">
        <v>153</v>
      </c>
      <c r="Q1083" s="3799">
        <v>44075</v>
      </c>
      <c r="R1083" s="1699"/>
      <c r="AI1083" s="844"/>
      <c r="AZ1083" s="942"/>
    </row>
    <row r="1084" spans="3:52" ht="27.95" customHeight="1">
      <c r="C1084" s="3071">
        <v>146</v>
      </c>
      <c r="D1084" s="3141" t="str">
        <f t="shared" si="316"/>
        <v/>
      </c>
      <c r="G1084" s="632"/>
      <c r="P1084" s="3342">
        <v>154</v>
      </c>
      <c r="Q1084" s="3799">
        <v>44105</v>
      </c>
      <c r="R1084" s="1699"/>
      <c r="AI1084" s="844"/>
      <c r="AZ1084" s="942"/>
    </row>
    <row r="1085" spans="3:52" ht="27.95" customHeight="1">
      <c r="C1085" s="3071">
        <v>147</v>
      </c>
      <c r="D1085" s="3141" t="str">
        <f t="shared" si="316"/>
        <v/>
      </c>
      <c r="G1085" s="632"/>
      <c r="P1085" s="3342">
        <v>155</v>
      </c>
      <c r="Q1085" s="3799">
        <v>44136</v>
      </c>
      <c r="R1085" s="1699"/>
      <c r="AI1085" s="844"/>
      <c r="AZ1085" s="942"/>
    </row>
    <row r="1086" spans="3:52" ht="27.95" customHeight="1">
      <c r="C1086" s="3071">
        <v>148</v>
      </c>
      <c r="D1086" s="3141" t="str">
        <f t="shared" si="316"/>
        <v/>
      </c>
      <c r="G1086" s="632"/>
      <c r="P1086" s="3342">
        <v>156</v>
      </c>
      <c r="Q1086" s="3799">
        <v>44166</v>
      </c>
      <c r="R1086" s="1699"/>
      <c r="AI1086" s="844"/>
      <c r="AZ1086" s="942"/>
    </row>
    <row r="1087" spans="3:52" ht="27.95" customHeight="1">
      <c r="C1087" s="3071">
        <v>149</v>
      </c>
      <c r="D1087" s="3141" t="str">
        <f t="shared" si="316"/>
        <v/>
      </c>
      <c r="G1087" s="632"/>
      <c r="P1087" s="3342">
        <v>157</v>
      </c>
      <c r="Q1087" s="3799">
        <v>44197</v>
      </c>
      <c r="R1087" s="1699"/>
      <c r="AI1087" s="844"/>
      <c r="AZ1087" s="942"/>
    </row>
    <row r="1088" spans="3:52" ht="27.95" customHeight="1">
      <c r="C1088" s="3071">
        <v>150</v>
      </c>
      <c r="D1088" s="3141" t="str">
        <f t="shared" si="316"/>
        <v/>
      </c>
      <c r="G1088" s="632"/>
      <c r="P1088" s="3342">
        <v>158</v>
      </c>
      <c r="Q1088" s="3799">
        <v>44228</v>
      </c>
      <c r="R1088" s="1699"/>
      <c r="AI1088" s="844"/>
      <c r="AZ1088" s="942"/>
    </row>
    <row r="1089" spans="3:52" ht="27.95" customHeight="1">
      <c r="C1089" s="3071">
        <v>151</v>
      </c>
      <c r="D1089" s="3141" t="str">
        <f t="shared" si="316"/>
        <v/>
      </c>
      <c r="G1089" s="632"/>
      <c r="P1089" s="3342">
        <v>159</v>
      </c>
      <c r="Q1089" s="3799">
        <v>44256</v>
      </c>
      <c r="R1089" s="1699"/>
      <c r="AI1089" s="844"/>
      <c r="AZ1089" s="942"/>
    </row>
    <row r="1090" spans="3:52" ht="27.95" customHeight="1">
      <c r="C1090" s="3071">
        <v>152</v>
      </c>
      <c r="D1090" s="3141" t="str">
        <f t="shared" si="316"/>
        <v/>
      </c>
      <c r="G1090" s="632"/>
      <c r="P1090" s="3342">
        <v>160</v>
      </c>
      <c r="Q1090" s="3799">
        <v>44287</v>
      </c>
      <c r="R1090" s="1699"/>
      <c r="AI1090" s="844"/>
      <c r="AZ1090" s="942"/>
    </row>
    <row r="1091" spans="3:52" ht="27.95" customHeight="1">
      <c r="C1091" s="3071">
        <v>153</v>
      </c>
      <c r="D1091" s="3141" t="str">
        <f t="shared" si="316"/>
        <v/>
      </c>
      <c r="G1091" s="632"/>
      <c r="P1091" s="3342">
        <v>161</v>
      </c>
      <c r="Q1091" s="3799">
        <v>44317</v>
      </c>
      <c r="R1091" s="1699"/>
      <c r="AI1091" s="844"/>
      <c r="AZ1091" s="942"/>
    </row>
    <row r="1092" spans="3:52" ht="27.95" customHeight="1">
      <c r="C1092" s="3071">
        <v>154</v>
      </c>
      <c r="D1092" s="3141" t="str">
        <f t="shared" si="316"/>
        <v/>
      </c>
      <c r="G1092" s="632"/>
      <c r="P1092" s="3342">
        <v>162</v>
      </c>
      <c r="Q1092" s="3799">
        <v>44348</v>
      </c>
      <c r="R1092" s="1699"/>
      <c r="AI1092" s="844"/>
      <c r="AZ1092" s="942"/>
    </row>
    <row r="1093" spans="3:52" ht="27.95" customHeight="1">
      <c r="C1093" s="3071">
        <v>155</v>
      </c>
      <c r="D1093" s="3141" t="str">
        <f t="shared" si="316"/>
        <v/>
      </c>
      <c r="G1093" s="632"/>
      <c r="P1093" s="3342">
        <v>163</v>
      </c>
      <c r="Q1093" s="3799">
        <v>44378</v>
      </c>
      <c r="R1093" s="1699"/>
      <c r="AI1093" s="844"/>
      <c r="AZ1093" s="942"/>
    </row>
    <row r="1094" spans="3:52" ht="27.95" customHeight="1">
      <c r="C1094" s="3071">
        <v>156</v>
      </c>
      <c r="D1094" s="3141" t="str">
        <f t="shared" si="316"/>
        <v/>
      </c>
      <c r="G1094" s="632"/>
      <c r="P1094" s="3342">
        <v>164</v>
      </c>
      <c r="Q1094" s="3799">
        <v>44409</v>
      </c>
      <c r="R1094" s="1699"/>
      <c r="AI1094" s="844"/>
      <c r="AZ1094" s="942"/>
    </row>
    <row r="1095" spans="3:52" ht="27.95" customHeight="1">
      <c r="C1095" s="3071">
        <v>157</v>
      </c>
      <c r="D1095" s="3141" t="str">
        <f t="shared" si="316"/>
        <v/>
      </c>
      <c r="G1095" s="632"/>
      <c r="P1095" s="3342">
        <v>165</v>
      </c>
      <c r="Q1095" s="3799">
        <v>44440</v>
      </c>
      <c r="R1095" s="1699"/>
      <c r="AI1095" s="844"/>
      <c r="AZ1095" s="942"/>
    </row>
    <row r="1096" spans="3:52" ht="27.95" customHeight="1">
      <c r="C1096" s="3071">
        <v>158</v>
      </c>
      <c r="D1096" s="3141" t="str">
        <f t="shared" si="316"/>
        <v/>
      </c>
      <c r="G1096" s="632"/>
      <c r="P1096" s="3342">
        <v>166</v>
      </c>
      <c r="Q1096" s="3799">
        <v>44470</v>
      </c>
      <c r="R1096" s="1699"/>
      <c r="AI1096" s="844"/>
      <c r="AZ1096" s="942"/>
    </row>
    <row r="1097" spans="3:52" ht="27.95" customHeight="1">
      <c r="C1097" s="3071">
        <v>159</v>
      </c>
      <c r="D1097" s="3141" t="str">
        <f t="shared" si="316"/>
        <v/>
      </c>
      <c r="G1097" s="632"/>
      <c r="P1097" s="3342">
        <v>167</v>
      </c>
      <c r="Q1097" s="3799">
        <v>44501</v>
      </c>
      <c r="R1097" s="1699"/>
      <c r="AI1097" s="844"/>
      <c r="AZ1097" s="942"/>
    </row>
    <row r="1098" spans="3:52" ht="27.95" customHeight="1">
      <c r="C1098" s="3071">
        <v>160</v>
      </c>
      <c r="D1098" s="3141" t="str">
        <f t="shared" si="316"/>
        <v/>
      </c>
      <c r="G1098" s="632"/>
      <c r="P1098" s="3342">
        <v>168</v>
      </c>
      <c r="Q1098" s="3799">
        <v>44531</v>
      </c>
      <c r="R1098" s="1699"/>
      <c r="AI1098" s="844"/>
      <c r="AZ1098" s="942"/>
    </row>
    <row r="1099" spans="3:52" ht="27.95" customHeight="1">
      <c r="C1099" s="3071">
        <v>161</v>
      </c>
      <c r="D1099" s="3141" t="str">
        <f t="shared" si="316"/>
        <v/>
      </c>
      <c r="G1099" s="632"/>
      <c r="P1099" s="3342">
        <v>169</v>
      </c>
      <c r="Q1099" s="3799">
        <v>44562</v>
      </c>
      <c r="R1099" s="1699"/>
      <c r="AI1099" s="844"/>
      <c r="AZ1099" s="942"/>
    </row>
    <row r="1100" spans="3:52" ht="27.95" customHeight="1">
      <c r="C1100" s="3071">
        <v>162</v>
      </c>
      <c r="D1100" s="3141" t="str">
        <f t="shared" si="316"/>
        <v/>
      </c>
      <c r="G1100" s="632"/>
      <c r="P1100" s="3342">
        <v>170</v>
      </c>
      <c r="Q1100" s="3799">
        <v>44593</v>
      </c>
      <c r="R1100" s="1699"/>
      <c r="AI1100" s="844"/>
      <c r="AZ1100" s="942"/>
    </row>
    <row r="1101" spans="3:52" ht="27.95" customHeight="1">
      <c r="C1101" s="3071">
        <v>163</v>
      </c>
      <c r="D1101" s="3141" t="str">
        <f t="shared" si="316"/>
        <v/>
      </c>
      <c r="G1101" s="632"/>
      <c r="P1101" s="3342">
        <v>171</v>
      </c>
      <c r="Q1101" s="3799">
        <v>44621</v>
      </c>
      <c r="R1101" s="1699"/>
      <c r="AI1101" s="844"/>
      <c r="AZ1101" s="942"/>
    </row>
    <row r="1102" spans="3:52" ht="27.95" customHeight="1">
      <c r="C1102" s="3071">
        <v>164</v>
      </c>
      <c r="D1102" s="3141" t="str">
        <f t="shared" si="316"/>
        <v/>
      </c>
      <c r="G1102" s="632"/>
      <c r="P1102" s="3342">
        <v>172</v>
      </c>
      <c r="Q1102" s="3799">
        <v>44652</v>
      </c>
      <c r="R1102" s="1699"/>
      <c r="AI1102" s="844"/>
      <c r="AZ1102" s="942"/>
    </row>
    <row r="1103" spans="3:52" ht="27.95" customHeight="1">
      <c r="C1103" s="3071">
        <v>165</v>
      </c>
      <c r="D1103" s="3141" t="str">
        <f t="shared" si="316"/>
        <v/>
      </c>
      <c r="G1103" s="632"/>
      <c r="P1103" s="3342">
        <v>173</v>
      </c>
      <c r="Q1103" s="3799">
        <v>44682</v>
      </c>
      <c r="R1103" s="1699"/>
      <c r="AI1103" s="844"/>
      <c r="AZ1103" s="942"/>
    </row>
    <row r="1104" spans="3:52" ht="27.95" customHeight="1">
      <c r="C1104" s="3071">
        <v>166</v>
      </c>
      <c r="D1104" s="3141" t="str">
        <f t="shared" si="316"/>
        <v/>
      </c>
      <c r="G1104" s="632"/>
      <c r="P1104" s="3342">
        <v>174</v>
      </c>
      <c r="Q1104" s="3799">
        <v>44713</v>
      </c>
      <c r="R1104" s="1699"/>
      <c r="AI1104" s="844"/>
      <c r="AZ1104" s="942"/>
    </row>
    <row r="1105" spans="3:52" ht="27.95" customHeight="1">
      <c r="C1105" s="3071">
        <v>167</v>
      </c>
      <c r="D1105" s="3141" t="str">
        <f t="shared" si="316"/>
        <v/>
      </c>
      <c r="G1105" s="632"/>
      <c r="P1105" s="3342">
        <v>175</v>
      </c>
      <c r="Q1105" s="3799">
        <v>44743</v>
      </c>
      <c r="R1105" s="1699"/>
      <c r="AI1105" s="844"/>
      <c r="AZ1105" s="942"/>
    </row>
    <row r="1106" spans="3:52" ht="27.95" customHeight="1">
      <c r="C1106" s="3071">
        <v>168</v>
      </c>
      <c r="D1106" s="3141" t="str">
        <f t="shared" si="316"/>
        <v/>
      </c>
      <c r="G1106" s="632"/>
      <c r="P1106" s="3342">
        <v>176</v>
      </c>
      <c r="Q1106" s="3799">
        <v>44774</v>
      </c>
      <c r="R1106" s="1699"/>
      <c r="AI1106" s="844"/>
      <c r="AZ1106" s="942"/>
    </row>
    <row r="1107" spans="3:52" ht="27.95" customHeight="1">
      <c r="C1107" s="3071">
        <v>169</v>
      </c>
      <c r="D1107" s="3141" t="str">
        <f t="shared" si="316"/>
        <v/>
      </c>
      <c r="G1107" s="632"/>
      <c r="P1107" s="3342">
        <v>177</v>
      </c>
      <c r="Q1107" s="3799">
        <v>44805</v>
      </c>
      <c r="R1107" s="1699"/>
      <c r="AI1107" s="844"/>
      <c r="AZ1107" s="942"/>
    </row>
    <row r="1108" spans="3:52" ht="27.95" customHeight="1">
      <c r="C1108" s="3071">
        <v>170</v>
      </c>
      <c r="D1108" s="3141" t="str">
        <f t="shared" si="316"/>
        <v/>
      </c>
      <c r="G1108" s="632"/>
      <c r="P1108" s="3342">
        <v>178</v>
      </c>
      <c r="Q1108" s="3799">
        <v>44835</v>
      </c>
      <c r="R1108" s="1699"/>
      <c r="AI1108" s="844"/>
      <c r="AZ1108" s="942"/>
    </row>
    <row r="1109" spans="3:52" ht="27.95" customHeight="1">
      <c r="C1109" s="3071">
        <v>171</v>
      </c>
      <c r="D1109" s="3141" t="str">
        <f t="shared" si="316"/>
        <v/>
      </c>
      <c r="G1109" s="632"/>
      <c r="P1109" s="3342">
        <v>179</v>
      </c>
      <c r="Q1109" s="3799">
        <v>44866</v>
      </c>
      <c r="R1109" s="1699"/>
      <c r="AI1109" s="844"/>
      <c r="AZ1109" s="942"/>
    </row>
    <row r="1110" spans="3:52" ht="27.95" customHeight="1">
      <c r="C1110" s="3071">
        <v>172</v>
      </c>
      <c r="D1110" s="3141" t="str">
        <f t="shared" si="316"/>
        <v/>
      </c>
      <c r="G1110" s="632"/>
      <c r="P1110" s="3342">
        <v>180</v>
      </c>
      <c r="Q1110" s="3799">
        <v>44896</v>
      </c>
      <c r="R1110" s="1699"/>
      <c r="AI1110" s="844"/>
      <c r="AZ1110" s="942"/>
    </row>
    <row r="1111" spans="3:52" ht="27.95" customHeight="1">
      <c r="C1111" s="3071">
        <v>173</v>
      </c>
      <c r="D1111" s="3141" t="str">
        <f t="shared" si="316"/>
        <v/>
      </c>
      <c r="G1111" s="632"/>
      <c r="P1111" s="3342">
        <v>181</v>
      </c>
      <c r="Q1111" s="3799">
        <v>44927</v>
      </c>
      <c r="R1111" s="1699"/>
      <c r="AI1111" s="844"/>
      <c r="AZ1111" s="942"/>
    </row>
    <row r="1112" spans="3:52" ht="27.95" customHeight="1">
      <c r="C1112" s="3071">
        <v>174</v>
      </c>
      <c r="D1112" s="3141" t="str">
        <f t="shared" si="316"/>
        <v/>
      </c>
      <c r="G1112" s="632"/>
      <c r="P1112" s="3342">
        <v>182</v>
      </c>
      <c r="Q1112" s="3799">
        <v>44958</v>
      </c>
      <c r="R1112" s="1699"/>
      <c r="AI1112" s="844"/>
      <c r="AZ1112" s="942"/>
    </row>
    <row r="1113" spans="3:52" ht="27.95" customHeight="1">
      <c r="C1113" s="3071">
        <v>175</v>
      </c>
      <c r="D1113" s="3141" t="str">
        <f t="shared" si="316"/>
        <v/>
      </c>
      <c r="G1113" s="632"/>
      <c r="P1113" s="3342">
        <v>183</v>
      </c>
      <c r="Q1113" s="3799">
        <v>44986</v>
      </c>
      <c r="R1113" s="1699"/>
      <c r="AI1113" s="844"/>
      <c r="AZ1113" s="942"/>
    </row>
    <row r="1114" spans="3:52" ht="27.95" customHeight="1">
      <c r="C1114" s="3071">
        <v>176</v>
      </c>
      <c r="D1114" s="3141" t="str">
        <f t="shared" si="316"/>
        <v/>
      </c>
      <c r="G1114" s="632"/>
      <c r="P1114" s="3342">
        <v>184</v>
      </c>
      <c r="Q1114" s="3799">
        <v>45017</v>
      </c>
      <c r="R1114" s="1699"/>
      <c r="AI1114" s="844"/>
      <c r="AZ1114" s="942"/>
    </row>
    <row r="1115" spans="3:52" ht="27.95" customHeight="1">
      <c r="C1115" s="3071">
        <v>177</v>
      </c>
      <c r="D1115" s="3141" t="str">
        <f t="shared" si="316"/>
        <v/>
      </c>
      <c r="G1115" s="632"/>
      <c r="P1115" s="3342">
        <v>185</v>
      </c>
      <c r="Q1115" s="3799">
        <v>45047</v>
      </c>
      <c r="R1115" s="1699"/>
      <c r="AI1115" s="844"/>
      <c r="AZ1115" s="942"/>
    </row>
    <row r="1116" spans="3:52" ht="27.95" customHeight="1">
      <c r="C1116" s="3071">
        <v>178</v>
      </c>
      <c r="D1116" s="3141" t="str">
        <f t="shared" si="316"/>
        <v/>
      </c>
      <c r="G1116" s="632"/>
      <c r="P1116" s="3342">
        <v>186</v>
      </c>
      <c r="Q1116" s="3799">
        <v>45078</v>
      </c>
      <c r="R1116" s="1699"/>
      <c r="AI1116" s="844"/>
      <c r="AZ1116" s="942"/>
    </row>
    <row r="1117" spans="3:52" ht="27.95" customHeight="1">
      <c r="C1117" s="3071">
        <v>179</v>
      </c>
      <c r="D1117" s="3141" t="str">
        <f t="shared" si="316"/>
        <v/>
      </c>
      <c r="G1117" s="632"/>
      <c r="P1117" s="3342">
        <v>187</v>
      </c>
      <c r="Q1117" s="3799">
        <v>45108</v>
      </c>
      <c r="R1117" s="1699"/>
      <c r="AI1117" s="844"/>
      <c r="AZ1117" s="942"/>
    </row>
    <row r="1118" spans="3:52" ht="27.95" customHeight="1">
      <c r="C1118" s="3071">
        <v>180</v>
      </c>
      <c r="D1118" s="3141" t="str">
        <f t="shared" si="316"/>
        <v/>
      </c>
      <c r="G1118" s="632"/>
      <c r="P1118" s="3342">
        <v>188</v>
      </c>
      <c r="Q1118" s="3799">
        <v>45139</v>
      </c>
      <c r="R1118" s="1699"/>
      <c r="AI1118" s="844"/>
      <c r="AZ1118" s="942"/>
    </row>
    <row r="1119" spans="3:52" ht="27.95" customHeight="1">
      <c r="C1119" s="3071">
        <v>181</v>
      </c>
      <c r="D1119" s="3141" t="str">
        <f t="shared" si="316"/>
        <v/>
      </c>
      <c r="G1119" s="632"/>
      <c r="P1119" s="3342">
        <v>189</v>
      </c>
      <c r="Q1119" s="3799">
        <v>45170</v>
      </c>
      <c r="R1119" s="1699"/>
      <c r="AI1119" s="844"/>
      <c r="AZ1119" s="942"/>
    </row>
    <row r="1120" spans="3:52" ht="27.95" customHeight="1">
      <c r="C1120" s="3071">
        <v>182</v>
      </c>
      <c r="D1120" s="3141" t="str">
        <f t="shared" si="316"/>
        <v/>
      </c>
      <c r="G1120" s="632"/>
      <c r="P1120" s="3342">
        <v>190</v>
      </c>
      <c r="Q1120" s="3799">
        <v>45200</v>
      </c>
      <c r="R1120" s="1699"/>
      <c r="AI1120" s="844"/>
      <c r="AZ1120" s="942"/>
    </row>
    <row r="1121" spans="3:52" ht="27.95" customHeight="1">
      <c r="C1121" s="3071">
        <v>183</v>
      </c>
      <c r="D1121" s="3141" t="str">
        <f t="shared" si="316"/>
        <v/>
      </c>
      <c r="G1121" s="632"/>
      <c r="P1121" s="3342">
        <v>191</v>
      </c>
      <c r="Q1121" s="3799">
        <v>45231</v>
      </c>
      <c r="R1121" s="1699"/>
      <c r="AI1121" s="844"/>
      <c r="AZ1121" s="942"/>
    </row>
    <row r="1122" spans="3:52" ht="27.95" customHeight="1">
      <c r="C1122" s="3071">
        <v>184</v>
      </c>
      <c r="D1122" s="3141" t="str">
        <f t="shared" si="316"/>
        <v/>
      </c>
      <c r="G1122" s="632"/>
      <c r="P1122" s="3342">
        <v>192</v>
      </c>
      <c r="Q1122" s="3799">
        <v>45261</v>
      </c>
      <c r="R1122" s="1699"/>
      <c r="AI1122" s="844"/>
      <c r="AZ1122" s="942"/>
    </row>
    <row r="1123" spans="3:52" ht="27.95" customHeight="1">
      <c r="C1123" s="3071">
        <v>185</v>
      </c>
      <c r="D1123" s="3141" t="str">
        <f t="shared" si="316"/>
        <v/>
      </c>
      <c r="G1123" s="632"/>
      <c r="P1123" s="3342">
        <v>193</v>
      </c>
      <c r="Q1123" s="3799">
        <v>45292</v>
      </c>
      <c r="R1123" s="1699"/>
      <c r="AI1123" s="844"/>
      <c r="AZ1123" s="942"/>
    </row>
    <row r="1124" spans="3:52" ht="27.95" customHeight="1">
      <c r="C1124" s="3071">
        <v>186</v>
      </c>
      <c r="D1124" s="3141" t="str">
        <f t="shared" si="316"/>
        <v/>
      </c>
      <c r="G1124" s="632"/>
      <c r="P1124" s="3342">
        <v>194</v>
      </c>
      <c r="Q1124" s="3799">
        <v>45323</v>
      </c>
      <c r="R1124" s="1699"/>
      <c r="AI1124" s="844"/>
      <c r="AZ1124" s="942"/>
    </row>
    <row r="1125" spans="3:52" ht="27.95" customHeight="1">
      <c r="C1125" s="3071">
        <v>187</v>
      </c>
      <c r="D1125" s="3141" t="str">
        <f t="shared" si="316"/>
        <v/>
      </c>
      <c r="G1125" s="632"/>
      <c r="P1125" s="3342">
        <v>195</v>
      </c>
      <c r="Q1125" s="3799">
        <v>45352</v>
      </c>
      <c r="R1125" s="1699"/>
      <c r="AI1125" s="844"/>
      <c r="AZ1125" s="942"/>
    </row>
    <row r="1126" spans="3:52" ht="27.95" customHeight="1">
      <c r="C1126" s="3071">
        <v>188</v>
      </c>
      <c r="D1126" s="3141" t="str">
        <f t="shared" si="316"/>
        <v/>
      </c>
      <c r="G1126" s="632"/>
      <c r="P1126" s="3342">
        <v>196</v>
      </c>
      <c r="Q1126" s="3799">
        <v>45383</v>
      </c>
      <c r="R1126" s="1699"/>
      <c r="AI1126" s="844"/>
      <c r="AZ1126" s="942"/>
    </row>
    <row r="1127" spans="3:52" ht="27.95" customHeight="1">
      <c r="C1127" s="3071">
        <v>189</v>
      </c>
      <c r="D1127" s="3141" t="str">
        <f t="shared" si="316"/>
        <v/>
      </c>
      <c r="G1127" s="632"/>
      <c r="P1127" s="3342">
        <v>197</v>
      </c>
      <c r="Q1127" s="3799">
        <v>45413</v>
      </c>
      <c r="R1127" s="1699"/>
      <c r="AI1127" s="844"/>
      <c r="AZ1127" s="942"/>
    </row>
    <row r="1128" spans="3:52" ht="27.95" customHeight="1">
      <c r="C1128" s="3071">
        <v>190</v>
      </c>
      <c r="D1128" s="3141" t="str">
        <f t="shared" si="316"/>
        <v/>
      </c>
      <c r="G1128" s="632"/>
      <c r="P1128" s="3342">
        <v>198</v>
      </c>
      <c r="Q1128" s="3799">
        <v>45444</v>
      </c>
      <c r="R1128" s="1699"/>
      <c r="AI1128" s="844"/>
      <c r="AZ1128" s="942"/>
    </row>
    <row r="1129" spans="3:52" ht="27.95" customHeight="1">
      <c r="C1129" s="3071">
        <v>191</v>
      </c>
      <c r="D1129" s="3141" t="str">
        <f t="shared" si="316"/>
        <v/>
      </c>
      <c r="G1129" s="632"/>
      <c r="P1129" s="3342">
        <v>199</v>
      </c>
      <c r="Q1129" s="3799">
        <v>45474</v>
      </c>
      <c r="R1129" s="1699"/>
      <c r="AI1129" s="844"/>
      <c r="AZ1129" s="942"/>
    </row>
    <row r="1130" spans="3:52" ht="27.95" customHeight="1">
      <c r="C1130" s="3071">
        <v>192</v>
      </c>
      <c r="D1130" s="3141" t="str">
        <f t="shared" si="316"/>
        <v/>
      </c>
      <c r="G1130" s="632"/>
      <c r="P1130" s="3342">
        <v>200</v>
      </c>
      <c r="Q1130" s="3799">
        <v>45505</v>
      </c>
      <c r="R1130" s="1699"/>
      <c r="AI1130" s="844"/>
      <c r="AZ1130" s="942"/>
    </row>
    <row r="1131" spans="3:52" ht="27.95" customHeight="1">
      <c r="C1131" s="3071">
        <v>193</v>
      </c>
      <c r="D1131" s="3141" t="str">
        <f t="shared" si="316"/>
        <v/>
      </c>
      <c r="P1131" s="3342">
        <v>201</v>
      </c>
      <c r="Q1131" s="3799">
        <v>45536</v>
      </c>
      <c r="R1131" s="1699"/>
      <c r="AI1131" s="844"/>
      <c r="AZ1131" s="942"/>
    </row>
    <row r="1132" spans="3:52" ht="27.95" customHeight="1">
      <c r="C1132" s="3071">
        <v>194</v>
      </c>
      <c r="D1132" s="3141" t="str">
        <f t="shared" ref="D1132:D1156" si="317">IF(AND($K$919&lt;=Q1124,Q1124&lt;=$M$919),Q1124,"")</f>
        <v/>
      </c>
      <c r="P1132" s="3342">
        <v>202</v>
      </c>
      <c r="Q1132" s="3799">
        <v>45566</v>
      </c>
      <c r="R1132" s="1699"/>
      <c r="AI1132" s="844"/>
      <c r="AZ1132" s="942"/>
    </row>
    <row r="1133" spans="3:52" ht="27.95" customHeight="1">
      <c r="C1133" s="3071">
        <v>195</v>
      </c>
      <c r="D1133" s="3141" t="str">
        <f t="shared" si="317"/>
        <v/>
      </c>
      <c r="P1133" s="3342">
        <v>203</v>
      </c>
      <c r="Q1133" s="3799">
        <v>45597</v>
      </c>
      <c r="R1133" s="1699"/>
      <c r="AI1133" s="844"/>
      <c r="AZ1133" s="942"/>
    </row>
    <row r="1134" spans="3:52" ht="27.95" customHeight="1">
      <c r="C1134" s="3071">
        <v>196</v>
      </c>
      <c r="D1134" s="3141" t="str">
        <f t="shared" si="317"/>
        <v/>
      </c>
      <c r="P1134" s="3342">
        <v>204</v>
      </c>
      <c r="Q1134" s="3799">
        <v>45627</v>
      </c>
      <c r="R1134" s="1699"/>
      <c r="AI1134" s="844"/>
      <c r="AZ1134" s="942"/>
    </row>
    <row r="1135" spans="3:52" ht="27.95" customHeight="1">
      <c r="C1135" s="3071">
        <v>197</v>
      </c>
      <c r="D1135" s="3141" t="str">
        <f t="shared" si="317"/>
        <v/>
      </c>
      <c r="P1135" s="3342">
        <v>205</v>
      </c>
      <c r="Q1135" s="3799">
        <v>45658</v>
      </c>
      <c r="R1135" s="1699"/>
      <c r="AI1135" s="844"/>
      <c r="AZ1135" s="942"/>
    </row>
    <row r="1136" spans="3:52" ht="27.95" customHeight="1">
      <c r="C1136" s="3071">
        <v>198</v>
      </c>
      <c r="D1136" s="3141" t="str">
        <f t="shared" si="317"/>
        <v/>
      </c>
      <c r="P1136" s="3342">
        <v>206</v>
      </c>
      <c r="Q1136" s="3799">
        <v>45689</v>
      </c>
      <c r="R1136" s="1699"/>
      <c r="AI1136" s="844"/>
      <c r="AZ1136" s="942"/>
    </row>
    <row r="1137" spans="3:52" ht="27.95" customHeight="1">
      <c r="C1137" s="3071">
        <v>199</v>
      </c>
      <c r="D1137" s="3141" t="str">
        <f t="shared" si="317"/>
        <v/>
      </c>
      <c r="P1137" s="3342">
        <v>207</v>
      </c>
      <c r="Q1137" s="3799">
        <v>45717</v>
      </c>
      <c r="R1137" s="1699"/>
      <c r="AI1137" s="844"/>
      <c r="AZ1137" s="942"/>
    </row>
    <row r="1138" spans="3:52" ht="27.95" customHeight="1">
      <c r="C1138" s="3071">
        <v>200</v>
      </c>
      <c r="D1138" s="3141" t="str">
        <f t="shared" si="317"/>
        <v/>
      </c>
      <c r="P1138" s="3342">
        <v>208</v>
      </c>
      <c r="Q1138" s="3799">
        <v>45748</v>
      </c>
      <c r="R1138" s="1699"/>
      <c r="AI1138" s="844"/>
      <c r="AZ1138" s="942"/>
    </row>
    <row r="1139" spans="3:52" ht="27.95" customHeight="1">
      <c r="C1139" s="3071">
        <v>201</v>
      </c>
      <c r="D1139" s="3141" t="str">
        <f t="shared" si="317"/>
        <v/>
      </c>
      <c r="P1139" s="3342">
        <v>209</v>
      </c>
      <c r="Q1139" s="3799">
        <v>45778</v>
      </c>
      <c r="R1139" s="1699"/>
      <c r="AI1139" s="844"/>
      <c r="AZ1139" s="942"/>
    </row>
    <row r="1140" spans="3:52" ht="27.95" customHeight="1">
      <c r="C1140" s="3071">
        <v>202</v>
      </c>
      <c r="D1140" s="3141" t="str">
        <f t="shared" si="317"/>
        <v/>
      </c>
      <c r="P1140" s="3342">
        <v>210</v>
      </c>
      <c r="Q1140" s="3799">
        <v>45809</v>
      </c>
      <c r="R1140" s="1699"/>
      <c r="AI1140" s="844"/>
      <c r="AZ1140" s="942"/>
    </row>
    <row r="1141" spans="3:52" ht="27.95" customHeight="1">
      <c r="C1141" s="3071">
        <v>203</v>
      </c>
      <c r="D1141" s="3141" t="str">
        <f t="shared" si="317"/>
        <v/>
      </c>
      <c r="P1141" s="3342">
        <v>211</v>
      </c>
      <c r="Q1141" s="3799">
        <v>45839</v>
      </c>
      <c r="R1141" s="1699"/>
      <c r="AI1141" s="844"/>
      <c r="AZ1141" s="942"/>
    </row>
    <row r="1142" spans="3:52" ht="27.95" customHeight="1">
      <c r="C1142" s="3071">
        <v>204</v>
      </c>
      <c r="D1142" s="3141">
        <f t="shared" si="317"/>
        <v>45627</v>
      </c>
      <c r="P1142" s="3342">
        <v>212</v>
      </c>
      <c r="Q1142" s="3799">
        <v>45870</v>
      </c>
      <c r="R1142" s="1699"/>
      <c r="AI1142" s="844"/>
      <c r="AZ1142" s="942"/>
    </row>
    <row r="1143" spans="3:52" ht="27.95" customHeight="1">
      <c r="C1143" s="3071">
        <v>205</v>
      </c>
      <c r="D1143" s="3141">
        <f t="shared" si="317"/>
        <v>45658</v>
      </c>
      <c r="P1143" s="3342">
        <v>213</v>
      </c>
      <c r="Q1143" s="3799">
        <v>45901</v>
      </c>
      <c r="R1143" s="1699"/>
      <c r="AI1143" s="844"/>
      <c r="AZ1143" s="942"/>
    </row>
    <row r="1144" spans="3:52" ht="27.95" customHeight="1">
      <c r="C1144" s="3071">
        <v>206</v>
      </c>
      <c r="D1144" s="3141">
        <f t="shared" si="317"/>
        <v>45689</v>
      </c>
      <c r="P1144" s="3342">
        <v>214</v>
      </c>
      <c r="Q1144" s="3799">
        <v>45931</v>
      </c>
      <c r="R1144" s="1699"/>
      <c r="AI1144" s="844"/>
      <c r="AZ1144" s="942"/>
    </row>
    <row r="1145" spans="3:52" ht="27.95" customHeight="1">
      <c r="C1145" s="3071">
        <v>207</v>
      </c>
      <c r="D1145" s="3141">
        <f t="shared" si="317"/>
        <v>45717</v>
      </c>
      <c r="P1145" s="3342">
        <v>215</v>
      </c>
      <c r="Q1145" s="3799">
        <v>45962</v>
      </c>
      <c r="R1145" s="1699"/>
      <c r="AI1145" s="844"/>
      <c r="AZ1145" s="942"/>
    </row>
    <row r="1146" spans="3:52" ht="27.95" customHeight="1">
      <c r="C1146" s="3071">
        <v>208</v>
      </c>
      <c r="D1146" s="3141">
        <f t="shared" si="317"/>
        <v>45748</v>
      </c>
      <c r="P1146" s="3342">
        <v>216</v>
      </c>
      <c r="Q1146" s="3799">
        <v>45992</v>
      </c>
      <c r="R1146" s="1699"/>
      <c r="AI1146" s="844"/>
      <c r="AZ1146" s="942"/>
    </row>
    <row r="1147" spans="3:52" ht="27.95" customHeight="1">
      <c r="C1147" s="3071">
        <v>209</v>
      </c>
      <c r="D1147" s="3141">
        <f t="shared" si="317"/>
        <v>45778</v>
      </c>
      <c r="P1147" s="3342">
        <v>217</v>
      </c>
      <c r="Q1147" s="3799">
        <v>46023</v>
      </c>
      <c r="R1147" s="1699"/>
      <c r="AI1147" s="844"/>
      <c r="AZ1147" s="942"/>
    </row>
    <row r="1148" spans="3:52" ht="27.95" customHeight="1">
      <c r="C1148" s="3071">
        <v>210</v>
      </c>
      <c r="D1148" s="3141">
        <f t="shared" si="317"/>
        <v>45809</v>
      </c>
      <c r="P1148" s="3342">
        <v>218</v>
      </c>
      <c r="Q1148" s="3799">
        <v>46054</v>
      </c>
      <c r="R1148" s="1699"/>
      <c r="AI1148" s="844"/>
      <c r="AZ1148" s="942"/>
    </row>
    <row r="1149" spans="3:52" ht="27.95" customHeight="1">
      <c r="C1149" s="3071">
        <v>211</v>
      </c>
      <c r="D1149" s="3141">
        <f t="shared" si="317"/>
        <v>45839</v>
      </c>
      <c r="R1149" s="1699"/>
      <c r="AI1149" s="844"/>
      <c r="AZ1149" s="942"/>
    </row>
    <row r="1150" spans="3:52" ht="27.95" customHeight="1">
      <c r="C1150" s="3071">
        <v>212</v>
      </c>
      <c r="D1150" s="3141">
        <f t="shared" si="317"/>
        <v>45870</v>
      </c>
      <c r="R1150" s="1699"/>
      <c r="AI1150" s="844"/>
      <c r="AZ1150" s="942"/>
    </row>
    <row r="1151" spans="3:52" ht="27.95" customHeight="1">
      <c r="C1151" s="3071">
        <v>213</v>
      </c>
      <c r="D1151" s="3141">
        <f t="shared" si="317"/>
        <v>45901</v>
      </c>
      <c r="R1151" s="1699"/>
      <c r="AI1151" s="844"/>
      <c r="AZ1151" s="942"/>
    </row>
    <row r="1152" spans="3:52" ht="27.95" customHeight="1">
      <c r="C1152" s="3071">
        <v>214</v>
      </c>
      <c r="D1152" s="3141">
        <f t="shared" si="317"/>
        <v>45931</v>
      </c>
      <c r="R1152" s="1699"/>
      <c r="AI1152" s="844"/>
      <c r="AZ1152" s="942"/>
    </row>
    <row r="1153" spans="3:52" ht="27.95" customHeight="1">
      <c r="C1153" s="3071">
        <v>215</v>
      </c>
      <c r="D1153" s="3141" t="str">
        <f t="shared" si="317"/>
        <v/>
      </c>
      <c r="R1153" s="1699"/>
      <c r="AI1153" s="844"/>
      <c r="AZ1153" s="942"/>
    </row>
    <row r="1154" spans="3:52" ht="27.95" customHeight="1">
      <c r="C1154" s="3071">
        <v>216</v>
      </c>
      <c r="D1154" s="3141" t="str">
        <f t="shared" si="317"/>
        <v/>
      </c>
      <c r="R1154" s="1699"/>
      <c r="AI1154" s="844"/>
      <c r="AZ1154" s="942"/>
    </row>
    <row r="1155" spans="3:52" ht="27.95" customHeight="1">
      <c r="C1155" s="3071">
        <v>217</v>
      </c>
      <c r="D1155" s="3141" t="str">
        <f t="shared" si="317"/>
        <v/>
      </c>
      <c r="R1155" s="1699"/>
      <c r="AI1155" s="844"/>
      <c r="AZ1155" s="942"/>
    </row>
    <row r="1156" spans="3:52" ht="27.95" customHeight="1">
      <c r="C1156" s="3071">
        <v>218</v>
      </c>
      <c r="D1156" s="3141" t="str">
        <f t="shared" si="317"/>
        <v/>
      </c>
      <c r="R1156" s="1699"/>
      <c r="AI1156" s="844"/>
      <c r="AZ1156" s="942"/>
    </row>
    <row r="1157" spans="3:52" ht="27.95" customHeight="1">
      <c r="R1157" s="1699"/>
      <c r="AI1157" s="844"/>
      <c r="AZ1157" s="942"/>
    </row>
    <row r="1158" spans="3:52" ht="27.95" customHeight="1">
      <c r="R1158" s="1699"/>
      <c r="AI1158" s="844"/>
      <c r="AZ1158" s="942"/>
    </row>
    <row r="1159" spans="3:52" ht="27.95" customHeight="1">
      <c r="R1159" s="1699"/>
      <c r="AI1159" s="844"/>
      <c r="AZ1159" s="942"/>
    </row>
    <row r="1160" spans="3:52" ht="27.95" customHeight="1">
      <c r="R1160" s="1699"/>
      <c r="AI1160" s="844"/>
      <c r="AZ1160" s="942"/>
    </row>
    <row r="1161" spans="3:52" ht="27.95" customHeight="1">
      <c r="R1161" s="1699"/>
      <c r="AI1161" s="844"/>
      <c r="AZ1161" s="942"/>
    </row>
    <row r="1162" spans="3:52" ht="27.95" customHeight="1">
      <c r="R1162" s="1699"/>
      <c r="AI1162" s="844"/>
      <c r="AZ1162" s="942"/>
    </row>
    <row r="1163" spans="3:52" ht="27.95" customHeight="1">
      <c r="R1163" s="1699"/>
      <c r="AI1163" s="844"/>
      <c r="AZ1163" s="942"/>
    </row>
    <row r="1164" spans="3:52" ht="27.95" customHeight="1">
      <c r="R1164" s="1699"/>
      <c r="AI1164" s="844"/>
      <c r="AZ1164" s="942"/>
    </row>
    <row r="1165" spans="3:52" ht="27.95" customHeight="1">
      <c r="R1165" s="1699"/>
      <c r="AI1165" s="844"/>
      <c r="AZ1165" s="942"/>
    </row>
    <row r="1166" spans="3:52" ht="27.95" customHeight="1">
      <c r="R1166" s="1699"/>
      <c r="AI1166" s="844"/>
      <c r="AZ1166" s="942"/>
    </row>
    <row r="1167" spans="3:52" ht="27.95" customHeight="1">
      <c r="R1167" s="1699"/>
      <c r="AI1167" s="844"/>
      <c r="AZ1167" s="942"/>
    </row>
    <row r="1168" spans="3:52" ht="27.95" customHeight="1">
      <c r="R1168" s="1699"/>
      <c r="AI1168" s="844"/>
      <c r="AZ1168" s="942"/>
    </row>
    <row r="1169" spans="18:52" ht="27.95" customHeight="1">
      <c r="R1169" s="1699"/>
      <c r="AI1169" s="844"/>
      <c r="AZ1169" s="942"/>
    </row>
    <row r="1170" spans="18:52" ht="27.95" customHeight="1">
      <c r="R1170" s="1699"/>
      <c r="AI1170" s="844"/>
      <c r="AZ1170" s="942"/>
    </row>
    <row r="1171" spans="18:52" ht="27.95" customHeight="1">
      <c r="R1171" s="1699"/>
      <c r="AI1171" s="844"/>
      <c r="AZ1171" s="942"/>
    </row>
    <row r="1172" spans="18:52" ht="27.95" customHeight="1">
      <c r="R1172" s="1699"/>
      <c r="AI1172" s="844"/>
      <c r="AZ1172" s="942"/>
    </row>
    <row r="1173" spans="18:52" ht="27.95" customHeight="1">
      <c r="R1173" s="1699"/>
      <c r="AI1173" s="844"/>
      <c r="AZ1173" s="942"/>
    </row>
    <row r="1174" spans="18:52" ht="27.95" customHeight="1">
      <c r="R1174" s="1699"/>
      <c r="AI1174" s="844"/>
      <c r="AZ1174" s="942"/>
    </row>
    <row r="1175" spans="18:52" ht="27.95" customHeight="1">
      <c r="R1175" s="1699"/>
      <c r="AI1175" s="844"/>
      <c r="AZ1175" s="942"/>
    </row>
    <row r="1176" spans="18:52" ht="27.95" customHeight="1">
      <c r="R1176" s="1699"/>
      <c r="AI1176" s="844"/>
      <c r="AZ1176" s="942"/>
    </row>
    <row r="1177" spans="18:52" ht="27.95" customHeight="1">
      <c r="R1177" s="1699"/>
      <c r="AI1177" s="844"/>
      <c r="AZ1177" s="942"/>
    </row>
    <row r="1178" spans="18:52" ht="27.95" customHeight="1">
      <c r="R1178" s="1699"/>
      <c r="AI1178" s="844"/>
      <c r="AZ1178" s="942"/>
    </row>
    <row r="1179" spans="18:52" ht="27.95" customHeight="1">
      <c r="R1179" s="1699"/>
      <c r="AI1179" s="844"/>
      <c r="AZ1179" s="942"/>
    </row>
    <row r="1180" spans="18:52" ht="27.95" customHeight="1">
      <c r="R1180" s="1699"/>
      <c r="AI1180" s="844"/>
      <c r="AZ1180" s="942"/>
    </row>
    <row r="1181" spans="18:52" ht="27.95" customHeight="1">
      <c r="R1181" s="1699"/>
      <c r="AI1181" s="844"/>
      <c r="AZ1181" s="942"/>
    </row>
    <row r="1182" spans="18:52" ht="27.95" customHeight="1">
      <c r="R1182" s="1699"/>
      <c r="AI1182" s="844"/>
      <c r="AZ1182" s="942"/>
    </row>
    <row r="1183" spans="18:52" ht="27.95" customHeight="1">
      <c r="R1183" s="1699"/>
      <c r="AI1183" s="844"/>
      <c r="AZ1183" s="942"/>
    </row>
    <row r="1184" spans="18:52" ht="27.95" customHeight="1">
      <c r="R1184" s="1699"/>
      <c r="AI1184" s="844"/>
      <c r="AZ1184" s="942"/>
    </row>
    <row r="1185" spans="18:52" ht="27.95" customHeight="1">
      <c r="R1185" s="1699"/>
      <c r="AI1185" s="844"/>
      <c r="AZ1185" s="942"/>
    </row>
    <row r="1186" spans="18:52" ht="27.95" customHeight="1">
      <c r="R1186" s="1699"/>
      <c r="AI1186" s="844"/>
      <c r="AZ1186" s="942"/>
    </row>
    <row r="1187" spans="18:52" ht="27.95" customHeight="1">
      <c r="R1187" s="1699"/>
      <c r="AI1187" s="844"/>
      <c r="AZ1187" s="942"/>
    </row>
    <row r="1188" spans="18:52" ht="27.95" customHeight="1">
      <c r="R1188" s="1699"/>
      <c r="AI1188" s="844"/>
      <c r="AZ1188" s="942"/>
    </row>
    <row r="1189" spans="18:52" ht="27.95" customHeight="1">
      <c r="R1189" s="1699"/>
      <c r="AI1189" s="844"/>
      <c r="AZ1189" s="942"/>
    </row>
    <row r="1190" spans="18:52" ht="27.95" customHeight="1">
      <c r="R1190" s="1699"/>
      <c r="AI1190" s="844"/>
      <c r="AZ1190" s="942"/>
    </row>
    <row r="1191" spans="18:52" ht="27.95" customHeight="1">
      <c r="R1191" s="1699"/>
      <c r="AI1191" s="844"/>
      <c r="AZ1191" s="942"/>
    </row>
    <row r="1192" spans="18:52" ht="27.95" customHeight="1">
      <c r="R1192" s="1699"/>
      <c r="AI1192" s="844"/>
      <c r="AZ1192" s="942"/>
    </row>
    <row r="1193" spans="18:52" ht="27.95" customHeight="1">
      <c r="R1193" s="1699"/>
      <c r="AI1193" s="844"/>
      <c r="AZ1193" s="942"/>
    </row>
    <row r="1194" spans="18:52" ht="27.95" customHeight="1">
      <c r="R1194" s="1699"/>
      <c r="AI1194" s="844"/>
      <c r="AZ1194" s="942"/>
    </row>
    <row r="1195" spans="18:52" ht="27.95" customHeight="1">
      <c r="R1195" s="1699"/>
      <c r="AI1195" s="844"/>
      <c r="AZ1195" s="942"/>
    </row>
    <row r="1196" spans="18:52" ht="27.95" customHeight="1">
      <c r="R1196" s="1699"/>
      <c r="AI1196" s="844"/>
      <c r="AZ1196" s="942"/>
    </row>
    <row r="1197" spans="18:52" ht="27.95" customHeight="1">
      <c r="R1197" s="1699"/>
      <c r="AI1197" s="844"/>
      <c r="AZ1197" s="942"/>
    </row>
    <row r="1198" spans="18:52" ht="27.95" customHeight="1">
      <c r="R1198" s="1699"/>
      <c r="AI1198" s="844"/>
      <c r="AZ1198" s="942"/>
    </row>
    <row r="1199" spans="18:52" ht="27.95" customHeight="1">
      <c r="R1199" s="1699"/>
      <c r="AI1199" s="844"/>
      <c r="AZ1199" s="942"/>
    </row>
    <row r="1200" spans="18:52" ht="27.95" customHeight="1">
      <c r="R1200" s="1699"/>
      <c r="AI1200" s="844"/>
      <c r="AZ1200" s="942"/>
    </row>
    <row r="1201" spans="18:52" ht="27.95" customHeight="1">
      <c r="R1201" s="1699"/>
      <c r="AI1201" s="844"/>
      <c r="AZ1201" s="942"/>
    </row>
    <row r="1202" spans="18:52" ht="27.95" customHeight="1">
      <c r="R1202" s="1699"/>
      <c r="AI1202" s="844"/>
      <c r="AZ1202" s="942"/>
    </row>
    <row r="1203" spans="18:52" ht="27.95" customHeight="1">
      <c r="R1203" s="1699"/>
      <c r="AI1203" s="844"/>
      <c r="AZ1203" s="942"/>
    </row>
    <row r="1204" spans="18:52" ht="27.95" customHeight="1">
      <c r="R1204" s="1699"/>
      <c r="AI1204" s="844"/>
      <c r="AZ1204" s="942"/>
    </row>
    <row r="1205" spans="18:52" ht="27.95" customHeight="1">
      <c r="R1205" s="1699"/>
      <c r="AI1205" s="844"/>
      <c r="AZ1205" s="942"/>
    </row>
    <row r="1206" spans="18:52" ht="27.95" customHeight="1">
      <c r="R1206" s="1699"/>
      <c r="AI1206" s="844"/>
      <c r="AZ1206" s="942"/>
    </row>
    <row r="1207" spans="18:52" ht="27.95" customHeight="1">
      <c r="R1207" s="1699"/>
      <c r="AI1207" s="844"/>
      <c r="AZ1207" s="942"/>
    </row>
    <row r="1208" spans="18:52" ht="27.95" customHeight="1">
      <c r="R1208" s="1699"/>
      <c r="AI1208" s="844"/>
      <c r="AZ1208" s="942"/>
    </row>
    <row r="1209" spans="18:52" ht="27.95" customHeight="1">
      <c r="R1209" s="1699"/>
      <c r="AI1209" s="844"/>
      <c r="AZ1209" s="942"/>
    </row>
    <row r="1210" spans="18:52" ht="27.95" customHeight="1">
      <c r="R1210" s="1699"/>
      <c r="AI1210" s="844"/>
      <c r="AZ1210" s="942"/>
    </row>
    <row r="1211" spans="18:52" ht="27.95" customHeight="1">
      <c r="R1211" s="1699"/>
      <c r="AI1211" s="844"/>
      <c r="AZ1211" s="942"/>
    </row>
    <row r="1212" spans="18:52" ht="27.95" customHeight="1">
      <c r="R1212" s="1699"/>
      <c r="AI1212" s="844"/>
      <c r="AZ1212" s="942"/>
    </row>
    <row r="1213" spans="18:52" ht="27.95" customHeight="1">
      <c r="R1213" s="1699"/>
      <c r="AI1213" s="844"/>
      <c r="AZ1213" s="942"/>
    </row>
    <row r="1214" spans="18:52" ht="27.95" customHeight="1">
      <c r="R1214" s="1699"/>
      <c r="AI1214" s="844"/>
      <c r="AZ1214" s="942"/>
    </row>
    <row r="1215" spans="18:52" ht="27.95" customHeight="1">
      <c r="R1215" s="1699"/>
      <c r="AI1215" s="844"/>
      <c r="AZ1215" s="942"/>
    </row>
    <row r="1216" spans="18:52" ht="27.95" customHeight="1">
      <c r="R1216" s="1699"/>
      <c r="AI1216" s="844"/>
      <c r="AZ1216" s="942"/>
    </row>
    <row r="1217" spans="18:52" ht="27.95" customHeight="1">
      <c r="R1217" s="1699"/>
      <c r="AI1217" s="844"/>
      <c r="AZ1217" s="942"/>
    </row>
    <row r="1218" spans="18:52" ht="27.95" customHeight="1">
      <c r="R1218" s="1699"/>
      <c r="AI1218" s="844"/>
      <c r="AZ1218" s="942"/>
    </row>
    <row r="1219" spans="18:52" ht="27.95" customHeight="1">
      <c r="R1219" s="1699"/>
      <c r="AI1219" s="844"/>
      <c r="AZ1219" s="942"/>
    </row>
    <row r="1220" spans="18:52" ht="27.95" customHeight="1">
      <c r="R1220" s="1699"/>
      <c r="AI1220" s="844"/>
      <c r="AZ1220" s="942"/>
    </row>
    <row r="1221" spans="18:52" ht="27.95" customHeight="1">
      <c r="R1221" s="1699"/>
      <c r="AI1221" s="844"/>
      <c r="AZ1221" s="942"/>
    </row>
    <row r="1222" spans="18:52" ht="27.95" customHeight="1">
      <c r="R1222" s="1699"/>
      <c r="AI1222" s="844"/>
      <c r="AZ1222" s="942"/>
    </row>
    <row r="1223" spans="18:52" ht="27.95" customHeight="1">
      <c r="R1223" s="1699"/>
      <c r="AI1223" s="844"/>
      <c r="AZ1223" s="942"/>
    </row>
    <row r="1224" spans="18:52" ht="27.95" customHeight="1">
      <c r="R1224" s="1699"/>
      <c r="AI1224" s="844"/>
      <c r="AZ1224" s="942"/>
    </row>
    <row r="1225" spans="18:52" ht="27.95" customHeight="1">
      <c r="R1225" s="1699"/>
      <c r="AI1225" s="844"/>
      <c r="AZ1225" s="942"/>
    </row>
    <row r="1226" spans="18:52" ht="27.95" customHeight="1">
      <c r="R1226" s="1699"/>
      <c r="AI1226" s="844"/>
      <c r="AZ1226" s="942"/>
    </row>
    <row r="1227" spans="18:52" ht="27.95" customHeight="1">
      <c r="R1227" s="1699"/>
      <c r="AI1227" s="844"/>
      <c r="AZ1227" s="942"/>
    </row>
    <row r="1228" spans="18:52" ht="27.95" customHeight="1">
      <c r="R1228" s="1699"/>
      <c r="AI1228" s="844"/>
      <c r="AZ1228" s="942"/>
    </row>
    <row r="1229" spans="18:52" ht="27.95" customHeight="1">
      <c r="R1229" s="1699"/>
      <c r="AI1229" s="844"/>
      <c r="AZ1229" s="942"/>
    </row>
    <row r="1230" spans="18:52" ht="27.95" customHeight="1">
      <c r="R1230" s="1699"/>
      <c r="AI1230" s="844"/>
      <c r="AZ1230" s="942"/>
    </row>
    <row r="1231" spans="18:52" ht="27.95" customHeight="1">
      <c r="R1231" s="1699"/>
      <c r="AI1231" s="844"/>
      <c r="AZ1231" s="942"/>
    </row>
    <row r="1232" spans="18:52" ht="27.95" customHeight="1">
      <c r="R1232" s="1699"/>
      <c r="AI1232" s="844"/>
      <c r="AZ1232" s="942"/>
    </row>
    <row r="1233" spans="18:52" ht="27.95" customHeight="1">
      <c r="R1233" s="1699"/>
      <c r="AI1233" s="844"/>
      <c r="AZ1233" s="942"/>
    </row>
    <row r="1234" spans="18:52" ht="27.95" customHeight="1">
      <c r="R1234" s="1699"/>
      <c r="AI1234" s="844"/>
      <c r="AZ1234" s="942"/>
    </row>
    <row r="1235" spans="18:52" ht="27.95" customHeight="1">
      <c r="R1235" s="1699"/>
      <c r="AI1235" s="844"/>
      <c r="AZ1235" s="942"/>
    </row>
    <row r="1236" spans="18:52" ht="27.95" customHeight="1">
      <c r="R1236" s="1699"/>
      <c r="AI1236" s="844"/>
      <c r="AZ1236" s="942"/>
    </row>
    <row r="1237" spans="18:52" ht="27.95" customHeight="1">
      <c r="R1237" s="1699"/>
      <c r="AI1237" s="844"/>
      <c r="AZ1237" s="942"/>
    </row>
    <row r="1238" spans="18:52" ht="27.95" customHeight="1">
      <c r="R1238" s="1699"/>
      <c r="AI1238" s="844"/>
      <c r="AZ1238" s="942"/>
    </row>
    <row r="1239" spans="18:52" ht="27.95" customHeight="1">
      <c r="R1239" s="1699"/>
      <c r="AI1239" s="844"/>
      <c r="AZ1239" s="942"/>
    </row>
    <row r="1240" spans="18:52" ht="27.95" customHeight="1">
      <c r="R1240" s="1699"/>
      <c r="AI1240" s="844"/>
      <c r="AZ1240" s="942"/>
    </row>
    <row r="1241" spans="18:52" ht="27.95" customHeight="1">
      <c r="R1241" s="1699"/>
      <c r="AI1241" s="844"/>
      <c r="AZ1241" s="942"/>
    </row>
    <row r="1242" spans="18:52" ht="27.95" customHeight="1">
      <c r="R1242" s="1699"/>
      <c r="AI1242" s="844"/>
      <c r="AZ1242" s="942"/>
    </row>
    <row r="1243" spans="18:52" ht="27.95" customHeight="1">
      <c r="R1243" s="1699"/>
      <c r="AI1243" s="844"/>
      <c r="AZ1243" s="942"/>
    </row>
    <row r="1244" spans="18:52" ht="27.95" customHeight="1">
      <c r="R1244" s="1699"/>
      <c r="AI1244" s="844"/>
      <c r="AZ1244" s="942"/>
    </row>
    <row r="1245" spans="18:52" ht="27.95" customHeight="1">
      <c r="R1245" s="1699"/>
      <c r="AI1245" s="844"/>
      <c r="AZ1245" s="942"/>
    </row>
    <row r="1246" spans="18:52" ht="27.95" customHeight="1">
      <c r="R1246" s="1699"/>
      <c r="AI1246" s="844"/>
      <c r="AZ1246" s="942"/>
    </row>
    <row r="1247" spans="18:52" ht="27.95" customHeight="1">
      <c r="R1247" s="1699"/>
      <c r="AI1247" s="844"/>
      <c r="AZ1247" s="942"/>
    </row>
    <row r="1248" spans="18:52" ht="27.95" customHeight="1">
      <c r="R1248" s="1699"/>
      <c r="AI1248" s="844"/>
      <c r="AZ1248" s="942"/>
    </row>
    <row r="1249" spans="3:52" ht="27.95" customHeight="1">
      <c r="R1249" s="1699"/>
      <c r="AI1249" s="844"/>
      <c r="AZ1249" s="942"/>
    </row>
    <row r="1250" spans="3:52" ht="27.95" customHeight="1">
      <c r="R1250" s="1699"/>
      <c r="AI1250" s="844"/>
      <c r="AZ1250" s="942"/>
    </row>
    <row r="1251" spans="3:52" ht="27.95" customHeight="1">
      <c r="R1251" s="1699"/>
      <c r="AI1251" s="844"/>
      <c r="AZ1251" s="942"/>
    </row>
    <row r="1252" spans="3:52" ht="27.95" customHeight="1">
      <c r="R1252" s="1699"/>
      <c r="AI1252" s="844"/>
      <c r="AZ1252" s="942"/>
    </row>
    <row r="1253" spans="3:52" ht="27.95" customHeight="1">
      <c r="R1253" s="1699"/>
      <c r="AI1253" s="844"/>
      <c r="AZ1253" s="942"/>
    </row>
    <row r="1254" spans="3:52" ht="27.95" customHeight="1">
      <c r="R1254" s="1699"/>
      <c r="AI1254" s="844"/>
      <c r="AZ1254" s="942"/>
    </row>
    <row r="1255" spans="3:52" ht="27.95" customHeight="1">
      <c r="R1255" s="1699"/>
      <c r="AI1255" s="844"/>
      <c r="AZ1255" s="942"/>
    </row>
    <row r="1256" spans="3:52" ht="27.95" customHeight="1">
      <c r="R1256" s="1699"/>
      <c r="AI1256" s="844"/>
      <c r="AZ1256" s="942"/>
    </row>
    <row r="1257" spans="3:52" ht="27.95" customHeight="1">
      <c r="R1257" s="1699"/>
      <c r="AI1257" s="844"/>
      <c r="AZ1257" s="942"/>
    </row>
    <row r="1258" spans="3:52" ht="27.95" customHeight="1">
      <c r="R1258" s="1699"/>
      <c r="AI1258" s="844"/>
      <c r="AZ1258" s="942"/>
    </row>
    <row r="1259" spans="3:52" ht="27.95" customHeight="1">
      <c r="R1259" s="1699"/>
      <c r="AI1259" s="844"/>
      <c r="AZ1259" s="942"/>
    </row>
    <row r="1260" spans="3:52" ht="27.95" customHeight="1">
      <c r="R1260" s="1699"/>
      <c r="AI1260" s="844"/>
      <c r="AZ1260" s="942"/>
    </row>
    <row r="1261" spans="3:52" ht="27.95" customHeight="1">
      <c r="R1261" s="1699"/>
      <c r="AI1261" s="844"/>
      <c r="AZ1261" s="942"/>
    </row>
    <row r="1262" spans="3:52" ht="27.95" customHeight="1">
      <c r="C1262" s="1249"/>
      <c r="D1262" s="5237" t="str">
        <f>CONCATENATE("Select the Date of Next Annual Grade Increment in the Existing Academic Level", "-",CR4)</f>
        <v>Select the Date of Next Annual Grade Increment in the Existing Academic Level-11</v>
      </c>
      <c r="E1262" s="5237"/>
      <c r="F1262" s="5237"/>
      <c r="G1262" s="5237"/>
      <c r="H1262" s="5237"/>
      <c r="I1262" s="3177" t="str">
        <f>LOOKUP(J1262,$F$981:$F$982,$G$981:$G$982)</f>
        <v>Jan</v>
      </c>
      <c r="J1262" s="3176">
        <v>1</v>
      </c>
      <c r="K1262" s="1249"/>
      <c r="L1262" s="1249"/>
      <c r="M1262" s="1249"/>
      <c r="N1262" s="1249"/>
      <c r="O1262" s="1249"/>
      <c r="P1262" s="1249"/>
      <c r="Q1262" s="1249"/>
      <c r="R1262" s="1699"/>
      <c r="S1262" s="1249"/>
      <c r="T1262" s="1249"/>
      <c r="U1262" s="1249"/>
      <c r="V1262" s="1249"/>
      <c r="W1262" s="1249"/>
      <c r="X1262" s="1249"/>
      <c r="Y1262" s="1249"/>
      <c r="Z1262" s="1249"/>
      <c r="AA1262" s="1249"/>
      <c r="AB1262" s="1249"/>
      <c r="AC1262" s="1249"/>
      <c r="AD1262" s="1249"/>
      <c r="AE1262" s="1249"/>
      <c r="AF1262" s="1249"/>
      <c r="AG1262" s="1249"/>
      <c r="AH1262" s="1249"/>
      <c r="AI1262" s="1249"/>
      <c r="AZ1262" s="942"/>
    </row>
    <row r="1263" spans="3:52" ht="27.95" customHeight="1">
      <c r="C1263" s="3041"/>
      <c r="D1263" s="3041"/>
      <c r="E1263" s="3041"/>
      <c r="F1263" s="3041"/>
      <c r="G1263" s="3041"/>
      <c r="H1263" s="3052" t="s">
        <v>1191</v>
      </c>
      <c r="I1263" s="3052">
        <f>IF($J$1262=2,7,1)</f>
        <v>1</v>
      </c>
      <c r="J1263" s="3041"/>
      <c r="K1263" s="3041"/>
      <c r="L1263" s="3041"/>
      <c r="M1263" s="3041"/>
      <c r="N1263" s="3041"/>
      <c r="O1263" s="3041"/>
      <c r="P1263" s="3041"/>
      <c r="Q1263" s="3041"/>
      <c r="R1263" s="1699"/>
      <c r="S1263" s="3041"/>
      <c r="T1263" s="3041"/>
      <c r="U1263" s="3041"/>
      <c r="V1263" s="3041"/>
      <c r="W1263" s="3041"/>
      <c r="X1263" s="3041"/>
      <c r="Y1263" s="3041"/>
      <c r="Z1263" s="3041"/>
      <c r="AA1263" s="3041"/>
      <c r="AB1263" s="3041"/>
      <c r="AC1263" s="3041"/>
      <c r="AD1263" s="3041"/>
      <c r="AE1263" s="3041"/>
      <c r="AF1263" s="3041"/>
      <c r="AG1263" s="3041"/>
      <c r="AH1263" s="3041"/>
      <c r="AI1263" s="844"/>
      <c r="AZ1263" s="942"/>
    </row>
    <row r="1264" spans="3:52" ht="27.95" customHeight="1">
      <c r="C1264" s="3252"/>
      <c r="D1264" s="5775" t="s">
        <v>1625</v>
      </c>
      <c r="E1264" s="5775"/>
      <c r="F1264" s="5775"/>
      <c r="G1264" s="5775"/>
      <c r="H1264" s="5775"/>
      <c r="I1264" s="3293">
        <f>DATEVALUE(M947)</f>
        <v>45962</v>
      </c>
      <c r="J1264" s="3252"/>
      <c r="K1264" s="3252"/>
      <c r="L1264" s="3252"/>
      <c r="M1264" s="3252"/>
      <c r="N1264" s="3252"/>
      <c r="O1264" s="3252"/>
      <c r="P1264" s="3252"/>
      <c r="Q1264" s="3252"/>
      <c r="R1264" s="1699"/>
      <c r="AZ1264" s="942"/>
    </row>
    <row r="1265" spans="3:52" ht="27.95" customHeight="1">
      <c r="K1265" s="1484" t="s">
        <v>176</v>
      </c>
      <c r="L1265" s="1484" t="s">
        <v>182</v>
      </c>
      <c r="M1265" s="1484" t="s">
        <v>226</v>
      </c>
      <c r="O1265" s="3036" t="s">
        <v>176</v>
      </c>
      <c r="P1265" s="3036" t="s">
        <v>182</v>
      </c>
      <c r="Q1265" s="3036" t="s">
        <v>226</v>
      </c>
      <c r="R1265" s="1699"/>
      <c r="AZ1265" s="942"/>
    </row>
    <row r="1266" spans="3:52" ht="27.95" customHeight="1">
      <c r="D1266" s="2214" t="s">
        <v>623</v>
      </c>
      <c r="E1266" s="2214">
        <f>DAY(M947)</f>
        <v>1</v>
      </c>
      <c r="F1266" s="2212">
        <f>E1266</f>
        <v>1</v>
      </c>
      <c r="K1266" s="1139">
        <v>1</v>
      </c>
      <c r="L1266" s="3017">
        <v>43101</v>
      </c>
      <c r="M1266" s="3020" t="str">
        <f>IF(L1266&gt;=$E$1288,$F$1288,IF(L1266&gt;=$E$1287,$F$1287,IF(L1266&gt;=$E$1286,$F$1286,IF(L1266&gt;=$E$1285,$F$1285,IF(L1266&gt;=$E$1284,$F$1284,IF(L1266&gt;=$E$1283,$F$1283,IF(L1266&gt;=$E$1282,$F$1282,IF(L1266&gt;=$E$1281,$F$1281,IF(L1266&gt;=$E$1280,$F$1280,"")))))))))</f>
        <v/>
      </c>
      <c r="O1266" s="3020">
        <v>1</v>
      </c>
      <c r="P1266" s="3017">
        <v>45717</v>
      </c>
      <c r="Q1266" s="3020" t="str">
        <f>VLOOKUP(P1266,$L$1266:$M$1363,2)</f>
        <v/>
      </c>
      <c r="R1266" s="1699"/>
      <c r="AZ1266" s="942"/>
    </row>
    <row r="1267" spans="3:52" ht="27.95" customHeight="1">
      <c r="D1267" s="2214" t="s">
        <v>182</v>
      </c>
      <c r="E1267" s="2284">
        <f>I1263</f>
        <v>1</v>
      </c>
      <c r="F1267" s="1688" t="str">
        <f>VLOOKUP(E1267,$C$1308:$D$1319,2)</f>
        <v>Jan</v>
      </c>
      <c r="K1267" s="1139">
        <v>2</v>
      </c>
      <c r="L1267" s="3017">
        <v>43132</v>
      </c>
      <c r="M1267" s="3020" t="str">
        <f t="shared" ref="M1267:M1330" si="318">IF(L1267&gt;=$E$1288,$F$1288,IF(L1267&gt;=$E$1287,$F$1287,IF(L1267&gt;=$E$1286,$F$1286,IF(L1267&gt;=$E$1285,$F$1285,IF(L1267&gt;=$E$1284,$F$1284,IF(L1267&gt;=$E$1283,$F$1283,IF(L1267&gt;=$E$1282,$F$1282,IF(L1267&gt;=$E$1281,$F$1281,IF(L1267&gt;=$E$1280,$F$1280,"")))))))))</f>
        <v/>
      </c>
      <c r="O1267" s="3020">
        <v>2</v>
      </c>
      <c r="P1267" s="3017">
        <v>45748</v>
      </c>
      <c r="Q1267" s="3020" t="str">
        <f t="shared" ref="Q1267:Q1277" si="319">VLOOKUP(P1267,$L$1266:$M$1363,2)</f>
        <v/>
      </c>
      <c r="R1267" s="1699"/>
      <c r="AZ1267" s="942"/>
    </row>
    <row r="1268" spans="3:52" ht="27.95" customHeight="1">
      <c r="D1268" s="2214" t="s">
        <v>309</v>
      </c>
      <c r="E1268" s="2214" t="str">
        <f>RIGHT(YEAR(M947),2)</f>
        <v>25</v>
      </c>
      <c r="F1268" s="2212" t="str">
        <f>E1268</f>
        <v>25</v>
      </c>
      <c r="K1268" s="1139">
        <v>3</v>
      </c>
      <c r="L1268" s="3017">
        <v>43160</v>
      </c>
      <c r="M1268" s="3020" t="str">
        <f t="shared" si="318"/>
        <v/>
      </c>
      <c r="O1268" s="3020">
        <v>3</v>
      </c>
      <c r="P1268" s="3017">
        <v>45778</v>
      </c>
      <c r="Q1268" s="3020" t="str">
        <f t="shared" si="319"/>
        <v/>
      </c>
      <c r="R1268" s="1699"/>
      <c r="AZ1268" s="942"/>
    </row>
    <row r="1269" spans="3:52" ht="27.95" customHeight="1">
      <c r="D1269" s="1468"/>
      <c r="E1269" s="1468"/>
      <c r="F1269" s="1468"/>
      <c r="K1269" s="1139">
        <v>4</v>
      </c>
      <c r="L1269" s="3017">
        <v>43191</v>
      </c>
      <c r="M1269" s="3020" t="str">
        <f t="shared" si="318"/>
        <v/>
      </c>
      <c r="O1269" s="3020">
        <v>4</v>
      </c>
      <c r="P1269" s="3017">
        <v>45809</v>
      </c>
      <c r="Q1269" s="3020" t="str">
        <f t="shared" si="319"/>
        <v/>
      </c>
      <c r="R1269" s="1699"/>
      <c r="AZ1269" s="942"/>
    </row>
    <row r="1270" spans="3:52" ht="27.95" customHeight="1">
      <c r="D1270" s="2215">
        <v>1</v>
      </c>
      <c r="E1270" s="2212" t="str">
        <f>F1267</f>
        <v>Jan</v>
      </c>
      <c r="F1270" s="2215" t="str">
        <f>F1268</f>
        <v>25</v>
      </c>
      <c r="H1270" s="3181">
        <f>DATEVALUE(CONCATENATE(D1270,"-",E1270,"-",F1270))</f>
        <v>45658</v>
      </c>
      <c r="K1270" s="1139">
        <v>5</v>
      </c>
      <c r="L1270" s="3017">
        <v>43221</v>
      </c>
      <c r="M1270" s="3020" t="str">
        <f t="shared" si="318"/>
        <v/>
      </c>
      <c r="O1270" s="3020">
        <v>5</v>
      </c>
      <c r="P1270" s="3017">
        <v>45839</v>
      </c>
      <c r="Q1270" s="3020" t="str">
        <f t="shared" si="319"/>
        <v/>
      </c>
      <c r="R1270" s="1699"/>
      <c r="AZ1270" s="942"/>
    </row>
    <row r="1271" spans="3:52" ht="27.95" customHeight="1">
      <c r="D1271" s="2215">
        <v>1</v>
      </c>
      <c r="E1271" s="2212" t="str">
        <f>E1270</f>
        <v>Jan</v>
      </c>
      <c r="F1271" s="2215">
        <f>F1268+1</f>
        <v>26</v>
      </c>
      <c r="H1271" s="3181">
        <f>DATEVALUE(CONCATENATE(D1271,"-",E1271,"-",F1271))</f>
        <v>46023</v>
      </c>
      <c r="K1271" s="1139">
        <v>6</v>
      </c>
      <c r="L1271" s="3017">
        <v>43252</v>
      </c>
      <c r="M1271" s="3020" t="str">
        <f t="shared" si="318"/>
        <v/>
      </c>
      <c r="O1271" s="3020">
        <v>6</v>
      </c>
      <c r="P1271" s="3017">
        <v>45870</v>
      </c>
      <c r="Q1271" s="3020" t="str">
        <f t="shared" si="319"/>
        <v/>
      </c>
      <c r="R1271" s="1699"/>
      <c r="AZ1271" s="942"/>
    </row>
    <row r="1272" spans="3:52" ht="27.95" customHeight="1">
      <c r="K1272" s="1139">
        <v>7</v>
      </c>
      <c r="L1272" s="3017">
        <v>43282</v>
      </c>
      <c r="M1272" s="3020" t="str">
        <f t="shared" si="318"/>
        <v/>
      </c>
      <c r="O1272" s="3020">
        <v>7</v>
      </c>
      <c r="P1272" s="3017">
        <v>45901</v>
      </c>
      <c r="Q1272" s="3020" t="str">
        <f t="shared" si="319"/>
        <v/>
      </c>
      <c r="R1272" s="1699"/>
      <c r="AZ1272" s="942"/>
    </row>
    <row r="1273" spans="3:52" ht="27.95" customHeight="1">
      <c r="G1273" s="1475"/>
      <c r="H1273" s="3294" t="s">
        <v>1415</v>
      </c>
      <c r="I1273" s="1475"/>
      <c r="J1273" s="1485"/>
      <c r="K1273" s="1139">
        <v>8</v>
      </c>
      <c r="L1273" s="3017">
        <v>43313</v>
      </c>
      <c r="M1273" s="3020" t="str">
        <f t="shared" si="318"/>
        <v/>
      </c>
      <c r="O1273" s="3020">
        <v>8</v>
      </c>
      <c r="P1273" s="3017">
        <v>45931</v>
      </c>
      <c r="Q1273" s="3020" t="str">
        <f t="shared" si="319"/>
        <v/>
      </c>
      <c r="R1273" s="1699"/>
      <c r="AZ1273" s="942"/>
    </row>
    <row r="1274" spans="3:52" ht="27.95" customHeight="1">
      <c r="H1274" s="3033">
        <f>IF(AND(MONTH(H1270)&gt;=MONTH(I1264),YEAR(H1270)&gt;=YEAR(I1264)),H1270,H1271)</f>
        <v>46023</v>
      </c>
      <c r="K1274" s="1139">
        <v>9</v>
      </c>
      <c r="L1274" s="3017">
        <v>43344</v>
      </c>
      <c r="M1274" s="3020" t="str">
        <f t="shared" si="318"/>
        <v/>
      </c>
      <c r="O1274" s="3020">
        <v>9</v>
      </c>
      <c r="P1274" s="3017">
        <v>45962</v>
      </c>
      <c r="Q1274" s="3020">
        <f t="shared" si="319"/>
        <v>107200</v>
      </c>
      <c r="R1274" s="1699"/>
      <c r="AZ1274" s="942"/>
    </row>
    <row r="1275" spans="3:52" ht="27.95" customHeight="1">
      <c r="K1275" s="1139">
        <v>10</v>
      </c>
      <c r="L1275" s="3017">
        <v>43374</v>
      </c>
      <c r="M1275" s="3020" t="str">
        <f t="shared" si="318"/>
        <v/>
      </c>
      <c r="O1275" s="3020">
        <v>10</v>
      </c>
      <c r="P1275" s="3017">
        <v>45992</v>
      </c>
      <c r="Q1275" s="3020">
        <f t="shared" si="319"/>
        <v>107200</v>
      </c>
      <c r="R1275" s="1699"/>
      <c r="AZ1275" s="942"/>
    </row>
    <row r="1276" spans="3:52" ht="27.95" customHeight="1">
      <c r="K1276" s="1139">
        <v>11</v>
      </c>
      <c r="L1276" s="3017">
        <v>43405</v>
      </c>
      <c r="M1276" s="3020" t="str">
        <f t="shared" si="318"/>
        <v/>
      </c>
      <c r="O1276" s="3020">
        <v>11</v>
      </c>
      <c r="P1276" s="3017">
        <v>46023</v>
      </c>
      <c r="Q1276" s="3020">
        <f t="shared" ca="1" si="319"/>
        <v>110400</v>
      </c>
      <c r="R1276" s="1699"/>
      <c r="AZ1276" s="942"/>
    </row>
    <row r="1277" spans="3:52" ht="27.95" customHeight="1">
      <c r="D1277" s="5753" t="str">
        <f>CONCATENATE("Aftrer acqiring Pay Protection under FR-22 (a)(iv) cum Fixation",",","Basic Pays are regulated as followes")</f>
        <v>Aftrer acqiring Pay Protection under FR-22 (a)(iv) cum Fixation,Basic Pays are regulated as followes</v>
      </c>
      <c r="E1277" s="5754"/>
      <c r="F1277" s="5755"/>
      <c r="K1277" s="1139">
        <v>12</v>
      </c>
      <c r="L1277" s="3017">
        <v>43435</v>
      </c>
      <c r="M1277" s="3020" t="str">
        <f t="shared" si="318"/>
        <v/>
      </c>
      <c r="O1277" s="3020">
        <v>12</v>
      </c>
      <c r="P1277" s="3017">
        <v>46054</v>
      </c>
      <c r="Q1277" s="3020">
        <f t="shared" ca="1" si="319"/>
        <v>110400</v>
      </c>
      <c r="R1277" s="1699"/>
      <c r="AZ1277" s="942"/>
    </row>
    <row r="1278" spans="3:52" ht="27.95" customHeight="1">
      <c r="D1278" s="5756"/>
      <c r="E1278" s="5757"/>
      <c r="F1278" s="5758"/>
      <c r="K1278" s="1139">
        <v>13</v>
      </c>
      <c r="L1278" s="3017">
        <v>43466</v>
      </c>
      <c r="M1278" s="3020" t="str">
        <f t="shared" si="318"/>
        <v/>
      </c>
      <c r="R1278" s="1699"/>
      <c r="AZ1278" s="942"/>
    </row>
    <row r="1279" spans="3:52" ht="27.95" customHeight="1">
      <c r="D1279" s="3020" t="s">
        <v>176</v>
      </c>
      <c r="E1279" s="3020" t="s">
        <v>182</v>
      </c>
      <c r="F1279" s="3020" t="s">
        <v>226</v>
      </c>
      <c r="K1279" s="1139">
        <v>14</v>
      </c>
      <c r="L1279" s="3017">
        <v>43497</v>
      </c>
      <c r="M1279" s="3020" t="str">
        <f t="shared" si="318"/>
        <v/>
      </c>
      <c r="R1279" s="1699"/>
      <c r="AZ1279" s="942"/>
    </row>
    <row r="1280" spans="3:52" ht="27.95" customHeight="1">
      <c r="C1280" s="1458">
        <f>MATCH($F$1280,$G$939:$G$978,0)</f>
        <v>11</v>
      </c>
      <c r="D1280" s="3031">
        <v>1</v>
      </c>
      <c r="E1280" s="3032">
        <f>I1264</f>
        <v>45962</v>
      </c>
      <c r="F1280" s="3020">
        <f>J923</f>
        <v>107200</v>
      </c>
      <c r="K1280" s="1139">
        <v>15</v>
      </c>
      <c r="L1280" s="3017">
        <v>43525</v>
      </c>
      <c r="M1280" s="3020" t="str">
        <f t="shared" si="318"/>
        <v/>
      </c>
      <c r="R1280" s="1699"/>
      <c r="AZ1280" s="942"/>
    </row>
    <row r="1281" spans="3:52" ht="27.95" customHeight="1">
      <c r="C1281" s="856">
        <f>IF(E1281="","",C1280+1)</f>
        <v>12</v>
      </c>
      <c r="D1281" s="3031">
        <v>2</v>
      </c>
      <c r="E1281" s="3033">
        <f>H1274</f>
        <v>46023</v>
      </c>
      <c r="F1281" s="3020">
        <f ca="1">IF(C1281="","",LOOKUP(C1281,$F$939:$F$978,$G$939:$G$979))</f>
        <v>110400</v>
      </c>
      <c r="H1281" s="1485" t="str">
        <f>IF(YEAR(E1281)&lt;2026,DATEVALUE(CONCATENATE(MONTH(E1281),"-",YEAR(E1281)+1)),"")</f>
        <v/>
      </c>
      <c r="K1281" s="1139">
        <v>16</v>
      </c>
      <c r="L1281" s="3017">
        <v>43556</v>
      </c>
      <c r="M1281" s="3020" t="str">
        <f t="shared" si="318"/>
        <v/>
      </c>
      <c r="R1281" s="1699"/>
      <c r="AZ1281" s="942"/>
    </row>
    <row r="1282" spans="3:52" ht="27.95" customHeight="1">
      <c r="C1282" s="955" t="str">
        <f t="shared" ref="C1282:C1287" si="320">IF(E1282="","",C1281+1)</f>
        <v/>
      </c>
      <c r="D1282" s="3031">
        <v>3</v>
      </c>
      <c r="E1282" s="3034" t="str">
        <f>IF(ISERROR(H1281)=TRUE,"",H1281)</f>
        <v/>
      </c>
      <c r="F1282" s="3020" t="str">
        <f t="shared" ref="F1282:F1288" si="321">IF(C1282="","",LOOKUP(C1282,$F$939:$F$978,$G$939:$G$979))</f>
        <v/>
      </c>
      <c r="H1282" s="1485" t="e">
        <f t="shared" ref="H1282:H1288" si="322">IF(YEAR(E1282)&lt;2026,DATEVALUE(CONCATENATE(MONTH(E1282),"-",YEAR(E1282)+1)),"")</f>
        <v>#VALUE!</v>
      </c>
      <c r="K1282" s="1139">
        <v>17</v>
      </c>
      <c r="L1282" s="3017">
        <v>43586</v>
      </c>
      <c r="M1282" s="3020" t="str">
        <f t="shared" si="318"/>
        <v/>
      </c>
      <c r="R1282" s="1699"/>
      <c r="AZ1282" s="942"/>
    </row>
    <row r="1283" spans="3:52" ht="27.95" customHeight="1">
      <c r="C1283" s="955" t="str">
        <f t="shared" si="320"/>
        <v/>
      </c>
      <c r="D1283" s="3031">
        <v>4</v>
      </c>
      <c r="E1283" s="3034" t="str">
        <f t="shared" ref="E1283:E1288" si="323">IF(ISERROR(H1282)=TRUE,"",H1282)</f>
        <v/>
      </c>
      <c r="F1283" s="3020" t="str">
        <f t="shared" si="321"/>
        <v/>
      </c>
      <c r="H1283" s="1485" t="e">
        <f t="shared" si="322"/>
        <v>#VALUE!</v>
      </c>
      <c r="K1283" s="1139">
        <v>18</v>
      </c>
      <c r="L1283" s="3017">
        <v>43617</v>
      </c>
      <c r="M1283" s="3020" t="str">
        <f t="shared" si="318"/>
        <v/>
      </c>
      <c r="R1283" s="1699"/>
      <c r="AZ1283" s="942"/>
    </row>
    <row r="1284" spans="3:52" ht="27.95" customHeight="1">
      <c r="C1284" s="955" t="str">
        <f t="shared" si="320"/>
        <v/>
      </c>
      <c r="D1284" s="3031">
        <v>5</v>
      </c>
      <c r="E1284" s="3034" t="str">
        <f t="shared" si="323"/>
        <v/>
      </c>
      <c r="F1284" s="3020" t="str">
        <f t="shared" si="321"/>
        <v/>
      </c>
      <c r="H1284" s="1485" t="e">
        <f t="shared" si="322"/>
        <v>#VALUE!</v>
      </c>
      <c r="K1284" s="1139">
        <v>19</v>
      </c>
      <c r="L1284" s="3017">
        <v>43647</v>
      </c>
      <c r="M1284" s="3020" t="str">
        <f t="shared" si="318"/>
        <v/>
      </c>
      <c r="R1284" s="1699"/>
      <c r="AZ1284" s="942"/>
    </row>
    <row r="1285" spans="3:52" ht="27.95" customHeight="1">
      <c r="C1285" s="955" t="str">
        <f t="shared" si="320"/>
        <v/>
      </c>
      <c r="D1285" s="3031">
        <v>6</v>
      </c>
      <c r="E1285" s="3034" t="str">
        <f t="shared" si="323"/>
        <v/>
      </c>
      <c r="F1285" s="3020" t="str">
        <f t="shared" si="321"/>
        <v/>
      </c>
      <c r="H1285" s="1485" t="e">
        <f t="shared" si="322"/>
        <v>#VALUE!</v>
      </c>
      <c r="K1285" s="1139">
        <v>20</v>
      </c>
      <c r="L1285" s="3017">
        <v>43678</v>
      </c>
      <c r="M1285" s="3020" t="str">
        <f t="shared" si="318"/>
        <v/>
      </c>
      <c r="R1285" s="1699"/>
      <c r="AZ1285" s="942"/>
    </row>
    <row r="1286" spans="3:52" ht="27.95" customHeight="1">
      <c r="C1286" s="955" t="str">
        <f t="shared" si="320"/>
        <v/>
      </c>
      <c r="D1286" s="3031">
        <v>7</v>
      </c>
      <c r="E1286" s="3034" t="str">
        <f t="shared" si="323"/>
        <v/>
      </c>
      <c r="F1286" s="3020" t="str">
        <f t="shared" si="321"/>
        <v/>
      </c>
      <c r="H1286" s="1485" t="e">
        <f t="shared" si="322"/>
        <v>#VALUE!</v>
      </c>
      <c r="K1286" s="1139">
        <v>21</v>
      </c>
      <c r="L1286" s="3017">
        <v>43709</v>
      </c>
      <c r="M1286" s="3020" t="str">
        <f t="shared" si="318"/>
        <v/>
      </c>
      <c r="R1286" s="1699"/>
      <c r="AZ1286" s="942"/>
    </row>
    <row r="1287" spans="3:52" ht="27.95" customHeight="1">
      <c r="C1287" s="955" t="str">
        <f t="shared" si="320"/>
        <v/>
      </c>
      <c r="D1287" s="3031">
        <v>8</v>
      </c>
      <c r="E1287" s="3034" t="str">
        <f t="shared" si="323"/>
        <v/>
      </c>
      <c r="F1287" s="3020" t="str">
        <f t="shared" si="321"/>
        <v/>
      </c>
      <c r="H1287" s="1485" t="e">
        <f t="shared" si="322"/>
        <v>#VALUE!</v>
      </c>
      <c r="K1287" s="1139">
        <v>22</v>
      </c>
      <c r="L1287" s="3017">
        <v>43739</v>
      </c>
      <c r="M1287" s="3020" t="str">
        <f t="shared" si="318"/>
        <v/>
      </c>
      <c r="R1287" s="1699"/>
      <c r="AZ1287" s="942"/>
    </row>
    <row r="1288" spans="3:52" ht="27.95" customHeight="1">
      <c r="D1288" s="3031">
        <v>9</v>
      </c>
      <c r="E1288" s="3034" t="str">
        <f t="shared" si="323"/>
        <v/>
      </c>
      <c r="F1288" s="3020" t="str">
        <f t="shared" si="321"/>
        <v/>
      </c>
      <c r="H1288" s="1485" t="e">
        <f t="shared" si="322"/>
        <v>#VALUE!</v>
      </c>
      <c r="K1288" s="1139">
        <v>23</v>
      </c>
      <c r="L1288" s="3017">
        <v>43770</v>
      </c>
      <c r="M1288" s="3020" t="str">
        <f t="shared" si="318"/>
        <v/>
      </c>
      <c r="R1288" s="1699"/>
      <c r="AZ1288" s="942"/>
    </row>
    <row r="1289" spans="3:52" ht="27.95" customHeight="1">
      <c r="K1289" s="1139">
        <v>24</v>
      </c>
      <c r="L1289" s="3017">
        <v>43800</v>
      </c>
      <c r="M1289" s="3020" t="str">
        <f t="shared" si="318"/>
        <v/>
      </c>
      <c r="R1289" s="1699"/>
      <c r="AZ1289" s="942"/>
    </row>
    <row r="1290" spans="3:52" ht="27.95" customHeight="1">
      <c r="K1290" s="1139">
        <v>25</v>
      </c>
      <c r="L1290" s="3017">
        <v>43831</v>
      </c>
      <c r="M1290" s="3020" t="str">
        <f t="shared" si="318"/>
        <v/>
      </c>
      <c r="R1290" s="1699"/>
      <c r="AZ1290" s="942"/>
    </row>
    <row r="1291" spans="3:52" ht="27.95" customHeight="1">
      <c r="K1291" s="1139">
        <v>26</v>
      </c>
      <c r="L1291" s="3017">
        <v>43862</v>
      </c>
      <c r="M1291" s="3020" t="str">
        <f t="shared" si="318"/>
        <v/>
      </c>
      <c r="R1291" s="1699"/>
      <c r="AZ1291" s="942"/>
    </row>
    <row r="1292" spans="3:52" ht="27.95" customHeight="1">
      <c r="K1292" s="1139">
        <v>27</v>
      </c>
      <c r="L1292" s="3017">
        <v>43891</v>
      </c>
      <c r="M1292" s="3020" t="str">
        <f t="shared" si="318"/>
        <v/>
      </c>
      <c r="R1292" s="1699"/>
      <c r="AZ1292" s="942"/>
    </row>
    <row r="1293" spans="3:52" ht="27.95" customHeight="1">
      <c r="K1293" s="1139">
        <v>28</v>
      </c>
      <c r="L1293" s="3017">
        <v>43922</v>
      </c>
      <c r="M1293" s="3020" t="str">
        <f t="shared" si="318"/>
        <v/>
      </c>
      <c r="R1293" s="1699"/>
      <c r="AZ1293" s="942"/>
    </row>
    <row r="1294" spans="3:52" ht="27.95" customHeight="1">
      <c r="K1294" s="1139">
        <v>29</v>
      </c>
      <c r="L1294" s="3017">
        <v>43952</v>
      </c>
      <c r="M1294" s="3020" t="str">
        <f t="shared" si="318"/>
        <v/>
      </c>
      <c r="R1294" s="1699"/>
      <c r="AZ1294" s="942"/>
    </row>
    <row r="1295" spans="3:52" ht="27.95" customHeight="1">
      <c r="K1295" s="1139">
        <v>30</v>
      </c>
      <c r="L1295" s="3017">
        <v>43983</v>
      </c>
      <c r="M1295" s="3020" t="str">
        <f t="shared" si="318"/>
        <v/>
      </c>
      <c r="R1295" s="1699"/>
      <c r="AZ1295" s="942"/>
    </row>
    <row r="1296" spans="3:52" ht="27.95" customHeight="1">
      <c r="K1296" s="1139">
        <v>31</v>
      </c>
      <c r="L1296" s="3017">
        <v>44013</v>
      </c>
      <c r="M1296" s="3020" t="str">
        <f t="shared" si="318"/>
        <v/>
      </c>
      <c r="R1296" s="1699"/>
      <c r="AZ1296" s="942"/>
    </row>
    <row r="1297" spans="3:52" ht="27.95" customHeight="1">
      <c r="K1297" s="1139">
        <v>32</v>
      </c>
      <c r="L1297" s="3017">
        <v>44044</v>
      </c>
      <c r="M1297" s="3020" t="str">
        <f t="shared" si="318"/>
        <v/>
      </c>
      <c r="R1297" s="1699"/>
      <c r="AZ1297" s="942"/>
    </row>
    <row r="1298" spans="3:52" ht="27.95" customHeight="1">
      <c r="K1298" s="1139">
        <v>33</v>
      </c>
      <c r="L1298" s="3017">
        <v>44075</v>
      </c>
      <c r="M1298" s="3020" t="str">
        <f t="shared" si="318"/>
        <v/>
      </c>
      <c r="R1298" s="1699"/>
      <c r="AZ1298" s="942"/>
    </row>
    <row r="1299" spans="3:52" ht="27.95" customHeight="1">
      <c r="K1299" s="1139">
        <v>34</v>
      </c>
      <c r="L1299" s="3017">
        <v>44105</v>
      </c>
      <c r="M1299" s="3020" t="str">
        <f t="shared" si="318"/>
        <v/>
      </c>
      <c r="R1299" s="1699"/>
      <c r="AZ1299" s="942"/>
    </row>
    <row r="1300" spans="3:52" ht="27.95" customHeight="1">
      <c r="K1300" s="1139">
        <v>35</v>
      </c>
      <c r="L1300" s="3017">
        <v>44136</v>
      </c>
      <c r="M1300" s="3020" t="str">
        <f t="shared" si="318"/>
        <v/>
      </c>
      <c r="R1300" s="1699"/>
      <c r="AZ1300" s="942"/>
    </row>
    <row r="1301" spans="3:52" ht="27.95" customHeight="1">
      <c r="K1301" s="1139">
        <v>36</v>
      </c>
      <c r="L1301" s="3017">
        <v>44166</v>
      </c>
      <c r="M1301" s="3020" t="str">
        <f t="shared" si="318"/>
        <v/>
      </c>
      <c r="R1301" s="1699"/>
      <c r="AZ1301" s="942"/>
    </row>
    <row r="1302" spans="3:52" ht="27.95" customHeight="1">
      <c r="K1302" s="1139">
        <v>37</v>
      </c>
      <c r="L1302" s="3017">
        <v>44197</v>
      </c>
      <c r="M1302" s="3020" t="str">
        <f t="shared" si="318"/>
        <v/>
      </c>
      <c r="R1302" s="1699"/>
      <c r="AZ1302" s="942"/>
    </row>
    <row r="1303" spans="3:52" ht="27.95" customHeight="1">
      <c r="K1303" s="1139">
        <v>38</v>
      </c>
      <c r="L1303" s="3017">
        <v>44228</v>
      </c>
      <c r="M1303" s="3020" t="str">
        <f t="shared" si="318"/>
        <v/>
      </c>
      <c r="R1303" s="1699"/>
      <c r="AZ1303" s="942"/>
    </row>
    <row r="1304" spans="3:52" ht="27.95" customHeight="1">
      <c r="K1304" s="1139">
        <v>39</v>
      </c>
      <c r="L1304" s="3017">
        <v>44256</v>
      </c>
      <c r="M1304" s="3020" t="str">
        <f t="shared" si="318"/>
        <v/>
      </c>
      <c r="R1304" s="1699"/>
      <c r="AZ1304" s="942"/>
    </row>
    <row r="1305" spans="3:52" ht="27.95" customHeight="1">
      <c r="K1305" s="1139">
        <v>40</v>
      </c>
      <c r="L1305" s="3017">
        <v>44287</v>
      </c>
      <c r="M1305" s="3020" t="str">
        <f t="shared" si="318"/>
        <v/>
      </c>
      <c r="R1305" s="1699"/>
      <c r="AZ1305" s="942"/>
    </row>
    <row r="1306" spans="3:52" ht="27.95" customHeight="1">
      <c r="K1306" s="1139">
        <v>41</v>
      </c>
      <c r="L1306" s="3017">
        <v>44317</v>
      </c>
      <c r="M1306" s="3020" t="str">
        <f t="shared" si="318"/>
        <v/>
      </c>
      <c r="R1306" s="1699"/>
      <c r="AZ1306" s="942"/>
    </row>
    <row r="1307" spans="3:52" ht="27.95" customHeight="1">
      <c r="C1307" s="2894"/>
      <c r="D1307" s="2894"/>
      <c r="K1307" s="1139">
        <v>42</v>
      </c>
      <c r="L1307" s="3017">
        <v>44348</v>
      </c>
      <c r="M1307" s="3020" t="str">
        <f t="shared" si="318"/>
        <v/>
      </c>
      <c r="R1307" s="1699"/>
      <c r="AZ1307" s="942"/>
    </row>
    <row r="1308" spans="3:52" ht="27.95" customHeight="1">
      <c r="C1308" s="855">
        <v>1</v>
      </c>
      <c r="D1308" s="2316" t="s">
        <v>445</v>
      </c>
      <c r="K1308" s="1139">
        <v>43</v>
      </c>
      <c r="L1308" s="3017">
        <v>44378</v>
      </c>
      <c r="M1308" s="3020" t="str">
        <f t="shared" si="318"/>
        <v/>
      </c>
      <c r="R1308" s="1699"/>
      <c r="AZ1308" s="942"/>
    </row>
    <row r="1309" spans="3:52" ht="27.95" customHeight="1">
      <c r="C1309" s="855">
        <v>2</v>
      </c>
      <c r="D1309" s="2316" t="s">
        <v>447</v>
      </c>
      <c r="K1309" s="1139">
        <v>44</v>
      </c>
      <c r="L1309" s="3017">
        <v>44409</v>
      </c>
      <c r="M1309" s="3020" t="str">
        <f t="shared" si="318"/>
        <v/>
      </c>
      <c r="R1309" s="1699"/>
      <c r="AZ1309" s="942"/>
    </row>
    <row r="1310" spans="3:52" ht="27.95" customHeight="1">
      <c r="C1310" s="855">
        <v>3</v>
      </c>
      <c r="D1310" s="2316" t="s">
        <v>449</v>
      </c>
      <c r="K1310" s="1139">
        <v>45</v>
      </c>
      <c r="L1310" s="3017">
        <v>44440</v>
      </c>
      <c r="M1310" s="3020" t="str">
        <f t="shared" si="318"/>
        <v/>
      </c>
      <c r="R1310" s="1699"/>
      <c r="AZ1310" s="942"/>
    </row>
    <row r="1311" spans="3:52" ht="27.95" customHeight="1">
      <c r="C1311" s="855">
        <v>4</v>
      </c>
      <c r="D1311" s="2316" t="s">
        <v>451</v>
      </c>
      <c r="K1311" s="1139">
        <v>46</v>
      </c>
      <c r="L1311" s="3017">
        <v>44470</v>
      </c>
      <c r="M1311" s="3020" t="str">
        <f t="shared" si="318"/>
        <v/>
      </c>
      <c r="R1311" s="1699"/>
      <c r="AZ1311" s="942"/>
    </row>
    <row r="1312" spans="3:52" ht="27.95" customHeight="1">
      <c r="C1312" s="855">
        <v>5</v>
      </c>
      <c r="D1312" s="2316" t="s">
        <v>181</v>
      </c>
      <c r="K1312" s="1139">
        <v>47</v>
      </c>
      <c r="L1312" s="3017">
        <v>44501</v>
      </c>
      <c r="M1312" s="3020" t="str">
        <f t="shared" si="318"/>
        <v/>
      </c>
      <c r="R1312" s="1699"/>
      <c r="AZ1312" s="942"/>
    </row>
    <row r="1313" spans="3:52" ht="27.95" customHeight="1">
      <c r="C1313" s="855">
        <v>6</v>
      </c>
      <c r="D1313" s="2316" t="s">
        <v>454</v>
      </c>
      <c r="K1313" s="1139">
        <v>48</v>
      </c>
      <c r="L1313" s="3017">
        <v>44531</v>
      </c>
      <c r="M1313" s="3020" t="str">
        <f t="shared" si="318"/>
        <v/>
      </c>
      <c r="R1313" s="1699"/>
      <c r="AZ1313" s="942"/>
    </row>
    <row r="1314" spans="3:52" ht="27.95" customHeight="1">
      <c r="C1314" s="855">
        <v>7</v>
      </c>
      <c r="D1314" s="2316" t="s">
        <v>456</v>
      </c>
      <c r="K1314" s="1139">
        <v>49</v>
      </c>
      <c r="L1314" s="3017">
        <v>44562</v>
      </c>
      <c r="M1314" s="3020" t="str">
        <f t="shared" si="318"/>
        <v/>
      </c>
      <c r="R1314" s="1699"/>
      <c r="AZ1314" s="942"/>
    </row>
    <row r="1315" spans="3:52" ht="27.95" customHeight="1">
      <c r="C1315" s="855">
        <v>8</v>
      </c>
      <c r="D1315" s="2316" t="s">
        <v>458</v>
      </c>
      <c r="K1315" s="1139">
        <v>50</v>
      </c>
      <c r="L1315" s="3017">
        <v>44593</v>
      </c>
      <c r="M1315" s="3020" t="str">
        <f t="shared" si="318"/>
        <v/>
      </c>
      <c r="R1315" s="1699"/>
      <c r="AZ1315" s="942"/>
    </row>
    <row r="1316" spans="3:52" ht="27.95" customHeight="1">
      <c r="C1316" s="855">
        <v>9</v>
      </c>
      <c r="D1316" s="2316" t="s">
        <v>460</v>
      </c>
      <c r="K1316" s="1139">
        <v>51</v>
      </c>
      <c r="L1316" s="3017">
        <v>44621</v>
      </c>
      <c r="M1316" s="3020" t="str">
        <f t="shared" si="318"/>
        <v/>
      </c>
      <c r="R1316" s="1699"/>
      <c r="AZ1316" s="942"/>
    </row>
    <row r="1317" spans="3:52" ht="27.95" customHeight="1">
      <c r="C1317" s="855">
        <v>10</v>
      </c>
      <c r="D1317" s="2316" t="s">
        <v>463</v>
      </c>
      <c r="K1317" s="1139">
        <v>52</v>
      </c>
      <c r="L1317" s="3017">
        <v>44652</v>
      </c>
      <c r="M1317" s="3020" t="str">
        <f t="shared" si="318"/>
        <v/>
      </c>
      <c r="R1317" s="1699"/>
      <c r="AZ1317" s="942"/>
    </row>
    <row r="1318" spans="3:52" ht="27.95" customHeight="1">
      <c r="C1318" s="855">
        <v>11</v>
      </c>
      <c r="D1318" s="2316" t="s">
        <v>464</v>
      </c>
      <c r="K1318" s="1139">
        <v>53</v>
      </c>
      <c r="L1318" s="3017">
        <v>44682</v>
      </c>
      <c r="M1318" s="3020" t="str">
        <f t="shared" si="318"/>
        <v/>
      </c>
      <c r="R1318" s="1699"/>
      <c r="AZ1318" s="942"/>
    </row>
    <row r="1319" spans="3:52" ht="27.95" customHeight="1">
      <c r="C1319" s="855">
        <v>12</v>
      </c>
      <c r="D1319" s="2316" t="s">
        <v>467</v>
      </c>
      <c r="K1319" s="1139">
        <v>54</v>
      </c>
      <c r="L1319" s="3017">
        <v>44713</v>
      </c>
      <c r="M1319" s="3020" t="str">
        <f t="shared" si="318"/>
        <v/>
      </c>
      <c r="R1319" s="1699"/>
      <c r="AZ1319" s="942"/>
    </row>
    <row r="1320" spans="3:52" ht="27.95" customHeight="1">
      <c r="K1320" s="1139">
        <v>55</v>
      </c>
      <c r="L1320" s="3017">
        <v>44743</v>
      </c>
      <c r="M1320" s="3020" t="str">
        <f t="shared" si="318"/>
        <v/>
      </c>
      <c r="R1320" s="1699"/>
      <c r="AZ1320" s="942"/>
    </row>
    <row r="1321" spans="3:52" ht="27.95" customHeight="1">
      <c r="K1321" s="1139">
        <v>56</v>
      </c>
      <c r="L1321" s="3017">
        <v>44774</v>
      </c>
      <c r="M1321" s="3020" t="str">
        <f t="shared" si="318"/>
        <v/>
      </c>
      <c r="R1321" s="1699"/>
      <c r="AZ1321" s="942"/>
    </row>
    <row r="1322" spans="3:52" ht="27.95" customHeight="1">
      <c r="K1322" s="1139">
        <v>57</v>
      </c>
      <c r="L1322" s="3017">
        <v>44805</v>
      </c>
      <c r="M1322" s="3020" t="str">
        <f t="shared" si="318"/>
        <v/>
      </c>
      <c r="R1322" s="1699"/>
      <c r="AZ1322" s="942"/>
    </row>
    <row r="1323" spans="3:52" ht="27.95" customHeight="1">
      <c r="K1323" s="1139">
        <v>58</v>
      </c>
      <c r="L1323" s="3017">
        <v>44835</v>
      </c>
      <c r="M1323" s="3020" t="str">
        <f t="shared" si="318"/>
        <v/>
      </c>
      <c r="R1323" s="1699"/>
      <c r="AZ1323" s="942"/>
    </row>
    <row r="1324" spans="3:52" ht="27.95" customHeight="1">
      <c r="K1324" s="1139">
        <v>59</v>
      </c>
      <c r="L1324" s="3017">
        <v>44866</v>
      </c>
      <c r="M1324" s="3020" t="str">
        <f t="shared" si="318"/>
        <v/>
      </c>
      <c r="R1324" s="1699"/>
      <c r="AZ1324" s="942"/>
    </row>
    <row r="1325" spans="3:52" ht="27.95" customHeight="1">
      <c r="K1325" s="1139">
        <v>60</v>
      </c>
      <c r="L1325" s="3017">
        <v>44896</v>
      </c>
      <c r="M1325" s="3020" t="str">
        <f t="shared" si="318"/>
        <v/>
      </c>
      <c r="R1325" s="1699"/>
      <c r="AZ1325" s="942"/>
    </row>
    <row r="1326" spans="3:52" ht="27.95" customHeight="1">
      <c r="K1326" s="1139">
        <v>61</v>
      </c>
      <c r="L1326" s="3017">
        <v>44927</v>
      </c>
      <c r="M1326" s="3020" t="str">
        <f t="shared" si="318"/>
        <v/>
      </c>
      <c r="R1326" s="1699"/>
      <c r="AZ1326" s="942"/>
    </row>
    <row r="1327" spans="3:52" ht="27.95" customHeight="1">
      <c r="K1327" s="1139">
        <v>62</v>
      </c>
      <c r="L1327" s="3017">
        <v>44958</v>
      </c>
      <c r="M1327" s="3020" t="str">
        <f t="shared" si="318"/>
        <v/>
      </c>
      <c r="R1327" s="1699"/>
      <c r="AZ1327" s="942"/>
    </row>
    <row r="1328" spans="3:52" ht="27.95" customHeight="1">
      <c r="K1328" s="1139">
        <v>63</v>
      </c>
      <c r="L1328" s="3017">
        <v>44986</v>
      </c>
      <c r="M1328" s="3020" t="str">
        <f t="shared" si="318"/>
        <v/>
      </c>
      <c r="R1328" s="1699"/>
      <c r="AZ1328" s="942"/>
    </row>
    <row r="1329" spans="11:52" ht="27.95" customHeight="1">
      <c r="K1329" s="1139">
        <v>64</v>
      </c>
      <c r="L1329" s="3017">
        <v>45017</v>
      </c>
      <c r="M1329" s="3020" t="str">
        <f t="shared" si="318"/>
        <v/>
      </c>
      <c r="R1329" s="1699"/>
      <c r="AZ1329" s="942"/>
    </row>
    <row r="1330" spans="11:52" ht="27.95" customHeight="1">
      <c r="K1330" s="1139">
        <v>65</v>
      </c>
      <c r="L1330" s="3017">
        <v>45047</v>
      </c>
      <c r="M1330" s="3020" t="str">
        <f t="shared" si="318"/>
        <v/>
      </c>
      <c r="R1330" s="1699"/>
      <c r="AZ1330" s="942"/>
    </row>
    <row r="1331" spans="11:52" ht="27.95" customHeight="1">
      <c r="K1331" s="1139">
        <v>66</v>
      </c>
      <c r="L1331" s="3017">
        <v>45078</v>
      </c>
      <c r="M1331" s="3020" t="str">
        <f t="shared" ref="M1331:M1363" si="324">IF(L1331&gt;=$E$1288,$F$1288,IF(L1331&gt;=$E$1287,$F$1287,IF(L1331&gt;=$E$1286,$F$1286,IF(L1331&gt;=$E$1285,$F$1285,IF(L1331&gt;=$E$1284,$F$1284,IF(L1331&gt;=$E$1283,$F$1283,IF(L1331&gt;=$E$1282,$F$1282,IF(L1331&gt;=$E$1281,$F$1281,IF(L1331&gt;=$E$1280,$F$1280,"")))))))))</f>
        <v/>
      </c>
      <c r="R1331" s="1699"/>
      <c r="AZ1331" s="942"/>
    </row>
    <row r="1332" spans="11:52" ht="27.95" customHeight="1">
      <c r="K1332" s="1139">
        <v>67</v>
      </c>
      <c r="L1332" s="3017">
        <v>45108</v>
      </c>
      <c r="M1332" s="3020" t="str">
        <f t="shared" si="324"/>
        <v/>
      </c>
      <c r="R1332" s="1699"/>
      <c r="AZ1332" s="942"/>
    </row>
    <row r="1333" spans="11:52" ht="27.95" customHeight="1">
      <c r="K1333" s="1139">
        <v>68</v>
      </c>
      <c r="L1333" s="3017">
        <v>45139</v>
      </c>
      <c r="M1333" s="3020" t="str">
        <f t="shared" si="324"/>
        <v/>
      </c>
      <c r="R1333" s="1699"/>
      <c r="AZ1333" s="942"/>
    </row>
    <row r="1334" spans="11:52" ht="27.95" customHeight="1">
      <c r="K1334" s="1139">
        <v>69</v>
      </c>
      <c r="L1334" s="3017">
        <v>45170</v>
      </c>
      <c r="M1334" s="3020" t="str">
        <f t="shared" si="324"/>
        <v/>
      </c>
      <c r="R1334" s="1699"/>
      <c r="AZ1334" s="942"/>
    </row>
    <row r="1335" spans="11:52" ht="27.95" customHeight="1">
      <c r="K1335" s="1139">
        <v>70</v>
      </c>
      <c r="L1335" s="3017">
        <v>45200</v>
      </c>
      <c r="M1335" s="3020" t="str">
        <f t="shared" si="324"/>
        <v/>
      </c>
      <c r="R1335" s="1699"/>
      <c r="AZ1335" s="942"/>
    </row>
    <row r="1336" spans="11:52" ht="27.95" customHeight="1">
      <c r="K1336" s="1139">
        <v>71</v>
      </c>
      <c r="L1336" s="3017">
        <v>45231</v>
      </c>
      <c r="M1336" s="3020" t="str">
        <f t="shared" si="324"/>
        <v/>
      </c>
      <c r="R1336" s="1699"/>
      <c r="AZ1336" s="942"/>
    </row>
    <row r="1337" spans="11:52" ht="27.95" customHeight="1">
      <c r="K1337" s="1139">
        <v>72</v>
      </c>
      <c r="L1337" s="3017">
        <v>45261</v>
      </c>
      <c r="M1337" s="3020" t="str">
        <f t="shared" si="324"/>
        <v/>
      </c>
      <c r="R1337" s="1699"/>
      <c r="AZ1337" s="942"/>
    </row>
    <row r="1338" spans="11:52" ht="27.95" customHeight="1">
      <c r="K1338" s="1139">
        <v>73</v>
      </c>
      <c r="L1338" s="3017">
        <v>45292</v>
      </c>
      <c r="M1338" s="3020" t="str">
        <f t="shared" si="324"/>
        <v/>
      </c>
      <c r="R1338" s="1699"/>
      <c r="AZ1338" s="942"/>
    </row>
    <row r="1339" spans="11:52" ht="27.95" customHeight="1">
      <c r="K1339" s="1139">
        <v>74</v>
      </c>
      <c r="L1339" s="3017">
        <v>45323</v>
      </c>
      <c r="M1339" s="3020" t="str">
        <f t="shared" si="324"/>
        <v/>
      </c>
      <c r="R1339" s="1699"/>
      <c r="AZ1339" s="942"/>
    </row>
    <row r="1340" spans="11:52" ht="27.95" customHeight="1">
      <c r="K1340" s="1139">
        <v>75</v>
      </c>
      <c r="L1340" s="3017">
        <v>45352</v>
      </c>
      <c r="M1340" s="3020" t="str">
        <f t="shared" si="324"/>
        <v/>
      </c>
      <c r="R1340" s="1699"/>
      <c r="AZ1340" s="942"/>
    </row>
    <row r="1341" spans="11:52" ht="27.95" customHeight="1">
      <c r="K1341" s="1139">
        <v>76</v>
      </c>
      <c r="L1341" s="3017">
        <v>45383</v>
      </c>
      <c r="M1341" s="3020" t="str">
        <f t="shared" si="324"/>
        <v/>
      </c>
      <c r="R1341" s="1699"/>
      <c r="AZ1341" s="942"/>
    </row>
    <row r="1342" spans="11:52" ht="27.95" customHeight="1">
      <c r="K1342" s="1139">
        <v>77</v>
      </c>
      <c r="L1342" s="3017">
        <v>45413</v>
      </c>
      <c r="M1342" s="3020" t="str">
        <f t="shared" si="324"/>
        <v/>
      </c>
      <c r="R1342" s="1699"/>
      <c r="AZ1342" s="942"/>
    </row>
    <row r="1343" spans="11:52" ht="27.95" customHeight="1">
      <c r="K1343" s="1139">
        <v>78</v>
      </c>
      <c r="L1343" s="3017">
        <v>45444</v>
      </c>
      <c r="M1343" s="3020" t="str">
        <f t="shared" si="324"/>
        <v/>
      </c>
      <c r="R1343" s="1699"/>
      <c r="AZ1343" s="942"/>
    </row>
    <row r="1344" spans="11:52" ht="27.95" customHeight="1">
      <c r="K1344" s="1139">
        <v>79</v>
      </c>
      <c r="L1344" s="3017">
        <v>45474</v>
      </c>
      <c r="M1344" s="3020" t="str">
        <f t="shared" si="324"/>
        <v/>
      </c>
      <c r="R1344" s="1699"/>
      <c r="AZ1344" s="942"/>
    </row>
    <row r="1345" spans="11:52" ht="27.95" customHeight="1">
      <c r="K1345" s="1139">
        <v>80</v>
      </c>
      <c r="L1345" s="3017">
        <v>45505</v>
      </c>
      <c r="M1345" s="3020" t="str">
        <f t="shared" si="324"/>
        <v/>
      </c>
      <c r="R1345" s="1699"/>
      <c r="AZ1345" s="942"/>
    </row>
    <row r="1346" spans="11:52" ht="27.95" customHeight="1">
      <c r="K1346" s="1139">
        <v>81</v>
      </c>
      <c r="L1346" s="3017">
        <v>45536</v>
      </c>
      <c r="M1346" s="3020" t="str">
        <f t="shared" si="324"/>
        <v/>
      </c>
      <c r="R1346" s="1699"/>
      <c r="AZ1346" s="942"/>
    </row>
    <row r="1347" spans="11:52" ht="27.95" customHeight="1">
      <c r="K1347" s="1139">
        <v>82</v>
      </c>
      <c r="L1347" s="3017">
        <v>45566</v>
      </c>
      <c r="M1347" s="3020" t="str">
        <f t="shared" si="324"/>
        <v/>
      </c>
      <c r="R1347" s="1699"/>
      <c r="AZ1347" s="942"/>
    </row>
    <row r="1348" spans="11:52" ht="27.95" customHeight="1">
      <c r="K1348" s="1139">
        <v>83</v>
      </c>
      <c r="L1348" s="3017">
        <v>45597</v>
      </c>
      <c r="M1348" s="3020" t="str">
        <f t="shared" si="324"/>
        <v/>
      </c>
      <c r="R1348" s="1699"/>
      <c r="AZ1348" s="942"/>
    </row>
    <row r="1349" spans="11:52" ht="27.95" customHeight="1">
      <c r="K1349" s="1139">
        <v>84</v>
      </c>
      <c r="L1349" s="3017">
        <v>45627</v>
      </c>
      <c r="M1349" s="3020" t="str">
        <f t="shared" si="324"/>
        <v/>
      </c>
      <c r="R1349" s="1699"/>
      <c r="AZ1349" s="942"/>
    </row>
    <row r="1350" spans="11:52" ht="27.95" customHeight="1">
      <c r="K1350" s="1139">
        <v>85</v>
      </c>
      <c r="L1350" s="3017">
        <v>45658</v>
      </c>
      <c r="M1350" s="3020" t="str">
        <f t="shared" si="324"/>
        <v/>
      </c>
      <c r="R1350" s="1699"/>
      <c r="AZ1350" s="942"/>
    </row>
    <row r="1351" spans="11:52" ht="27.95" customHeight="1">
      <c r="K1351" s="1139">
        <v>86</v>
      </c>
      <c r="L1351" s="3017">
        <v>45689</v>
      </c>
      <c r="M1351" s="3020" t="str">
        <f t="shared" si="324"/>
        <v/>
      </c>
      <c r="R1351" s="1699"/>
      <c r="AZ1351" s="942"/>
    </row>
    <row r="1352" spans="11:52" ht="27.95" customHeight="1">
      <c r="K1352" s="1139">
        <v>87</v>
      </c>
      <c r="L1352" s="3017">
        <v>45717</v>
      </c>
      <c r="M1352" s="3020" t="str">
        <f t="shared" si="324"/>
        <v/>
      </c>
      <c r="R1352" s="1699"/>
      <c r="AZ1352" s="942"/>
    </row>
    <row r="1353" spans="11:52" ht="27.95" customHeight="1">
      <c r="K1353" s="1139">
        <v>88</v>
      </c>
      <c r="L1353" s="3017">
        <v>45748</v>
      </c>
      <c r="M1353" s="3020" t="str">
        <f t="shared" si="324"/>
        <v/>
      </c>
      <c r="R1353" s="1699"/>
      <c r="AZ1353" s="942"/>
    </row>
    <row r="1354" spans="11:52" ht="27.95" customHeight="1">
      <c r="K1354" s="1139">
        <v>89</v>
      </c>
      <c r="L1354" s="3017">
        <v>45778</v>
      </c>
      <c r="M1354" s="3020" t="str">
        <f t="shared" si="324"/>
        <v/>
      </c>
      <c r="R1354" s="1699"/>
      <c r="AZ1354" s="942"/>
    </row>
    <row r="1355" spans="11:52" ht="27.95" customHeight="1">
      <c r="K1355" s="1139">
        <v>90</v>
      </c>
      <c r="L1355" s="3017">
        <v>45809</v>
      </c>
      <c r="M1355" s="3020" t="str">
        <f t="shared" si="324"/>
        <v/>
      </c>
      <c r="R1355" s="1699"/>
      <c r="AZ1355" s="942"/>
    </row>
    <row r="1356" spans="11:52" ht="27.95" customHeight="1">
      <c r="K1356" s="1139">
        <v>91</v>
      </c>
      <c r="L1356" s="3017">
        <v>45839</v>
      </c>
      <c r="M1356" s="3020" t="str">
        <f t="shared" si="324"/>
        <v/>
      </c>
      <c r="R1356" s="1699"/>
      <c r="AZ1356" s="942"/>
    </row>
    <row r="1357" spans="11:52" ht="27.95" customHeight="1">
      <c r="K1357" s="1139">
        <v>92</v>
      </c>
      <c r="L1357" s="3017">
        <v>45870</v>
      </c>
      <c r="M1357" s="3020" t="str">
        <f t="shared" si="324"/>
        <v/>
      </c>
      <c r="R1357" s="1699"/>
      <c r="AZ1357" s="942"/>
    </row>
    <row r="1358" spans="11:52" ht="27.95" customHeight="1">
      <c r="K1358" s="1139">
        <v>93</v>
      </c>
      <c r="L1358" s="3017">
        <v>45901</v>
      </c>
      <c r="M1358" s="3020" t="str">
        <f t="shared" si="324"/>
        <v/>
      </c>
      <c r="R1358" s="1699"/>
      <c r="AZ1358" s="942"/>
    </row>
    <row r="1359" spans="11:52" ht="27.95" customHeight="1">
      <c r="K1359" s="1139">
        <v>94</v>
      </c>
      <c r="L1359" s="3017">
        <v>45931</v>
      </c>
      <c r="M1359" s="3020" t="str">
        <f t="shared" si="324"/>
        <v/>
      </c>
      <c r="R1359" s="1699"/>
      <c r="AZ1359" s="942"/>
    </row>
    <row r="1360" spans="11:52" ht="27.95" customHeight="1">
      <c r="K1360" s="1139">
        <v>95</v>
      </c>
      <c r="L1360" s="3017">
        <v>45962</v>
      </c>
      <c r="M1360" s="3020">
        <f t="shared" si="324"/>
        <v>107200</v>
      </c>
      <c r="R1360" s="1699"/>
      <c r="AZ1360" s="942"/>
    </row>
    <row r="1361" spans="3:232" ht="27.95" customHeight="1">
      <c r="K1361" s="1139">
        <v>96</v>
      </c>
      <c r="L1361" s="3017">
        <v>45992</v>
      </c>
      <c r="M1361" s="3020">
        <f t="shared" si="324"/>
        <v>107200</v>
      </c>
      <c r="R1361" s="1699"/>
      <c r="AZ1361" s="942"/>
    </row>
    <row r="1362" spans="3:232" ht="27.95" customHeight="1">
      <c r="K1362" s="1139">
        <v>97</v>
      </c>
      <c r="L1362" s="3017">
        <v>46023</v>
      </c>
      <c r="M1362" s="3020">
        <f t="shared" ca="1" si="324"/>
        <v>110400</v>
      </c>
      <c r="R1362" s="1699"/>
      <c r="AZ1362" s="942"/>
    </row>
    <row r="1363" spans="3:232" ht="27.95" customHeight="1">
      <c r="K1363" s="1139">
        <v>98</v>
      </c>
      <c r="L1363" s="3017">
        <v>46054</v>
      </c>
      <c r="M1363" s="3020">
        <f t="shared" ca="1" si="324"/>
        <v>110400</v>
      </c>
      <c r="R1363" s="1699"/>
      <c r="AZ1363" s="942"/>
    </row>
    <row r="1364" spans="3:232" ht="27.95" customHeight="1">
      <c r="R1364" s="1699"/>
      <c r="AZ1364" s="942"/>
    </row>
    <row r="1365" spans="3:232" ht="27.95" customHeight="1">
      <c r="R1365" s="1699"/>
      <c r="AZ1365" s="942"/>
    </row>
    <row r="1366" spans="3:232" ht="27.95" customHeight="1">
      <c r="R1366" s="1699"/>
      <c r="AZ1366" s="942"/>
    </row>
    <row r="1367" spans="3:232" ht="27.95" customHeight="1">
      <c r="R1367" s="1699"/>
      <c r="AZ1367" s="942"/>
    </row>
    <row r="1368" spans="3:232" ht="27.95" customHeight="1">
      <c r="C1368" s="3021"/>
      <c r="D1368" s="3021"/>
      <c r="E1368" s="3021"/>
      <c r="F1368" s="3021"/>
      <c r="G1368" s="3021"/>
      <c r="H1368" s="3021"/>
      <c r="I1368" s="3021"/>
      <c r="J1368" s="3021"/>
      <c r="K1368" s="3021"/>
      <c r="L1368" s="3021"/>
      <c r="M1368" s="3021"/>
      <c r="N1368" s="3021"/>
      <c r="O1368" s="3021"/>
      <c r="P1368" s="3021"/>
      <c r="Q1368" s="3021"/>
      <c r="R1368" s="3021"/>
      <c r="S1368" s="3021"/>
      <c r="T1368" s="3021"/>
      <c r="U1368" s="3021"/>
      <c r="V1368" s="3021"/>
      <c r="W1368" s="3021"/>
      <c r="X1368" s="3021"/>
      <c r="Y1368" s="3021"/>
      <c r="Z1368" s="3021"/>
      <c r="AA1368" s="3021"/>
      <c r="AB1368" s="3021"/>
      <c r="AC1368" s="3021"/>
      <c r="AD1368" s="3021"/>
      <c r="AE1368" s="3021"/>
      <c r="AF1368" s="3021"/>
      <c r="AG1368" s="3021"/>
      <c r="AH1368" s="3021"/>
      <c r="AI1368" s="3021"/>
      <c r="AJ1368" s="3021"/>
      <c r="AK1368" s="3021"/>
      <c r="AL1368" s="3021"/>
      <c r="AM1368" s="3021"/>
      <c r="AN1368" s="3021"/>
      <c r="AO1368" s="3021"/>
      <c r="AP1368" s="3021"/>
      <c r="AQ1368" s="3021"/>
      <c r="AR1368" s="3021"/>
      <c r="AS1368" s="3021"/>
      <c r="AT1368" s="3021"/>
      <c r="AU1368" s="3021"/>
      <c r="AV1368" s="3021"/>
      <c r="AW1368" s="3021"/>
      <c r="AX1368" s="3021"/>
      <c r="AY1368" s="3021"/>
      <c r="AZ1368" s="3021"/>
      <c r="BA1368" s="3021"/>
      <c r="BB1368" s="3021"/>
      <c r="BC1368" s="3021"/>
      <c r="BD1368" s="3021"/>
      <c r="BE1368" s="3021"/>
      <c r="BF1368" s="3021"/>
      <c r="BG1368" s="3021"/>
      <c r="BH1368" s="3021"/>
      <c r="BI1368" s="3021"/>
      <c r="BJ1368" s="3021"/>
      <c r="BK1368" s="3021"/>
      <c r="BL1368" s="3021"/>
      <c r="BM1368" s="3021"/>
      <c r="BN1368" s="3021"/>
      <c r="BO1368" s="3021"/>
      <c r="BP1368" s="3021"/>
      <c r="BQ1368" s="3021"/>
      <c r="BR1368" s="3021"/>
      <c r="BS1368" s="3021"/>
      <c r="BT1368" s="3021"/>
      <c r="BU1368" s="3021"/>
      <c r="BV1368" s="3021"/>
      <c r="BW1368" s="3021"/>
      <c r="BX1368" s="3021"/>
      <c r="BY1368" s="3021"/>
      <c r="BZ1368" s="3021"/>
      <c r="CA1368" s="3021"/>
      <c r="CB1368" s="3021"/>
      <c r="CC1368" s="3021"/>
      <c r="CD1368" s="3021"/>
      <c r="CE1368" s="3021"/>
      <c r="CF1368" s="3021"/>
      <c r="CG1368" s="3021"/>
      <c r="CH1368" s="3021"/>
      <c r="CI1368" s="3021"/>
      <c r="CJ1368" s="3021"/>
      <c r="CK1368" s="3021"/>
      <c r="CL1368" s="3021"/>
      <c r="CM1368" s="3021"/>
      <c r="CN1368" s="3021"/>
      <c r="CO1368" s="3021"/>
      <c r="CP1368" s="3021"/>
      <c r="CQ1368" s="3021"/>
      <c r="CR1368" s="3021"/>
      <c r="CS1368" s="3021"/>
      <c r="CT1368" s="3021"/>
      <c r="CU1368" s="3021"/>
      <c r="CV1368" s="3021"/>
      <c r="CW1368" s="3021"/>
      <c r="CX1368" s="3021"/>
      <c r="CY1368" s="3021"/>
      <c r="CZ1368" s="3021"/>
      <c r="DA1368" s="3021"/>
      <c r="DB1368" s="3021"/>
      <c r="DC1368" s="3021"/>
      <c r="DD1368" s="3021"/>
      <c r="DE1368" s="3021"/>
      <c r="DF1368" s="3021"/>
      <c r="DG1368" s="3021"/>
      <c r="DH1368" s="3021"/>
      <c r="DI1368" s="3021"/>
      <c r="DJ1368" s="3021"/>
      <c r="DK1368" s="3021"/>
      <c r="DL1368" s="3021"/>
      <c r="DM1368" s="3021"/>
      <c r="DN1368" s="3021"/>
      <c r="DO1368" s="3021"/>
      <c r="DP1368" s="3021"/>
      <c r="DQ1368" s="3021"/>
      <c r="DR1368" s="3021"/>
      <c r="DS1368" s="3021"/>
      <c r="DT1368" s="3021"/>
      <c r="DU1368" s="3021"/>
      <c r="DV1368" s="3021"/>
      <c r="DW1368" s="3021"/>
      <c r="DX1368" s="3021"/>
      <c r="DY1368" s="3021"/>
      <c r="DZ1368" s="3021"/>
      <c r="EA1368" s="3021"/>
      <c r="EB1368" s="3021"/>
      <c r="EC1368" s="3021"/>
      <c r="ED1368" s="3021"/>
      <c r="EE1368" s="3021"/>
      <c r="EF1368" s="3021"/>
      <c r="EG1368" s="3021"/>
      <c r="EH1368" s="3021"/>
      <c r="EI1368" s="3021"/>
      <c r="EJ1368" s="3021"/>
      <c r="EK1368" s="3021"/>
      <c r="EL1368" s="3021"/>
      <c r="EM1368" s="3021"/>
      <c r="EN1368" s="3021"/>
      <c r="EO1368" s="3021"/>
      <c r="EP1368" s="3021"/>
      <c r="EQ1368" s="3021"/>
      <c r="ER1368" s="3021"/>
      <c r="ES1368" s="3021"/>
      <c r="ET1368" s="3021"/>
      <c r="EU1368" s="3021"/>
      <c r="EV1368" s="3021"/>
      <c r="EW1368" s="3021"/>
      <c r="EX1368" s="3021"/>
      <c r="EY1368" s="3021"/>
      <c r="EZ1368" s="3021"/>
      <c r="FA1368" s="3021"/>
      <c r="FB1368" s="3021"/>
      <c r="FC1368" s="3021"/>
      <c r="FD1368" s="3021"/>
      <c r="FE1368" s="3021"/>
      <c r="FF1368" s="3021"/>
      <c r="FG1368" s="3021"/>
      <c r="FH1368" s="3021"/>
      <c r="FI1368" s="3021"/>
      <c r="FJ1368" s="3021"/>
      <c r="FK1368" s="3021"/>
      <c r="FL1368" s="3021"/>
      <c r="FM1368" s="3021"/>
      <c r="FN1368" s="3021"/>
      <c r="FO1368" s="3021"/>
      <c r="FP1368" s="3021"/>
      <c r="FQ1368" s="3021"/>
      <c r="FR1368" s="3021"/>
      <c r="FS1368" s="3021"/>
      <c r="FT1368" s="3021"/>
      <c r="FU1368" s="3021"/>
      <c r="FV1368" s="3021"/>
      <c r="FW1368" s="3021"/>
      <c r="FX1368" s="3021"/>
      <c r="FY1368" s="3021"/>
      <c r="FZ1368" s="3021"/>
      <c r="GA1368" s="3021"/>
      <c r="GB1368" s="3021"/>
      <c r="GC1368" s="3021"/>
      <c r="GD1368" s="3021"/>
      <c r="GE1368" s="3021"/>
      <c r="GF1368" s="3021"/>
      <c r="GG1368" s="3021"/>
      <c r="GH1368" s="3021"/>
      <c r="GI1368" s="3021"/>
      <c r="GJ1368" s="3021"/>
      <c r="GK1368" s="3021"/>
      <c r="GL1368" s="3021"/>
      <c r="GM1368" s="3021"/>
      <c r="GN1368" s="3021"/>
      <c r="GO1368" s="3021"/>
      <c r="GP1368" s="3021"/>
      <c r="GQ1368" s="3021"/>
      <c r="GR1368" s="3021"/>
      <c r="GS1368" s="3021"/>
      <c r="GT1368" s="3021"/>
      <c r="GU1368" s="3021"/>
      <c r="GV1368" s="3021"/>
      <c r="GW1368" s="3021"/>
      <c r="GX1368" s="3021"/>
      <c r="GY1368" s="3021"/>
      <c r="GZ1368" s="3021"/>
      <c r="HA1368" s="3021"/>
      <c r="HB1368" s="3021"/>
      <c r="HC1368" s="3021"/>
      <c r="HD1368" s="3021"/>
      <c r="HE1368" s="3021"/>
      <c r="HF1368" s="1699"/>
      <c r="HG1368" s="1699"/>
      <c r="HH1368" s="1699"/>
      <c r="HI1368" s="1699"/>
      <c r="HJ1368" s="1699"/>
      <c r="HK1368" s="1699"/>
      <c r="HL1368" s="1699"/>
      <c r="HM1368" s="1699"/>
      <c r="HN1368" s="1699"/>
      <c r="HO1368" s="1699"/>
      <c r="HP1368" s="1699"/>
      <c r="HQ1368" s="1699"/>
      <c r="HR1368" s="1699"/>
      <c r="HS1368" s="1699"/>
      <c r="HT1368" s="1699"/>
      <c r="HU1368" s="1699"/>
      <c r="HV1368" s="1699"/>
      <c r="HW1368" s="1699"/>
      <c r="HX1368" s="1699"/>
    </row>
    <row r="1371" spans="3:232" ht="27.95" customHeight="1">
      <c r="D1371" s="735"/>
      <c r="E1371" s="736"/>
      <c r="F1371" s="736"/>
      <c r="G1371" s="736"/>
      <c r="H1371" s="736"/>
      <c r="I1371" s="736"/>
      <c r="J1371" s="736"/>
      <c r="K1371" s="736"/>
      <c r="L1371" s="736"/>
      <c r="M1371" s="737"/>
    </row>
    <row r="1372" spans="3:232" ht="27.95" customHeight="1">
      <c r="D1372" s="3022"/>
      <c r="E1372" s="3023"/>
      <c r="F1372" s="3023"/>
      <c r="G1372" s="3023"/>
      <c r="H1372" s="3023"/>
      <c r="I1372" s="3023"/>
      <c r="J1372" s="3023"/>
      <c r="K1372" s="3023"/>
      <c r="L1372" s="3023"/>
      <c r="M1372" s="3024"/>
    </row>
    <row r="1373" spans="3:232" ht="27.95" customHeight="1">
      <c r="D1373" s="3025"/>
      <c r="E1373" s="777"/>
      <c r="F1373" s="5760" t="s">
        <v>888</v>
      </c>
      <c r="G1373" s="5762"/>
      <c r="H1373" s="777"/>
      <c r="I1373" s="777"/>
      <c r="J1373" s="5760" t="s">
        <v>889</v>
      </c>
      <c r="K1373" s="5762"/>
      <c r="L1373" s="777"/>
      <c r="M1373" s="3026"/>
    </row>
    <row r="1374" spans="3:232" ht="27.95" customHeight="1">
      <c r="D1374" s="776"/>
      <c r="E1374" s="777"/>
      <c r="F1374" s="5760" t="s">
        <v>1597</v>
      </c>
      <c r="G1374" s="5762"/>
      <c r="H1374" s="777"/>
      <c r="I1374" s="777"/>
      <c r="J1374" s="5760" t="s">
        <v>1597</v>
      </c>
      <c r="K1374" s="5762"/>
      <c r="L1374" s="777"/>
      <c r="M1374" s="778"/>
    </row>
    <row r="1375" spans="3:232" ht="27.95" customHeight="1">
      <c r="D1375" s="776"/>
      <c r="E1375" s="777"/>
      <c r="F1375" s="5257" t="str">
        <f>BV7</f>
        <v>Rs.68900-205500</v>
      </c>
      <c r="G1375" s="5257"/>
      <c r="H1375" s="781"/>
      <c r="I1375" s="777"/>
      <c r="J1375" s="5260" t="str">
        <f>$DS$7</f>
        <v>Rs.79800-211500</v>
      </c>
      <c r="K1375" s="5260"/>
      <c r="L1375" s="777"/>
      <c r="M1375" s="778"/>
    </row>
    <row r="1376" spans="3:232" ht="27.95" customHeight="1">
      <c r="D1376" s="776"/>
      <c r="E1376" s="777"/>
      <c r="F1376" s="738">
        <v>1</v>
      </c>
      <c r="G1376" s="3470">
        <f t="shared" ref="G1376:G1415" si="325">IF(IF(AND($BW$7=1),E39,IF(AND($BW$7=2),F39,IF(AND($BW$7=3),G39,IF(AND($BW$7=4),H39,IF(AND($BW$7=5),I39,IF(AND($BW$7=6),J39,""))))))&gt;0,IF(AND($BW$7=1),E39,IF(AND($BW$7=2),F39,IF(AND($BW$7=3),G39,IF(AND($BW$7=4),H39,IF(AND($BW$7=5),I39,IF(AND($BW$7=6),J39,"")))))),"")</f>
        <v>68900</v>
      </c>
      <c r="H1376" s="777"/>
      <c r="I1376" s="777"/>
      <c r="J1376" s="738">
        <v>1</v>
      </c>
      <c r="K1376" s="3470">
        <f t="shared" ref="K1376:K1415" si="326">IF(IF(AND($DT$7=1),E39,IF(AND($DT$7=2),F39,IF(AND($DT$7=3),G39,IF(AND($DT$7=4),H39,IF(AND($DT$7=5),I39,IF(AND($DT$7=6),J39,""))))))&gt;0,IF(AND($DT$7=1),E39,IF(AND($DT$7=2),F39,IF(AND($DT$7=3),G39,IF(AND($DT$7=4),H39,IF(AND($DT$7=5),I39,IF(AND($DT$7=6),J39,"")))))),"")</f>
        <v>79800</v>
      </c>
      <c r="L1376" s="777"/>
      <c r="M1376" s="778"/>
    </row>
    <row r="1377" spans="4:13" ht="27.95" customHeight="1">
      <c r="D1377" s="776"/>
      <c r="E1377" s="777"/>
      <c r="F1377" s="738">
        <v>2</v>
      </c>
      <c r="G1377" s="3470">
        <f t="shared" si="325"/>
        <v>71000</v>
      </c>
      <c r="H1377" s="777"/>
      <c r="I1377" s="777"/>
      <c r="J1377" s="738">
        <v>2</v>
      </c>
      <c r="K1377" s="3470">
        <f t="shared" si="326"/>
        <v>82200</v>
      </c>
      <c r="L1377" s="777"/>
      <c r="M1377" s="778"/>
    </row>
    <row r="1378" spans="4:13" ht="27.95" customHeight="1">
      <c r="D1378" s="776"/>
      <c r="E1378" s="777"/>
      <c r="F1378" s="738">
        <v>3</v>
      </c>
      <c r="G1378" s="3470">
        <f t="shared" si="325"/>
        <v>73100</v>
      </c>
      <c r="H1378" s="777"/>
      <c r="I1378" s="777"/>
      <c r="J1378" s="738">
        <v>3</v>
      </c>
      <c r="K1378" s="3470">
        <f t="shared" si="326"/>
        <v>84700</v>
      </c>
      <c r="L1378" s="777"/>
      <c r="M1378" s="778"/>
    </row>
    <row r="1379" spans="4:13" ht="27.95" customHeight="1">
      <c r="D1379" s="776"/>
      <c r="E1379" s="777"/>
      <c r="F1379" s="738">
        <v>4</v>
      </c>
      <c r="G1379" s="3470">
        <f t="shared" si="325"/>
        <v>75300</v>
      </c>
      <c r="H1379" s="777"/>
      <c r="I1379" s="777"/>
      <c r="J1379" s="738">
        <v>4</v>
      </c>
      <c r="K1379" s="3470">
        <f t="shared" si="326"/>
        <v>87200</v>
      </c>
      <c r="L1379" s="777"/>
      <c r="M1379" s="778"/>
    </row>
    <row r="1380" spans="4:13" ht="27.95" customHeight="1">
      <c r="D1380" s="776"/>
      <c r="E1380" s="777"/>
      <c r="F1380" s="738">
        <v>5</v>
      </c>
      <c r="G1380" s="3470">
        <f t="shared" si="325"/>
        <v>77600</v>
      </c>
      <c r="H1380" s="777"/>
      <c r="I1380" s="777"/>
      <c r="J1380" s="738">
        <v>5</v>
      </c>
      <c r="K1380" s="3470">
        <f t="shared" si="326"/>
        <v>89800</v>
      </c>
      <c r="L1380" s="777"/>
      <c r="M1380" s="778"/>
    </row>
    <row r="1381" spans="4:13" ht="27.95" customHeight="1">
      <c r="D1381" s="776"/>
      <c r="E1381" s="777"/>
      <c r="F1381" s="738">
        <v>6</v>
      </c>
      <c r="G1381" s="3470">
        <f t="shared" si="325"/>
        <v>79900</v>
      </c>
      <c r="H1381" s="777"/>
      <c r="I1381" s="777"/>
      <c r="J1381" s="738">
        <v>6</v>
      </c>
      <c r="K1381" s="3470">
        <f t="shared" si="326"/>
        <v>92500</v>
      </c>
      <c r="L1381" s="777"/>
      <c r="M1381" s="778"/>
    </row>
    <row r="1382" spans="4:13" ht="27.95" customHeight="1">
      <c r="D1382" s="776"/>
      <c r="E1382" s="777"/>
      <c r="F1382" s="738">
        <v>7</v>
      </c>
      <c r="G1382" s="3470">
        <f t="shared" si="325"/>
        <v>82300</v>
      </c>
      <c r="H1382" s="777"/>
      <c r="I1382" s="777"/>
      <c r="J1382" s="738">
        <v>7</v>
      </c>
      <c r="K1382" s="3470">
        <f t="shared" si="326"/>
        <v>95300</v>
      </c>
      <c r="L1382" s="777"/>
      <c r="M1382" s="778"/>
    </row>
    <row r="1383" spans="4:13" ht="27.95" customHeight="1">
      <c r="D1383" s="776"/>
      <c r="E1383" s="777"/>
      <c r="F1383" s="738">
        <v>8</v>
      </c>
      <c r="G1383" s="3470">
        <f t="shared" si="325"/>
        <v>84800</v>
      </c>
      <c r="H1383" s="777"/>
      <c r="I1383" s="777"/>
      <c r="J1383" s="738">
        <v>8</v>
      </c>
      <c r="K1383" s="3470">
        <f t="shared" si="326"/>
        <v>98200</v>
      </c>
      <c r="L1383" s="777"/>
      <c r="M1383" s="778"/>
    </row>
    <row r="1384" spans="4:13" ht="27.95" customHeight="1">
      <c r="D1384" s="776"/>
      <c r="E1384" s="777"/>
      <c r="F1384" s="738">
        <v>9</v>
      </c>
      <c r="G1384" s="3470">
        <f t="shared" si="325"/>
        <v>87300</v>
      </c>
      <c r="H1384" s="777"/>
      <c r="I1384" s="777"/>
      <c r="J1384" s="738">
        <v>9</v>
      </c>
      <c r="K1384" s="3470">
        <f t="shared" si="326"/>
        <v>101100</v>
      </c>
      <c r="L1384" s="777"/>
      <c r="M1384" s="778"/>
    </row>
    <row r="1385" spans="4:13" ht="27.95" customHeight="1">
      <c r="D1385" s="776"/>
      <c r="E1385" s="777"/>
      <c r="F1385" s="738">
        <v>10</v>
      </c>
      <c r="G1385" s="3470">
        <f t="shared" si="325"/>
        <v>89900</v>
      </c>
      <c r="H1385" s="777"/>
      <c r="I1385" s="777"/>
      <c r="J1385" s="738">
        <v>10</v>
      </c>
      <c r="K1385" s="3470">
        <f t="shared" si="326"/>
        <v>104100</v>
      </c>
      <c r="L1385" s="777"/>
      <c r="M1385" s="778"/>
    </row>
    <row r="1386" spans="4:13" ht="27.95" customHeight="1">
      <c r="D1386" s="776"/>
      <c r="E1386" s="777"/>
      <c r="F1386" s="738">
        <v>11</v>
      </c>
      <c r="G1386" s="3470">
        <f t="shared" si="325"/>
        <v>92600</v>
      </c>
      <c r="H1386" s="777"/>
      <c r="I1386" s="777"/>
      <c r="J1386" s="738">
        <v>11</v>
      </c>
      <c r="K1386" s="3470">
        <f t="shared" si="326"/>
        <v>107200</v>
      </c>
      <c r="L1386" s="777"/>
      <c r="M1386" s="778"/>
    </row>
    <row r="1387" spans="4:13" ht="27.95" customHeight="1">
      <c r="D1387" s="776"/>
      <c r="E1387" s="777"/>
      <c r="F1387" s="738">
        <v>12</v>
      </c>
      <c r="G1387" s="3470">
        <f t="shared" si="325"/>
        <v>95400</v>
      </c>
      <c r="H1387" s="777"/>
      <c r="I1387" s="777"/>
      <c r="J1387" s="738">
        <v>12</v>
      </c>
      <c r="K1387" s="3470">
        <f t="shared" si="326"/>
        <v>110400</v>
      </c>
      <c r="L1387" s="777"/>
      <c r="M1387" s="778"/>
    </row>
    <row r="1388" spans="4:13" ht="27.95" customHeight="1">
      <c r="D1388" s="776"/>
      <c r="E1388" s="777"/>
      <c r="F1388" s="738">
        <v>13</v>
      </c>
      <c r="G1388" s="3470">
        <f t="shared" si="325"/>
        <v>98300</v>
      </c>
      <c r="H1388" s="777"/>
      <c r="I1388" s="777"/>
      <c r="J1388" s="738">
        <v>13</v>
      </c>
      <c r="K1388" s="3470">
        <f t="shared" si="326"/>
        <v>113700</v>
      </c>
      <c r="L1388" s="777"/>
      <c r="M1388" s="778"/>
    </row>
    <row r="1389" spans="4:13" ht="27.95" customHeight="1">
      <c r="D1389" s="776"/>
      <c r="E1389" s="777"/>
      <c r="F1389" s="738">
        <v>14</v>
      </c>
      <c r="G1389" s="3470">
        <f t="shared" si="325"/>
        <v>101200</v>
      </c>
      <c r="H1389" s="777"/>
      <c r="I1389" s="777"/>
      <c r="J1389" s="738">
        <v>14</v>
      </c>
      <c r="K1389" s="3470">
        <f t="shared" si="326"/>
        <v>117100</v>
      </c>
      <c r="L1389" s="777"/>
      <c r="M1389" s="778"/>
    </row>
    <row r="1390" spans="4:13" ht="27.95" customHeight="1">
      <c r="D1390" s="776"/>
      <c r="E1390" s="777"/>
      <c r="F1390" s="738">
        <v>15</v>
      </c>
      <c r="G1390" s="3470">
        <f t="shared" si="325"/>
        <v>104200</v>
      </c>
      <c r="H1390" s="777"/>
      <c r="I1390" s="777"/>
      <c r="J1390" s="738">
        <v>15</v>
      </c>
      <c r="K1390" s="3470">
        <f t="shared" si="326"/>
        <v>120600</v>
      </c>
      <c r="L1390" s="777"/>
      <c r="M1390" s="778"/>
    </row>
    <row r="1391" spans="4:13" ht="27.95" customHeight="1">
      <c r="D1391" s="776"/>
      <c r="E1391" s="777"/>
      <c r="F1391" s="738">
        <v>16</v>
      </c>
      <c r="G1391" s="3470">
        <f t="shared" si="325"/>
        <v>107300</v>
      </c>
      <c r="H1391" s="777"/>
      <c r="I1391" s="777"/>
      <c r="J1391" s="738">
        <v>16</v>
      </c>
      <c r="K1391" s="3470">
        <f t="shared" si="326"/>
        <v>124200</v>
      </c>
      <c r="L1391" s="777"/>
      <c r="M1391" s="778"/>
    </row>
    <row r="1392" spans="4:13" ht="27.95" customHeight="1">
      <c r="D1392" s="776"/>
      <c r="E1392" s="777"/>
      <c r="F1392" s="738">
        <v>17</v>
      </c>
      <c r="G1392" s="3470">
        <f t="shared" si="325"/>
        <v>110500</v>
      </c>
      <c r="H1392" s="777"/>
      <c r="I1392" s="777"/>
      <c r="J1392" s="738">
        <v>17</v>
      </c>
      <c r="K1392" s="3470">
        <f t="shared" si="326"/>
        <v>127900</v>
      </c>
      <c r="L1392" s="777"/>
      <c r="M1392" s="778"/>
    </row>
    <row r="1393" spans="4:13" ht="27.95" customHeight="1">
      <c r="D1393" s="776"/>
      <c r="E1393" s="777"/>
      <c r="F1393" s="738">
        <v>18</v>
      </c>
      <c r="G1393" s="3470">
        <f t="shared" si="325"/>
        <v>113800</v>
      </c>
      <c r="H1393" s="777"/>
      <c r="I1393" s="777"/>
      <c r="J1393" s="738">
        <v>18</v>
      </c>
      <c r="K1393" s="3470">
        <f t="shared" si="326"/>
        <v>131700</v>
      </c>
      <c r="L1393" s="777"/>
      <c r="M1393" s="778"/>
    </row>
    <row r="1394" spans="4:13" ht="27.95" customHeight="1">
      <c r="D1394" s="776"/>
      <c r="E1394" s="777"/>
      <c r="F1394" s="738">
        <v>19</v>
      </c>
      <c r="G1394" s="3470">
        <f t="shared" si="325"/>
        <v>117200</v>
      </c>
      <c r="H1394" s="777"/>
      <c r="I1394" s="777"/>
      <c r="J1394" s="738">
        <v>19</v>
      </c>
      <c r="K1394" s="3470">
        <f t="shared" si="326"/>
        <v>135700</v>
      </c>
      <c r="L1394" s="777"/>
      <c r="M1394" s="778"/>
    </row>
    <row r="1395" spans="4:13" ht="27.95" customHeight="1">
      <c r="D1395" s="776"/>
      <c r="E1395" s="777"/>
      <c r="F1395" s="738">
        <v>20</v>
      </c>
      <c r="G1395" s="3470">
        <f t="shared" si="325"/>
        <v>120700</v>
      </c>
      <c r="H1395" s="777"/>
      <c r="I1395" s="777"/>
      <c r="J1395" s="738">
        <v>20</v>
      </c>
      <c r="K1395" s="3470">
        <f t="shared" si="326"/>
        <v>139800</v>
      </c>
      <c r="L1395" s="777"/>
      <c r="M1395" s="778"/>
    </row>
    <row r="1396" spans="4:13" ht="27.95" customHeight="1">
      <c r="D1396" s="776"/>
      <c r="E1396" s="777"/>
      <c r="F1396" s="738">
        <v>21</v>
      </c>
      <c r="G1396" s="3470">
        <f t="shared" si="325"/>
        <v>124300</v>
      </c>
      <c r="H1396" s="777"/>
      <c r="I1396" s="777"/>
      <c r="J1396" s="738">
        <v>21</v>
      </c>
      <c r="K1396" s="3470">
        <f t="shared" si="326"/>
        <v>144000</v>
      </c>
      <c r="L1396" s="777"/>
      <c r="M1396" s="778"/>
    </row>
    <row r="1397" spans="4:13" ht="27.95" customHeight="1">
      <c r="D1397" s="776"/>
      <c r="E1397" s="777"/>
      <c r="F1397" s="738">
        <v>22</v>
      </c>
      <c r="G1397" s="3470">
        <f t="shared" si="325"/>
        <v>128000</v>
      </c>
      <c r="H1397" s="777"/>
      <c r="I1397" s="777"/>
      <c r="J1397" s="738">
        <v>22</v>
      </c>
      <c r="K1397" s="3470">
        <f t="shared" si="326"/>
        <v>148300</v>
      </c>
      <c r="L1397" s="777"/>
      <c r="M1397" s="778"/>
    </row>
    <row r="1398" spans="4:13" ht="27.95" customHeight="1">
      <c r="D1398" s="776"/>
      <c r="E1398" s="777"/>
      <c r="F1398" s="738">
        <v>23</v>
      </c>
      <c r="G1398" s="3470">
        <f t="shared" si="325"/>
        <v>131800</v>
      </c>
      <c r="H1398" s="777"/>
      <c r="I1398" s="777"/>
      <c r="J1398" s="738">
        <v>23</v>
      </c>
      <c r="K1398" s="3470">
        <f t="shared" si="326"/>
        <v>152700</v>
      </c>
      <c r="L1398" s="777"/>
      <c r="M1398" s="778"/>
    </row>
    <row r="1399" spans="4:13" ht="27.95" customHeight="1">
      <c r="D1399" s="776"/>
      <c r="E1399" s="777"/>
      <c r="F1399" s="738">
        <v>24</v>
      </c>
      <c r="G1399" s="3470">
        <f t="shared" si="325"/>
        <v>135800</v>
      </c>
      <c r="H1399" s="777"/>
      <c r="I1399" s="777"/>
      <c r="J1399" s="738">
        <v>24</v>
      </c>
      <c r="K1399" s="3470">
        <f t="shared" si="326"/>
        <v>157300</v>
      </c>
      <c r="L1399" s="777"/>
      <c r="M1399" s="778"/>
    </row>
    <row r="1400" spans="4:13" ht="27.95" customHeight="1">
      <c r="D1400" s="776"/>
      <c r="E1400" s="777"/>
      <c r="F1400" s="738">
        <v>25</v>
      </c>
      <c r="G1400" s="3470">
        <f t="shared" si="325"/>
        <v>139900</v>
      </c>
      <c r="H1400" s="777"/>
      <c r="I1400" s="777"/>
      <c r="J1400" s="738">
        <v>25</v>
      </c>
      <c r="K1400" s="3470">
        <f t="shared" si="326"/>
        <v>162000</v>
      </c>
      <c r="L1400" s="777"/>
      <c r="M1400" s="778"/>
    </row>
    <row r="1401" spans="4:13" ht="27.95" customHeight="1">
      <c r="D1401" s="776"/>
      <c r="E1401" s="777"/>
      <c r="F1401" s="738">
        <v>26</v>
      </c>
      <c r="G1401" s="3470">
        <f t="shared" si="325"/>
        <v>144100</v>
      </c>
      <c r="H1401" s="777"/>
      <c r="I1401" s="777"/>
      <c r="J1401" s="738">
        <v>26</v>
      </c>
      <c r="K1401" s="3470">
        <f t="shared" si="326"/>
        <v>166900</v>
      </c>
      <c r="L1401" s="777"/>
      <c r="M1401" s="778"/>
    </row>
    <row r="1402" spans="4:13" ht="27.95" customHeight="1">
      <c r="D1402" s="776"/>
      <c r="E1402" s="777"/>
      <c r="F1402" s="738">
        <v>27</v>
      </c>
      <c r="G1402" s="3470">
        <f t="shared" si="325"/>
        <v>148400</v>
      </c>
      <c r="H1402" s="777"/>
      <c r="I1402" s="777"/>
      <c r="J1402" s="738">
        <v>27</v>
      </c>
      <c r="K1402" s="3470">
        <f t="shared" si="326"/>
        <v>171900</v>
      </c>
      <c r="L1402" s="777"/>
      <c r="M1402" s="778"/>
    </row>
    <row r="1403" spans="4:13" ht="27.95" customHeight="1">
      <c r="D1403" s="776"/>
      <c r="E1403" s="777"/>
      <c r="F1403" s="738">
        <v>28</v>
      </c>
      <c r="G1403" s="3470">
        <f t="shared" si="325"/>
        <v>152900</v>
      </c>
      <c r="H1403" s="777"/>
      <c r="I1403" s="777"/>
      <c r="J1403" s="738">
        <v>28</v>
      </c>
      <c r="K1403" s="3470">
        <f t="shared" si="326"/>
        <v>177100</v>
      </c>
      <c r="L1403" s="777"/>
      <c r="M1403" s="778"/>
    </row>
    <row r="1404" spans="4:13" ht="27.95" customHeight="1">
      <c r="D1404" s="776"/>
      <c r="E1404" s="777"/>
      <c r="F1404" s="738">
        <v>29</v>
      </c>
      <c r="G1404" s="3470">
        <f t="shared" si="325"/>
        <v>157500</v>
      </c>
      <c r="H1404" s="777"/>
      <c r="I1404" s="777"/>
      <c r="J1404" s="738">
        <v>29</v>
      </c>
      <c r="K1404" s="3470">
        <f t="shared" si="326"/>
        <v>182400</v>
      </c>
      <c r="L1404" s="777"/>
      <c r="M1404" s="778"/>
    </row>
    <row r="1405" spans="4:13" ht="27.95" customHeight="1">
      <c r="D1405" s="776"/>
      <c r="E1405" s="777"/>
      <c r="F1405" s="738">
        <v>30</v>
      </c>
      <c r="G1405" s="3470">
        <f t="shared" si="325"/>
        <v>162200</v>
      </c>
      <c r="H1405" s="777"/>
      <c r="I1405" s="777"/>
      <c r="J1405" s="738">
        <v>30</v>
      </c>
      <c r="K1405" s="3470">
        <f t="shared" si="326"/>
        <v>187900</v>
      </c>
      <c r="L1405" s="777"/>
      <c r="M1405" s="778"/>
    </row>
    <row r="1406" spans="4:13" ht="27.95" customHeight="1">
      <c r="D1406" s="776"/>
      <c r="E1406" s="777"/>
      <c r="F1406" s="738">
        <v>31</v>
      </c>
      <c r="G1406" s="3470">
        <f t="shared" si="325"/>
        <v>167100</v>
      </c>
      <c r="H1406" s="777"/>
      <c r="I1406" s="777"/>
      <c r="J1406" s="738">
        <v>31</v>
      </c>
      <c r="K1406" s="3470">
        <f t="shared" si="326"/>
        <v>193500</v>
      </c>
      <c r="L1406" s="777"/>
      <c r="M1406" s="778"/>
    </row>
    <row r="1407" spans="4:13" ht="27.95" customHeight="1">
      <c r="D1407" s="776"/>
      <c r="E1407" s="777"/>
      <c r="F1407" s="738">
        <v>32</v>
      </c>
      <c r="G1407" s="3470">
        <f t="shared" si="325"/>
        <v>172100</v>
      </c>
      <c r="H1407" s="777"/>
      <c r="I1407" s="777"/>
      <c r="J1407" s="738">
        <v>32</v>
      </c>
      <c r="K1407" s="3470">
        <f t="shared" si="326"/>
        <v>199300</v>
      </c>
      <c r="L1407" s="777"/>
      <c r="M1407" s="778"/>
    </row>
    <row r="1408" spans="4:13" ht="27.95" customHeight="1">
      <c r="D1408" s="776"/>
      <c r="E1408" s="777"/>
      <c r="F1408" s="738">
        <v>33</v>
      </c>
      <c r="G1408" s="3470">
        <f t="shared" si="325"/>
        <v>177300</v>
      </c>
      <c r="H1408" s="777"/>
      <c r="I1408" s="777"/>
      <c r="J1408" s="738">
        <v>33</v>
      </c>
      <c r="K1408" s="3470">
        <f t="shared" si="326"/>
        <v>205300</v>
      </c>
      <c r="L1408" s="777"/>
      <c r="M1408" s="778"/>
    </row>
    <row r="1409" spans="4:13" ht="27.95" customHeight="1">
      <c r="D1409" s="776"/>
      <c r="E1409" s="777"/>
      <c r="F1409" s="738">
        <v>34</v>
      </c>
      <c r="G1409" s="3470">
        <f t="shared" si="325"/>
        <v>182600</v>
      </c>
      <c r="H1409" s="777"/>
      <c r="I1409" s="777"/>
      <c r="J1409" s="738">
        <v>34</v>
      </c>
      <c r="K1409" s="3470">
        <f t="shared" si="326"/>
        <v>211500</v>
      </c>
      <c r="L1409" s="777"/>
      <c r="M1409" s="778"/>
    </row>
    <row r="1410" spans="4:13" ht="27.95" customHeight="1">
      <c r="D1410" s="776"/>
      <c r="E1410" s="777"/>
      <c r="F1410" s="738">
        <v>35</v>
      </c>
      <c r="G1410" s="3470">
        <f t="shared" si="325"/>
        <v>188100</v>
      </c>
      <c r="H1410" s="777"/>
      <c r="I1410" s="777"/>
      <c r="J1410" s="738">
        <v>35</v>
      </c>
      <c r="K1410" s="3470" t="str">
        <f t="shared" si="326"/>
        <v/>
      </c>
      <c r="L1410" s="777"/>
      <c r="M1410" s="778"/>
    </row>
    <row r="1411" spans="4:13" ht="27.95" customHeight="1">
      <c r="D1411" s="776"/>
      <c r="E1411" s="777"/>
      <c r="F1411" s="738">
        <v>36</v>
      </c>
      <c r="G1411" s="3470">
        <f t="shared" si="325"/>
        <v>193700</v>
      </c>
      <c r="H1411" s="777"/>
      <c r="I1411" s="777"/>
      <c r="J1411" s="738">
        <v>36</v>
      </c>
      <c r="K1411" s="3470" t="str">
        <f t="shared" si="326"/>
        <v/>
      </c>
      <c r="L1411" s="777"/>
      <c r="M1411" s="778"/>
    </row>
    <row r="1412" spans="4:13" ht="27.95" customHeight="1">
      <c r="D1412" s="776"/>
      <c r="E1412" s="777"/>
      <c r="F1412" s="738">
        <v>37</v>
      </c>
      <c r="G1412" s="3470">
        <f t="shared" si="325"/>
        <v>199500</v>
      </c>
      <c r="H1412" s="777"/>
      <c r="I1412" s="777"/>
      <c r="J1412" s="738">
        <v>37</v>
      </c>
      <c r="K1412" s="3470" t="str">
        <f t="shared" si="326"/>
        <v/>
      </c>
      <c r="L1412" s="777"/>
      <c r="M1412" s="778"/>
    </row>
    <row r="1413" spans="4:13" ht="27.95" customHeight="1">
      <c r="D1413" s="776"/>
      <c r="E1413" s="777"/>
      <c r="F1413" s="738">
        <v>38</v>
      </c>
      <c r="G1413" s="3470">
        <f t="shared" si="325"/>
        <v>205500</v>
      </c>
      <c r="H1413" s="777"/>
      <c r="I1413" s="777"/>
      <c r="J1413" s="738">
        <v>38</v>
      </c>
      <c r="K1413" s="3470" t="str">
        <f t="shared" si="326"/>
        <v/>
      </c>
      <c r="L1413" s="777"/>
      <c r="M1413" s="778"/>
    </row>
    <row r="1414" spans="4:13" ht="27.95" customHeight="1">
      <c r="D1414" s="776"/>
      <c r="E1414" s="777"/>
      <c r="F1414" s="738">
        <v>39</v>
      </c>
      <c r="G1414" s="3470" t="str">
        <f t="shared" si="325"/>
        <v/>
      </c>
      <c r="H1414" s="777"/>
      <c r="I1414" s="777"/>
      <c r="J1414" s="738">
        <v>39</v>
      </c>
      <c r="K1414" s="3470" t="str">
        <f t="shared" si="326"/>
        <v/>
      </c>
      <c r="L1414" s="777"/>
      <c r="M1414" s="778"/>
    </row>
    <row r="1415" spans="4:13" ht="27.95" customHeight="1">
      <c r="D1415" s="776"/>
      <c r="E1415" s="777"/>
      <c r="F1415" s="738">
        <v>40</v>
      </c>
      <c r="G1415" s="3470" t="str">
        <f t="shared" si="325"/>
        <v/>
      </c>
      <c r="H1415" s="777"/>
      <c r="I1415" s="777"/>
      <c r="J1415" s="738">
        <v>40</v>
      </c>
      <c r="K1415" s="3470" t="str">
        <f t="shared" si="326"/>
        <v/>
      </c>
      <c r="L1415" s="777"/>
      <c r="M1415" s="778"/>
    </row>
    <row r="1416" spans="4:13" ht="27.95" customHeight="1">
      <c r="D1416" s="776"/>
      <c r="E1416" s="777"/>
      <c r="F1416" s="777"/>
      <c r="G1416" s="777"/>
      <c r="H1416" s="777"/>
      <c r="I1416" s="777"/>
      <c r="J1416" s="777"/>
      <c r="K1416" s="777"/>
      <c r="L1416" s="777"/>
      <c r="M1416" s="778"/>
    </row>
    <row r="1417" spans="4:13" ht="27.95" customHeight="1">
      <c r="D1417" s="776"/>
      <c r="E1417" s="777"/>
      <c r="F1417" s="777"/>
      <c r="G1417" s="777"/>
      <c r="H1417" s="777"/>
      <c r="I1417" s="777"/>
      <c r="J1417" s="777"/>
      <c r="K1417" s="777"/>
      <c r="L1417" s="777"/>
      <c r="M1417" s="778"/>
    </row>
    <row r="1418" spans="4:13" ht="27.95" customHeight="1">
      <c r="D1418" s="776"/>
      <c r="E1418" s="777"/>
      <c r="F1418" s="777"/>
      <c r="G1418" s="777"/>
      <c r="H1418" s="777"/>
      <c r="I1418" s="777"/>
      <c r="J1418" s="777"/>
      <c r="K1418" s="777"/>
      <c r="L1418" s="777"/>
      <c r="M1418" s="778"/>
    </row>
    <row r="1419" spans="4:13" ht="27.95" customHeight="1">
      <c r="D1419" s="782"/>
      <c r="E1419" s="783"/>
      <c r="F1419" s="783"/>
      <c r="G1419" s="783"/>
      <c r="H1419" s="783"/>
      <c r="I1419" s="783"/>
      <c r="J1419" s="783"/>
      <c r="K1419" s="783"/>
      <c r="L1419" s="783"/>
      <c r="M1419" s="784"/>
    </row>
    <row r="1425" spans="3:42" ht="27.95" customHeight="1">
      <c r="C1425" s="5621" t="str">
        <f>CONCATENATE("Date of Next Annual Grade Increment in the Existing Academic Level", "-",BV8)</f>
        <v>Date of Next Annual Grade Increment in the Existing Academic Level-11</v>
      </c>
      <c r="D1425" s="5621"/>
      <c r="E1425" s="5621"/>
      <c r="F1425" s="5621"/>
      <c r="G1425" s="5621"/>
      <c r="H1425" s="5621"/>
      <c r="I1425" s="5621"/>
      <c r="J1425" s="2213" t="str">
        <f>LOOKUP(K1425,$CF$82:$CF$83,$CG$82:$CG$83)</f>
        <v>Jan</v>
      </c>
      <c r="K1425" s="2213">
        <v>1</v>
      </c>
      <c r="L1425" s="941"/>
      <c r="M1425" s="877"/>
      <c r="N1425" s="877"/>
      <c r="O1425" s="877"/>
      <c r="P1425" s="877"/>
      <c r="Q1425" s="877"/>
      <c r="R1425" s="877"/>
      <c r="S1425" s="5621" t="str">
        <f>CONCATENATE(" Date of Next Annual Grade Increment in the Existing Academic Level", "-",DS8)</f>
        <v xml:space="preserve"> Date of Next Annual Grade Increment in the Existing Academic Level-12</v>
      </c>
      <c r="T1425" s="5621"/>
      <c r="U1425" s="5621"/>
      <c r="V1425" s="5621"/>
      <c r="W1425" s="5621"/>
      <c r="X1425" s="5621"/>
      <c r="Y1425" s="5621"/>
      <c r="Z1425" s="2213" t="str">
        <f>LOOKUP(AA1425,$CF$82:$CF$83,$CG$82:$CG$83)</f>
        <v>Jan</v>
      </c>
      <c r="AA1425" s="2213">
        <v>1</v>
      </c>
      <c r="AB1425" s="941"/>
      <c r="AC1425" s="877"/>
      <c r="AD1425" s="877"/>
      <c r="AE1425" s="877"/>
      <c r="AF1425" s="877"/>
      <c r="AG1425" s="877"/>
      <c r="AH1425" s="877"/>
      <c r="AI1425" s="877"/>
      <c r="AJ1425" s="877"/>
      <c r="AK1425" s="877"/>
      <c r="AL1425" s="877"/>
      <c r="AM1425" s="877"/>
      <c r="AN1425" s="877"/>
      <c r="AO1425" s="877"/>
      <c r="AP1425" s="877"/>
    </row>
    <row r="1426" spans="3:42" ht="27.95" customHeight="1">
      <c r="P1426" s="3041"/>
    </row>
    <row r="1427" spans="3:42" ht="27.95" customHeight="1">
      <c r="P1427" s="3041"/>
    </row>
    <row r="1428" spans="3:42" ht="27.95" customHeight="1">
      <c r="P1428" s="3041"/>
    </row>
    <row r="1429" spans="3:42" ht="27.95" customHeight="1">
      <c r="C1429" s="2214" t="s">
        <v>623</v>
      </c>
      <c r="D1429" s="2214">
        <f>BY12</f>
        <v>6</v>
      </c>
      <c r="E1429" s="2212">
        <f>D1429</f>
        <v>6</v>
      </c>
      <c r="P1429" s="3041"/>
      <c r="S1429" s="2214" t="s">
        <v>623</v>
      </c>
      <c r="T1429" s="2214">
        <f>DW12</f>
        <v>1</v>
      </c>
      <c r="U1429" s="2212">
        <f>T1429</f>
        <v>1</v>
      </c>
    </row>
    <row r="1430" spans="3:42" ht="27.95" customHeight="1">
      <c r="C1430" s="2214" t="s">
        <v>182</v>
      </c>
      <c r="D1430" s="2214">
        <f>BZ12</f>
        <v>9</v>
      </c>
      <c r="E1430" s="1688" t="str">
        <f>LOOKUP(D1430,$AE$21:$AE$32,$AG$21:$AG$32)</f>
        <v>Sep</v>
      </c>
      <c r="P1430" s="3041"/>
      <c r="S1430" s="2214" t="s">
        <v>182</v>
      </c>
      <c r="T1430" s="2214">
        <f>DX12</f>
        <v>3</v>
      </c>
      <c r="U1430" s="1688" t="str">
        <f>LOOKUP(T1430,$AE$21:$AE$32,$AG$21:$AG$32)</f>
        <v>Mar</v>
      </c>
    </row>
    <row r="1431" spans="3:42" ht="27.95" customHeight="1">
      <c r="C1431" s="2214" t="s">
        <v>309</v>
      </c>
      <c r="D1431" s="2214" t="str">
        <f>CA12</f>
        <v>25</v>
      </c>
      <c r="E1431" s="2212" t="str">
        <f>D1431</f>
        <v>25</v>
      </c>
      <c r="P1431" s="3041"/>
      <c r="S1431" s="2214" t="s">
        <v>309</v>
      </c>
      <c r="T1431" s="2214" t="str">
        <f>DY12</f>
        <v>25</v>
      </c>
      <c r="U1431" s="2212" t="str">
        <f>T1431</f>
        <v>25</v>
      </c>
    </row>
    <row r="1432" spans="3:42" ht="27.95" customHeight="1">
      <c r="C1432" s="1468"/>
      <c r="D1432" s="1468"/>
      <c r="E1432" s="1468"/>
      <c r="P1432" s="3041"/>
      <c r="S1432" s="1468"/>
      <c r="T1432" s="1468"/>
      <c r="U1432" s="1468"/>
    </row>
    <row r="1433" spans="3:42" ht="27.95" customHeight="1">
      <c r="C1433" s="2215">
        <v>1</v>
      </c>
      <c r="D1433" s="2212" t="str">
        <f>J1425</f>
        <v>Jan</v>
      </c>
      <c r="E1433" s="2215" t="str">
        <f>E1431</f>
        <v>25</v>
      </c>
      <c r="G1433" s="2216">
        <f>DATEVALUE(CONCATENATE(C1433,"-",D1433,"-",E1433))</f>
        <v>45658</v>
      </c>
      <c r="J1433" s="2221">
        <f>IF(AND($K$1425=1,$D$1429=1,$D$1430=1),$G$1433,IF(AND($K$1425=2,$D$1429&lt;=30,$D$1430&lt;=6),$G$1433,$G$1434))</f>
        <v>46023</v>
      </c>
      <c r="P1433" s="3041"/>
      <c r="S1433" s="2215">
        <v>1</v>
      </c>
      <c r="T1433" s="2212" t="str">
        <f>Z1425</f>
        <v>Jan</v>
      </c>
      <c r="U1433" s="2215" t="str">
        <f>U1431</f>
        <v>25</v>
      </c>
      <c r="W1433" s="2216">
        <f>DATEVALUE(CONCATENATE(S1433,"-",T1433,"-",U1433))</f>
        <v>45658</v>
      </c>
      <c r="Z1433" s="2221">
        <f>IF(AND($AA$1425=1,$T$1429=1,$T$1430=1),$W$1433,IF(AND($AA$1425=2,$T$1429&lt;=30,$T$1430&lt;=6),$W$1433,$W$1434))</f>
        <v>46023</v>
      </c>
    </row>
    <row r="1434" spans="3:42" ht="27.95" customHeight="1">
      <c r="C1434" s="2215">
        <v>1</v>
      </c>
      <c r="D1434" s="2212" t="str">
        <f>D1433</f>
        <v>Jan</v>
      </c>
      <c r="E1434" s="2215">
        <f>E1431+1</f>
        <v>26</v>
      </c>
      <c r="G1434" s="2216">
        <f>DATEVALUE(CONCATENATE(C1434,"-",D1434,"-",E1434))</f>
        <v>46023</v>
      </c>
      <c r="P1434" s="3041"/>
      <c r="S1434" s="2215">
        <v>1</v>
      </c>
      <c r="T1434" s="2212" t="str">
        <f>T1433</f>
        <v>Jan</v>
      </c>
      <c r="U1434" s="2215">
        <f>U1431+1</f>
        <v>26</v>
      </c>
      <c r="W1434" s="2216">
        <f>DATEVALUE(CONCATENATE(S1434,"-",T1434,"-",U1434))</f>
        <v>46023</v>
      </c>
    </row>
    <row r="1435" spans="3:42" ht="27.95" customHeight="1">
      <c r="P1435" s="3041"/>
    </row>
    <row r="1436" spans="3:42" ht="27.95" customHeight="1">
      <c r="P1436" s="3041"/>
    </row>
    <row r="1437" spans="3:42" ht="27.95" customHeight="1">
      <c r="P1437" s="3041"/>
    </row>
    <row r="1438" spans="3:42" ht="27.95" customHeight="1">
      <c r="P1438" s="3041"/>
    </row>
    <row r="1439" spans="3:42" ht="27.95" customHeight="1">
      <c r="P1439" s="3041"/>
    </row>
    <row r="1440" spans="3:42" ht="27.95" customHeight="1">
      <c r="P1440" s="3041"/>
    </row>
    <row r="1441" spans="16:16" ht="27.95" customHeight="1">
      <c r="P1441" s="3041"/>
    </row>
    <row r="1442" spans="16:16" ht="27.95" customHeight="1">
      <c r="P1442" s="3041"/>
    </row>
    <row r="1443" spans="16:16" ht="27.95" customHeight="1">
      <c r="P1443" s="3041"/>
    </row>
    <row r="1444" spans="16:16" ht="27.95" customHeight="1">
      <c r="P1444" s="3041"/>
    </row>
    <row r="1445" spans="16:16" ht="27.95" customHeight="1">
      <c r="P1445" s="3041"/>
    </row>
    <row r="1446" spans="16:16" ht="27.95" customHeight="1">
      <c r="P1446" s="3041"/>
    </row>
    <row r="1447" spans="16:16" ht="27.95" customHeight="1">
      <c r="P1447" s="3041"/>
    </row>
    <row r="1448" spans="16:16" ht="27.95" customHeight="1">
      <c r="P1448" s="3041"/>
    </row>
    <row r="1449" spans="16:16" ht="27.95" customHeight="1">
      <c r="P1449" s="3041"/>
    </row>
    <row r="1450" spans="16:16" ht="27.95" customHeight="1">
      <c r="P1450" s="3041"/>
    </row>
    <row r="1451" spans="16:16" ht="27.95" customHeight="1">
      <c r="P1451" s="3041"/>
    </row>
    <row r="1452" spans="16:16" ht="27.95" customHeight="1">
      <c r="P1452" s="3041"/>
    </row>
    <row r="1453" spans="16:16" ht="27.95" customHeight="1">
      <c r="P1453" s="3041"/>
    </row>
    <row r="1454" spans="16:16" ht="27.95" customHeight="1">
      <c r="P1454" s="3041"/>
    </row>
    <row r="1455" spans="16:16" ht="27.95" customHeight="1">
      <c r="P1455" s="3041"/>
    </row>
    <row r="1456" spans="16:16" ht="27.95" customHeight="1">
      <c r="P1456" s="3041"/>
    </row>
    <row r="1457" spans="16:16" ht="27.95" customHeight="1">
      <c r="P1457" s="3041"/>
    </row>
    <row r="1458" spans="16:16" ht="27.95" customHeight="1">
      <c r="P1458" s="3041"/>
    </row>
    <row r="1459" spans="16:16" ht="27.95" customHeight="1">
      <c r="P1459" s="3041"/>
    </row>
    <row r="1460" spans="16:16" ht="27.95" customHeight="1">
      <c r="P1460" s="3041"/>
    </row>
    <row r="1461" spans="16:16" ht="27.95" customHeight="1">
      <c r="P1461" s="3041"/>
    </row>
    <row r="1462" spans="16:16" ht="27.95" customHeight="1">
      <c r="P1462" s="3041"/>
    </row>
    <row r="1463" spans="16:16" ht="27.95" customHeight="1">
      <c r="P1463" s="3041"/>
    </row>
    <row r="1464" spans="16:16" ht="27.95" customHeight="1">
      <c r="P1464" s="3041"/>
    </row>
    <row r="1465" spans="16:16" ht="27.95" customHeight="1">
      <c r="P1465" s="3041"/>
    </row>
    <row r="1466" spans="16:16" ht="27.95" customHeight="1">
      <c r="P1466" s="3041"/>
    </row>
    <row r="1467" spans="16:16" ht="27.95" customHeight="1">
      <c r="P1467" s="3041"/>
    </row>
    <row r="1468" spans="16:16" ht="27.95" customHeight="1">
      <c r="P1468" s="3041"/>
    </row>
    <row r="1469" spans="16:16" ht="27.95" customHeight="1">
      <c r="P1469" s="3041"/>
    </row>
    <row r="1470" spans="16:16" ht="27.95" customHeight="1">
      <c r="P1470" s="3041"/>
    </row>
    <row r="1471" spans="16:16" ht="27.95" customHeight="1">
      <c r="P1471" s="3041"/>
    </row>
    <row r="1472" spans="16:16" ht="27.95" customHeight="1">
      <c r="P1472" s="3041"/>
    </row>
    <row r="1473" spans="16:16" ht="27.95" customHeight="1">
      <c r="P1473" s="3041"/>
    </row>
    <row r="1474" spans="16:16" ht="27.95" customHeight="1">
      <c r="P1474" s="3041"/>
    </row>
    <row r="1475" spans="16:16" ht="27.95" customHeight="1">
      <c r="P1475" s="3041"/>
    </row>
    <row r="1476" spans="16:16" ht="27.95" customHeight="1">
      <c r="P1476" s="3041"/>
    </row>
    <row r="1477" spans="16:16" ht="27.95" customHeight="1">
      <c r="P1477" s="3041"/>
    </row>
    <row r="1478" spans="16:16" ht="27.95" customHeight="1">
      <c r="P1478" s="3041"/>
    </row>
    <row r="1479" spans="16:16" ht="27.95" customHeight="1">
      <c r="P1479" s="3041"/>
    </row>
    <row r="1480" spans="16:16" ht="27.95" customHeight="1">
      <c r="P1480" s="3041"/>
    </row>
    <row r="1481" spans="16:16" ht="27.95" customHeight="1">
      <c r="P1481" s="3041"/>
    </row>
    <row r="1482" spans="16:16" ht="27.95" customHeight="1">
      <c r="P1482" s="3041"/>
    </row>
    <row r="1483" spans="16:16" ht="27.95" customHeight="1">
      <c r="P1483" s="3041"/>
    </row>
    <row r="1484" spans="16:16" ht="27.95" customHeight="1">
      <c r="P1484" s="3041"/>
    </row>
    <row r="1485" spans="16:16" ht="27.95" customHeight="1">
      <c r="P1485" s="3041"/>
    </row>
    <row r="1486" spans="16:16" ht="27.95" customHeight="1">
      <c r="P1486" s="3041"/>
    </row>
    <row r="1487" spans="16:16" ht="27.95" customHeight="1">
      <c r="P1487" s="3041"/>
    </row>
    <row r="1488" spans="16:16" ht="27.95" customHeight="1">
      <c r="P1488" s="3041"/>
    </row>
    <row r="1489" spans="16:16" ht="27.95" customHeight="1">
      <c r="P1489" s="3041"/>
    </row>
    <row r="1490" spans="16:16" ht="27.95" customHeight="1">
      <c r="P1490" s="3041"/>
    </row>
    <row r="1491" spans="16:16" ht="27.95" customHeight="1">
      <c r="P1491" s="3041"/>
    </row>
    <row r="1492" spans="16:16" ht="27.95" customHeight="1">
      <c r="P1492" s="3041"/>
    </row>
    <row r="1493" spans="16:16" ht="27.95" customHeight="1">
      <c r="P1493" s="3041"/>
    </row>
    <row r="1494" spans="16:16" ht="27.95" customHeight="1">
      <c r="P1494" s="3041"/>
    </row>
    <row r="1495" spans="16:16" ht="27.95" customHeight="1">
      <c r="P1495" s="3041"/>
    </row>
    <row r="1496" spans="16:16" ht="27.95" customHeight="1">
      <c r="P1496" s="3041"/>
    </row>
    <row r="1497" spans="16:16" ht="27.95" customHeight="1">
      <c r="P1497" s="3041"/>
    </row>
    <row r="1498" spans="16:16" ht="27.95" customHeight="1">
      <c r="P1498" s="3041"/>
    </row>
    <row r="1499" spans="16:16" ht="27.95" customHeight="1">
      <c r="P1499" s="3041"/>
    </row>
    <row r="1500" spans="16:16" ht="27.95" customHeight="1">
      <c r="P1500" s="3041"/>
    </row>
    <row r="1501" spans="16:16" ht="27.95" customHeight="1">
      <c r="P1501" s="3041"/>
    </row>
    <row r="1502" spans="16:16" ht="27.95" customHeight="1">
      <c r="P1502" s="3041"/>
    </row>
    <row r="1503" spans="16:16" ht="27.95" customHeight="1">
      <c r="P1503" s="3041"/>
    </row>
    <row r="1504" spans="16:16" ht="27.95" customHeight="1">
      <c r="P1504" s="3041"/>
    </row>
    <row r="1505" spans="16:16" ht="27.95" customHeight="1">
      <c r="P1505" s="3041"/>
    </row>
    <row r="1506" spans="16:16" ht="27.95" customHeight="1">
      <c r="P1506" s="3041"/>
    </row>
    <row r="1507" spans="16:16" ht="27.95" customHeight="1">
      <c r="P1507" s="3041"/>
    </row>
    <row r="1508" spans="16:16" ht="27.95" customHeight="1">
      <c r="P1508" s="3041"/>
    </row>
    <row r="1509" spans="16:16" ht="27.95" customHeight="1">
      <c r="P1509" s="3041"/>
    </row>
    <row r="1510" spans="16:16" ht="27.95" customHeight="1">
      <c r="P1510" s="3041"/>
    </row>
    <row r="1511" spans="16:16" ht="27.95" customHeight="1">
      <c r="P1511" s="3041"/>
    </row>
    <row r="1512" spans="16:16" ht="27.95" customHeight="1">
      <c r="P1512" s="3041"/>
    </row>
    <row r="1513" spans="16:16" ht="27.95" customHeight="1">
      <c r="P1513" s="3041"/>
    </row>
    <row r="1514" spans="16:16" ht="27.95" customHeight="1">
      <c r="P1514" s="3041"/>
    </row>
    <row r="1515" spans="16:16" ht="27.95" customHeight="1">
      <c r="P1515" s="3041"/>
    </row>
    <row r="1516" spans="16:16" ht="27.95" customHeight="1">
      <c r="P1516" s="3041"/>
    </row>
    <row r="1517" spans="16:16" ht="27.95" customHeight="1">
      <c r="P1517" s="3041"/>
    </row>
    <row r="1518" spans="16:16" ht="27.95" customHeight="1">
      <c r="P1518" s="3041"/>
    </row>
    <row r="1519" spans="16:16" ht="27.95" customHeight="1">
      <c r="P1519" s="3041"/>
    </row>
    <row r="1520" spans="16:16" ht="27.95" customHeight="1">
      <c r="P1520" s="3041"/>
    </row>
    <row r="1521" spans="16:16" ht="27.95" customHeight="1">
      <c r="P1521" s="3041"/>
    </row>
    <row r="1522" spans="16:16" ht="27.95" customHeight="1">
      <c r="P1522" s="3041"/>
    </row>
    <row r="1523" spans="16:16" ht="27.95" customHeight="1">
      <c r="P1523" s="3041"/>
    </row>
    <row r="1524" spans="16:16" ht="27.95" customHeight="1">
      <c r="P1524" s="3041"/>
    </row>
    <row r="1525" spans="16:16" ht="27.95" customHeight="1">
      <c r="P1525" s="3041"/>
    </row>
    <row r="1526" spans="16:16" ht="27.95" customHeight="1">
      <c r="P1526" s="3041"/>
    </row>
    <row r="1527" spans="16:16" ht="27.95" customHeight="1">
      <c r="P1527" s="3041"/>
    </row>
    <row r="1528" spans="16:16" ht="27.95" customHeight="1">
      <c r="P1528" s="3041"/>
    </row>
    <row r="1529" spans="16:16" ht="27.95" customHeight="1">
      <c r="P1529" s="3041"/>
    </row>
    <row r="1530" spans="16:16" ht="27.95" customHeight="1">
      <c r="P1530" s="3041"/>
    </row>
    <row r="1531" spans="16:16" ht="27.95" customHeight="1">
      <c r="P1531" s="3041"/>
    </row>
    <row r="1532" spans="16:16" ht="27.95" customHeight="1">
      <c r="P1532" s="3041"/>
    </row>
    <row r="1533" spans="16:16" ht="27.95" customHeight="1">
      <c r="P1533" s="3041"/>
    </row>
    <row r="1534" spans="16:16" ht="27.95" customHeight="1">
      <c r="P1534" s="3041"/>
    </row>
    <row r="1535" spans="16:16" ht="27.95" customHeight="1">
      <c r="P1535" s="3041"/>
    </row>
    <row r="1536" spans="16:16" ht="27.95" customHeight="1">
      <c r="P1536" s="3041"/>
    </row>
    <row r="1537" spans="3:23" ht="27.95" customHeight="1">
      <c r="P1537" s="3041"/>
    </row>
    <row r="1538" spans="3:23" ht="27.95" customHeight="1">
      <c r="P1538" s="3041"/>
    </row>
    <row r="1539" spans="3:23" ht="27.95" customHeight="1">
      <c r="P1539" s="3041"/>
    </row>
    <row r="1540" spans="3:23" ht="27.95" customHeight="1">
      <c r="P1540" s="3041"/>
    </row>
    <row r="1541" spans="3:23" ht="27.95" customHeight="1">
      <c r="P1541" s="3041"/>
    </row>
    <row r="1542" spans="3:23" ht="27.95" customHeight="1">
      <c r="P1542" s="3041"/>
    </row>
    <row r="1543" spans="3:23" ht="27.95" customHeight="1">
      <c r="P1543" s="3041"/>
    </row>
    <row r="1544" spans="3:23" ht="27.95" customHeight="1">
      <c r="P1544" s="3041"/>
    </row>
    <row r="1545" spans="3:23" ht="27.95" customHeight="1">
      <c r="P1545" s="3041"/>
    </row>
    <row r="1546" spans="3:23" ht="27.95" customHeight="1">
      <c r="P1546" s="3041"/>
    </row>
    <row r="1547" spans="3:23" ht="27.95" customHeight="1">
      <c r="D1547" s="5753" t="str">
        <f>CONCATENATE("Aftrer acqiring  Incentive Increments for"," ", BV3," Qualification,Basic Pays are regulated as followes")</f>
        <v>Aftrer acqiring  Incentive Increments for Ph.D Qualification,Basic Pays are regulated as followes</v>
      </c>
      <c r="E1547" s="5754"/>
      <c r="F1547" s="5755"/>
      <c r="P1547" s="3041"/>
      <c r="S1547" s="5746" t="str">
        <f>CONCATENATE("Aftrer acqiring  Incentive Increments for"," ", CK3," Qualification,Basic Pays are regulated as followes")</f>
        <v>Aftrer acqiring  Incentive Increments for  Qualification,Basic Pays are regulated as followes</v>
      </c>
      <c r="T1547" s="5747"/>
      <c r="U1547" s="5748"/>
    </row>
    <row r="1548" spans="3:23" ht="27.95" customHeight="1">
      <c r="D1548" s="5756"/>
      <c r="E1548" s="5757"/>
      <c r="F1548" s="5758"/>
      <c r="P1548" s="3041"/>
      <c r="S1548" s="5749"/>
      <c r="T1548" s="5750"/>
      <c r="U1548" s="5751"/>
    </row>
    <row r="1549" spans="3:23" ht="27.95" customHeight="1">
      <c r="D1549" s="3020" t="s">
        <v>176</v>
      </c>
      <c r="E1549" s="3020" t="s">
        <v>182</v>
      </c>
      <c r="F1549" s="3020" t="s">
        <v>226</v>
      </c>
      <c r="P1549" s="3041"/>
      <c r="S1549" s="3020" t="s">
        <v>176</v>
      </c>
      <c r="T1549" s="3020" t="s">
        <v>182</v>
      </c>
      <c r="U1549" s="3020" t="s">
        <v>226</v>
      </c>
    </row>
    <row r="1550" spans="3:23" ht="27.95" customHeight="1">
      <c r="C1550" s="1458">
        <f>MATCH($F$1550,$G$1376:$G$1415,0)</f>
        <v>15</v>
      </c>
      <c r="D1550" s="3031">
        <v>1</v>
      </c>
      <c r="E1550" s="3032">
        <f>BU11</f>
        <v>45901</v>
      </c>
      <c r="F1550" s="3020">
        <f>BV11</f>
        <v>104200</v>
      </c>
      <c r="P1550" s="3041"/>
      <c r="R1550" s="1458">
        <f ca="1">MATCH(U1550,$K$1376:$K$1415,0)</f>
        <v>11</v>
      </c>
      <c r="S1550" s="3031">
        <v>1</v>
      </c>
      <c r="T1550" s="3032">
        <f>DR11</f>
        <v>45717</v>
      </c>
      <c r="U1550" s="3020">
        <f ca="1">DS11</f>
        <v>107200</v>
      </c>
    </row>
    <row r="1551" spans="3:23" ht="27.95" customHeight="1">
      <c r="C1551" s="856">
        <f>IF(E1551="","",C1550+1)</f>
        <v>16</v>
      </c>
      <c r="D1551" s="3031">
        <v>2</v>
      </c>
      <c r="E1551" s="3033">
        <f>BV10</f>
        <v>46023</v>
      </c>
      <c r="F1551" s="3020">
        <f>IF(C1551="","",LOOKUP(C1551,$F$1376:$F$1415,$G$1376:$G$1415))</f>
        <v>107300</v>
      </c>
      <c r="H1551" s="1485" t="str">
        <f>IF(YEAR(E1551)&lt;2023,DATEVALUE(CONCATENATE(MONTH(E1551),"-",YEAR(E1551)+1)),"")</f>
        <v/>
      </c>
      <c r="P1551" s="3041"/>
      <c r="R1551" s="856">
        <f ca="1">IF(T1551="","",R1550+1)</f>
        <v>12</v>
      </c>
      <c r="S1551" s="3031">
        <v>2</v>
      </c>
      <c r="T1551" s="3033">
        <f>DS10</f>
        <v>46023</v>
      </c>
      <c r="U1551" s="3020">
        <f ca="1">IF(R1551="","",LOOKUP(R1551,$J$1376:$J$1415,$K$1376:$K$1415))</f>
        <v>110400</v>
      </c>
      <c r="W1551" s="1485" t="str">
        <f>IF(YEAR(T1551)&lt;2023,DATEVALUE(CONCATENATE(MONTH(T1551),"-",YEAR(T1551)+1)),"")</f>
        <v/>
      </c>
    </row>
    <row r="1552" spans="3:23" ht="27.95" customHeight="1">
      <c r="C1552" s="955" t="str">
        <f t="shared" ref="C1552:C1557" si="327">IF(E1552="","",C1551+1)</f>
        <v/>
      </c>
      <c r="D1552" s="3031">
        <v>3</v>
      </c>
      <c r="E1552" s="3034" t="str">
        <f>IF(ISERROR(H1551)=TRUE,"",H1551)</f>
        <v/>
      </c>
      <c r="F1552" s="3020" t="str">
        <f t="shared" ref="F1552:F1557" si="328">IF(C1552="","",LOOKUP(C1552,$F$1376:$F$1415,$G$1376:$G$1415))</f>
        <v/>
      </c>
      <c r="H1552" s="1485" t="e">
        <f t="shared" ref="H1552:H1557" si="329">IF(YEAR(E1552)&lt;2023,DATEVALUE(CONCATENATE(MONTH(E1552),"-",YEAR(E1552)+1)),"")</f>
        <v>#VALUE!</v>
      </c>
      <c r="P1552" s="3041"/>
      <c r="R1552" s="955" t="str">
        <f t="shared" ref="R1552:R1557" si="330">IF(T1552="","",R1551+1)</f>
        <v/>
      </c>
      <c r="S1552" s="3031">
        <v>3</v>
      </c>
      <c r="T1552" s="3034" t="str">
        <f>IF(ISERROR(W1551)=TRUE,"",W1551)</f>
        <v/>
      </c>
      <c r="U1552" s="3020" t="str">
        <f t="shared" ref="U1552:U1557" si="331">IF(R1552="","",LOOKUP(R1552,$J$1376:$J$1415,$K$1376:$K$1415))</f>
        <v/>
      </c>
      <c r="W1552" s="1485" t="e">
        <f t="shared" ref="W1552:W1557" si="332">IF(YEAR(T1552)&lt;2023,DATEVALUE(CONCATENATE(MONTH(T1552),"-",YEAR(T1552)+1)),"")</f>
        <v>#VALUE!</v>
      </c>
    </row>
    <row r="1553" spans="3:23" ht="27.95" customHeight="1">
      <c r="C1553" s="955" t="str">
        <f t="shared" si="327"/>
        <v/>
      </c>
      <c r="D1553" s="3031">
        <v>4</v>
      </c>
      <c r="E1553" s="3034" t="str">
        <f t="shared" ref="E1553:E1557" si="333">IF(ISERROR(H1552)=TRUE,"",H1552)</f>
        <v/>
      </c>
      <c r="F1553" s="3020" t="str">
        <f t="shared" si="328"/>
        <v/>
      </c>
      <c r="H1553" s="1485" t="e">
        <f t="shared" si="329"/>
        <v>#VALUE!</v>
      </c>
      <c r="P1553" s="3041"/>
      <c r="R1553" s="955" t="str">
        <f t="shared" si="330"/>
        <v/>
      </c>
      <c r="S1553" s="3031">
        <v>4</v>
      </c>
      <c r="T1553" s="3034" t="str">
        <f t="shared" ref="T1553:T1557" si="334">IF(ISERROR(W1552)=TRUE,"",W1552)</f>
        <v/>
      </c>
      <c r="U1553" s="3020" t="str">
        <f t="shared" si="331"/>
        <v/>
      </c>
      <c r="W1553" s="1485" t="e">
        <f t="shared" si="332"/>
        <v>#VALUE!</v>
      </c>
    </row>
    <row r="1554" spans="3:23" ht="27.95" customHeight="1">
      <c r="C1554" s="955" t="str">
        <f t="shared" si="327"/>
        <v/>
      </c>
      <c r="D1554" s="3031">
        <v>5</v>
      </c>
      <c r="E1554" s="3034" t="str">
        <f t="shared" si="333"/>
        <v/>
      </c>
      <c r="F1554" s="3020" t="str">
        <f t="shared" si="328"/>
        <v/>
      </c>
      <c r="H1554" s="1485" t="e">
        <f t="shared" si="329"/>
        <v>#VALUE!</v>
      </c>
      <c r="P1554" s="3041"/>
      <c r="R1554" s="955" t="str">
        <f t="shared" si="330"/>
        <v/>
      </c>
      <c r="S1554" s="3031">
        <v>5</v>
      </c>
      <c r="T1554" s="3034" t="str">
        <f t="shared" si="334"/>
        <v/>
      </c>
      <c r="U1554" s="3020" t="str">
        <f t="shared" si="331"/>
        <v/>
      </c>
      <c r="W1554" s="1485" t="e">
        <f t="shared" si="332"/>
        <v>#VALUE!</v>
      </c>
    </row>
    <row r="1555" spans="3:23" ht="27.95" customHeight="1">
      <c r="C1555" s="955" t="str">
        <f t="shared" si="327"/>
        <v/>
      </c>
      <c r="D1555" s="3031">
        <v>6</v>
      </c>
      <c r="E1555" s="3034" t="str">
        <f t="shared" si="333"/>
        <v/>
      </c>
      <c r="F1555" s="3020" t="str">
        <f t="shared" si="328"/>
        <v/>
      </c>
      <c r="H1555" s="1485" t="e">
        <f t="shared" si="329"/>
        <v>#VALUE!</v>
      </c>
      <c r="P1555" s="3041"/>
      <c r="R1555" s="955" t="str">
        <f t="shared" si="330"/>
        <v/>
      </c>
      <c r="S1555" s="3031">
        <v>6</v>
      </c>
      <c r="T1555" s="3034" t="str">
        <f t="shared" si="334"/>
        <v/>
      </c>
      <c r="U1555" s="3020" t="str">
        <f t="shared" si="331"/>
        <v/>
      </c>
      <c r="W1555" s="1485" t="e">
        <f t="shared" si="332"/>
        <v>#VALUE!</v>
      </c>
    </row>
    <row r="1556" spans="3:23" ht="27.95" customHeight="1">
      <c r="C1556" s="955" t="str">
        <f t="shared" si="327"/>
        <v/>
      </c>
      <c r="D1556" s="3031">
        <v>7</v>
      </c>
      <c r="E1556" s="3034" t="str">
        <f t="shared" si="333"/>
        <v/>
      </c>
      <c r="F1556" s="3020" t="str">
        <f t="shared" si="328"/>
        <v/>
      </c>
      <c r="H1556" s="1485" t="e">
        <f t="shared" si="329"/>
        <v>#VALUE!</v>
      </c>
      <c r="P1556" s="3041"/>
      <c r="R1556" s="955" t="str">
        <f t="shared" si="330"/>
        <v/>
      </c>
      <c r="S1556" s="3031">
        <v>7</v>
      </c>
      <c r="T1556" s="3034" t="str">
        <f t="shared" si="334"/>
        <v/>
      </c>
      <c r="U1556" s="3020" t="str">
        <f t="shared" si="331"/>
        <v/>
      </c>
      <c r="W1556" s="1485" t="e">
        <f t="shared" si="332"/>
        <v>#VALUE!</v>
      </c>
    </row>
    <row r="1557" spans="3:23" ht="27.95" customHeight="1">
      <c r="C1557" s="955" t="str">
        <f t="shared" si="327"/>
        <v/>
      </c>
      <c r="D1557" s="3031">
        <v>8</v>
      </c>
      <c r="E1557" s="3034" t="str">
        <f t="shared" si="333"/>
        <v/>
      </c>
      <c r="F1557" s="3020" t="str">
        <f t="shared" si="328"/>
        <v/>
      </c>
      <c r="H1557" s="1485" t="e">
        <f t="shared" si="329"/>
        <v>#VALUE!</v>
      </c>
      <c r="P1557" s="3041"/>
      <c r="R1557" s="955" t="str">
        <f t="shared" si="330"/>
        <v/>
      </c>
      <c r="S1557" s="3031">
        <v>8</v>
      </c>
      <c r="T1557" s="3034" t="str">
        <f t="shared" si="334"/>
        <v/>
      </c>
      <c r="U1557" s="3020" t="str">
        <f t="shared" si="331"/>
        <v/>
      </c>
      <c r="W1557" s="1485" t="e">
        <f t="shared" si="332"/>
        <v>#VALUE!</v>
      </c>
    </row>
    <row r="1558" spans="3:23" ht="27.95" customHeight="1">
      <c r="P1558" s="3041"/>
    </row>
    <row r="1559" spans="3:23" ht="27.95" customHeight="1">
      <c r="P1559" s="3041"/>
    </row>
    <row r="1560" spans="3:23" ht="27.95" customHeight="1">
      <c r="P1560" s="3041"/>
    </row>
    <row r="1561" spans="3:23" ht="27.95" customHeight="1">
      <c r="P1561" s="3041"/>
    </row>
    <row r="1562" spans="3:23" ht="27.95" customHeight="1">
      <c r="P1562" s="3041"/>
    </row>
    <row r="1563" spans="3:23" ht="27.95" customHeight="1">
      <c r="P1563" s="3041"/>
    </row>
    <row r="1564" spans="3:23" ht="27.95" customHeight="1">
      <c r="P1564" s="3041"/>
    </row>
    <row r="1565" spans="3:23" ht="27.95" customHeight="1">
      <c r="P1565" s="3041"/>
    </row>
    <row r="1566" spans="3:23" ht="27.95" customHeight="1">
      <c r="P1566" s="3041"/>
    </row>
    <row r="1567" spans="3:23" ht="27.95" customHeight="1">
      <c r="P1567" s="3041"/>
    </row>
    <row r="1568" spans="3:23" ht="27.95" customHeight="1">
      <c r="P1568" s="3041"/>
    </row>
    <row r="1569" spans="16:16" ht="27.95" customHeight="1">
      <c r="P1569" s="3041"/>
    </row>
    <row r="1570" spans="16:16" ht="27.95" customHeight="1">
      <c r="P1570" s="3041"/>
    </row>
    <row r="1571" spans="16:16" ht="27.95" customHeight="1">
      <c r="P1571" s="3041"/>
    </row>
    <row r="1572" spans="16:16" ht="27.95" customHeight="1">
      <c r="P1572" s="3041"/>
    </row>
    <row r="1573" spans="16:16" ht="27.95" customHeight="1">
      <c r="P1573" s="3041"/>
    </row>
    <row r="1574" spans="16:16" ht="27.95" customHeight="1">
      <c r="P1574" s="3041"/>
    </row>
    <row r="1575" spans="16:16" ht="27.95" customHeight="1">
      <c r="P1575" s="3041"/>
    </row>
    <row r="1576" spans="16:16" ht="27.95" customHeight="1">
      <c r="P1576" s="3041"/>
    </row>
    <row r="1577" spans="16:16" ht="27.95" customHeight="1">
      <c r="P1577" s="3041"/>
    </row>
    <row r="1578" spans="16:16" ht="27.95" customHeight="1">
      <c r="P1578" s="3041"/>
    </row>
    <row r="1579" spans="16:16" ht="27.95" customHeight="1">
      <c r="P1579" s="3041"/>
    </row>
    <row r="1580" spans="16:16" ht="27.95" customHeight="1">
      <c r="P1580" s="3041"/>
    </row>
    <row r="1581" spans="16:16" ht="27.95" customHeight="1">
      <c r="P1581" s="3041"/>
    </row>
    <row r="1582" spans="16:16" ht="27.95" customHeight="1">
      <c r="P1582" s="3041"/>
    </row>
    <row r="1583" spans="16:16" ht="27.95" customHeight="1">
      <c r="P1583" s="3041"/>
    </row>
    <row r="1584" spans="16:16" ht="27.95" customHeight="1">
      <c r="P1584" s="3041"/>
    </row>
    <row r="1585" spans="16:16" ht="27.95" customHeight="1">
      <c r="P1585" s="3041"/>
    </row>
    <row r="1586" spans="16:16" ht="27.95" customHeight="1">
      <c r="P1586" s="3041"/>
    </row>
    <row r="1587" spans="16:16" ht="27.95" customHeight="1">
      <c r="P1587" s="3041"/>
    </row>
    <row r="1588" spans="16:16" ht="27.95" customHeight="1">
      <c r="P1588" s="3041"/>
    </row>
    <row r="1589" spans="16:16" ht="27.95" customHeight="1">
      <c r="P1589" s="3041"/>
    </row>
    <row r="1590" spans="16:16" ht="27.95" customHeight="1">
      <c r="P1590" s="3041"/>
    </row>
    <row r="1591" spans="16:16" ht="27.95" customHeight="1">
      <c r="P1591" s="3041"/>
    </row>
    <row r="1592" spans="16:16" ht="27.95" customHeight="1">
      <c r="P1592" s="3041"/>
    </row>
    <row r="1593" spans="16:16" ht="27.95" customHeight="1">
      <c r="P1593" s="3041"/>
    </row>
    <row r="1594" spans="16:16" ht="27.95" customHeight="1">
      <c r="P1594" s="3041"/>
    </row>
    <row r="1595" spans="16:16" ht="27.95" customHeight="1">
      <c r="P1595" s="3041"/>
    </row>
    <row r="1596" spans="16:16" ht="27.95" customHeight="1">
      <c r="P1596" s="3041"/>
    </row>
    <row r="1597" spans="16:16" ht="27.95" customHeight="1">
      <c r="P1597" s="3041"/>
    </row>
    <row r="1598" spans="16:16" ht="27.95" customHeight="1">
      <c r="P1598" s="3041"/>
    </row>
    <row r="1599" spans="16:16" ht="27.95" customHeight="1">
      <c r="P1599" s="3041"/>
    </row>
    <row r="1600" spans="16:16" ht="27.95" customHeight="1">
      <c r="P1600" s="3041"/>
    </row>
    <row r="1601" spans="6:27" ht="27.95" customHeight="1">
      <c r="F1601" s="1484" t="s">
        <v>176</v>
      </c>
      <c r="G1601" s="1484" t="s">
        <v>182</v>
      </c>
      <c r="H1601" s="1484" t="s">
        <v>226</v>
      </c>
      <c r="J1601" s="3036" t="s">
        <v>176</v>
      </c>
      <c r="K1601" s="3036" t="s">
        <v>182</v>
      </c>
      <c r="L1601" s="3036" t="s">
        <v>226</v>
      </c>
      <c r="P1601" s="3041"/>
      <c r="U1601" s="1484" t="s">
        <v>176</v>
      </c>
      <c r="V1601" s="1484" t="s">
        <v>182</v>
      </c>
      <c r="W1601" s="1484" t="s">
        <v>226</v>
      </c>
      <c r="Y1601" s="3036" t="s">
        <v>176</v>
      </c>
      <c r="Z1601" s="3036" t="s">
        <v>182</v>
      </c>
      <c r="AA1601" s="3036" t="s">
        <v>226</v>
      </c>
    </row>
    <row r="1602" spans="6:27" ht="27.95" customHeight="1">
      <c r="F1602" s="1139">
        <v>1</v>
      </c>
      <c r="G1602" s="3017">
        <v>43466</v>
      </c>
      <c r="H1602" s="3020" t="str">
        <f>IF(G1602&gt;=$E$1557,$F$1557,IF(G1602&gt;=$E$1556,$F$1556,IF(G1602&gt;=$E$1555,$F$1555,IF(G1602&gt;=$E$1554,$F$1554,IF(G1602&gt;=$E$1553,$F$1553,IF(G1602&gt;=$E$1552,$F$1552,IF(G1602&gt;=$E$1551,$F$1551,IF(G1602&gt;=$E$1550,$F$1550,""))))))))</f>
        <v/>
      </c>
      <c r="J1602" s="3020">
        <v>1</v>
      </c>
      <c r="K1602" s="3017">
        <v>45717</v>
      </c>
      <c r="L1602" s="3020" t="str">
        <f>VLOOKUP(K1602,$G$1602:$H$1687,2)</f>
        <v/>
      </c>
      <c r="P1602" s="3041"/>
      <c r="U1602" s="1139">
        <v>1</v>
      </c>
      <c r="V1602" s="3017">
        <v>43466</v>
      </c>
      <c r="W1602" s="3020" t="str">
        <f>IF(V1602&gt;=$T$1557,$U$1557,IF(V1602&gt;=$T$1556,$U$1556,IF(V1602&gt;=$T$1555,$U$1555,IF(V1602&gt;=$T$1554,$U$1554,IF(V1602&gt;=$T$1553,$U$1553,IF(V1602&gt;=$T$1552,$U$1552,IF(V1602&gt;=$T$1551,$U$1551,IF(V1602&gt;=$T$1550,$U$1550,""))))))))</f>
        <v/>
      </c>
      <c r="Y1602" s="3020">
        <v>1</v>
      </c>
      <c r="Z1602" s="3017">
        <v>45717</v>
      </c>
      <c r="AA1602" s="3020">
        <f ca="1">VLOOKUP(Z1602,$V$1602:$W$1687,2)</f>
        <v>107200</v>
      </c>
    </row>
    <row r="1603" spans="6:27" ht="27.95" customHeight="1">
      <c r="F1603" s="1139">
        <v>2</v>
      </c>
      <c r="G1603" s="3017">
        <v>43497</v>
      </c>
      <c r="H1603" s="3020" t="str">
        <f t="shared" ref="H1603:H1666" si="335">IF(G1603&gt;=$E$1557,$F$1557,IF(G1603&gt;=$E$1556,$F$1556,IF(G1603&gt;=$E$1555,$F$1555,IF(G1603&gt;=$E$1554,$F$1554,IF(G1603&gt;=$E$1553,$F$1553,IF(G1603&gt;=$E$1552,$F$1552,IF(G1603&gt;=$E$1551,$F$1551,IF(G1603&gt;=$E$1550,$F$1550,""))))))))</f>
        <v/>
      </c>
      <c r="J1603" s="3020">
        <v>2</v>
      </c>
      <c r="K1603" s="3017">
        <v>45748</v>
      </c>
      <c r="L1603" s="3020" t="str">
        <f t="shared" ref="L1603:L1613" si="336">VLOOKUP(K1603,$G$1602:$H$1687,2)</f>
        <v/>
      </c>
      <c r="P1603" s="3041"/>
      <c r="U1603" s="1139">
        <v>2</v>
      </c>
      <c r="V1603" s="3017">
        <v>43497</v>
      </c>
      <c r="W1603" s="3020" t="str">
        <f t="shared" ref="W1603:W1666" si="337">IF(V1603&gt;=$T$1557,$U$1557,IF(V1603&gt;=$T$1556,$U$1556,IF(V1603&gt;=$T$1555,$U$1555,IF(V1603&gt;=$T$1554,$U$1554,IF(V1603&gt;=$T$1553,$U$1553,IF(V1603&gt;=$T$1552,$U$1552,IF(V1603&gt;=$T$1551,$U$1551,IF(V1603&gt;=$T$1550,$U$1550,""))))))))</f>
        <v/>
      </c>
      <c r="Y1603" s="3020">
        <v>2</v>
      </c>
      <c r="Z1603" s="3017">
        <v>45748</v>
      </c>
      <c r="AA1603" s="3020">
        <f t="shared" ref="AA1603:AA1613" ca="1" si="338">VLOOKUP(Z1603,$V$1602:$W$1687,2)</f>
        <v>107200</v>
      </c>
    </row>
    <row r="1604" spans="6:27" ht="27.95" customHeight="1">
      <c r="F1604" s="1139">
        <v>3</v>
      </c>
      <c r="G1604" s="3017">
        <v>43525</v>
      </c>
      <c r="H1604" s="3020" t="str">
        <f t="shared" si="335"/>
        <v/>
      </c>
      <c r="J1604" s="3020">
        <v>3</v>
      </c>
      <c r="K1604" s="3017">
        <v>45778</v>
      </c>
      <c r="L1604" s="3020" t="str">
        <f t="shared" si="336"/>
        <v/>
      </c>
      <c r="P1604" s="3041"/>
      <c r="U1604" s="1139">
        <v>3</v>
      </c>
      <c r="V1604" s="3017">
        <v>43525</v>
      </c>
      <c r="W1604" s="3020" t="str">
        <f t="shared" si="337"/>
        <v/>
      </c>
      <c r="Y1604" s="3020">
        <v>3</v>
      </c>
      <c r="Z1604" s="3017">
        <v>45778</v>
      </c>
      <c r="AA1604" s="3020">
        <f t="shared" ca="1" si="338"/>
        <v>107200</v>
      </c>
    </row>
    <row r="1605" spans="6:27" ht="27.95" customHeight="1">
      <c r="F1605" s="1139">
        <v>4</v>
      </c>
      <c r="G1605" s="3017">
        <v>43556</v>
      </c>
      <c r="H1605" s="3020" t="str">
        <f t="shared" si="335"/>
        <v/>
      </c>
      <c r="J1605" s="3020">
        <v>4</v>
      </c>
      <c r="K1605" s="3017">
        <v>45809</v>
      </c>
      <c r="L1605" s="3020" t="str">
        <f t="shared" si="336"/>
        <v/>
      </c>
      <c r="P1605" s="3041"/>
      <c r="U1605" s="1139">
        <v>4</v>
      </c>
      <c r="V1605" s="3017">
        <v>43556</v>
      </c>
      <c r="W1605" s="3020" t="str">
        <f t="shared" si="337"/>
        <v/>
      </c>
      <c r="Y1605" s="3020">
        <v>4</v>
      </c>
      <c r="Z1605" s="3017">
        <v>45809</v>
      </c>
      <c r="AA1605" s="3020">
        <f t="shared" ca="1" si="338"/>
        <v>107200</v>
      </c>
    </row>
    <row r="1606" spans="6:27" ht="27.95" customHeight="1">
      <c r="F1606" s="1139">
        <v>5</v>
      </c>
      <c r="G1606" s="3017">
        <v>43586</v>
      </c>
      <c r="H1606" s="3020" t="str">
        <f t="shared" si="335"/>
        <v/>
      </c>
      <c r="J1606" s="3020">
        <v>5</v>
      </c>
      <c r="K1606" s="3017">
        <v>45839</v>
      </c>
      <c r="L1606" s="3020" t="str">
        <f t="shared" si="336"/>
        <v/>
      </c>
      <c r="P1606" s="3041"/>
      <c r="U1606" s="1139">
        <v>5</v>
      </c>
      <c r="V1606" s="3017">
        <v>43586</v>
      </c>
      <c r="W1606" s="3020" t="str">
        <f t="shared" si="337"/>
        <v/>
      </c>
      <c r="Y1606" s="3020">
        <v>5</v>
      </c>
      <c r="Z1606" s="3017">
        <v>45839</v>
      </c>
      <c r="AA1606" s="3020">
        <f t="shared" ca="1" si="338"/>
        <v>107200</v>
      </c>
    </row>
    <row r="1607" spans="6:27" ht="27.95" customHeight="1">
      <c r="F1607" s="1139">
        <v>6</v>
      </c>
      <c r="G1607" s="3017">
        <v>43617</v>
      </c>
      <c r="H1607" s="3020" t="str">
        <f t="shared" si="335"/>
        <v/>
      </c>
      <c r="J1607" s="3020">
        <v>6</v>
      </c>
      <c r="K1607" s="3017">
        <v>45870</v>
      </c>
      <c r="L1607" s="3020" t="str">
        <f t="shared" si="336"/>
        <v/>
      </c>
      <c r="P1607" s="3041"/>
      <c r="U1607" s="1139">
        <v>6</v>
      </c>
      <c r="V1607" s="3017">
        <v>43617</v>
      </c>
      <c r="W1607" s="3020" t="str">
        <f t="shared" si="337"/>
        <v/>
      </c>
      <c r="Y1607" s="3020">
        <v>6</v>
      </c>
      <c r="Z1607" s="3017">
        <v>45870</v>
      </c>
      <c r="AA1607" s="3020">
        <f t="shared" ca="1" si="338"/>
        <v>107200</v>
      </c>
    </row>
    <row r="1608" spans="6:27" ht="27.95" customHeight="1">
      <c r="F1608" s="1139">
        <v>7</v>
      </c>
      <c r="G1608" s="3017">
        <v>43647</v>
      </c>
      <c r="H1608" s="3020" t="str">
        <f t="shared" si="335"/>
        <v/>
      </c>
      <c r="J1608" s="3020">
        <v>7</v>
      </c>
      <c r="K1608" s="3017">
        <v>45901</v>
      </c>
      <c r="L1608" s="3020">
        <f t="shared" si="336"/>
        <v>104200</v>
      </c>
      <c r="P1608" s="3041"/>
      <c r="U1608" s="1139">
        <v>7</v>
      </c>
      <c r="V1608" s="3017">
        <v>43647</v>
      </c>
      <c r="W1608" s="3020" t="str">
        <f t="shared" si="337"/>
        <v/>
      </c>
      <c r="Y1608" s="3020">
        <v>7</v>
      </c>
      <c r="Z1608" s="3017">
        <v>45901</v>
      </c>
      <c r="AA1608" s="3020">
        <f t="shared" ca="1" si="338"/>
        <v>107200</v>
      </c>
    </row>
    <row r="1609" spans="6:27" ht="27.95" customHeight="1">
      <c r="F1609" s="1139">
        <v>8</v>
      </c>
      <c r="G1609" s="3017">
        <v>43678</v>
      </c>
      <c r="H1609" s="3020" t="str">
        <f t="shared" si="335"/>
        <v/>
      </c>
      <c r="J1609" s="3020">
        <v>8</v>
      </c>
      <c r="K1609" s="3017">
        <v>45931</v>
      </c>
      <c r="L1609" s="3020">
        <f t="shared" si="336"/>
        <v>104200</v>
      </c>
      <c r="P1609" s="3041"/>
      <c r="U1609" s="1139">
        <v>8</v>
      </c>
      <c r="V1609" s="3017">
        <v>43678</v>
      </c>
      <c r="W1609" s="3020" t="str">
        <f t="shared" si="337"/>
        <v/>
      </c>
      <c r="Y1609" s="3020">
        <v>8</v>
      </c>
      <c r="Z1609" s="3017">
        <v>45931</v>
      </c>
      <c r="AA1609" s="3020">
        <f t="shared" ca="1" si="338"/>
        <v>107200</v>
      </c>
    </row>
    <row r="1610" spans="6:27" ht="27.95" customHeight="1">
      <c r="F1610" s="1139">
        <v>9</v>
      </c>
      <c r="G1610" s="3017">
        <v>43709</v>
      </c>
      <c r="H1610" s="3020" t="str">
        <f t="shared" si="335"/>
        <v/>
      </c>
      <c r="J1610" s="3020">
        <v>9</v>
      </c>
      <c r="K1610" s="3017">
        <v>45962</v>
      </c>
      <c r="L1610" s="3020">
        <f t="shared" si="336"/>
        <v>104200</v>
      </c>
      <c r="P1610" s="3041"/>
      <c r="U1610" s="1139">
        <v>9</v>
      </c>
      <c r="V1610" s="3017">
        <v>43709</v>
      </c>
      <c r="W1610" s="3020" t="str">
        <f t="shared" si="337"/>
        <v/>
      </c>
      <c r="Y1610" s="3020">
        <v>9</v>
      </c>
      <c r="Z1610" s="3017">
        <v>45962</v>
      </c>
      <c r="AA1610" s="3020">
        <f t="shared" ca="1" si="338"/>
        <v>107200</v>
      </c>
    </row>
    <row r="1611" spans="6:27" ht="27.95" customHeight="1">
      <c r="F1611" s="1139">
        <v>10</v>
      </c>
      <c r="G1611" s="3017">
        <v>43739</v>
      </c>
      <c r="H1611" s="3020" t="str">
        <f t="shared" si="335"/>
        <v/>
      </c>
      <c r="J1611" s="3020">
        <v>10</v>
      </c>
      <c r="K1611" s="3017">
        <v>45992</v>
      </c>
      <c r="L1611" s="3020">
        <f t="shared" si="336"/>
        <v>104200</v>
      </c>
      <c r="P1611" s="3041"/>
      <c r="U1611" s="1139">
        <v>10</v>
      </c>
      <c r="V1611" s="3017">
        <v>43739</v>
      </c>
      <c r="W1611" s="3020" t="str">
        <f t="shared" si="337"/>
        <v/>
      </c>
      <c r="Y1611" s="3020">
        <v>10</v>
      </c>
      <c r="Z1611" s="3017">
        <v>45992</v>
      </c>
      <c r="AA1611" s="3020">
        <f t="shared" ca="1" si="338"/>
        <v>107200</v>
      </c>
    </row>
    <row r="1612" spans="6:27" ht="27.95" customHeight="1">
      <c r="F1612" s="1139">
        <v>11</v>
      </c>
      <c r="G1612" s="3017">
        <v>43770</v>
      </c>
      <c r="H1612" s="3020" t="str">
        <f t="shared" si="335"/>
        <v/>
      </c>
      <c r="J1612" s="3020">
        <v>11</v>
      </c>
      <c r="K1612" s="3017">
        <v>46023</v>
      </c>
      <c r="L1612" s="3020">
        <f t="shared" si="336"/>
        <v>107300</v>
      </c>
      <c r="P1612" s="3041"/>
      <c r="U1612" s="1139">
        <v>11</v>
      </c>
      <c r="V1612" s="3017">
        <v>43770</v>
      </c>
      <c r="W1612" s="3020" t="str">
        <f t="shared" si="337"/>
        <v/>
      </c>
      <c r="Y1612" s="3020">
        <v>11</v>
      </c>
      <c r="Z1612" s="3017">
        <v>46023</v>
      </c>
      <c r="AA1612" s="3020">
        <f t="shared" ca="1" si="338"/>
        <v>110400</v>
      </c>
    </row>
    <row r="1613" spans="6:27" ht="27.95" customHeight="1">
      <c r="F1613" s="1139">
        <v>12</v>
      </c>
      <c r="G1613" s="3017">
        <v>43800</v>
      </c>
      <c r="H1613" s="3020" t="str">
        <f t="shared" si="335"/>
        <v/>
      </c>
      <c r="J1613" s="3020">
        <v>12</v>
      </c>
      <c r="K1613" s="3017">
        <v>46054</v>
      </c>
      <c r="L1613" s="3020">
        <f t="shared" si="336"/>
        <v>107300</v>
      </c>
      <c r="P1613" s="3041"/>
      <c r="U1613" s="1139">
        <v>12</v>
      </c>
      <c r="V1613" s="3017">
        <v>43800</v>
      </c>
      <c r="W1613" s="3020" t="str">
        <f t="shared" si="337"/>
        <v/>
      </c>
      <c r="Y1613" s="3020">
        <v>12</v>
      </c>
      <c r="Z1613" s="3017">
        <v>46054</v>
      </c>
      <c r="AA1613" s="3020">
        <f t="shared" ca="1" si="338"/>
        <v>110400</v>
      </c>
    </row>
    <row r="1614" spans="6:27" ht="27.95" customHeight="1">
      <c r="F1614" s="1139">
        <v>13</v>
      </c>
      <c r="G1614" s="3017">
        <v>43831</v>
      </c>
      <c r="H1614" s="3020" t="str">
        <f t="shared" si="335"/>
        <v/>
      </c>
      <c r="P1614" s="3041"/>
      <c r="U1614" s="1139">
        <v>13</v>
      </c>
      <c r="V1614" s="3017">
        <v>43831</v>
      </c>
      <c r="W1614" s="3020" t="str">
        <f t="shared" si="337"/>
        <v/>
      </c>
    </row>
    <row r="1615" spans="6:27" ht="27.95" customHeight="1">
      <c r="F1615" s="1139">
        <v>14</v>
      </c>
      <c r="G1615" s="3017">
        <v>43862</v>
      </c>
      <c r="H1615" s="3020" t="str">
        <f t="shared" si="335"/>
        <v/>
      </c>
      <c r="P1615" s="3041"/>
      <c r="U1615" s="1139">
        <v>14</v>
      </c>
      <c r="V1615" s="3017">
        <v>43862</v>
      </c>
      <c r="W1615" s="3020" t="str">
        <f t="shared" si="337"/>
        <v/>
      </c>
    </row>
    <row r="1616" spans="6:27" ht="27.95" customHeight="1">
      <c r="F1616" s="1139">
        <v>15</v>
      </c>
      <c r="G1616" s="3017">
        <v>43891</v>
      </c>
      <c r="H1616" s="3020" t="str">
        <f t="shared" si="335"/>
        <v/>
      </c>
      <c r="P1616" s="3041"/>
      <c r="U1616" s="1139">
        <v>15</v>
      </c>
      <c r="V1616" s="3017">
        <v>43891</v>
      </c>
      <c r="W1616" s="3020" t="str">
        <f t="shared" si="337"/>
        <v/>
      </c>
    </row>
    <row r="1617" spans="6:23" ht="27.95" customHeight="1">
      <c r="F1617" s="1139">
        <v>16</v>
      </c>
      <c r="G1617" s="3017">
        <v>43922</v>
      </c>
      <c r="H1617" s="3020" t="str">
        <f t="shared" si="335"/>
        <v/>
      </c>
      <c r="P1617" s="3041"/>
      <c r="U1617" s="1139">
        <v>16</v>
      </c>
      <c r="V1617" s="3017">
        <v>43922</v>
      </c>
      <c r="W1617" s="3020" t="str">
        <f t="shared" si="337"/>
        <v/>
      </c>
    </row>
    <row r="1618" spans="6:23" ht="27.95" customHeight="1">
      <c r="F1618" s="1139">
        <v>17</v>
      </c>
      <c r="G1618" s="3017">
        <v>43952</v>
      </c>
      <c r="H1618" s="3020" t="str">
        <f t="shared" si="335"/>
        <v/>
      </c>
      <c r="P1618" s="3041"/>
      <c r="U1618" s="1139">
        <v>17</v>
      </c>
      <c r="V1618" s="3017">
        <v>43952</v>
      </c>
      <c r="W1618" s="3020" t="str">
        <f t="shared" si="337"/>
        <v/>
      </c>
    </row>
    <row r="1619" spans="6:23" ht="27.95" customHeight="1">
      <c r="F1619" s="1139">
        <v>18</v>
      </c>
      <c r="G1619" s="3017">
        <v>43983</v>
      </c>
      <c r="H1619" s="3020" t="str">
        <f t="shared" si="335"/>
        <v/>
      </c>
      <c r="P1619" s="3041"/>
      <c r="U1619" s="1139">
        <v>18</v>
      </c>
      <c r="V1619" s="3017">
        <v>43983</v>
      </c>
      <c r="W1619" s="3020" t="str">
        <f t="shared" si="337"/>
        <v/>
      </c>
    </row>
    <row r="1620" spans="6:23" ht="27.95" customHeight="1">
      <c r="F1620" s="1139">
        <v>19</v>
      </c>
      <c r="G1620" s="3017">
        <v>44013</v>
      </c>
      <c r="H1620" s="3020" t="str">
        <f t="shared" si="335"/>
        <v/>
      </c>
      <c r="P1620" s="3041"/>
      <c r="U1620" s="1139">
        <v>19</v>
      </c>
      <c r="V1620" s="3017">
        <v>44013</v>
      </c>
      <c r="W1620" s="3020" t="str">
        <f t="shared" si="337"/>
        <v/>
      </c>
    </row>
    <row r="1621" spans="6:23" ht="27.95" customHeight="1">
      <c r="F1621" s="1139">
        <v>20</v>
      </c>
      <c r="G1621" s="3017">
        <v>44044</v>
      </c>
      <c r="H1621" s="3020" t="str">
        <f t="shared" si="335"/>
        <v/>
      </c>
      <c r="P1621" s="3041"/>
      <c r="U1621" s="1139">
        <v>20</v>
      </c>
      <c r="V1621" s="3017">
        <v>44044</v>
      </c>
      <c r="W1621" s="3020" t="str">
        <f t="shared" si="337"/>
        <v/>
      </c>
    </row>
    <row r="1622" spans="6:23" ht="27.95" customHeight="1">
      <c r="F1622" s="1139">
        <v>21</v>
      </c>
      <c r="G1622" s="3017">
        <v>44075</v>
      </c>
      <c r="H1622" s="3020" t="str">
        <f t="shared" si="335"/>
        <v/>
      </c>
      <c r="P1622" s="3041"/>
      <c r="U1622" s="1139">
        <v>21</v>
      </c>
      <c r="V1622" s="3017">
        <v>44075</v>
      </c>
      <c r="W1622" s="3020" t="str">
        <f t="shared" si="337"/>
        <v/>
      </c>
    </row>
    <row r="1623" spans="6:23" ht="27.95" customHeight="1">
      <c r="F1623" s="1139">
        <v>22</v>
      </c>
      <c r="G1623" s="3017">
        <v>44105</v>
      </c>
      <c r="H1623" s="3020" t="str">
        <f t="shared" si="335"/>
        <v/>
      </c>
      <c r="P1623" s="3041"/>
      <c r="U1623" s="1139">
        <v>22</v>
      </c>
      <c r="V1623" s="3017">
        <v>44105</v>
      </c>
      <c r="W1623" s="3020" t="str">
        <f t="shared" si="337"/>
        <v/>
      </c>
    </row>
    <row r="1624" spans="6:23" ht="27.95" customHeight="1">
      <c r="F1624" s="1139">
        <v>23</v>
      </c>
      <c r="G1624" s="3017">
        <v>44136</v>
      </c>
      <c r="H1624" s="3020" t="str">
        <f t="shared" si="335"/>
        <v/>
      </c>
      <c r="P1624" s="3041"/>
      <c r="U1624" s="1139">
        <v>23</v>
      </c>
      <c r="V1624" s="3017">
        <v>44136</v>
      </c>
      <c r="W1624" s="3020" t="str">
        <f t="shared" si="337"/>
        <v/>
      </c>
    </row>
    <row r="1625" spans="6:23" ht="27.95" customHeight="1">
      <c r="F1625" s="1139">
        <v>24</v>
      </c>
      <c r="G1625" s="3017">
        <v>44166</v>
      </c>
      <c r="H1625" s="3020" t="str">
        <f t="shared" si="335"/>
        <v/>
      </c>
      <c r="P1625" s="3041"/>
      <c r="U1625" s="1139">
        <v>24</v>
      </c>
      <c r="V1625" s="3017">
        <v>44166</v>
      </c>
      <c r="W1625" s="3020" t="str">
        <f t="shared" si="337"/>
        <v/>
      </c>
    </row>
    <row r="1626" spans="6:23" ht="27.95" customHeight="1">
      <c r="F1626" s="1139">
        <v>25</v>
      </c>
      <c r="G1626" s="3017">
        <v>44197</v>
      </c>
      <c r="H1626" s="3020" t="str">
        <f t="shared" si="335"/>
        <v/>
      </c>
      <c r="P1626" s="3041"/>
      <c r="U1626" s="1139">
        <v>25</v>
      </c>
      <c r="V1626" s="3017">
        <v>44197</v>
      </c>
      <c r="W1626" s="3020" t="str">
        <f t="shared" si="337"/>
        <v/>
      </c>
    </row>
    <row r="1627" spans="6:23" ht="27.95" customHeight="1">
      <c r="F1627" s="1139">
        <v>26</v>
      </c>
      <c r="G1627" s="3017">
        <v>44228</v>
      </c>
      <c r="H1627" s="3020" t="str">
        <f t="shared" si="335"/>
        <v/>
      </c>
      <c r="P1627" s="3041"/>
      <c r="U1627" s="1139">
        <v>26</v>
      </c>
      <c r="V1627" s="3017">
        <v>44228</v>
      </c>
      <c r="W1627" s="3020" t="str">
        <f t="shared" si="337"/>
        <v/>
      </c>
    </row>
    <row r="1628" spans="6:23" ht="27.95" customHeight="1">
      <c r="F1628" s="1139">
        <v>27</v>
      </c>
      <c r="G1628" s="3017">
        <v>44256</v>
      </c>
      <c r="H1628" s="3020" t="str">
        <f t="shared" si="335"/>
        <v/>
      </c>
      <c r="P1628" s="3041"/>
      <c r="U1628" s="1139">
        <v>27</v>
      </c>
      <c r="V1628" s="3017">
        <v>44256</v>
      </c>
      <c r="W1628" s="3020" t="str">
        <f t="shared" si="337"/>
        <v/>
      </c>
    </row>
    <row r="1629" spans="6:23" ht="27.95" customHeight="1">
      <c r="F1629" s="1139">
        <v>28</v>
      </c>
      <c r="G1629" s="3017">
        <v>44287</v>
      </c>
      <c r="H1629" s="3020" t="str">
        <f t="shared" si="335"/>
        <v/>
      </c>
      <c r="P1629" s="3041"/>
      <c r="U1629" s="1139">
        <v>28</v>
      </c>
      <c r="V1629" s="3017">
        <v>44287</v>
      </c>
      <c r="W1629" s="3020" t="str">
        <f t="shared" si="337"/>
        <v/>
      </c>
    </row>
    <row r="1630" spans="6:23" ht="27.95" customHeight="1">
      <c r="F1630" s="1139">
        <v>29</v>
      </c>
      <c r="G1630" s="3017">
        <v>44317</v>
      </c>
      <c r="H1630" s="3020" t="str">
        <f t="shared" si="335"/>
        <v/>
      </c>
      <c r="P1630" s="3041"/>
      <c r="U1630" s="1139">
        <v>29</v>
      </c>
      <c r="V1630" s="3017">
        <v>44317</v>
      </c>
      <c r="W1630" s="3020" t="str">
        <f t="shared" si="337"/>
        <v/>
      </c>
    </row>
    <row r="1631" spans="6:23" ht="27.95" customHeight="1">
      <c r="F1631" s="1139">
        <v>30</v>
      </c>
      <c r="G1631" s="3017">
        <v>44348</v>
      </c>
      <c r="H1631" s="3020" t="str">
        <f t="shared" si="335"/>
        <v/>
      </c>
      <c r="P1631" s="3041"/>
      <c r="U1631" s="1139">
        <v>30</v>
      </c>
      <c r="V1631" s="3017">
        <v>44348</v>
      </c>
      <c r="W1631" s="3020" t="str">
        <f t="shared" si="337"/>
        <v/>
      </c>
    </row>
    <row r="1632" spans="6:23" ht="27.95" customHeight="1">
      <c r="F1632" s="1139">
        <v>31</v>
      </c>
      <c r="G1632" s="3017">
        <v>44378</v>
      </c>
      <c r="H1632" s="3020" t="str">
        <f t="shared" si="335"/>
        <v/>
      </c>
      <c r="P1632" s="3041"/>
      <c r="U1632" s="1139">
        <v>31</v>
      </c>
      <c r="V1632" s="3017">
        <v>44378</v>
      </c>
      <c r="W1632" s="3020" t="str">
        <f t="shared" si="337"/>
        <v/>
      </c>
    </row>
    <row r="1633" spans="6:23" ht="27.95" customHeight="1">
      <c r="F1633" s="1139">
        <v>32</v>
      </c>
      <c r="G1633" s="3017">
        <v>44409</v>
      </c>
      <c r="H1633" s="3020" t="str">
        <f t="shared" si="335"/>
        <v/>
      </c>
      <c r="P1633" s="3041"/>
      <c r="U1633" s="1139">
        <v>32</v>
      </c>
      <c r="V1633" s="3017">
        <v>44409</v>
      </c>
      <c r="W1633" s="3020" t="str">
        <f t="shared" si="337"/>
        <v/>
      </c>
    </row>
    <row r="1634" spans="6:23" ht="27.95" customHeight="1">
      <c r="F1634" s="1139">
        <v>33</v>
      </c>
      <c r="G1634" s="3017">
        <v>44440</v>
      </c>
      <c r="H1634" s="3020" t="str">
        <f t="shared" si="335"/>
        <v/>
      </c>
      <c r="P1634" s="3041"/>
      <c r="U1634" s="1139">
        <v>33</v>
      </c>
      <c r="V1634" s="3017">
        <v>44440</v>
      </c>
      <c r="W1634" s="3020" t="str">
        <f t="shared" si="337"/>
        <v/>
      </c>
    </row>
    <row r="1635" spans="6:23" ht="27.95" customHeight="1">
      <c r="F1635" s="1139">
        <v>34</v>
      </c>
      <c r="G1635" s="3017">
        <v>44470</v>
      </c>
      <c r="H1635" s="3020" t="str">
        <f t="shared" si="335"/>
        <v/>
      </c>
      <c r="P1635" s="3041"/>
      <c r="U1635" s="1139">
        <v>34</v>
      </c>
      <c r="V1635" s="3017">
        <v>44470</v>
      </c>
      <c r="W1635" s="3020" t="str">
        <f t="shared" si="337"/>
        <v/>
      </c>
    </row>
    <row r="1636" spans="6:23" ht="27.95" customHeight="1">
      <c r="F1636" s="1139">
        <v>35</v>
      </c>
      <c r="G1636" s="3017">
        <v>44501</v>
      </c>
      <c r="H1636" s="3020" t="str">
        <f t="shared" si="335"/>
        <v/>
      </c>
      <c r="P1636" s="3041"/>
      <c r="U1636" s="1139">
        <v>35</v>
      </c>
      <c r="V1636" s="3017">
        <v>44501</v>
      </c>
      <c r="W1636" s="3020" t="str">
        <f t="shared" si="337"/>
        <v/>
      </c>
    </row>
    <row r="1637" spans="6:23" ht="27.95" customHeight="1">
      <c r="F1637" s="1139">
        <v>36</v>
      </c>
      <c r="G1637" s="3017">
        <v>44531</v>
      </c>
      <c r="H1637" s="3020" t="str">
        <f t="shared" si="335"/>
        <v/>
      </c>
      <c r="P1637" s="3041"/>
      <c r="U1637" s="1139">
        <v>36</v>
      </c>
      <c r="V1637" s="3017">
        <v>44531</v>
      </c>
      <c r="W1637" s="3020" t="str">
        <f t="shared" si="337"/>
        <v/>
      </c>
    </row>
    <row r="1638" spans="6:23" ht="27.95" customHeight="1">
      <c r="F1638" s="1139">
        <v>37</v>
      </c>
      <c r="G1638" s="3017">
        <v>44562</v>
      </c>
      <c r="H1638" s="3020" t="str">
        <f t="shared" si="335"/>
        <v/>
      </c>
      <c r="P1638" s="3041"/>
      <c r="U1638" s="1139">
        <v>37</v>
      </c>
      <c r="V1638" s="3017">
        <v>44562</v>
      </c>
      <c r="W1638" s="3020" t="str">
        <f t="shared" si="337"/>
        <v/>
      </c>
    </row>
    <row r="1639" spans="6:23" ht="27.95" customHeight="1">
      <c r="F1639" s="1139">
        <v>38</v>
      </c>
      <c r="G1639" s="3017">
        <v>44593</v>
      </c>
      <c r="H1639" s="3020" t="str">
        <f t="shared" si="335"/>
        <v/>
      </c>
      <c r="P1639" s="3041"/>
      <c r="U1639" s="1139">
        <v>38</v>
      </c>
      <c r="V1639" s="3017">
        <v>44593</v>
      </c>
      <c r="W1639" s="3020" t="str">
        <f t="shared" si="337"/>
        <v/>
      </c>
    </row>
    <row r="1640" spans="6:23" ht="27.95" customHeight="1">
      <c r="F1640" s="1139">
        <v>39</v>
      </c>
      <c r="G1640" s="3017">
        <v>44621</v>
      </c>
      <c r="H1640" s="3020" t="str">
        <f t="shared" si="335"/>
        <v/>
      </c>
      <c r="P1640" s="3041"/>
      <c r="U1640" s="1139">
        <v>39</v>
      </c>
      <c r="V1640" s="3017">
        <v>44621</v>
      </c>
      <c r="W1640" s="3020" t="str">
        <f t="shared" si="337"/>
        <v/>
      </c>
    </row>
    <row r="1641" spans="6:23" ht="27.95" customHeight="1">
      <c r="F1641" s="1139">
        <v>40</v>
      </c>
      <c r="G1641" s="3017">
        <v>44652</v>
      </c>
      <c r="H1641" s="3020" t="str">
        <f t="shared" si="335"/>
        <v/>
      </c>
      <c r="U1641" s="1139">
        <v>40</v>
      </c>
      <c r="V1641" s="3017">
        <v>44652</v>
      </c>
      <c r="W1641" s="3020" t="str">
        <f t="shared" si="337"/>
        <v/>
      </c>
    </row>
    <row r="1642" spans="6:23" ht="27.95" customHeight="1">
      <c r="F1642" s="1139">
        <v>41</v>
      </c>
      <c r="G1642" s="3017">
        <v>44682</v>
      </c>
      <c r="H1642" s="3020" t="str">
        <f t="shared" si="335"/>
        <v/>
      </c>
      <c r="U1642" s="1139">
        <v>41</v>
      </c>
      <c r="V1642" s="3017">
        <v>44682</v>
      </c>
      <c r="W1642" s="3020" t="str">
        <f t="shared" si="337"/>
        <v/>
      </c>
    </row>
    <row r="1643" spans="6:23" ht="27.95" customHeight="1">
      <c r="F1643" s="1139">
        <v>42</v>
      </c>
      <c r="G1643" s="3017">
        <v>44713</v>
      </c>
      <c r="H1643" s="3020" t="str">
        <f t="shared" si="335"/>
        <v/>
      </c>
      <c r="U1643" s="1139">
        <v>42</v>
      </c>
      <c r="V1643" s="3017">
        <v>44713</v>
      </c>
      <c r="W1643" s="3020" t="str">
        <f t="shared" si="337"/>
        <v/>
      </c>
    </row>
    <row r="1644" spans="6:23" ht="27.95" customHeight="1">
      <c r="F1644" s="1139">
        <v>43</v>
      </c>
      <c r="G1644" s="3017">
        <v>44743</v>
      </c>
      <c r="H1644" s="3020" t="str">
        <f t="shared" si="335"/>
        <v/>
      </c>
      <c r="U1644" s="1139">
        <v>43</v>
      </c>
      <c r="V1644" s="3017">
        <v>44743</v>
      </c>
      <c r="W1644" s="3020" t="str">
        <f t="shared" si="337"/>
        <v/>
      </c>
    </row>
    <row r="1645" spans="6:23" ht="27.95" customHeight="1">
      <c r="F1645" s="1139">
        <v>44</v>
      </c>
      <c r="G1645" s="3017">
        <v>44774</v>
      </c>
      <c r="H1645" s="3020" t="str">
        <f t="shared" si="335"/>
        <v/>
      </c>
      <c r="U1645" s="1139">
        <v>44</v>
      </c>
      <c r="V1645" s="3017">
        <v>44774</v>
      </c>
      <c r="W1645" s="3020" t="str">
        <f t="shared" si="337"/>
        <v/>
      </c>
    </row>
    <row r="1646" spans="6:23" ht="27.95" customHeight="1">
      <c r="F1646" s="1139">
        <v>45</v>
      </c>
      <c r="G1646" s="3017">
        <v>44805</v>
      </c>
      <c r="H1646" s="3020" t="str">
        <f t="shared" si="335"/>
        <v/>
      </c>
      <c r="U1646" s="1139">
        <v>45</v>
      </c>
      <c r="V1646" s="3017">
        <v>44805</v>
      </c>
      <c r="W1646" s="3020" t="str">
        <f t="shared" si="337"/>
        <v/>
      </c>
    </row>
    <row r="1647" spans="6:23" ht="27.95" customHeight="1">
      <c r="F1647" s="1139">
        <v>46</v>
      </c>
      <c r="G1647" s="3017">
        <v>44835</v>
      </c>
      <c r="H1647" s="3020" t="str">
        <f t="shared" si="335"/>
        <v/>
      </c>
      <c r="U1647" s="1139">
        <v>46</v>
      </c>
      <c r="V1647" s="3017">
        <v>44835</v>
      </c>
      <c r="W1647" s="3020" t="str">
        <f t="shared" si="337"/>
        <v/>
      </c>
    </row>
    <row r="1648" spans="6:23" ht="27.95" customHeight="1">
      <c r="F1648" s="1139">
        <v>47</v>
      </c>
      <c r="G1648" s="3017">
        <v>44866</v>
      </c>
      <c r="H1648" s="3020" t="str">
        <f t="shared" si="335"/>
        <v/>
      </c>
      <c r="U1648" s="1139">
        <v>47</v>
      </c>
      <c r="V1648" s="3017">
        <v>44866</v>
      </c>
      <c r="W1648" s="3020" t="str">
        <f t="shared" si="337"/>
        <v/>
      </c>
    </row>
    <row r="1649" spans="6:23" ht="27.95" customHeight="1">
      <c r="F1649" s="1139">
        <v>48</v>
      </c>
      <c r="G1649" s="3017">
        <v>44896</v>
      </c>
      <c r="H1649" s="3020" t="str">
        <f t="shared" si="335"/>
        <v/>
      </c>
      <c r="U1649" s="1139">
        <v>48</v>
      </c>
      <c r="V1649" s="3017">
        <v>44896</v>
      </c>
      <c r="W1649" s="3020" t="str">
        <f t="shared" si="337"/>
        <v/>
      </c>
    </row>
    <row r="1650" spans="6:23" ht="27.95" customHeight="1">
      <c r="F1650" s="1139">
        <v>49</v>
      </c>
      <c r="G1650" s="3017">
        <v>44927</v>
      </c>
      <c r="H1650" s="3020" t="str">
        <f t="shared" si="335"/>
        <v/>
      </c>
      <c r="U1650" s="1139">
        <v>49</v>
      </c>
      <c r="V1650" s="3017">
        <v>44927</v>
      </c>
      <c r="W1650" s="3020" t="str">
        <f t="shared" si="337"/>
        <v/>
      </c>
    </row>
    <row r="1651" spans="6:23" ht="27.95" customHeight="1">
      <c r="F1651" s="1139">
        <v>50</v>
      </c>
      <c r="G1651" s="3017">
        <v>44958</v>
      </c>
      <c r="H1651" s="3020" t="str">
        <f t="shared" si="335"/>
        <v/>
      </c>
      <c r="U1651" s="1139">
        <v>50</v>
      </c>
      <c r="V1651" s="3017">
        <v>44958</v>
      </c>
      <c r="W1651" s="3020" t="str">
        <f t="shared" si="337"/>
        <v/>
      </c>
    </row>
    <row r="1652" spans="6:23" ht="27.95" customHeight="1">
      <c r="F1652" s="1139">
        <v>51</v>
      </c>
      <c r="G1652" s="3017">
        <v>44986</v>
      </c>
      <c r="H1652" s="3020" t="str">
        <f t="shared" si="335"/>
        <v/>
      </c>
      <c r="U1652" s="1139">
        <v>51</v>
      </c>
      <c r="V1652" s="3017">
        <v>44986</v>
      </c>
      <c r="W1652" s="3020" t="str">
        <f t="shared" si="337"/>
        <v/>
      </c>
    </row>
    <row r="1653" spans="6:23" ht="27.95" customHeight="1">
      <c r="F1653" s="1139">
        <v>52</v>
      </c>
      <c r="G1653" s="3017">
        <v>45017</v>
      </c>
      <c r="H1653" s="3020" t="str">
        <f t="shared" si="335"/>
        <v/>
      </c>
      <c r="U1653" s="1139">
        <v>52</v>
      </c>
      <c r="V1653" s="3017">
        <v>45017</v>
      </c>
      <c r="W1653" s="3020" t="str">
        <f t="shared" si="337"/>
        <v/>
      </c>
    </row>
    <row r="1654" spans="6:23" ht="27.95" customHeight="1">
      <c r="F1654" s="1139">
        <v>53</v>
      </c>
      <c r="G1654" s="3017">
        <v>45047</v>
      </c>
      <c r="H1654" s="3020" t="str">
        <f t="shared" si="335"/>
        <v/>
      </c>
      <c r="U1654" s="1139">
        <v>53</v>
      </c>
      <c r="V1654" s="3017">
        <v>45047</v>
      </c>
      <c r="W1654" s="3020" t="str">
        <f t="shared" si="337"/>
        <v/>
      </c>
    </row>
    <row r="1655" spans="6:23" ht="27.95" customHeight="1">
      <c r="F1655" s="1139">
        <v>54</v>
      </c>
      <c r="G1655" s="3017">
        <v>45078</v>
      </c>
      <c r="H1655" s="3020" t="str">
        <f t="shared" si="335"/>
        <v/>
      </c>
      <c r="U1655" s="1139">
        <v>54</v>
      </c>
      <c r="V1655" s="3017">
        <v>45078</v>
      </c>
      <c r="W1655" s="3020" t="str">
        <f t="shared" si="337"/>
        <v/>
      </c>
    </row>
    <row r="1656" spans="6:23" ht="27.95" customHeight="1">
      <c r="F1656" s="1139">
        <v>55</v>
      </c>
      <c r="G1656" s="3017">
        <v>45108</v>
      </c>
      <c r="H1656" s="3020" t="str">
        <f t="shared" si="335"/>
        <v/>
      </c>
      <c r="U1656" s="1139">
        <v>55</v>
      </c>
      <c r="V1656" s="3017">
        <v>45108</v>
      </c>
      <c r="W1656" s="3020" t="str">
        <f t="shared" si="337"/>
        <v/>
      </c>
    </row>
    <row r="1657" spans="6:23" ht="27.95" customHeight="1">
      <c r="F1657" s="1139">
        <v>56</v>
      </c>
      <c r="G1657" s="3017">
        <v>45139</v>
      </c>
      <c r="H1657" s="3020" t="str">
        <f t="shared" si="335"/>
        <v/>
      </c>
      <c r="U1657" s="1139">
        <v>56</v>
      </c>
      <c r="V1657" s="3017">
        <v>45139</v>
      </c>
      <c r="W1657" s="3020" t="str">
        <f t="shared" si="337"/>
        <v/>
      </c>
    </row>
    <row r="1658" spans="6:23" ht="27.95" customHeight="1">
      <c r="F1658" s="1139">
        <v>57</v>
      </c>
      <c r="G1658" s="3017">
        <v>45170</v>
      </c>
      <c r="H1658" s="3020" t="str">
        <f t="shared" si="335"/>
        <v/>
      </c>
      <c r="U1658" s="1139">
        <v>57</v>
      </c>
      <c r="V1658" s="3017">
        <v>45170</v>
      </c>
      <c r="W1658" s="3020" t="str">
        <f t="shared" si="337"/>
        <v/>
      </c>
    </row>
    <row r="1659" spans="6:23" ht="27.95" customHeight="1">
      <c r="F1659" s="1139">
        <v>58</v>
      </c>
      <c r="G1659" s="3017">
        <v>45200</v>
      </c>
      <c r="H1659" s="3020" t="str">
        <f t="shared" si="335"/>
        <v/>
      </c>
      <c r="U1659" s="1139">
        <v>58</v>
      </c>
      <c r="V1659" s="3017">
        <v>45200</v>
      </c>
      <c r="W1659" s="3020" t="str">
        <f t="shared" si="337"/>
        <v/>
      </c>
    </row>
    <row r="1660" spans="6:23" ht="27.95" customHeight="1">
      <c r="F1660" s="1139">
        <v>59</v>
      </c>
      <c r="G1660" s="3017">
        <v>45231</v>
      </c>
      <c r="H1660" s="3020" t="str">
        <f t="shared" si="335"/>
        <v/>
      </c>
      <c r="U1660" s="1139">
        <v>59</v>
      </c>
      <c r="V1660" s="3017">
        <v>45231</v>
      </c>
      <c r="W1660" s="3020" t="str">
        <f t="shared" si="337"/>
        <v/>
      </c>
    </row>
    <row r="1661" spans="6:23" ht="27.95" customHeight="1">
      <c r="F1661" s="1139">
        <v>60</v>
      </c>
      <c r="G1661" s="3017">
        <v>45261</v>
      </c>
      <c r="H1661" s="3020" t="str">
        <f t="shared" si="335"/>
        <v/>
      </c>
      <c r="U1661" s="1139">
        <v>60</v>
      </c>
      <c r="V1661" s="3017">
        <v>45261</v>
      </c>
      <c r="W1661" s="3020" t="str">
        <f t="shared" si="337"/>
        <v/>
      </c>
    </row>
    <row r="1662" spans="6:23" ht="27.95" customHeight="1">
      <c r="F1662" s="1139">
        <v>61</v>
      </c>
      <c r="G1662" s="3017">
        <v>45292</v>
      </c>
      <c r="H1662" s="3020" t="str">
        <f t="shared" si="335"/>
        <v/>
      </c>
      <c r="U1662" s="1139">
        <v>61</v>
      </c>
      <c r="V1662" s="3017">
        <v>45292</v>
      </c>
      <c r="W1662" s="3020" t="str">
        <f t="shared" si="337"/>
        <v/>
      </c>
    </row>
    <row r="1663" spans="6:23" ht="27.95" customHeight="1">
      <c r="F1663" s="1139">
        <v>62</v>
      </c>
      <c r="G1663" s="3017">
        <v>45323</v>
      </c>
      <c r="H1663" s="3020" t="str">
        <f t="shared" si="335"/>
        <v/>
      </c>
      <c r="U1663" s="1139">
        <v>62</v>
      </c>
      <c r="V1663" s="3017">
        <v>45323</v>
      </c>
      <c r="W1663" s="3020" t="str">
        <f t="shared" si="337"/>
        <v/>
      </c>
    </row>
    <row r="1664" spans="6:23" ht="27.95" customHeight="1">
      <c r="F1664" s="1139">
        <v>63</v>
      </c>
      <c r="G1664" s="3017">
        <v>45352</v>
      </c>
      <c r="H1664" s="3020" t="str">
        <f t="shared" si="335"/>
        <v/>
      </c>
      <c r="U1664" s="1139">
        <v>63</v>
      </c>
      <c r="V1664" s="3017">
        <v>45352</v>
      </c>
      <c r="W1664" s="3020" t="str">
        <f t="shared" si="337"/>
        <v/>
      </c>
    </row>
    <row r="1665" spans="6:23" ht="27.95" customHeight="1">
      <c r="F1665" s="1139">
        <v>64</v>
      </c>
      <c r="G1665" s="3017">
        <v>45383</v>
      </c>
      <c r="H1665" s="3020" t="str">
        <f t="shared" si="335"/>
        <v/>
      </c>
      <c r="U1665" s="1139">
        <v>64</v>
      </c>
      <c r="V1665" s="3017">
        <v>45383</v>
      </c>
      <c r="W1665" s="3020" t="str">
        <f t="shared" si="337"/>
        <v/>
      </c>
    </row>
    <row r="1666" spans="6:23" ht="27.95" customHeight="1">
      <c r="F1666" s="1139">
        <v>65</v>
      </c>
      <c r="G1666" s="3017">
        <v>45413</v>
      </c>
      <c r="H1666" s="3020" t="str">
        <f t="shared" si="335"/>
        <v/>
      </c>
      <c r="U1666" s="1139">
        <v>65</v>
      </c>
      <c r="V1666" s="3017">
        <v>45413</v>
      </c>
      <c r="W1666" s="3020" t="str">
        <f t="shared" si="337"/>
        <v/>
      </c>
    </row>
    <row r="1667" spans="6:23" ht="27.95" customHeight="1">
      <c r="F1667" s="1139">
        <v>66</v>
      </c>
      <c r="G1667" s="3017">
        <v>45444</v>
      </c>
      <c r="H1667" s="3020" t="str">
        <f t="shared" ref="H1667:H1687" si="339">IF(G1667&gt;=$E$1557,$F$1557,IF(G1667&gt;=$E$1556,$F$1556,IF(G1667&gt;=$E$1555,$F$1555,IF(G1667&gt;=$E$1554,$F$1554,IF(G1667&gt;=$E$1553,$F$1553,IF(G1667&gt;=$E$1552,$F$1552,IF(G1667&gt;=$E$1551,$F$1551,IF(G1667&gt;=$E$1550,$F$1550,""))))))))</f>
        <v/>
      </c>
      <c r="U1667" s="1139">
        <v>66</v>
      </c>
      <c r="V1667" s="3017">
        <v>45444</v>
      </c>
      <c r="W1667" s="3020" t="str">
        <f t="shared" ref="W1667:W1687" si="340">IF(V1667&gt;=$T$1557,$U$1557,IF(V1667&gt;=$T$1556,$U$1556,IF(V1667&gt;=$T$1555,$U$1555,IF(V1667&gt;=$T$1554,$U$1554,IF(V1667&gt;=$T$1553,$U$1553,IF(V1667&gt;=$T$1552,$U$1552,IF(V1667&gt;=$T$1551,$U$1551,IF(V1667&gt;=$T$1550,$U$1550,""))))))))</f>
        <v/>
      </c>
    </row>
    <row r="1668" spans="6:23" ht="27.95" customHeight="1">
      <c r="F1668" s="1139">
        <v>67</v>
      </c>
      <c r="G1668" s="3017">
        <v>45474</v>
      </c>
      <c r="H1668" s="3020" t="str">
        <f t="shared" si="339"/>
        <v/>
      </c>
      <c r="U1668" s="1139">
        <v>67</v>
      </c>
      <c r="V1668" s="3017">
        <v>45474</v>
      </c>
      <c r="W1668" s="3020" t="str">
        <f t="shared" si="340"/>
        <v/>
      </c>
    </row>
    <row r="1669" spans="6:23" ht="27.95" customHeight="1">
      <c r="F1669" s="1139">
        <v>68</v>
      </c>
      <c r="G1669" s="3017">
        <v>45505</v>
      </c>
      <c r="H1669" s="3020" t="str">
        <f t="shared" si="339"/>
        <v/>
      </c>
      <c r="U1669" s="1139">
        <v>68</v>
      </c>
      <c r="V1669" s="3017">
        <v>45505</v>
      </c>
      <c r="W1669" s="3020" t="str">
        <f t="shared" si="340"/>
        <v/>
      </c>
    </row>
    <row r="1670" spans="6:23" ht="27.95" customHeight="1">
      <c r="F1670" s="1139">
        <v>69</v>
      </c>
      <c r="G1670" s="3017">
        <v>45536</v>
      </c>
      <c r="H1670" s="3020" t="str">
        <f t="shared" si="339"/>
        <v/>
      </c>
      <c r="U1670" s="1139">
        <v>69</v>
      </c>
      <c r="V1670" s="3017">
        <v>45536</v>
      </c>
      <c r="W1670" s="3020" t="str">
        <f t="shared" si="340"/>
        <v/>
      </c>
    </row>
    <row r="1671" spans="6:23" ht="27.95" customHeight="1">
      <c r="F1671" s="1139">
        <v>70</v>
      </c>
      <c r="G1671" s="3017">
        <v>45566</v>
      </c>
      <c r="H1671" s="3020" t="str">
        <f t="shared" si="339"/>
        <v/>
      </c>
      <c r="U1671" s="1139">
        <v>70</v>
      </c>
      <c r="V1671" s="3017">
        <v>45566</v>
      </c>
      <c r="W1671" s="3020" t="str">
        <f t="shared" si="340"/>
        <v/>
      </c>
    </row>
    <row r="1672" spans="6:23" ht="27.95" customHeight="1">
      <c r="F1672" s="1139">
        <v>71</v>
      </c>
      <c r="G1672" s="3017">
        <v>45597</v>
      </c>
      <c r="H1672" s="3020" t="str">
        <f t="shared" si="339"/>
        <v/>
      </c>
      <c r="U1672" s="1139">
        <v>71</v>
      </c>
      <c r="V1672" s="3017">
        <v>45597</v>
      </c>
      <c r="W1672" s="3020" t="str">
        <f t="shared" si="340"/>
        <v/>
      </c>
    </row>
    <row r="1673" spans="6:23" ht="27.95" customHeight="1">
      <c r="F1673" s="1139">
        <v>72</v>
      </c>
      <c r="G1673" s="3017">
        <v>45627</v>
      </c>
      <c r="H1673" s="3020" t="str">
        <f t="shared" si="339"/>
        <v/>
      </c>
      <c r="U1673" s="1139">
        <v>72</v>
      </c>
      <c r="V1673" s="3017">
        <v>45627</v>
      </c>
      <c r="W1673" s="3020" t="str">
        <f t="shared" si="340"/>
        <v/>
      </c>
    </row>
    <row r="1674" spans="6:23" ht="27.95" customHeight="1">
      <c r="F1674" s="1139">
        <v>73</v>
      </c>
      <c r="G1674" s="3017">
        <v>45658</v>
      </c>
      <c r="H1674" s="3020" t="str">
        <f t="shared" si="339"/>
        <v/>
      </c>
      <c r="U1674" s="1139">
        <v>73</v>
      </c>
      <c r="V1674" s="3017">
        <v>45658</v>
      </c>
      <c r="W1674" s="3020" t="str">
        <f t="shared" si="340"/>
        <v/>
      </c>
    </row>
    <row r="1675" spans="6:23" ht="27.95" customHeight="1">
      <c r="F1675" s="1139">
        <v>74</v>
      </c>
      <c r="G1675" s="3017">
        <v>45689</v>
      </c>
      <c r="H1675" s="3020" t="str">
        <f t="shared" si="339"/>
        <v/>
      </c>
      <c r="U1675" s="1139">
        <v>74</v>
      </c>
      <c r="V1675" s="3017">
        <v>45689</v>
      </c>
      <c r="W1675" s="3020" t="str">
        <f t="shared" si="340"/>
        <v/>
      </c>
    </row>
    <row r="1676" spans="6:23" ht="27.95" customHeight="1">
      <c r="F1676" s="1139">
        <v>75</v>
      </c>
      <c r="G1676" s="3017">
        <v>45717</v>
      </c>
      <c r="H1676" s="3020" t="str">
        <f t="shared" si="339"/>
        <v/>
      </c>
      <c r="U1676" s="1139">
        <v>75</v>
      </c>
      <c r="V1676" s="3017">
        <v>45717</v>
      </c>
      <c r="W1676" s="3020">
        <f t="shared" ca="1" si="340"/>
        <v>107200</v>
      </c>
    </row>
    <row r="1677" spans="6:23" ht="27.95" customHeight="1">
      <c r="F1677" s="1139">
        <v>76</v>
      </c>
      <c r="G1677" s="3017">
        <v>45748</v>
      </c>
      <c r="H1677" s="3020" t="str">
        <f t="shared" si="339"/>
        <v/>
      </c>
      <c r="U1677" s="1139">
        <v>76</v>
      </c>
      <c r="V1677" s="3017">
        <v>45748</v>
      </c>
      <c r="W1677" s="3020">
        <f t="shared" ca="1" si="340"/>
        <v>107200</v>
      </c>
    </row>
    <row r="1678" spans="6:23" ht="27.95" customHeight="1">
      <c r="F1678" s="1139">
        <v>77</v>
      </c>
      <c r="G1678" s="3017">
        <v>45778</v>
      </c>
      <c r="H1678" s="3020" t="str">
        <f t="shared" si="339"/>
        <v/>
      </c>
      <c r="U1678" s="1139">
        <v>77</v>
      </c>
      <c r="V1678" s="3017">
        <v>45778</v>
      </c>
      <c r="W1678" s="3020">
        <f t="shared" ca="1" si="340"/>
        <v>107200</v>
      </c>
    </row>
    <row r="1679" spans="6:23" ht="27.95" customHeight="1">
      <c r="F1679" s="1139">
        <v>78</v>
      </c>
      <c r="G1679" s="3017">
        <v>45809</v>
      </c>
      <c r="H1679" s="3020" t="str">
        <f t="shared" si="339"/>
        <v/>
      </c>
      <c r="U1679" s="1139">
        <v>78</v>
      </c>
      <c r="V1679" s="3017">
        <v>45809</v>
      </c>
      <c r="W1679" s="3020">
        <f t="shared" ca="1" si="340"/>
        <v>107200</v>
      </c>
    </row>
    <row r="1680" spans="6:23" ht="27.95" customHeight="1">
      <c r="F1680" s="1139">
        <v>79</v>
      </c>
      <c r="G1680" s="3017">
        <v>45839</v>
      </c>
      <c r="H1680" s="3020" t="str">
        <f t="shared" si="339"/>
        <v/>
      </c>
      <c r="U1680" s="1139">
        <v>79</v>
      </c>
      <c r="V1680" s="3017">
        <v>45839</v>
      </c>
      <c r="W1680" s="3020">
        <f t="shared" ca="1" si="340"/>
        <v>107200</v>
      </c>
    </row>
    <row r="1681" spans="6:23" ht="27.95" customHeight="1">
      <c r="F1681" s="1139">
        <v>80</v>
      </c>
      <c r="G1681" s="3017">
        <v>45870</v>
      </c>
      <c r="H1681" s="3020" t="str">
        <f t="shared" si="339"/>
        <v/>
      </c>
      <c r="U1681" s="1139">
        <v>80</v>
      </c>
      <c r="V1681" s="3017">
        <v>45870</v>
      </c>
      <c r="W1681" s="3020">
        <f t="shared" ca="1" si="340"/>
        <v>107200</v>
      </c>
    </row>
    <row r="1682" spans="6:23" ht="27.95" customHeight="1">
      <c r="F1682" s="1139">
        <v>81</v>
      </c>
      <c r="G1682" s="3017">
        <v>45901</v>
      </c>
      <c r="H1682" s="3020">
        <f t="shared" si="339"/>
        <v>104200</v>
      </c>
      <c r="U1682" s="1139">
        <v>81</v>
      </c>
      <c r="V1682" s="3017">
        <v>45901</v>
      </c>
      <c r="W1682" s="3020">
        <f t="shared" ca="1" si="340"/>
        <v>107200</v>
      </c>
    </row>
    <row r="1683" spans="6:23" ht="27.95" customHeight="1">
      <c r="F1683" s="1139">
        <v>82</v>
      </c>
      <c r="G1683" s="3017">
        <v>45931</v>
      </c>
      <c r="H1683" s="3020">
        <f t="shared" si="339"/>
        <v>104200</v>
      </c>
      <c r="U1683" s="1139">
        <v>82</v>
      </c>
      <c r="V1683" s="3017">
        <v>45931</v>
      </c>
      <c r="W1683" s="3020">
        <f t="shared" ca="1" si="340"/>
        <v>107200</v>
      </c>
    </row>
    <row r="1684" spans="6:23" ht="27.95" customHeight="1">
      <c r="F1684" s="1139">
        <v>83</v>
      </c>
      <c r="G1684" s="3017">
        <v>45962</v>
      </c>
      <c r="H1684" s="3020">
        <f t="shared" si="339"/>
        <v>104200</v>
      </c>
      <c r="U1684" s="1139">
        <v>83</v>
      </c>
      <c r="V1684" s="3017">
        <v>45962</v>
      </c>
      <c r="W1684" s="3020">
        <f t="shared" ca="1" si="340"/>
        <v>107200</v>
      </c>
    </row>
    <row r="1685" spans="6:23" ht="27.95" customHeight="1">
      <c r="F1685" s="1139">
        <v>84</v>
      </c>
      <c r="G1685" s="3017">
        <v>45992</v>
      </c>
      <c r="H1685" s="3020">
        <f t="shared" si="339"/>
        <v>104200</v>
      </c>
      <c r="U1685" s="1139">
        <v>84</v>
      </c>
      <c r="V1685" s="3017">
        <v>45992</v>
      </c>
      <c r="W1685" s="3020">
        <f t="shared" ca="1" si="340"/>
        <v>107200</v>
      </c>
    </row>
    <row r="1686" spans="6:23" ht="27.95" customHeight="1">
      <c r="F1686" s="1139">
        <v>85</v>
      </c>
      <c r="G1686" s="3017">
        <v>46023</v>
      </c>
      <c r="H1686" s="3020">
        <f t="shared" si="339"/>
        <v>107300</v>
      </c>
      <c r="U1686" s="1139">
        <v>85</v>
      </c>
      <c r="V1686" s="3017">
        <v>46023</v>
      </c>
      <c r="W1686" s="3020">
        <f t="shared" ca="1" si="340"/>
        <v>110400</v>
      </c>
    </row>
    <row r="1687" spans="6:23" ht="27.95" customHeight="1">
      <c r="F1687" s="1139">
        <v>86</v>
      </c>
      <c r="G1687" s="3017">
        <v>46054</v>
      </c>
      <c r="H1687" s="3020">
        <f t="shared" si="339"/>
        <v>107300</v>
      </c>
      <c r="U1687" s="1139">
        <v>86</v>
      </c>
      <c r="V1687" s="3017">
        <v>46054</v>
      </c>
      <c r="W1687" s="3020">
        <f t="shared" ca="1" si="340"/>
        <v>110400</v>
      </c>
    </row>
    <row r="1688" spans="6:23" ht="27.95" customHeight="1">
      <c r="F1688" s="1566"/>
      <c r="G1688" s="3062"/>
      <c r="H1688" s="1422"/>
    </row>
    <row r="1689" spans="6:23" ht="27.95" customHeight="1">
      <c r="F1689" s="856"/>
      <c r="G1689" s="3063"/>
    </row>
    <row r="1690" spans="6:23" ht="27.95" customHeight="1">
      <c r="F1690" s="856"/>
      <c r="G1690" s="3063"/>
    </row>
    <row r="1691" spans="6:23" ht="27.95" customHeight="1">
      <c r="F1691" s="856"/>
      <c r="G1691" s="3063"/>
    </row>
    <row r="1692" spans="6:23" ht="27.95" customHeight="1">
      <c r="F1692" s="856"/>
      <c r="G1692" s="3063"/>
    </row>
    <row r="1693" spans="6:23" ht="27.95" customHeight="1">
      <c r="F1693" s="856"/>
      <c r="G1693" s="3063"/>
    </row>
    <row r="1694" spans="6:23" ht="27.95" customHeight="1">
      <c r="F1694" s="856"/>
      <c r="G1694" s="3063"/>
    </row>
    <row r="1695" spans="6:23" ht="27.95" customHeight="1">
      <c r="F1695" s="856"/>
      <c r="G1695" s="3063"/>
    </row>
    <row r="1696" spans="6:23" ht="27.95" customHeight="1">
      <c r="F1696" s="856"/>
      <c r="G1696" s="3063"/>
    </row>
    <row r="1697" spans="6:7" ht="27.95" customHeight="1">
      <c r="F1697" s="856"/>
      <c r="G1697" s="3063"/>
    </row>
    <row r="1698" spans="6:7" ht="27.95" customHeight="1">
      <c r="F1698" s="856"/>
      <c r="G1698" s="3063"/>
    </row>
    <row r="1699" spans="6:7" ht="27.95" customHeight="1">
      <c r="F1699" s="856"/>
      <c r="G1699" s="3063"/>
    </row>
    <row r="1700" spans="6:7" ht="27.95" customHeight="1">
      <c r="F1700" s="856"/>
    </row>
    <row r="1701" spans="6:7" ht="27.95" customHeight="1">
      <c r="F1701" s="856"/>
    </row>
  </sheetData>
  <protectedRanges>
    <protectedRange sqref="NV24:OB24 OA25:OB26" name="Range5_3"/>
  </protectedRanges>
  <customSheetViews>
    <customSheetView guid="{DDA22D69-94B5-45BC-9EE2-6055A845129B}" state="hidden" topLeftCell="AO1078">
      <selection activeCell="AS1087" sqref="AS1087"/>
      <pageMargins left="0.7" right="0.7" top="0.75" bottom="0.75" header="0.3" footer="0.3"/>
      <pageSetup orientation="portrait" r:id="rId1"/>
    </customSheetView>
    <customSheetView guid="{1B7577DB-E3C4-4E68-B7CF-8F86FF7C5A82}" state="hidden" topLeftCell="EF199">
      <selection activeCell="EL204" sqref="EL204"/>
      <pageMargins left="0.7" right="0.7" top="0.75" bottom="0.75" header="0.3" footer="0.3"/>
      <pageSetup orientation="portrait" r:id="rId2"/>
    </customSheetView>
    <customSheetView guid="{E7B1C62B-1F1D-4A62-BD87-EE62D3A36B6C}" state="hidden" topLeftCell="AO1078">
      <selection activeCell="AS1087" sqref="AS1087"/>
      <pageMargins left="0.7" right="0.7" top="0.75" bottom="0.75" header="0.3" footer="0.3"/>
      <pageSetup orientation="portrait" r:id="rId3"/>
    </customSheetView>
  </customSheetViews>
  <mergeCells count="752">
    <mergeCell ref="GR28:GU28"/>
    <mergeCell ref="GR29:GU29"/>
    <mergeCell ref="GQ19:GW19"/>
    <mergeCell ref="GQ20:GW20"/>
    <mergeCell ref="GT23:GU23"/>
    <mergeCell ref="GR21:GU21"/>
    <mergeCell ref="GR22:GU22"/>
    <mergeCell ref="GR24:GU24"/>
    <mergeCell ref="GR25:GU25"/>
    <mergeCell ref="GR26:GU26"/>
    <mergeCell ref="GR27:GU27"/>
    <mergeCell ref="MX37:NA37"/>
    <mergeCell ref="MX38:NA38"/>
    <mergeCell ref="D1264:H1264"/>
    <mergeCell ref="D1277:F1278"/>
    <mergeCell ref="BD62:BD63"/>
    <mergeCell ref="BC62:BC63"/>
    <mergeCell ref="DX223:DY223"/>
    <mergeCell ref="U917:Y917"/>
    <mergeCell ref="U919:Y919"/>
    <mergeCell ref="U922:Y922"/>
    <mergeCell ref="U915:AA915"/>
    <mergeCell ref="AL915:AR915"/>
    <mergeCell ref="AL917:AP917"/>
    <mergeCell ref="AL919:AP919"/>
    <mergeCell ref="AL922:AP922"/>
    <mergeCell ref="AK240:AM240"/>
    <mergeCell ref="AK241:AM241"/>
    <mergeCell ref="AK242:AM242"/>
    <mergeCell ref="AK243:AM243"/>
    <mergeCell ref="AK244:AM244"/>
    <mergeCell ref="AK245:AM245"/>
    <mergeCell ref="AK246:AM246"/>
    <mergeCell ref="AK247:AM247"/>
    <mergeCell ref="AK248:AM248"/>
    <mergeCell ref="AL923:AP923"/>
    <mergeCell ref="AK249:AM249"/>
    <mergeCell ref="AK250:AM250"/>
    <mergeCell ref="AK251:AM251"/>
    <mergeCell ref="AK252:AM252"/>
    <mergeCell ref="AK253:AM253"/>
    <mergeCell ref="AK263:AM263"/>
    <mergeCell ref="AK264:AM264"/>
    <mergeCell ref="AK265:AM265"/>
    <mergeCell ref="AK266:AM266"/>
    <mergeCell ref="AK254:AM254"/>
    <mergeCell ref="AK255:AM255"/>
    <mergeCell ref="AK256:AM256"/>
    <mergeCell ref="AK257:AM257"/>
    <mergeCell ref="AK258:AM258"/>
    <mergeCell ref="AK259:AM259"/>
    <mergeCell ref="AK260:AM260"/>
    <mergeCell ref="AK261:AM261"/>
    <mergeCell ref="AK262:AM262"/>
    <mergeCell ref="AP397:AY397"/>
    <mergeCell ref="AJ783:AL783"/>
    <mergeCell ref="AJ773:AN773"/>
    <mergeCell ref="AJ774:AM774"/>
    <mergeCell ref="AJ775:AM775"/>
    <mergeCell ref="S1425:Y1425"/>
    <mergeCell ref="S1547:U1548"/>
    <mergeCell ref="DI9:DQ9"/>
    <mergeCell ref="DI10:DR10"/>
    <mergeCell ref="C1425:I1425"/>
    <mergeCell ref="D1547:F1548"/>
    <mergeCell ref="BM9:BT9"/>
    <mergeCell ref="AE37:AG37"/>
    <mergeCell ref="AA37:AB37"/>
    <mergeCell ref="F1374:G1374"/>
    <mergeCell ref="J1374:K1374"/>
    <mergeCell ref="F1375:G1375"/>
    <mergeCell ref="J1375:K1375"/>
    <mergeCell ref="F1373:G1373"/>
    <mergeCell ref="J1373:K1373"/>
    <mergeCell ref="BL10:BU10"/>
    <mergeCell ref="V862:V864"/>
    <mergeCell ref="Z862:Z864"/>
    <mergeCell ref="V867:V869"/>
    <mergeCell ref="Z867:Z869"/>
    <mergeCell ref="AK236:AM236"/>
    <mergeCell ref="AK237:AM237"/>
    <mergeCell ref="AH280:AH281"/>
    <mergeCell ref="K1059:K1060"/>
    <mergeCell ref="D862:D864"/>
    <mergeCell ref="H862:H864"/>
    <mergeCell ref="D867:D869"/>
    <mergeCell ref="H867:H869"/>
    <mergeCell ref="M862:M864"/>
    <mergeCell ref="Q862:Q864"/>
    <mergeCell ref="M867:M869"/>
    <mergeCell ref="Q867:Q869"/>
    <mergeCell ref="G915:J915"/>
    <mergeCell ref="E917:I917"/>
    <mergeCell ref="E919:I919"/>
    <mergeCell ref="E927:I927"/>
    <mergeCell ref="E929:I929"/>
    <mergeCell ref="E921:I921"/>
    <mergeCell ref="E922:I922"/>
    <mergeCell ref="E923:I923"/>
    <mergeCell ref="F938:G938"/>
    <mergeCell ref="E924:I924"/>
    <mergeCell ref="MX5:NC5"/>
    <mergeCell ref="T652:U652"/>
    <mergeCell ref="AJ786:AP786"/>
    <mergeCell ref="C807:E807"/>
    <mergeCell ref="C808:E808"/>
    <mergeCell ref="T325:U325"/>
    <mergeCell ref="H269:L269"/>
    <mergeCell ref="P280:P281"/>
    <mergeCell ref="O280:O281"/>
    <mergeCell ref="C303:H303"/>
    <mergeCell ref="C304:H304"/>
    <mergeCell ref="C305:H305"/>
    <mergeCell ref="C280:C281"/>
    <mergeCell ref="D280:D281"/>
    <mergeCell ref="E280:E281"/>
    <mergeCell ref="AP398:AX398"/>
    <mergeCell ref="T388:V388"/>
    <mergeCell ref="T389:V389"/>
    <mergeCell ref="T390:U390"/>
    <mergeCell ref="T391:U391"/>
    <mergeCell ref="T392:V392"/>
    <mergeCell ref="T393:V393"/>
    <mergeCell ref="T394:U394"/>
    <mergeCell ref="AP394:AY394"/>
    <mergeCell ref="OF2:OL2"/>
    <mergeCell ref="OF3:OL3"/>
    <mergeCell ref="OH9:OJ9"/>
    <mergeCell ref="OH10:OJ10"/>
    <mergeCell ref="OH11:OJ11"/>
    <mergeCell ref="OF4:OL4"/>
    <mergeCell ref="OF5:OL5"/>
    <mergeCell ref="NI45:NM45"/>
    <mergeCell ref="NI46:NM46"/>
    <mergeCell ref="NI34:NM34"/>
    <mergeCell ref="NI35:NM35"/>
    <mergeCell ref="NG7:NO7"/>
    <mergeCell ref="NI37:NM37"/>
    <mergeCell ref="NI38:NM38"/>
    <mergeCell ref="NI39:NM39"/>
    <mergeCell ref="NI40:NM40"/>
    <mergeCell ref="NG3:NO3"/>
    <mergeCell ref="NG2:NO2"/>
    <mergeCell ref="NU2:OA2"/>
    <mergeCell ref="NU3:OA3"/>
    <mergeCell ref="NU4:OA4"/>
    <mergeCell ref="NX9:NZ9"/>
    <mergeCell ref="NX10:NZ10"/>
    <mergeCell ref="NX11:NZ11"/>
    <mergeCell ref="NU5:OA5"/>
    <mergeCell ref="NU6:OA6"/>
    <mergeCell ref="NU7:OA7"/>
    <mergeCell ref="NG4:NO4"/>
    <mergeCell ref="NG5:NO5"/>
    <mergeCell ref="NG6:NO6"/>
    <mergeCell ref="NV15:NZ15"/>
    <mergeCell ref="OA29:OB29"/>
    <mergeCell ref="NV29:NZ29"/>
    <mergeCell ref="NV27:NZ27"/>
    <mergeCell ref="OA20:OB20"/>
    <mergeCell ref="OA21:OB21"/>
    <mergeCell ref="NV23:NZ23"/>
    <mergeCell ref="OA23:OB23"/>
    <mergeCell ref="OA16:OB16"/>
    <mergeCell ref="NV20:NZ20"/>
    <mergeCell ref="NV19:NZ19"/>
    <mergeCell ref="NV16:NZ16"/>
    <mergeCell ref="LC11:LL11"/>
    <mergeCell ref="OA24:OB24"/>
    <mergeCell ref="OA25:OB25"/>
    <mergeCell ref="OA26:OB26"/>
    <mergeCell ref="NG8:NO8"/>
    <mergeCell ref="NG9:NO9"/>
    <mergeCell ref="LG15:LL15"/>
    <mergeCell ref="LF13:LN13"/>
    <mergeCell ref="LG14:LM14"/>
    <mergeCell ref="NG10:NO10"/>
    <mergeCell ref="NG11:NO11"/>
    <mergeCell ref="NG12:NO12"/>
    <mergeCell ref="NG13:NO13"/>
    <mergeCell ref="NV25:NZ25"/>
    <mergeCell ref="NV26:NZ26"/>
    <mergeCell ref="NV24:NZ24"/>
    <mergeCell ref="NV17:OB18"/>
    <mergeCell ref="OA19:OB19"/>
    <mergeCell ref="LG16:LM16"/>
    <mergeCell ref="LG17:LM17"/>
    <mergeCell ref="LH18:LL18"/>
    <mergeCell ref="LG19:LL19"/>
    <mergeCell ref="LG20:LM20"/>
    <mergeCell ref="NX36:NZ36"/>
    <mergeCell ref="AK224:AM224"/>
    <mergeCell ref="AK220:AM220"/>
    <mergeCell ref="AK221:AM221"/>
    <mergeCell ref="AK222:AM222"/>
    <mergeCell ref="AK223:AM223"/>
    <mergeCell ref="AK219:AM219"/>
    <mergeCell ref="NI32:NM32"/>
    <mergeCell ref="NI33:NM33"/>
    <mergeCell ref="NI47:NM47"/>
    <mergeCell ref="CV171:CV172"/>
    <mergeCell ref="CW171:CW172"/>
    <mergeCell ref="CS156:CV156"/>
    <mergeCell ref="CU171:CU172"/>
    <mergeCell ref="CK114:CK116"/>
    <mergeCell ref="CZ171:CZ172"/>
    <mergeCell ref="DA171:DA172"/>
    <mergeCell ref="MW48:MY48"/>
    <mergeCell ref="MT47:MV47"/>
    <mergeCell ref="CX171:CX172"/>
    <mergeCell ref="DK171:DK172"/>
    <mergeCell ref="DB171:DB172"/>
    <mergeCell ref="DF171:DF172"/>
    <mergeCell ref="MX36:NA36"/>
    <mergeCell ref="DN171:DN172"/>
    <mergeCell ref="OA30:OB30"/>
    <mergeCell ref="OA27:OB27"/>
    <mergeCell ref="NV28:NZ28"/>
    <mergeCell ref="NV31:NZ31"/>
    <mergeCell ref="OA31:OB31"/>
    <mergeCell ref="OA28:OB28"/>
    <mergeCell ref="NI29:NM29"/>
    <mergeCell ref="CI34:CN34"/>
    <mergeCell ref="CI35:CN35"/>
    <mergeCell ref="MX29:NA29"/>
    <mergeCell ref="MX30:NA30"/>
    <mergeCell ref="MX31:NA31"/>
    <mergeCell ref="MX32:NA32"/>
    <mergeCell ref="MX33:NA33"/>
    <mergeCell ref="MX34:NA34"/>
    <mergeCell ref="MX35:NA35"/>
    <mergeCell ref="NV30:NZ30"/>
    <mergeCell ref="NX34:NZ34"/>
    <mergeCell ref="NX35:NZ35"/>
    <mergeCell ref="NI30:NM30"/>
    <mergeCell ref="NI31:NM31"/>
    <mergeCell ref="DI27:DR27"/>
    <mergeCell ref="DI28:DQ28"/>
    <mergeCell ref="CU39:CW39"/>
    <mergeCell ref="CU40:CW40"/>
    <mergeCell ref="DB166:DH166"/>
    <mergeCell ref="U171:U172"/>
    <mergeCell ref="W171:W172"/>
    <mergeCell ref="X171:X172"/>
    <mergeCell ref="CY171:CY172"/>
    <mergeCell ref="CT171:CT172"/>
    <mergeCell ref="CS155:CV155"/>
    <mergeCell ref="BR45:BR46"/>
    <mergeCell ref="BY45:BY46"/>
    <mergeCell ref="BZ45:BZ46"/>
    <mergeCell ref="JU45:JU46"/>
    <mergeCell ref="JV45:JV46"/>
    <mergeCell ref="NI43:NM43"/>
    <mergeCell ref="AR168:AX168"/>
    <mergeCell ref="DB168:DH168"/>
    <mergeCell ref="CS157:CV157"/>
    <mergeCell ref="AH171:AH190"/>
    <mergeCell ref="BE171:BE172"/>
    <mergeCell ref="AR171:AR172"/>
    <mergeCell ref="AJ152:AO152"/>
    <mergeCell ref="DC171:DC172"/>
    <mergeCell ref="DD171:DD172"/>
    <mergeCell ref="DE171:DE172"/>
    <mergeCell ref="CA45:CA46"/>
    <mergeCell ref="DO171:DS171"/>
    <mergeCell ref="DG171:DG172"/>
    <mergeCell ref="DH171:DH172"/>
    <mergeCell ref="DI171:DI172"/>
    <mergeCell ref="DJ171:DJ172"/>
    <mergeCell ref="DL171:DL172"/>
    <mergeCell ref="AX45:AX46"/>
    <mergeCell ref="AY45:AY46"/>
    <mergeCell ref="BI45:BI46"/>
    <mergeCell ref="BP45:BP46"/>
    <mergeCell ref="NI41:NM41"/>
    <mergeCell ref="NI42:NM42"/>
    <mergeCell ref="KH21:KP21"/>
    <mergeCell ref="MT45:MV45"/>
    <mergeCell ref="GC22:GG22"/>
    <mergeCell ref="AT171:AT172"/>
    <mergeCell ref="AL171:AL172"/>
    <mergeCell ref="AO171:AO172"/>
    <mergeCell ref="AQ171:AQ172"/>
    <mergeCell ref="BL31:BT31"/>
    <mergeCell ref="MJ85:MJ86"/>
    <mergeCell ref="CH25:CI25"/>
    <mergeCell ref="CJ25:CP25"/>
    <mergeCell ref="BL25:BT25"/>
    <mergeCell ref="BL26:BU26"/>
    <mergeCell ref="CQ171:CQ190"/>
    <mergeCell ref="CF89:CL89"/>
    <mergeCell ref="CC45:CC46"/>
    <mergeCell ref="CK109:CN109"/>
    <mergeCell ref="CK110:CK112"/>
    <mergeCell ref="CK113:CN113"/>
    <mergeCell ref="BV45:BV46"/>
    <mergeCell ref="BW45:BW46"/>
    <mergeCell ref="JT45:JT46"/>
    <mergeCell ref="GW12:GY12"/>
    <mergeCell ref="AE280:AE281"/>
    <mergeCell ref="AG280:AG281"/>
    <mergeCell ref="Z280:Z281"/>
    <mergeCell ref="AA280:AA281"/>
    <mergeCell ref="AB280:AB281"/>
    <mergeCell ref="AC280:AC281"/>
    <mergeCell ref="JF11:JL11"/>
    <mergeCell ref="DI23:DR23"/>
    <mergeCell ref="DI25:DR25"/>
    <mergeCell ref="DI26:DQ26"/>
    <mergeCell ref="CS152:CX152"/>
    <mergeCell ref="CF101:CH101"/>
    <mergeCell ref="CF102:CH102"/>
    <mergeCell ref="DI24:DR24"/>
    <mergeCell ref="CV23:CX23"/>
    <mergeCell ref="CF103:CH103"/>
    <mergeCell ref="CL105:CP105"/>
    <mergeCell ref="CK107:CN107"/>
    <mergeCell ref="BL18:BU18"/>
    <mergeCell ref="AK225:AM225"/>
    <mergeCell ref="ET14:EU14"/>
    <mergeCell ref="CK26:CO26"/>
    <mergeCell ref="GK38:GL38"/>
    <mergeCell ref="IP12:IV12"/>
    <mergeCell ref="HZ3:IF3"/>
    <mergeCell ref="IB2:IH2"/>
    <mergeCell ref="HZ9:IF9"/>
    <mergeCell ref="IP4:IV4"/>
    <mergeCell ref="IP6:IV6"/>
    <mergeCell ref="IR2:IZ3"/>
    <mergeCell ref="IP8:IV8"/>
    <mergeCell ref="IP10:IV10"/>
    <mergeCell ref="EP12:EQ12"/>
    <mergeCell ref="ET13:EU13"/>
    <mergeCell ref="FK2:FN2"/>
    <mergeCell ref="FK3:FM3"/>
    <mergeCell ref="EQ2:EU2"/>
    <mergeCell ref="FE6:FG6"/>
    <mergeCell ref="FK6:FM6"/>
    <mergeCell ref="FK4:FM4"/>
    <mergeCell ref="FK5:FM5"/>
    <mergeCell ref="EQ6:EU6"/>
    <mergeCell ref="EQ5:EU5"/>
    <mergeCell ref="EY5:FA5"/>
    <mergeCell ref="EY4:FA4"/>
    <mergeCell ref="EQ4:EU4"/>
    <mergeCell ref="EY6:FA6"/>
    <mergeCell ref="FE3:FG3"/>
    <mergeCell ref="FE4:FG4"/>
    <mergeCell ref="FE5:FG5"/>
    <mergeCell ref="EQ3:EU3"/>
    <mergeCell ref="EY3:FA3"/>
    <mergeCell ref="EY2:FB2"/>
    <mergeCell ref="EQ7:EU7"/>
    <mergeCell ref="AX2:BE2"/>
    <mergeCell ref="CG7:CQ7"/>
    <mergeCell ref="AX3:BE3"/>
    <mergeCell ref="P171:P172"/>
    <mergeCell ref="BN7:BT7"/>
    <mergeCell ref="BL12:BT12"/>
    <mergeCell ref="BL11:BT11"/>
    <mergeCell ref="BM8:BU8"/>
    <mergeCell ref="CG2:CQ2"/>
    <mergeCell ref="CG3:CQ3"/>
    <mergeCell ref="CG4:CQ4"/>
    <mergeCell ref="CN27:CO27"/>
    <mergeCell ref="CJ28:CP28"/>
    <mergeCell ref="CI31:CQ32"/>
    <mergeCell ref="AP171:AP172"/>
    <mergeCell ref="AX171:AX172"/>
    <mergeCell ref="BS45:BS46"/>
    <mergeCell ref="BQ45:BQ46"/>
    <mergeCell ref="BO45:BO46"/>
    <mergeCell ref="AU171:AU172"/>
    <mergeCell ref="AZ171:AZ172"/>
    <mergeCell ref="AW45:AW46"/>
    <mergeCell ref="CG9:CQ9"/>
    <mergeCell ref="AX4:BE4"/>
    <mergeCell ref="AM38:AN38"/>
    <mergeCell ref="BL27:BT27"/>
    <mergeCell ref="CG10:CQ10"/>
    <mergeCell ref="CG11:CQ11"/>
    <mergeCell ref="DI12:DQ12"/>
    <mergeCell ref="DI13:DQ13"/>
    <mergeCell ref="BL21:BT21"/>
    <mergeCell ref="BL22:BU22"/>
    <mergeCell ref="BL19:BU19"/>
    <mergeCell ref="BL13:BT13"/>
    <mergeCell ref="BL14:BT14"/>
    <mergeCell ref="DI11:DQ11"/>
    <mergeCell ref="DI20:DR20"/>
    <mergeCell ref="BL15:BT15"/>
    <mergeCell ref="BL20:BT20"/>
    <mergeCell ref="CG13:CQ13"/>
    <mergeCell ref="CG12:CQ12"/>
    <mergeCell ref="CG14:CQ14"/>
    <mergeCell ref="CG15:CP15"/>
    <mergeCell ref="BL24:BU24"/>
    <mergeCell ref="DI19:DR19"/>
    <mergeCell ref="CJ27:CL27"/>
    <mergeCell ref="E100:G100"/>
    <mergeCell ref="AY171:AY172"/>
    <mergeCell ref="BF171:BJ171"/>
    <mergeCell ref="Y171:Y172"/>
    <mergeCell ref="Z171:AD171"/>
    <mergeCell ref="AK171:AK172"/>
    <mergeCell ref="K171:K172"/>
    <mergeCell ref="E171:E172"/>
    <mergeCell ref="J171:J172"/>
    <mergeCell ref="H171:H172"/>
    <mergeCell ref="I171:I172"/>
    <mergeCell ref="R171:R172"/>
    <mergeCell ref="AJ155:AM155"/>
    <mergeCell ref="BD171:BD172"/>
    <mergeCell ref="BA171:BA172"/>
    <mergeCell ref="T171:T172"/>
    <mergeCell ref="S171:S172"/>
    <mergeCell ref="D106:D107"/>
    <mergeCell ref="E106:E107"/>
    <mergeCell ref="D156:F156"/>
    <mergeCell ref="D217:D218"/>
    <mergeCell ref="E217:E218"/>
    <mergeCell ref="F217:F218"/>
    <mergeCell ref="L166:R166"/>
    <mergeCell ref="D155:F155"/>
    <mergeCell ref="D152:G152"/>
    <mergeCell ref="L217:L218"/>
    <mergeCell ref="M217:M218"/>
    <mergeCell ref="P217:P218"/>
    <mergeCell ref="Q217:Q218"/>
    <mergeCell ref="Q171:Q172"/>
    <mergeCell ref="J217:J218"/>
    <mergeCell ref="D171:D172"/>
    <mergeCell ref="R217:R218"/>
    <mergeCell ref="M171:M172"/>
    <mergeCell ref="O171:O172"/>
    <mergeCell ref="L171:L172"/>
    <mergeCell ref="M223:M224"/>
    <mergeCell ref="N223:N224"/>
    <mergeCell ref="I223:I224"/>
    <mergeCell ref="J223:J224"/>
    <mergeCell ref="K223:K224"/>
    <mergeCell ref="L223:L224"/>
    <mergeCell ref="K217:K218"/>
    <mergeCell ref="O223:O224"/>
    <mergeCell ref="V217:V218"/>
    <mergeCell ref="U217:U218"/>
    <mergeCell ref="Z211:AD211"/>
    <mergeCell ref="Z212:AD212"/>
    <mergeCell ref="BN45:BN46"/>
    <mergeCell ref="BO166:BU166"/>
    <mergeCell ref="AR166:AX166"/>
    <mergeCell ref="AJ156:AM156"/>
    <mergeCell ref="BT45:BT46"/>
    <mergeCell ref="BU45:BU46"/>
    <mergeCell ref="BL171:BL187"/>
    <mergeCell ref="JF9:JL9"/>
    <mergeCell ref="LC10:LL10"/>
    <mergeCell ref="KH16:KQ16"/>
    <mergeCell ref="KH17:KQ17"/>
    <mergeCell ref="KH18:KQ18"/>
    <mergeCell ref="KH19:KP19"/>
    <mergeCell ref="KH20:KQ20"/>
    <mergeCell ref="CB45:CB46"/>
    <mergeCell ref="AV171:AV172"/>
    <mergeCell ref="BC171:BC172"/>
    <mergeCell ref="CJ24:CP24"/>
    <mergeCell ref="BL23:BU23"/>
    <mergeCell ref="BJ45:BJ46"/>
    <mergeCell ref="BM45:BM46"/>
    <mergeCell ref="BO152:BR152"/>
    <mergeCell ref="DM171:DM172"/>
    <mergeCell ref="BX45:BX46"/>
    <mergeCell ref="CI19:CQ19"/>
    <mergeCell ref="CI20:CQ20"/>
    <mergeCell ref="CJ21:CP21"/>
    <mergeCell ref="CJ22:CO22"/>
    <mergeCell ref="CJ23:CP23"/>
    <mergeCell ref="DI21:DQ21"/>
    <mergeCell ref="DI22:DQ22"/>
    <mergeCell ref="JX3:KB3"/>
    <mergeCell ref="JX4:KB4"/>
    <mergeCell ref="KI4:KQ4"/>
    <mergeCell ref="KI5:KQ5"/>
    <mergeCell ref="KI6:KQ6"/>
    <mergeCell ref="KI7:KP7"/>
    <mergeCell ref="KI2:KQ2"/>
    <mergeCell ref="KI3:KQ3"/>
    <mergeCell ref="JG3:JL3"/>
    <mergeCell ref="JG2:JM2"/>
    <mergeCell ref="MX2:NC2"/>
    <mergeCell ref="MX3:NC3"/>
    <mergeCell ref="MX4:NC4"/>
    <mergeCell ref="MW46:MY46"/>
    <mergeCell ref="GH9:GN9"/>
    <mergeCell ref="HM2:HU2"/>
    <mergeCell ref="MI15:ML15"/>
    <mergeCell ref="MN15:MQ15"/>
    <mergeCell ref="LC2:LM2"/>
    <mergeCell ref="LC3:LM3"/>
    <mergeCell ref="LC4:LM4"/>
    <mergeCell ref="LC5:LM5"/>
    <mergeCell ref="LC6:LM6"/>
    <mergeCell ref="KI8:KQ8"/>
    <mergeCell ref="LC9:LM9"/>
    <mergeCell ref="KH12:KQ12"/>
    <mergeCell ref="KH13:KQ13"/>
    <mergeCell ref="KH14:KP14"/>
    <mergeCell ref="KH15:KP15"/>
    <mergeCell ref="KM9:KP9"/>
    <mergeCell ref="KH10:KP10"/>
    <mergeCell ref="JF6:JL6"/>
    <mergeCell ref="LC7:LM7"/>
    <mergeCell ref="JX2:KB2"/>
    <mergeCell ref="FX10:FY10"/>
    <mergeCell ref="GI4:GJ4"/>
    <mergeCell ref="GI2:GJ2"/>
    <mergeCell ref="FX4:FY4"/>
    <mergeCell ref="FX7:FY7"/>
    <mergeCell ref="GS6:GY6"/>
    <mergeCell ref="GS8:GY8"/>
    <mergeCell ref="GC8:GE8"/>
    <mergeCell ref="FX8:FY8"/>
    <mergeCell ref="GI5:GJ5"/>
    <mergeCell ref="GI6:GJ6"/>
    <mergeCell ref="GC2:GE2"/>
    <mergeCell ref="GS2:HE2"/>
    <mergeCell ref="GS3:GY3"/>
    <mergeCell ref="GS4:GY4"/>
    <mergeCell ref="FX2:FY2"/>
    <mergeCell ref="FX5:FY5"/>
    <mergeCell ref="GC5:GE5"/>
    <mergeCell ref="FQ2:FT2"/>
    <mergeCell ref="FQ3:FS3"/>
    <mergeCell ref="FQ4:FS4"/>
    <mergeCell ref="FQ5:FS5"/>
    <mergeCell ref="FE2:FH2"/>
    <mergeCell ref="FQ6:FS6"/>
    <mergeCell ref="ER8:EU8"/>
    <mergeCell ref="ED2:EI2"/>
    <mergeCell ref="ED3:EI3"/>
    <mergeCell ref="ED4:EI4"/>
    <mergeCell ref="ED7:EI7"/>
    <mergeCell ref="EH8:EI8"/>
    <mergeCell ref="BM2:BU2"/>
    <mergeCell ref="BM3:BU3"/>
    <mergeCell ref="BM4:BU4"/>
    <mergeCell ref="CG8:CQ8"/>
    <mergeCell ref="DJ5:DR5"/>
    <mergeCell ref="DJ6:DR6"/>
    <mergeCell ref="DJ7:DQ7"/>
    <mergeCell ref="DJ2:DR2"/>
    <mergeCell ref="DJ3:DR3"/>
    <mergeCell ref="DJ4:DR4"/>
    <mergeCell ref="CG6:CQ6"/>
    <mergeCell ref="CG5:CP5"/>
    <mergeCell ref="BM5:BU5"/>
    <mergeCell ref="BM6:BU6"/>
    <mergeCell ref="DJ8:DR8"/>
    <mergeCell ref="AX5:BE5"/>
    <mergeCell ref="AX6:BE6"/>
    <mergeCell ref="T270:AA270"/>
    <mergeCell ref="T271:AA271"/>
    <mergeCell ref="AK227:AM227"/>
    <mergeCell ref="AK228:AM228"/>
    <mergeCell ref="AK229:AM229"/>
    <mergeCell ref="AK230:AM230"/>
    <mergeCell ref="AK233:AM233"/>
    <mergeCell ref="T268:AA268"/>
    <mergeCell ref="N32:T33"/>
    <mergeCell ref="AA38:AB38"/>
    <mergeCell ref="AE38:AG38"/>
    <mergeCell ref="AK238:AM238"/>
    <mergeCell ref="AK239:AM239"/>
    <mergeCell ref="T269:AA269"/>
    <mergeCell ref="AX7:BE7"/>
    <mergeCell ref="AX8:BE8"/>
    <mergeCell ref="AX9:BE9"/>
    <mergeCell ref="AX10:BE10"/>
    <mergeCell ref="AJ20:AL20"/>
    <mergeCell ref="T217:T218"/>
    <mergeCell ref="O34:Q34"/>
    <mergeCell ref="R34:S34"/>
    <mergeCell ref="AK226:AM226"/>
    <mergeCell ref="S217:S218"/>
    <mergeCell ref="T395:V395"/>
    <mergeCell ref="T396:U396"/>
    <mergeCell ref="AP389:AY389"/>
    <mergeCell ref="AP390:AY390"/>
    <mergeCell ref="AP391:AX391"/>
    <mergeCell ref="AP392:AX392"/>
    <mergeCell ref="AP393:AY393"/>
    <mergeCell ref="T273:Z273"/>
    <mergeCell ref="T272:Z272"/>
    <mergeCell ref="AK235:AM235"/>
    <mergeCell ref="T274:Z274"/>
    <mergeCell ref="T275:Z275"/>
    <mergeCell ref="AD280:AD281"/>
    <mergeCell ref="Y280:Y281"/>
    <mergeCell ref="AP395:AY395"/>
    <mergeCell ref="AK234:AM234"/>
    <mergeCell ref="AK231:AM231"/>
    <mergeCell ref="AK232:AM232"/>
    <mergeCell ref="X280:X281"/>
    <mergeCell ref="K280:K281"/>
    <mergeCell ref="L280:L281"/>
    <mergeCell ref="M280:M281"/>
    <mergeCell ref="N280:N281"/>
    <mergeCell ref="S280:S281"/>
    <mergeCell ref="T280:T281"/>
    <mergeCell ref="U280:U281"/>
    <mergeCell ref="V280:V281"/>
    <mergeCell ref="AP396:AX396"/>
    <mergeCell ref="Q280:Q281"/>
    <mergeCell ref="R280:R281"/>
    <mergeCell ref="K359:K360"/>
    <mergeCell ref="L848:M848"/>
    <mergeCell ref="P783:R783"/>
    <mergeCell ref="H847:I847"/>
    <mergeCell ref="H848:I848"/>
    <mergeCell ref="E782:I782"/>
    <mergeCell ref="E783:H783"/>
    <mergeCell ref="E784:I784"/>
    <mergeCell ref="E787:M787"/>
    <mergeCell ref="D847:E847"/>
    <mergeCell ref="D848:E848"/>
    <mergeCell ref="E793:H793"/>
    <mergeCell ref="E785:I785"/>
    <mergeCell ref="E786:I786"/>
    <mergeCell ref="E792:I792"/>
    <mergeCell ref="E789:I789"/>
    <mergeCell ref="E779:I779"/>
    <mergeCell ref="E780:I780"/>
    <mergeCell ref="E781:I781"/>
    <mergeCell ref="P782:S782"/>
    <mergeCell ref="E776:H776"/>
    <mergeCell ref="I491:L491"/>
    <mergeCell ref="I517:L517"/>
    <mergeCell ref="I464:N464"/>
    <mergeCell ref="L847:M847"/>
    <mergeCell ref="P773:T773"/>
    <mergeCell ref="F529:L529"/>
    <mergeCell ref="F530:J530"/>
    <mergeCell ref="F531:J531"/>
    <mergeCell ref="F532:J532"/>
    <mergeCell ref="I541:N541"/>
    <mergeCell ref="I543:L543"/>
    <mergeCell ref="W780:X780"/>
    <mergeCell ref="Y780:AE780"/>
    <mergeCell ref="Z781:AD781"/>
    <mergeCell ref="O786:U786"/>
    <mergeCell ref="Y782:AA782"/>
    <mergeCell ref="AC782:AD782"/>
    <mergeCell ref="Y783:AE783"/>
    <mergeCell ref="Y779:AE779"/>
    <mergeCell ref="P779:S779"/>
    <mergeCell ref="P780:S780"/>
    <mergeCell ref="P781:R781"/>
    <mergeCell ref="F359:F360"/>
    <mergeCell ref="K652:L652"/>
    <mergeCell ref="E777:M777"/>
    <mergeCell ref="F429:J429"/>
    <mergeCell ref="F430:J430"/>
    <mergeCell ref="F428:L428"/>
    <mergeCell ref="F431:J431"/>
    <mergeCell ref="F452:L452"/>
    <mergeCell ref="E652:F652"/>
    <mergeCell ref="E359:E360"/>
    <mergeCell ref="H418:M418"/>
    <mergeCell ref="I439:N439"/>
    <mergeCell ref="I489:N489"/>
    <mergeCell ref="I515:N515"/>
    <mergeCell ref="F404:J404"/>
    <mergeCell ref="F405:J405"/>
    <mergeCell ref="H420:K420"/>
    <mergeCell ref="I441:L441"/>
    <mergeCell ref="I466:L466"/>
    <mergeCell ref="N652:O652"/>
    <mergeCell ref="F453:J453"/>
    <mergeCell ref="F454:J454"/>
    <mergeCell ref="E771:I771"/>
    <mergeCell ref="D359:D360"/>
    <mergeCell ref="I359:I360"/>
    <mergeCell ref="J359:J360"/>
    <mergeCell ref="E772:I772"/>
    <mergeCell ref="E773:I773"/>
    <mergeCell ref="E774:I774"/>
    <mergeCell ref="E775:I775"/>
    <mergeCell ref="E766:I766"/>
    <mergeCell ref="E767:I767"/>
    <mergeCell ref="E768:I768"/>
    <mergeCell ref="E769:I769"/>
    <mergeCell ref="E770:I770"/>
    <mergeCell ref="F477:L477"/>
    <mergeCell ref="F478:J478"/>
    <mergeCell ref="F479:J479"/>
    <mergeCell ref="F480:J480"/>
    <mergeCell ref="F455:J455"/>
    <mergeCell ref="F402:L402"/>
    <mergeCell ref="F403:J403"/>
    <mergeCell ref="F503:L503"/>
    <mergeCell ref="F504:J504"/>
    <mergeCell ref="F505:J505"/>
    <mergeCell ref="F506:J506"/>
    <mergeCell ref="F378:G378"/>
    <mergeCell ref="BC923:BG923"/>
    <mergeCell ref="NV40:NZ40"/>
    <mergeCell ref="D1262:H1262"/>
    <mergeCell ref="G14:H14"/>
    <mergeCell ref="G15:H15"/>
    <mergeCell ref="G331:J331"/>
    <mergeCell ref="D354:H354"/>
    <mergeCell ref="D355:H355"/>
    <mergeCell ref="C356:H356"/>
    <mergeCell ref="C357:H357"/>
    <mergeCell ref="H280:H281"/>
    <mergeCell ref="I280:I281"/>
    <mergeCell ref="J280:J281"/>
    <mergeCell ref="H217:H218"/>
    <mergeCell ref="I217:I218"/>
    <mergeCell ref="D32:J33"/>
    <mergeCell ref="H34:I34"/>
    <mergeCell ref="E34:G34"/>
    <mergeCell ref="C106:C107"/>
    <mergeCell ref="H223:H224"/>
    <mergeCell ref="C217:C218"/>
    <mergeCell ref="C171:C172"/>
    <mergeCell ref="G333:J333"/>
    <mergeCell ref="E790:I790"/>
    <mergeCell ref="BC915:BI915"/>
    <mergeCell ref="BC917:BG917"/>
    <mergeCell ref="BC922:BG922"/>
    <mergeCell ref="E791:I791"/>
    <mergeCell ref="X774:AG774"/>
    <mergeCell ref="X775:AG775"/>
    <mergeCell ref="Y776:AE776"/>
    <mergeCell ref="Y777:AD777"/>
    <mergeCell ref="P774:S774"/>
    <mergeCell ref="P775:S775"/>
    <mergeCell ref="P776:R776"/>
    <mergeCell ref="P777:R777"/>
    <mergeCell ref="P778:S778"/>
    <mergeCell ref="AJ776:AL776"/>
    <mergeCell ref="AJ777:AL777"/>
    <mergeCell ref="AJ778:AM778"/>
    <mergeCell ref="AJ779:AM779"/>
    <mergeCell ref="AJ780:AM780"/>
    <mergeCell ref="E778:I778"/>
    <mergeCell ref="Y778:AE778"/>
    <mergeCell ref="E788:I788"/>
    <mergeCell ref="AJ781:AL781"/>
    <mergeCell ref="AJ782:AM782"/>
    <mergeCell ref="Y787:AD787"/>
  </mergeCells>
  <conditionalFormatting sqref="AP389:AP391">
    <cfRule type="expression" dxfId="10" priority="4">
      <formula>IF($AM$2=2,$AC$65,"")</formula>
    </cfRule>
  </conditionalFormatting>
  <conditionalFormatting sqref="AP394:AP395">
    <cfRule type="expression" dxfId="9" priority="3">
      <formula>IF($AM$2=2,$AC$65,"")</formula>
    </cfRule>
  </conditionalFormatting>
  <conditionalFormatting sqref="BF47:BF58">
    <cfRule type="expression" dxfId="8" priority="15" stopIfTrue="1">
      <formula>IF(AND($BW$2=2,$BD47&gt;=$BU$11,$BD47&lt;=$BU$12),$BF47,"")</formula>
    </cfRule>
  </conditionalFormatting>
  <conditionalFormatting sqref="BG47:BG58">
    <cfRule type="expression" dxfId="7" priority="14" stopIfTrue="1">
      <formula>IF(AND($CS$2=2,$BD47&gt;=$CQ$11,$BD47&lt;=$CQ$12),$BG47,"")</formula>
    </cfRule>
  </conditionalFormatting>
  <conditionalFormatting sqref="BH47:BH58">
    <cfRule type="expression" dxfId="6" priority="5" stopIfTrue="1">
      <formula>IF(AND($DT$2=2,$BW$2=1,$BD47&gt;=$DR$11,$BD47&lt;=$DR$12),$BH47,"")</formula>
    </cfRule>
  </conditionalFormatting>
  <conditionalFormatting sqref="BL18:BL20">
    <cfRule type="expression" dxfId="5" priority="23">
      <formula>IF($AM$2=2,$AC$65,"")</formula>
    </cfRule>
  </conditionalFormatting>
  <conditionalFormatting sqref="BL23:BL24">
    <cfRule type="expression" dxfId="4" priority="21">
      <formula>IF($AM$2=2,$AC$65,"")</formula>
    </cfRule>
  </conditionalFormatting>
  <conditionalFormatting sqref="DI19:DI21">
    <cfRule type="expression" dxfId="3" priority="20">
      <formula>IF($AM$2=2,$AC$65,"")</formula>
    </cfRule>
  </conditionalFormatting>
  <conditionalFormatting sqref="DI24:DI25">
    <cfRule type="expression" dxfId="2" priority="19">
      <formula>IF($AM$2=2,$AC$65,"")</formula>
    </cfRule>
  </conditionalFormatting>
  <conditionalFormatting sqref="KH12:KH14">
    <cfRule type="expression" dxfId="1" priority="12">
      <formula>IF($AM$2=2,$AC$65,"")</formula>
    </cfRule>
  </conditionalFormatting>
  <conditionalFormatting sqref="KH17:KH18">
    <cfRule type="expression" dxfId="0" priority="11">
      <formula>IF($AM$2=2,$AC$65,"")</formula>
    </cfRule>
  </conditionalFormatting>
  <pageMargins left="0.7" right="0.7" top="0.75" bottom="0.75" header="0.3" footer="0.3"/>
  <pageSetup orientation="portrait" r:id="rId4"/>
  <ignoredErrors>
    <ignoredError sqref="BZ13 DX13 EJ3 E160 G160:G161 G166:G167 E166 AK160 AM160:AM161 AM165:AM166 CT160 CV160:CV161 CV165:CV166 CT165 KW13 LT13 AQ220:AQ223 ET198 J307 I304 M304 T173:T184 AZ173:AZ184 CH94 DC16 DC22 CH106 EN173 EN182 M161 Q161 BP160 BT160 AS161 AW161 DC161 DG161 AA388 W389 R791 AB791 AL791 I355 E1430 AK165 U1430 EJ218 AK225 F1267" formula="1"/>
    <ignoredError sqref="D161 AJ161 CS161 CS166 KJ24:KL24 KH20 E318 D319 G318 CS46 J282 M942 J948 C1281 E1281:F1281 FY9" evalError="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0C0"/>
  </sheetPr>
  <dimension ref="A1:CT170"/>
  <sheetViews>
    <sheetView topLeftCell="A28" zoomScale="112" zoomScaleNormal="112" workbookViewId="0">
      <selection activeCell="N32" sqref="N32"/>
    </sheetView>
  </sheetViews>
  <sheetFormatPr defaultColWidth="0" defaultRowHeight="15" customHeight="1" zeroHeight="1"/>
  <cols>
    <col min="1" max="1" width="1.7109375" customWidth="1"/>
    <col min="2" max="2" width="3.7109375" customWidth="1"/>
    <col min="3" max="3" width="8.7109375" customWidth="1"/>
    <col min="4" max="4" width="8" customWidth="1"/>
    <col min="5" max="5" width="11" customWidth="1"/>
    <col min="6" max="6" width="6" customWidth="1"/>
    <col min="7" max="7" width="10" customWidth="1"/>
    <col min="8" max="8" width="14.7109375" customWidth="1"/>
    <col min="9" max="9" width="16.85546875" customWidth="1"/>
    <col min="10" max="10" width="2.85546875" customWidth="1"/>
    <col min="11" max="11" width="10.85546875" customWidth="1"/>
    <col min="12" max="12" width="8.28515625" customWidth="1"/>
    <col min="13" max="16" width="11" customWidth="1"/>
    <col min="17" max="17" width="15" customWidth="1"/>
    <col min="18" max="18" width="7.42578125" customWidth="1"/>
    <col min="19" max="19" width="12.28515625" customWidth="1"/>
    <col min="20" max="20" width="13.85546875" customWidth="1"/>
    <col min="21" max="21" width="12.7109375" customWidth="1"/>
    <col min="22" max="25" width="11" customWidth="1"/>
    <col min="26" max="43" width="11" hidden="1" customWidth="1"/>
    <col min="44" max="44" width="25.7109375" hidden="1" customWidth="1"/>
    <col min="45" max="45" width="9.140625" hidden="1" customWidth="1"/>
    <col min="46" max="46" width="10.5703125" hidden="1" customWidth="1"/>
    <col min="47" max="47" width="23" hidden="1" customWidth="1"/>
    <col min="48" max="49" width="7.140625" hidden="1" customWidth="1"/>
    <col min="50" max="50" width="8.5703125" hidden="1" customWidth="1"/>
    <col min="51" max="51" width="9.140625" hidden="1" customWidth="1"/>
    <col min="52" max="52" width="10.5703125" hidden="1" customWidth="1"/>
    <col min="53" max="61" width="9.140625" hidden="1" customWidth="1"/>
    <col min="62" max="62" width="11.7109375" hidden="1" customWidth="1"/>
    <col min="63" max="67" width="9.140625" hidden="1" customWidth="1"/>
    <col min="68" max="68" width="11.140625" hidden="1" customWidth="1"/>
    <col min="69" max="69" width="12.28515625" hidden="1" customWidth="1"/>
    <col min="70" max="70" width="11.7109375" hidden="1" customWidth="1"/>
    <col min="71" max="72" width="9.140625" hidden="1" customWidth="1"/>
    <col min="73" max="73" width="14.85546875" hidden="1" customWidth="1"/>
    <col min="74" max="77" width="9.140625" hidden="1" customWidth="1"/>
    <col min="78" max="78" width="10.42578125" hidden="1" customWidth="1"/>
    <col min="79" max="98" width="0" hidden="1" customWidth="1"/>
    <col min="99" max="16384" width="9.140625" hidden="1"/>
  </cols>
  <sheetData>
    <row r="1" spans="1:98" ht="15.75" thickBo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842"/>
      <c r="BO1" s="831"/>
      <c r="BP1" s="831"/>
      <c r="BQ1" s="831"/>
      <c r="BR1" s="831"/>
      <c r="BS1" s="831"/>
      <c r="BT1" s="831"/>
      <c r="BU1" s="831"/>
      <c r="BV1" s="831"/>
      <c r="BW1" s="831"/>
      <c r="BX1" s="831"/>
      <c r="BY1" s="831"/>
      <c r="BZ1" s="831"/>
      <c r="CA1" s="831"/>
      <c r="CB1" s="831"/>
      <c r="CC1" s="831"/>
      <c r="CD1" s="831"/>
      <c r="CE1" s="831"/>
      <c r="CF1" s="831"/>
      <c r="CG1" s="831"/>
      <c r="CH1" s="831"/>
      <c r="CI1" s="831"/>
      <c r="CJ1" s="831"/>
      <c r="CK1" s="831"/>
      <c r="CL1" s="831"/>
      <c r="CM1" s="831"/>
      <c r="CN1" s="831"/>
      <c r="CO1" s="831"/>
      <c r="CP1" s="831"/>
      <c r="CQ1" s="831"/>
      <c r="CR1" s="831"/>
      <c r="CS1" s="831"/>
      <c r="CT1" s="831"/>
    </row>
    <row r="2" spans="1:98" ht="17.25" customHeight="1" thickTop="1">
      <c r="A2" s="383"/>
      <c r="B2" s="5954" t="s">
        <v>245</v>
      </c>
      <c r="C2" s="5955"/>
      <c r="D2" s="5955"/>
      <c r="E2" s="5955"/>
      <c r="F2" s="5956" t="s">
        <v>246</v>
      </c>
      <c r="G2" s="5956"/>
      <c r="H2" s="5956"/>
      <c r="I2" s="5956"/>
      <c r="J2" s="5956"/>
      <c r="K2" s="5956"/>
      <c r="L2" s="5957" t="s">
        <v>247</v>
      </c>
      <c r="M2" s="5958"/>
      <c r="N2" s="2933"/>
      <c r="O2" s="129"/>
      <c r="P2" s="129"/>
      <c r="Q2" s="520">
        <f>'Rent Reciept'!S7</f>
        <v>230400</v>
      </c>
      <c r="R2" s="129"/>
      <c r="S2" s="129"/>
      <c r="T2" s="129"/>
      <c r="U2" s="129"/>
      <c r="V2" s="129"/>
      <c r="W2" s="129"/>
      <c r="X2" s="129"/>
      <c r="Y2" s="129"/>
      <c r="Z2" s="129"/>
      <c r="AA2" s="129"/>
      <c r="AB2" s="129"/>
      <c r="AC2" s="129"/>
      <c r="AD2" s="129"/>
      <c r="AE2" s="129"/>
      <c r="AF2" s="129"/>
      <c r="AG2" s="129"/>
      <c r="AH2" s="129"/>
      <c r="AI2" s="129"/>
      <c r="AJ2" s="129"/>
      <c r="AK2" s="129"/>
      <c r="AL2" s="129"/>
      <c r="AM2" s="129"/>
      <c r="AN2" s="129"/>
      <c r="AO2" s="129"/>
      <c r="AP2" s="129"/>
      <c r="AQ2" s="129"/>
      <c r="AR2" s="5944" t="s">
        <v>248</v>
      </c>
      <c r="AS2" s="5944"/>
      <c r="AT2" s="130"/>
      <c r="AU2" s="131"/>
      <c r="AV2" s="131"/>
      <c r="AW2" s="131"/>
      <c r="AX2" s="131"/>
      <c r="AY2" s="131"/>
      <c r="AZ2" s="131"/>
      <c r="BA2" s="131"/>
      <c r="BB2" s="131"/>
      <c r="BC2" s="131"/>
      <c r="BD2" s="131"/>
      <c r="BE2" s="132"/>
      <c r="BF2" s="133"/>
      <c r="BG2" s="133"/>
      <c r="BH2" s="133"/>
      <c r="BI2" s="133"/>
      <c r="BJ2" s="133"/>
      <c r="BK2" s="133"/>
      <c r="BL2" s="133"/>
      <c r="BM2" s="133"/>
      <c r="BN2" s="133"/>
      <c r="BO2" s="241"/>
      <c r="BP2" s="241"/>
      <c r="BQ2" s="241"/>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row>
    <row r="3" spans="1:98" ht="18" customHeight="1">
      <c r="A3" s="383"/>
      <c r="B3" s="5959" t="s">
        <v>1672</v>
      </c>
      <c r="C3" s="5960"/>
      <c r="D3" s="5960"/>
      <c r="E3" s="2473"/>
      <c r="F3" s="5961" t="s">
        <v>23</v>
      </c>
      <c r="G3" s="5961"/>
      <c r="H3" s="5961"/>
      <c r="I3" s="5961"/>
      <c r="J3" s="5961"/>
      <c r="K3" s="5961"/>
      <c r="L3" s="5960" t="s">
        <v>1695</v>
      </c>
      <c r="M3" s="5962"/>
      <c r="N3" s="2934"/>
      <c r="O3" s="5963"/>
      <c r="P3" s="5963"/>
      <c r="Q3" s="5963"/>
      <c r="R3" s="5964"/>
      <c r="S3" s="5964"/>
      <c r="T3" s="134"/>
      <c r="U3" s="134"/>
      <c r="V3" s="134"/>
      <c r="W3" s="134"/>
      <c r="X3" s="134"/>
      <c r="Y3" s="134"/>
      <c r="Z3" s="134"/>
      <c r="AA3" s="134"/>
      <c r="AB3" s="134"/>
      <c r="AC3" s="134"/>
      <c r="AD3" s="134"/>
      <c r="AE3" s="134"/>
      <c r="AF3" s="134"/>
      <c r="AG3" s="134"/>
      <c r="AH3" s="134"/>
      <c r="AI3" s="134"/>
      <c r="AJ3" s="134"/>
      <c r="AK3" s="134"/>
      <c r="AL3" s="134"/>
      <c r="AM3" s="134"/>
      <c r="AN3" s="134"/>
      <c r="AO3" s="134"/>
      <c r="AP3" s="134"/>
      <c r="AQ3" s="134"/>
      <c r="AR3" s="135" t="s">
        <v>249</v>
      </c>
      <c r="AS3" s="135">
        <f>ROUND(K10/12,0)</f>
        <v>7445</v>
      </c>
      <c r="AT3" s="131"/>
      <c r="AU3" s="136"/>
      <c r="AV3" s="136"/>
      <c r="AW3" s="131"/>
      <c r="AX3" s="137"/>
      <c r="AY3" s="138">
        <f>SUM(AU19+AT17+500)</f>
        <v>1496234</v>
      </c>
      <c r="AZ3" s="130">
        <f>CEILING(AS15,1000)</f>
        <v>141000</v>
      </c>
      <c r="BA3" s="131"/>
      <c r="BB3" s="131"/>
      <c r="BC3" s="131"/>
      <c r="BD3" s="136">
        <f>SUM(AS15+AT17+400)</f>
        <v>230334</v>
      </c>
      <c r="BE3" s="527"/>
      <c r="BF3" s="133"/>
      <c r="BG3" s="133"/>
      <c r="BH3" s="133"/>
      <c r="BI3" s="133"/>
      <c r="BJ3" s="133"/>
      <c r="BK3" s="133"/>
      <c r="BL3" s="133"/>
      <c r="BM3" s="133"/>
      <c r="BN3" s="133"/>
      <c r="BO3" s="1189"/>
      <c r="BP3" s="1189"/>
      <c r="BQ3" s="1189"/>
      <c r="BR3" s="831"/>
      <c r="BS3" s="831"/>
      <c r="BT3" s="831"/>
      <c r="BU3" s="831"/>
      <c r="BV3" s="831"/>
      <c r="BW3" s="831"/>
      <c r="BX3" s="831"/>
      <c r="BY3" s="831"/>
      <c r="BZ3" s="831"/>
      <c r="CA3" s="3"/>
      <c r="CB3" s="3"/>
      <c r="CC3" s="3"/>
      <c r="CD3" s="3"/>
      <c r="CE3" s="3"/>
      <c r="CF3" s="3"/>
      <c r="CG3" s="3"/>
      <c r="CH3" s="3"/>
      <c r="CI3" s="3"/>
      <c r="CJ3" s="3"/>
      <c r="CK3" s="3"/>
      <c r="CL3" s="3"/>
      <c r="CM3" s="3"/>
      <c r="CN3" s="3"/>
      <c r="CO3" s="3"/>
      <c r="CP3" s="3"/>
      <c r="CQ3" s="3"/>
      <c r="CR3" s="3"/>
      <c r="CS3" s="3"/>
      <c r="CT3" s="3"/>
    </row>
    <row r="4" spans="1:98">
      <c r="A4" s="383"/>
      <c r="B4" s="5965" t="s">
        <v>179</v>
      </c>
      <c r="C4" s="5966"/>
      <c r="D4" s="5966"/>
      <c r="E4" s="5967" t="str">
        <f>CONCATENATE('Data Sheet-II'!L8)</f>
        <v>B.Saidi Reddy</v>
      </c>
      <c r="F4" s="5967"/>
      <c r="G4" s="5967"/>
      <c r="H4" s="2474" t="s">
        <v>24</v>
      </c>
      <c r="I4" s="5968" t="str">
        <f>CONCATENATE('Data Sheet-II'!L14)</f>
        <v>KRR Govt.Arts &amp; Science College(A)</v>
      </c>
      <c r="J4" s="5969"/>
      <c r="K4" s="5969"/>
      <c r="L4" s="5969"/>
      <c r="M4" s="5970"/>
      <c r="N4" s="2935"/>
      <c r="O4" s="5963"/>
      <c r="P4" s="5963"/>
      <c r="Q4" s="5963"/>
      <c r="R4" s="5964"/>
      <c r="S4" s="5964"/>
      <c r="T4" s="139"/>
      <c r="U4" s="139"/>
      <c r="V4" s="139"/>
      <c r="W4" s="139"/>
      <c r="X4" s="139"/>
      <c r="Y4" s="139"/>
      <c r="Z4" s="139"/>
      <c r="AA4" s="139"/>
      <c r="AB4" s="139"/>
      <c r="AC4" s="139"/>
      <c r="AD4" s="139"/>
      <c r="AE4" s="139"/>
      <c r="AF4" s="139"/>
      <c r="AG4" s="139"/>
      <c r="AH4" s="139"/>
      <c r="AI4" s="139"/>
      <c r="AJ4" s="139"/>
      <c r="AK4" s="139"/>
      <c r="AL4" s="139"/>
      <c r="AM4" s="139"/>
      <c r="AN4" s="139"/>
      <c r="AO4" s="139"/>
      <c r="AP4" s="139"/>
      <c r="AQ4" s="139"/>
      <c r="AR4" s="140" t="s">
        <v>250</v>
      </c>
      <c r="AS4" s="141">
        <f>SUM(AS5-AS6)</f>
        <v>7583</v>
      </c>
      <c r="AT4" s="131"/>
      <c r="AU4" s="131"/>
      <c r="AV4" s="130"/>
      <c r="AW4" s="131"/>
      <c r="AX4" s="142"/>
      <c r="AY4" s="138">
        <f>ROUND(AY3*0.1,0)</f>
        <v>149623</v>
      </c>
      <c r="AZ4" s="143">
        <f>SUM(AZ3+AT17+400)</f>
        <v>230734</v>
      </c>
      <c r="BA4" s="136"/>
      <c r="BB4" s="131"/>
      <c r="BC4" s="131"/>
      <c r="BD4" s="2457">
        <f>CEILING(ROUND(BD3/12,0),100)</f>
        <v>19200</v>
      </c>
      <c r="BE4" s="132"/>
      <c r="BF4" s="133"/>
      <c r="BG4" s="133"/>
      <c r="BH4" s="133"/>
      <c r="BI4" s="133"/>
      <c r="BJ4" s="133"/>
      <c r="BK4" s="133"/>
      <c r="BL4" s="133"/>
      <c r="BM4" s="133"/>
      <c r="BN4" s="133"/>
      <c r="BO4" s="1189"/>
      <c r="BP4" s="1189"/>
      <c r="BQ4" s="1189"/>
      <c r="BR4" s="831"/>
      <c r="BS4" s="831"/>
      <c r="BT4" s="831"/>
      <c r="BU4" s="831"/>
      <c r="BV4" s="831"/>
      <c r="BW4" s="831"/>
      <c r="BX4" s="831"/>
      <c r="BY4" s="831"/>
      <c r="BZ4" s="831"/>
      <c r="CA4" s="3"/>
      <c r="CB4" s="3"/>
      <c r="CC4" s="3"/>
      <c r="CD4" s="3"/>
      <c r="CE4" s="3"/>
      <c r="CF4" s="3"/>
      <c r="CG4" s="3"/>
      <c r="CH4" s="3"/>
      <c r="CI4" s="3"/>
      <c r="CJ4" s="3"/>
      <c r="CK4" s="3"/>
      <c r="CL4" s="3"/>
      <c r="CM4" s="3"/>
      <c r="CN4" s="3"/>
      <c r="CO4" s="3"/>
      <c r="CP4" s="3"/>
      <c r="CQ4" s="3"/>
      <c r="CR4" s="3"/>
      <c r="CS4" s="3"/>
      <c r="CT4" s="3"/>
    </row>
    <row r="5" spans="1:98" ht="15.75" thickBot="1">
      <c r="A5" s="383"/>
      <c r="B5" s="5965" t="s">
        <v>15</v>
      </c>
      <c r="C5" s="5966"/>
      <c r="D5" s="5966"/>
      <c r="E5" s="5967" t="str">
        <f>CONCATENATE('Data Sheet-II'!L9)</f>
        <v>Asst.Professor of Maths</v>
      </c>
      <c r="F5" s="5967"/>
      <c r="G5" s="5967"/>
      <c r="H5" s="2474" t="s">
        <v>28</v>
      </c>
      <c r="I5" s="5971" t="str">
        <f>CONCATENATE( BP5,BP6,", ",BQ5,BQ6,", ",BR5,BR6)</f>
        <v>Kodad(M), Suryapet(DIST), Telangana(STATE)</v>
      </c>
      <c r="J5" s="5971"/>
      <c r="K5" s="5972"/>
      <c r="L5" s="5971"/>
      <c r="M5" s="5973"/>
      <c r="N5" s="2936"/>
      <c r="O5" s="578"/>
      <c r="P5" s="578"/>
      <c r="Q5" s="578"/>
      <c r="R5" s="578"/>
      <c r="S5" s="578"/>
      <c r="T5" s="578"/>
      <c r="U5" s="144"/>
      <c r="V5" s="144"/>
      <c r="W5" s="144"/>
      <c r="X5" s="144"/>
      <c r="Y5" s="144"/>
      <c r="Z5" s="144"/>
      <c r="AA5" s="144"/>
      <c r="AB5" s="144"/>
      <c r="AC5" s="144"/>
      <c r="AD5" s="144"/>
      <c r="AE5" s="144"/>
      <c r="AF5" s="144"/>
      <c r="AG5" s="144"/>
      <c r="AH5" s="144"/>
      <c r="AI5" s="144"/>
      <c r="AJ5" s="144"/>
      <c r="AK5" s="144"/>
      <c r="AL5" s="144"/>
      <c r="AM5" s="144"/>
      <c r="AN5" s="144"/>
      <c r="AO5" s="144"/>
      <c r="AP5" s="144"/>
      <c r="AQ5" s="144"/>
      <c r="AR5" s="140" t="s">
        <v>251</v>
      </c>
      <c r="AS5" s="141">
        <f>AZ6</f>
        <v>19300</v>
      </c>
      <c r="AT5" s="131"/>
      <c r="AU5" s="131"/>
      <c r="AV5" s="131"/>
      <c r="AW5" s="131"/>
      <c r="AX5" s="142"/>
      <c r="AY5" s="138">
        <f>ROUND(AY4/12,0)</f>
        <v>12469</v>
      </c>
      <c r="AZ5" s="143">
        <f>ROUND(AZ4/12,0)</f>
        <v>19228</v>
      </c>
      <c r="BA5" s="143"/>
      <c r="BB5" s="131"/>
      <c r="BC5" s="131"/>
      <c r="BD5" s="131"/>
      <c r="BE5" s="132"/>
      <c r="BF5" s="133"/>
      <c r="BG5" s="133"/>
      <c r="BH5" s="133"/>
      <c r="BI5" s="133"/>
      <c r="BJ5" s="133"/>
      <c r="BK5" s="133"/>
      <c r="BL5" s="133"/>
      <c r="BM5" s="133"/>
      <c r="BN5" s="133"/>
      <c r="BO5" s="1189"/>
      <c r="BP5" s="2920" t="str">
        <f>'Data Sheet-II'!L15</f>
        <v>Kodad</v>
      </c>
      <c r="BQ5" s="2920" t="str">
        <f>'Data Sheet-II'!L16</f>
        <v>Suryapet</v>
      </c>
      <c r="BR5" s="1190" t="str">
        <f>'Data Sheet-II'!L17</f>
        <v>Telangana</v>
      </c>
      <c r="BS5" s="831"/>
      <c r="BT5" s="831"/>
      <c r="BU5" s="831"/>
      <c r="BV5" s="831"/>
      <c r="BW5" s="831"/>
      <c r="BX5" s="831"/>
      <c r="BY5" s="831"/>
      <c r="BZ5" s="831"/>
      <c r="CA5" s="3"/>
      <c r="CB5" s="3"/>
      <c r="CC5" s="3"/>
      <c r="CD5" s="3"/>
      <c r="CE5" s="3"/>
      <c r="CF5" s="3"/>
      <c r="CG5" s="3"/>
      <c r="CH5" s="3"/>
      <c r="CI5" s="3"/>
      <c r="CJ5" s="3"/>
      <c r="CK5" s="3"/>
      <c r="CL5" s="3"/>
      <c r="CM5" s="3"/>
      <c r="CN5" s="3"/>
      <c r="CO5" s="3"/>
      <c r="CP5" s="3"/>
      <c r="CQ5" s="3"/>
      <c r="CR5" s="3"/>
      <c r="CS5" s="3"/>
      <c r="CT5" s="3"/>
    </row>
    <row r="6" spans="1:98" ht="19.5" customHeight="1" thickTop="1">
      <c r="A6" s="384"/>
      <c r="B6" s="5965" t="s">
        <v>252</v>
      </c>
      <c r="C6" s="5966"/>
      <c r="D6" s="5966"/>
      <c r="E6" s="5974" t="str">
        <f>Formula!GD6</f>
        <v>Rented House</v>
      </c>
      <c r="F6" s="5974"/>
      <c r="G6" s="5974"/>
      <c r="H6" s="2474" t="s">
        <v>253</v>
      </c>
      <c r="I6" s="5975" t="str">
        <f>CONCATENATE('Data Sheet-II'!L11 )</f>
        <v>BSEPP1245A</v>
      </c>
      <c r="J6" s="5975"/>
      <c r="K6" s="2475" t="s">
        <v>254</v>
      </c>
      <c r="L6" s="5976" t="str">
        <f>CONCATENATE('Data Sheet-II'!L10)</f>
        <v>2000083</v>
      </c>
      <c r="M6" s="5977"/>
      <c r="N6" s="2937"/>
      <c r="O6" s="5934" t="s">
        <v>992</v>
      </c>
      <c r="P6" s="5935"/>
      <c r="Q6" s="5935"/>
      <c r="R6" s="5935"/>
      <c r="S6" s="5935"/>
      <c r="T6" s="5936"/>
      <c r="U6" s="145"/>
      <c r="V6" s="145"/>
      <c r="W6" s="145"/>
      <c r="X6" s="145"/>
      <c r="Y6" s="145"/>
      <c r="Z6" s="145"/>
      <c r="AA6" s="145"/>
      <c r="AB6" s="5934" t="s">
        <v>1732</v>
      </c>
      <c r="AC6" s="5935"/>
      <c r="AD6" s="5935"/>
      <c r="AE6" s="5935"/>
      <c r="AF6" s="5935"/>
      <c r="AG6" s="5936"/>
      <c r="AH6" s="145"/>
      <c r="AI6" s="145"/>
      <c r="AJ6" s="145"/>
      <c r="AK6" s="145"/>
      <c r="AL6" s="145"/>
      <c r="AM6" s="145"/>
      <c r="AN6" s="145"/>
      <c r="AO6" s="145"/>
      <c r="AP6" s="145"/>
      <c r="AQ6" s="145"/>
      <c r="AR6" s="146" t="s">
        <v>255</v>
      </c>
      <c r="AS6" s="135">
        <f>ROUND(AS15/12,0)</f>
        <v>11717</v>
      </c>
      <c r="AT6" s="131"/>
      <c r="AU6" s="131"/>
      <c r="AV6" s="130"/>
      <c r="AW6" s="131"/>
      <c r="AX6" s="147"/>
      <c r="AY6" s="148">
        <f>AS17</f>
        <v>91000</v>
      </c>
      <c r="AZ6" s="143">
        <f>CEILING(AZ5,100)</f>
        <v>19300</v>
      </c>
      <c r="BA6" s="143">
        <f>SUM(AZ6*12)</f>
        <v>231600</v>
      </c>
      <c r="BB6" s="131"/>
      <c r="BC6" s="131"/>
      <c r="BD6" s="136">
        <f>AS15</f>
        <v>140600</v>
      </c>
      <c r="BE6" s="132"/>
      <c r="BF6" s="133"/>
      <c r="BG6" s="133"/>
      <c r="BH6" s="133"/>
      <c r="BI6" s="133"/>
      <c r="BJ6" s="133"/>
      <c r="BK6" s="133"/>
      <c r="BL6" s="133"/>
      <c r="BM6" s="133"/>
      <c r="BN6" s="133"/>
      <c r="BO6" s="1189"/>
      <c r="BP6" s="2921" t="s">
        <v>25</v>
      </c>
      <c r="BQ6" s="2921" t="s">
        <v>26</v>
      </c>
      <c r="BR6" s="2922" t="s">
        <v>27</v>
      </c>
      <c r="BS6" s="831"/>
      <c r="BT6" s="831"/>
      <c r="BU6" s="5943"/>
      <c r="BV6" s="5943"/>
      <c r="BW6" s="5943"/>
      <c r="BX6" s="5943"/>
      <c r="BY6" s="5943"/>
      <c r="BZ6" s="5943"/>
      <c r="CA6" s="3"/>
      <c r="CB6" s="3"/>
      <c r="CC6" s="3"/>
      <c r="CD6" s="3"/>
      <c r="CE6" s="3"/>
      <c r="CF6" s="3"/>
      <c r="CG6" s="3"/>
      <c r="CH6" s="3"/>
      <c r="CI6" s="3"/>
      <c r="CJ6" s="3"/>
      <c r="CK6" s="3"/>
      <c r="CL6" s="3"/>
      <c r="CM6" s="3"/>
      <c r="CN6" s="3"/>
      <c r="CO6" s="3"/>
      <c r="CP6" s="3"/>
      <c r="CQ6" s="3"/>
      <c r="CR6" s="3"/>
      <c r="CS6" s="3"/>
      <c r="CT6" s="3"/>
    </row>
    <row r="7" spans="1:98" ht="14.1" customHeight="1">
      <c r="A7" s="384"/>
      <c r="B7" s="99" t="s">
        <v>1380</v>
      </c>
      <c r="C7" s="5917" t="s">
        <v>1498</v>
      </c>
      <c r="D7" s="5952"/>
      <c r="E7" s="5952"/>
      <c r="F7" s="5952"/>
      <c r="G7" s="5952"/>
      <c r="H7" s="5952"/>
      <c r="I7" s="5952"/>
      <c r="J7" s="5952"/>
      <c r="K7" s="2508" t="s">
        <v>1380</v>
      </c>
      <c r="L7" s="5821">
        <f>IF('Anexure-I'!M41&gt;0,'Anexure-I'!M41,"")</f>
        <v>1503534</v>
      </c>
      <c r="M7" s="5822"/>
      <c r="N7" s="2938"/>
      <c r="O7" s="5937"/>
      <c r="P7" s="5938"/>
      <c r="Q7" s="5938"/>
      <c r="R7" s="5938"/>
      <c r="S7" s="5938"/>
      <c r="T7" s="5939"/>
      <c r="U7" s="149"/>
      <c r="V7" s="149"/>
      <c r="W7" s="149"/>
      <c r="X7" s="149"/>
      <c r="Y7" s="149"/>
      <c r="Z7" s="149"/>
      <c r="AA7" s="149"/>
      <c r="AB7" s="5937"/>
      <c r="AC7" s="5938"/>
      <c r="AD7" s="5938"/>
      <c r="AE7" s="5938"/>
      <c r="AF7" s="5938"/>
      <c r="AG7" s="5939"/>
      <c r="AH7" s="149"/>
      <c r="AI7" s="149"/>
      <c r="AJ7" s="149"/>
      <c r="AK7" s="149"/>
      <c r="AL7" s="149"/>
      <c r="AM7" s="149"/>
      <c r="AN7" s="149"/>
      <c r="AO7" s="149"/>
      <c r="AP7" s="149"/>
      <c r="AQ7" s="149"/>
      <c r="AR7" s="5944" t="s">
        <v>256</v>
      </c>
      <c r="AS7" s="5944"/>
      <c r="AT7" s="131"/>
      <c r="AU7" s="131"/>
      <c r="AV7" s="131"/>
      <c r="AW7" s="131"/>
      <c r="AX7" s="150"/>
      <c r="AY7" s="150"/>
      <c r="AZ7" s="143"/>
      <c r="BA7" s="143"/>
      <c r="BB7" s="131"/>
      <c r="BC7" s="151"/>
      <c r="BD7" s="2457">
        <f>CEILING(ROUND(BD6/12,0),100)</f>
        <v>11800</v>
      </c>
      <c r="BE7" s="132"/>
      <c r="BF7" s="133"/>
      <c r="BG7" s="133"/>
      <c r="BH7" s="133"/>
      <c r="BI7" s="133"/>
      <c r="BJ7" s="133"/>
      <c r="BK7" s="133"/>
      <c r="BL7" s="133"/>
      <c r="BM7" s="133"/>
      <c r="BN7" s="133"/>
      <c r="BO7" s="1189"/>
      <c r="BP7" s="1189"/>
      <c r="BQ7" s="1189"/>
      <c r="BR7" s="831"/>
      <c r="BS7" s="831"/>
      <c r="BT7" s="831"/>
      <c r="BU7" s="2923"/>
      <c r="BV7" s="2923"/>
      <c r="BW7" s="2923"/>
      <c r="BX7" s="2923"/>
      <c r="BY7" s="2923"/>
      <c r="BZ7" s="2923"/>
      <c r="CA7" s="3"/>
      <c r="CB7" s="3"/>
      <c r="CC7" s="3"/>
      <c r="CD7" s="3"/>
      <c r="CE7" s="3"/>
      <c r="CF7" s="3"/>
      <c r="CG7" s="3"/>
      <c r="CH7" s="3"/>
      <c r="CI7" s="3"/>
      <c r="CJ7" s="3"/>
      <c r="CK7" s="3"/>
      <c r="CL7" s="3"/>
      <c r="CM7" s="3"/>
      <c r="CN7" s="3"/>
      <c r="CO7" s="3"/>
      <c r="CP7" s="3"/>
      <c r="CQ7" s="3"/>
      <c r="CR7" s="3"/>
      <c r="CS7" s="3"/>
      <c r="CT7" s="3"/>
    </row>
    <row r="8" spans="1:98" ht="14.1" customHeight="1" thickBot="1">
      <c r="A8" s="384"/>
      <c r="B8" s="99" t="s">
        <v>1475</v>
      </c>
      <c r="C8" s="5839" t="s">
        <v>1540</v>
      </c>
      <c r="D8" s="5839"/>
      <c r="E8" s="5839"/>
      <c r="F8" s="5839"/>
      <c r="G8" s="5839"/>
      <c r="H8" s="5839"/>
      <c r="I8" s="5953" t="s">
        <v>1539</v>
      </c>
      <c r="J8" s="5953"/>
      <c r="K8" s="2513" t="s">
        <v>1475</v>
      </c>
      <c r="L8" s="5945">
        <f>SUM(L11+L13)</f>
        <v>89334</v>
      </c>
      <c r="M8" s="5946"/>
      <c r="N8" s="2938"/>
      <c r="O8" s="5940"/>
      <c r="P8" s="5941"/>
      <c r="Q8" s="5941"/>
      <c r="R8" s="5941"/>
      <c r="S8" s="5941"/>
      <c r="T8" s="5942"/>
      <c r="U8" s="149"/>
      <c r="V8" s="149"/>
      <c r="W8" s="149"/>
      <c r="X8" s="149"/>
      <c r="Y8" s="149"/>
      <c r="Z8" s="990"/>
      <c r="AA8" s="990"/>
      <c r="AB8" s="5940"/>
      <c r="AC8" s="5941"/>
      <c r="AD8" s="5941"/>
      <c r="AE8" s="5941"/>
      <c r="AF8" s="5941"/>
      <c r="AG8" s="5942"/>
      <c r="AH8" s="149"/>
      <c r="AI8" s="149"/>
      <c r="AJ8" s="149"/>
      <c r="AK8" s="149"/>
      <c r="AL8" s="149"/>
      <c r="AM8" s="149"/>
      <c r="AN8" s="149"/>
      <c r="AO8" s="149"/>
      <c r="AP8" s="149"/>
      <c r="AQ8" s="149"/>
      <c r="AR8" s="5944"/>
      <c r="AS8" s="5944"/>
      <c r="AT8" s="131"/>
      <c r="AU8" s="131"/>
      <c r="AV8" s="131"/>
      <c r="AW8" s="131"/>
      <c r="AX8" s="150"/>
      <c r="AY8" s="150"/>
      <c r="AZ8" s="143"/>
      <c r="BA8" s="143"/>
      <c r="BB8" s="131"/>
      <c r="BC8" s="151"/>
      <c r="BD8" s="131"/>
      <c r="BE8" s="132"/>
      <c r="BF8" s="133"/>
      <c r="BG8" s="133"/>
      <c r="BH8" s="133"/>
      <c r="BI8" s="133"/>
      <c r="BJ8" s="133"/>
      <c r="BK8" s="133"/>
      <c r="BL8" s="133"/>
      <c r="BM8" s="133"/>
      <c r="BN8" s="133"/>
      <c r="BO8" s="1189"/>
      <c r="BP8" s="1189"/>
      <c r="BQ8" s="1189"/>
      <c r="BR8" s="831"/>
      <c r="BS8" s="831"/>
      <c r="BT8" s="831"/>
      <c r="BU8" s="2923"/>
      <c r="BV8" s="2923"/>
      <c r="BW8" s="2923"/>
      <c r="BX8" s="2923"/>
      <c r="BY8" s="2923"/>
      <c r="BZ8" s="2923"/>
      <c r="CA8" s="3"/>
      <c r="CB8" s="3"/>
      <c r="CC8" s="3"/>
      <c r="CD8" s="3"/>
      <c r="CE8" s="3"/>
      <c r="CF8" s="3"/>
      <c r="CG8" s="3"/>
      <c r="CH8" s="3"/>
      <c r="CI8" s="3"/>
      <c r="CJ8" s="3"/>
      <c r="CK8" s="3"/>
      <c r="CL8" s="3"/>
      <c r="CM8" s="3"/>
      <c r="CN8" s="3"/>
      <c r="CO8" s="3"/>
      <c r="CP8" s="3"/>
      <c r="CQ8" s="3"/>
      <c r="CR8" s="3"/>
      <c r="CS8" s="3"/>
      <c r="CT8" s="3"/>
    </row>
    <row r="9" spans="1:98" ht="16.5" customHeight="1" thickTop="1">
      <c r="A9" s="384"/>
      <c r="B9" s="99"/>
      <c r="C9" s="5832" t="s">
        <v>1499</v>
      </c>
      <c r="D9" s="5832"/>
      <c r="E9" s="5832"/>
      <c r="F9" s="5832"/>
      <c r="G9" s="5832"/>
      <c r="H9" s="5832"/>
      <c r="I9" s="5832"/>
      <c r="J9" s="5832"/>
      <c r="K9" s="5832"/>
      <c r="L9" s="5947"/>
      <c r="M9" s="5948"/>
      <c r="N9" s="2938"/>
      <c r="O9" s="5949"/>
      <c r="P9" s="5950"/>
      <c r="Q9" s="5950"/>
      <c r="R9" s="5950"/>
      <c r="S9" s="5950"/>
      <c r="T9" s="5951"/>
      <c r="U9" s="149"/>
      <c r="V9" s="149"/>
      <c r="W9" s="149"/>
      <c r="X9" s="149"/>
      <c r="Y9" s="149"/>
      <c r="Z9" s="990"/>
      <c r="AA9" s="990"/>
      <c r="AB9" s="5949"/>
      <c r="AC9" s="5950"/>
      <c r="AD9" s="5950"/>
      <c r="AE9" s="5950"/>
      <c r="AF9" s="5950"/>
      <c r="AG9" s="5951"/>
      <c r="AH9" s="149"/>
      <c r="AI9" s="149"/>
      <c r="AJ9" s="149"/>
      <c r="AK9" s="149"/>
      <c r="AL9" s="149"/>
      <c r="AM9" s="149"/>
      <c r="AN9" s="149"/>
      <c r="AO9" s="149"/>
      <c r="AP9" s="149"/>
      <c r="AQ9" s="149"/>
      <c r="AR9" s="5944"/>
      <c r="AS9" s="5944"/>
      <c r="AT9" s="131"/>
      <c r="AU9" s="131"/>
      <c r="AV9" s="131"/>
      <c r="AW9" s="131"/>
      <c r="AX9" s="150"/>
      <c r="AY9" s="150"/>
      <c r="AZ9" s="143"/>
      <c r="BA9" s="143"/>
      <c r="BB9" s="131"/>
      <c r="BC9" s="151"/>
      <c r="BD9" s="131"/>
      <c r="BE9" s="132"/>
      <c r="BF9" s="133"/>
      <c r="BG9" s="133"/>
      <c r="BH9" s="133"/>
      <c r="BI9" s="133"/>
      <c r="BJ9" s="133"/>
      <c r="BK9" s="133"/>
      <c r="BL9" s="133"/>
      <c r="BM9" s="133"/>
      <c r="BN9" s="133"/>
      <c r="BO9" s="1189"/>
      <c r="BP9" s="1189"/>
      <c r="BQ9" s="1189"/>
      <c r="BR9" s="831"/>
      <c r="BS9" s="831"/>
      <c r="BT9" s="831"/>
      <c r="BU9" s="2923"/>
      <c r="BV9" s="2923"/>
      <c r="BW9" s="2923"/>
      <c r="BX9" s="2923"/>
      <c r="BY9" s="2923"/>
      <c r="BZ9" s="2923"/>
      <c r="CA9" s="3"/>
      <c r="CB9" s="3"/>
      <c r="CC9" s="3"/>
      <c r="CD9" s="3"/>
      <c r="CE9" s="3"/>
      <c r="CF9" s="3"/>
      <c r="CG9" s="3"/>
      <c r="CH9" s="3"/>
      <c r="CI9" s="3"/>
      <c r="CJ9" s="3"/>
      <c r="CK9" s="3"/>
      <c r="CL9" s="3"/>
      <c r="CM9" s="3"/>
      <c r="CN9" s="3"/>
      <c r="CO9" s="3"/>
      <c r="CP9" s="3"/>
      <c r="CQ9" s="3"/>
      <c r="CR9" s="3"/>
      <c r="CS9" s="3"/>
      <c r="CT9" s="3"/>
    </row>
    <row r="10" spans="1:98">
      <c r="A10" s="384"/>
      <c r="B10" s="99"/>
      <c r="C10" s="2508" t="s">
        <v>1</v>
      </c>
      <c r="D10" s="5990" t="s">
        <v>257</v>
      </c>
      <c r="E10" s="5990"/>
      <c r="F10" s="5990"/>
      <c r="G10" s="5990"/>
      <c r="H10" s="5990"/>
      <c r="I10" s="2455"/>
      <c r="J10" s="102" t="s">
        <v>5</v>
      </c>
      <c r="K10" s="2460">
        <f>SUM('Anexure-I'!F41+'Anexure-I'!G41)</f>
        <v>89334</v>
      </c>
      <c r="L10" s="5893"/>
      <c r="M10" s="5894"/>
      <c r="N10" s="2939"/>
      <c r="O10" s="5911" t="s">
        <v>226</v>
      </c>
      <c r="P10" s="5912"/>
      <c r="Q10" s="5912"/>
      <c r="R10" s="244" t="s">
        <v>474</v>
      </c>
      <c r="S10" s="319">
        <f>'Anexure-I'!C41</f>
        <v>992600</v>
      </c>
      <c r="T10" s="247"/>
      <c r="U10" s="152"/>
      <c r="V10" s="152"/>
      <c r="W10" s="152"/>
      <c r="X10" s="152"/>
      <c r="Y10" s="152"/>
      <c r="Z10" s="991"/>
      <c r="AA10" s="991"/>
      <c r="AB10" s="5911" t="s">
        <v>1734</v>
      </c>
      <c r="AC10" s="5912"/>
      <c r="AD10" s="5912"/>
      <c r="AE10" s="244" t="s">
        <v>474</v>
      </c>
      <c r="AF10" s="319">
        <f>'Anexure-I'!F41</f>
        <v>89334</v>
      </c>
      <c r="AG10" s="247"/>
      <c r="AH10" s="152"/>
      <c r="AI10" s="152"/>
      <c r="AJ10" s="152"/>
      <c r="AK10" s="152"/>
      <c r="AL10" s="152"/>
      <c r="AM10" s="152"/>
      <c r="AN10" s="152"/>
      <c r="AO10" s="152"/>
      <c r="AP10" s="152"/>
      <c r="AQ10" s="152"/>
      <c r="AR10" s="5944"/>
      <c r="AS10" s="5944"/>
      <c r="AT10" s="131"/>
      <c r="AU10" s="131"/>
      <c r="AV10" s="131"/>
      <c r="AW10" s="131"/>
      <c r="AX10" s="131"/>
      <c r="AY10" s="131"/>
      <c r="AZ10" s="131"/>
      <c r="BA10" s="153"/>
      <c r="BB10" s="131"/>
      <c r="BC10" s="151"/>
      <c r="BD10" s="131"/>
      <c r="BE10" s="132"/>
      <c r="BF10" s="133"/>
      <c r="BG10" s="133"/>
      <c r="BH10" s="133"/>
      <c r="BI10" s="133"/>
      <c r="BJ10" s="133"/>
      <c r="BK10" s="133"/>
      <c r="BL10" s="133"/>
      <c r="BM10" s="133"/>
      <c r="BN10" s="133"/>
      <c r="BO10" s="1189"/>
      <c r="BP10" s="1189"/>
      <c r="BQ10" s="1189"/>
      <c r="BR10" s="831"/>
      <c r="BS10" s="831"/>
      <c r="BT10" s="831"/>
      <c r="BU10" s="5933"/>
      <c r="BV10" s="5933"/>
      <c r="BW10" s="5933"/>
      <c r="BX10" s="2924"/>
      <c r="BY10" s="2925"/>
      <c r="BZ10" s="2926"/>
      <c r="CA10" s="3"/>
      <c r="CB10" s="3"/>
      <c r="CC10" s="3"/>
      <c r="CD10" s="3"/>
      <c r="CE10" s="3"/>
      <c r="CF10" s="3"/>
      <c r="CG10" s="3"/>
      <c r="CH10" s="3"/>
      <c r="CI10" s="3"/>
      <c r="CJ10" s="3"/>
      <c r="CK10" s="3"/>
      <c r="CL10" s="3"/>
      <c r="CM10" s="3"/>
      <c r="CN10" s="3"/>
      <c r="CO10" s="3"/>
      <c r="CP10" s="3"/>
      <c r="CQ10" s="3"/>
      <c r="CR10" s="3"/>
      <c r="CS10" s="3"/>
      <c r="CT10" s="3"/>
    </row>
    <row r="11" spans="1:98" ht="12.95" customHeight="1">
      <c r="A11" s="384"/>
      <c r="B11" s="99"/>
      <c r="C11" s="2508" t="s">
        <v>2</v>
      </c>
      <c r="D11" s="5987" t="s">
        <v>1500</v>
      </c>
      <c r="E11" s="5988"/>
      <c r="F11" s="5988"/>
      <c r="G11" s="5988"/>
      <c r="H11" s="5989"/>
      <c r="I11" s="2486" t="str">
        <f>IF(Formula!$GE$6=2,"",IF(AND(Formula!$GE$6=1,S15&gt;0),CONCATENATE("Rent@",S15,"/-","PM"),CONCATENATE( " Rent@",AF16, "/-"," PM")))</f>
        <v xml:space="preserve"> Rent@19200/- PM</v>
      </c>
      <c r="J11" s="100" t="s">
        <v>5</v>
      </c>
      <c r="K11" s="2458">
        <f>IF(Formula!GE6=2,0,IF(S15&gt;0,S17,AF15))</f>
        <v>89760</v>
      </c>
      <c r="L11" s="5821">
        <f>MIN(K10:K12)</f>
        <v>89334</v>
      </c>
      <c r="M11" s="5822"/>
      <c r="N11" s="2939"/>
      <c r="O11" s="5911" t="s">
        <v>228</v>
      </c>
      <c r="P11" s="5912"/>
      <c r="Q11" s="5912"/>
      <c r="R11" s="244" t="s">
        <v>474</v>
      </c>
      <c r="S11" s="319">
        <f xml:space="preserve"> 'Anexure-I'!E41</f>
        <v>413800</v>
      </c>
      <c r="T11" s="247"/>
      <c r="U11" s="152"/>
      <c r="V11" s="152"/>
      <c r="W11" s="152"/>
      <c r="X11" s="152"/>
      <c r="Y11" s="152"/>
      <c r="Z11" s="991"/>
      <c r="AA11" s="991"/>
      <c r="AB11" s="5911" t="s">
        <v>1735</v>
      </c>
      <c r="AC11" s="5912"/>
      <c r="AD11" s="5912"/>
      <c r="AE11" s="244" t="s">
        <v>474</v>
      </c>
      <c r="AF11" s="319">
        <f>'Anexure-I'!C41</f>
        <v>992600</v>
      </c>
      <c r="AG11" s="247"/>
      <c r="AH11" s="152"/>
      <c r="AI11" s="152"/>
      <c r="AJ11" s="152"/>
      <c r="AK11" s="152"/>
      <c r="AL11" s="152"/>
      <c r="AM11" s="152"/>
      <c r="AN11" s="152"/>
      <c r="AO11" s="152"/>
      <c r="AP11" s="152"/>
      <c r="AQ11" s="152"/>
      <c r="AR11" s="141" t="s">
        <v>258</v>
      </c>
      <c r="AS11" s="143">
        <f>IF('Anexure-I'!C41&gt;0,'Anexure-I'!C41,"")</f>
        <v>992600</v>
      </c>
      <c r="AT11" s="154"/>
      <c r="AU11" s="131"/>
      <c r="AV11" s="131"/>
      <c r="AW11" s="131"/>
      <c r="AX11" s="131"/>
      <c r="AY11" s="153"/>
      <c r="AZ11" s="155"/>
      <c r="BA11" s="153"/>
      <c r="BB11" s="131"/>
      <c r="BC11" s="131"/>
      <c r="BD11" s="131"/>
      <c r="BE11" s="132"/>
      <c r="BF11" s="133"/>
      <c r="BG11" s="133"/>
      <c r="BH11" s="133"/>
      <c r="BI11" s="133"/>
      <c r="BJ11" s="133"/>
      <c r="BK11" s="133"/>
      <c r="BL11" s="133"/>
      <c r="BM11" s="133"/>
      <c r="BN11" s="133"/>
      <c r="BO11" s="2927"/>
      <c r="BP11" s="2927"/>
      <c r="BQ11" s="2927"/>
      <c r="BR11" s="831"/>
      <c r="BS11" s="831"/>
      <c r="BT11" s="831"/>
      <c r="BU11" s="5933"/>
      <c r="BV11" s="5933"/>
      <c r="BW11" s="5933"/>
      <c r="BX11" s="2924"/>
      <c r="BY11" s="2925"/>
      <c r="BZ11" s="2926"/>
      <c r="CA11" s="3"/>
      <c r="CB11" s="3"/>
      <c r="CC11" s="3"/>
      <c r="CD11" s="3"/>
      <c r="CE11" s="3"/>
      <c r="CF11" s="3"/>
      <c r="CG11" s="3"/>
      <c r="CH11" s="3"/>
      <c r="CI11" s="3"/>
      <c r="CJ11" s="3"/>
      <c r="CK11" s="3"/>
      <c r="CL11" s="3"/>
      <c r="CM11" s="3"/>
      <c r="CN11" s="3"/>
      <c r="CO11" s="3"/>
      <c r="CP11" s="3"/>
      <c r="CQ11" s="3"/>
      <c r="CR11" s="3"/>
      <c r="CS11" s="3"/>
      <c r="CT11" s="3"/>
    </row>
    <row r="12" spans="1:98" ht="12.95" customHeight="1">
      <c r="A12" s="384"/>
      <c r="B12" s="99"/>
      <c r="C12" s="2515" t="s">
        <v>3</v>
      </c>
      <c r="D12" s="6004" t="str">
        <f>IF(Formula!GK6=1,CONCATENATE("50% of Salary"," (","Salary means Basic Pay","+","D.A",")",),CONCATENATE("40% of Salary"," (","Salary means Basic Pay","+","D.A",")",))</f>
        <v>40% of Salary (Salary means Basic Pay+D.A)</v>
      </c>
      <c r="E12" s="6004"/>
      <c r="F12" s="6004"/>
      <c r="G12" s="6004"/>
      <c r="H12" s="6004"/>
      <c r="I12" s="2456"/>
      <c r="J12" s="623" t="s">
        <v>5</v>
      </c>
      <c r="K12" s="2461">
        <f>AK15</f>
        <v>562560</v>
      </c>
      <c r="L12" s="5897"/>
      <c r="M12" s="5898"/>
      <c r="N12" s="2939"/>
      <c r="O12" s="5922" t="s">
        <v>31</v>
      </c>
      <c r="P12" s="5923"/>
      <c r="Q12" s="5923"/>
      <c r="R12" s="244" t="s">
        <v>474</v>
      </c>
      <c r="S12" s="264">
        <f>SUM(S10:S11)</f>
        <v>1406400</v>
      </c>
      <c r="T12" s="247"/>
      <c r="U12" s="152"/>
      <c r="V12" s="152"/>
      <c r="W12" s="152"/>
      <c r="X12" s="152"/>
      <c r="Y12" s="152"/>
      <c r="Z12" s="991"/>
      <c r="AA12" s="991"/>
      <c r="AB12" s="5932" t="s">
        <v>188</v>
      </c>
      <c r="AC12" s="5923"/>
      <c r="AD12" s="5923"/>
      <c r="AE12" s="244" t="s">
        <v>474</v>
      </c>
      <c r="AF12" s="319">
        <f>'Anexure-I'!E41</f>
        <v>413800</v>
      </c>
      <c r="AG12" s="247"/>
      <c r="AH12" s="152"/>
      <c r="AI12" s="152"/>
      <c r="AJ12" s="152"/>
      <c r="AK12" s="152"/>
      <c r="AL12" s="152"/>
      <c r="AM12" s="152"/>
      <c r="AN12" s="152"/>
      <c r="AO12" s="152"/>
      <c r="AP12" s="152"/>
      <c r="AQ12" s="152"/>
      <c r="AR12" s="141" t="s">
        <v>259</v>
      </c>
      <c r="AS12" s="143">
        <f>'Anexure-I'!E41</f>
        <v>413800</v>
      </c>
      <c r="AT12" s="156">
        <f>AZ6</f>
        <v>19300</v>
      </c>
      <c r="AU12" s="131"/>
      <c r="AV12" s="131"/>
      <c r="AW12" s="131"/>
      <c r="AX12" s="131"/>
      <c r="AY12" s="131"/>
      <c r="AZ12" s="131"/>
      <c r="BA12" s="131"/>
      <c r="BB12" s="131"/>
      <c r="BC12" s="131"/>
      <c r="BD12" s="131"/>
      <c r="BE12" s="157"/>
      <c r="BF12" s="133"/>
      <c r="BG12" s="133"/>
      <c r="BH12" s="133"/>
      <c r="BI12" s="133"/>
      <c r="BJ12" s="133"/>
      <c r="BK12" s="133"/>
      <c r="BL12" s="133"/>
      <c r="BM12" s="133"/>
      <c r="BN12" s="133"/>
      <c r="BO12" s="241"/>
      <c r="BP12" s="241"/>
      <c r="BQ12" s="241"/>
      <c r="BR12" s="3"/>
      <c r="BS12" s="3"/>
      <c r="BT12" s="3"/>
      <c r="BU12" s="5913"/>
      <c r="BV12" s="5913"/>
      <c r="BW12" s="5913"/>
      <c r="BX12" s="254"/>
      <c r="BY12" s="255"/>
      <c r="BZ12" s="261"/>
      <c r="CA12" s="3"/>
      <c r="CB12" s="3"/>
      <c r="CC12" s="3"/>
      <c r="CD12" s="3"/>
      <c r="CE12" s="3"/>
      <c r="CF12" s="3"/>
      <c r="CG12" s="3"/>
      <c r="CH12" s="3"/>
      <c r="CI12" s="3"/>
      <c r="CJ12" s="3"/>
      <c r="CK12" s="3"/>
      <c r="CL12" s="3"/>
      <c r="CM12" s="3"/>
      <c r="CN12" s="3"/>
      <c r="CO12" s="3"/>
      <c r="CP12" s="3"/>
      <c r="CQ12" s="3"/>
      <c r="CR12" s="3"/>
      <c r="CS12" s="3"/>
      <c r="CT12" s="3"/>
    </row>
    <row r="13" spans="1:98" ht="15.75" customHeight="1">
      <c r="A13" s="384"/>
      <c r="B13" s="99"/>
      <c r="C13" s="5832" t="s">
        <v>1533</v>
      </c>
      <c r="D13" s="5832"/>
      <c r="E13" s="5832"/>
      <c r="F13" s="5832"/>
      <c r="G13" s="5832"/>
      <c r="H13" s="5832"/>
      <c r="I13" s="5832"/>
      <c r="J13" s="5832"/>
      <c r="K13" s="5832"/>
      <c r="L13" s="5986">
        <f>'Anexure-I'!K41</f>
        <v>0</v>
      </c>
      <c r="M13" s="5906"/>
      <c r="N13" s="2939"/>
      <c r="O13" s="2505"/>
      <c r="P13" s="2506"/>
      <c r="Q13" s="2506"/>
      <c r="R13" s="244"/>
      <c r="S13" s="264"/>
      <c r="T13" s="247"/>
      <c r="U13" s="152"/>
      <c r="V13" s="152"/>
      <c r="W13" s="152"/>
      <c r="X13" s="152"/>
      <c r="Y13" s="152"/>
      <c r="Z13" s="991"/>
      <c r="AA13" s="991"/>
      <c r="AB13" s="3708"/>
      <c r="AC13" s="3709"/>
      <c r="AD13" s="3710" t="s">
        <v>1733</v>
      </c>
      <c r="AE13" s="3711"/>
      <c r="AF13" s="3712">
        <f>SUM(AF11+AF12)</f>
        <v>1406400</v>
      </c>
      <c r="AG13" s="3713"/>
      <c r="AH13" s="152"/>
      <c r="AI13" s="152"/>
      <c r="AJ13" s="152"/>
      <c r="AK13" s="152"/>
      <c r="AL13" s="152"/>
      <c r="AM13" s="152"/>
      <c r="AN13" s="152"/>
      <c r="AO13" s="152"/>
      <c r="AP13" s="152"/>
      <c r="AQ13" s="152"/>
      <c r="AR13" s="141"/>
      <c r="AS13" s="143"/>
      <c r="AT13" s="156"/>
      <c r="AU13" s="131"/>
      <c r="AV13" s="131"/>
      <c r="AW13" s="131"/>
      <c r="AX13" s="131"/>
      <c r="AY13" s="131"/>
      <c r="AZ13" s="131"/>
      <c r="BA13" s="131"/>
      <c r="BB13" s="131"/>
      <c r="BC13" s="131"/>
      <c r="BD13" s="131"/>
      <c r="BE13" s="157"/>
      <c r="BF13" s="133"/>
      <c r="BG13" s="133"/>
      <c r="BH13" s="133"/>
      <c r="BI13" s="133"/>
      <c r="BJ13" s="133"/>
      <c r="BK13" s="133"/>
      <c r="BL13" s="133"/>
      <c r="BM13" s="133"/>
      <c r="BN13" s="133"/>
      <c r="BO13" s="241"/>
      <c r="BP13" s="241"/>
      <c r="BQ13" s="241"/>
      <c r="BR13" s="3"/>
      <c r="BS13" s="3"/>
      <c r="BT13" s="3"/>
      <c r="BU13" s="254"/>
      <c r="BV13" s="254"/>
      <c r="BW13" s="254"/>
      <c r="BX13" s="254"/>
      <c r="BY13" s="255"/>
      <c r="BZ13" s="261"/>
      <c r="CA13" s="3"/>
      <c r="CB13" s="3"/>
      <c r="CC13" s="3"/>
      <c r="CD13" s="3"/>
      <c r="CE13" s="3"/>
      <c r="CF13" s="3"/>
      <c r="CG13" s="3"/>
      <c r="CH13" s="3"/>
      <c r="CI13" s="3"/>
      <c r="CJ13" s="3"/>
      <c r="CK13" s="3"/>
      <c r="CL13" s="3"/>
      <c r="CM13" s="3"/>
      <c r="CN13" s="3"/>
      <c r="CO13" s="3"/>
      <c r="CP13" s="3"/>
      <c r="CQ13" s="3"/>
      <c r="CR13" s="3"/>
      <c r="CS13" s="3"/>
      <c r="CT13" s="3"/>
    </row>
    <row r="14" spans="1:98" ht="14.25" customHeight="1">
      <c r="A14" s="384"/>
      <c r="B14" s="99" t="s">
        <v>1477</v>
      </c>
      <c r="C14" s="5828" t="s">
        <v>1501</v>
      </c>
      <c r="D14" s="5828"/>
      <c r="E14" s="5828"/>
      <c r="F14" s="5828"/>
      <c r="G14" s="5828"/>
      <c r="H14" s="5828"/>
      <c r="I14" s="5828"/>
      <c r="J14" s="5828"/>
      <c r="K14" s="5828"/>
      <c r="L14" s="5978">
        <f>SUM(L7-L8)</f>
        <v>1414200</v>
      </c>
      <c r="M14" s="5979"/>
      <c r="N14" s="2939"/>
      <c r="O14" s="5911" t="s">
        <v>475</v>
      </c>
      <c r="P14" s="5912"/>
      <c r="Q14" s="5912"/>
      <c r="R14" s="244" t="s">
        <v>474</v>
      </c>
      <c r="S14" s="264">
        <f>ROUND(S12*10%,0)</f>
        <v>140640</v>
      </c>
      <c r="T14" s="247"/>
      <c r="U14" s="152"/>
      <c r="V14" s="152"/>
      <c r="W14" s="152"/>
      <c r="X14" s="152"/>
      <c r="Y14" s="152"/>
      <c r="Z14" s="991"/>
      <c r="AA14" s="991"/>
      <c r="AB14" s="5911" t="s">
        <v>475</v>
      </c>
      <c r="AC14" s="5912"/>
      <c r="AD14" s="5912"/>
      <c r="AE14" s="244" t="s">
        <v>474</v>
      </c>
      <c r="AF14" s="264">
        <f>ROUND(AF13*10%,0)</f>
        <v>140640</v>
      </c>
      <c r="AG14" s="247"/>
      <c r="AH14" s="152"/>
      <c r="AI14" s="3716">
        <f>AF10</f>
        <v>89334</v>
      </c>
      <c r="AJ14" s="152"/>
      <c r="AK14" s="3719">
        <f>IF(Formula!$GK$6=1,50%,40%)</f>
        <v>0.4</v>
      </c>
      <c r="AL14" s="152"/>
      <c r="AM14" s="3716" t="s">
        <v>1737</v>
      </c>
      <c r="AN14" s="3722">
        <f>AI17</f>
        <v>19200</v>
      </c>
      <c r="AO14" s="152"/>
      <c r="AP14" s="152"/>
      <c r="AQ14" s="152"/>
      <c r="AR14" s="141" t="s">
        <v>260</v>
      </c>
      <c r="AS14" s="158">
        <f>SUM(AS11+AS12)</f>
        <v>1406400</v>
      </c>
      <c r="AT14" s="154"/>
      <c r="AU14" s="131"/>
      <c r="AV14" s="131"/>
      <c r="AW14" s="159"/>
      <c r="AX14" s="131"/>
      <c r="AY14" s="131"/>
      <c r="AZ14" s="131"/>
      <c r="BA14" s="131"/>
      <c r="BB14" s="131"/>
      <c r="BC14" s="131"/>
      <c r="BD14" s="131"/>
      <c r="BE14" s="157"/>
      <c r="BF14" s="133"/>
      <c r="BG14" s="133"/>
      <c r="BH14" s="133"/>
      <c r="BI14" s="133"/>
      <c r="BJ14" s="133"/>
      <c r="BK14" s="133"/>
      <c r="BL14" s="133"/>
      <c r="BM14" s="133"/>
      <c r="BN14" s="133"/>
      <c r="BO14" s="241"/>
      <c r="BP14" s="241"/>
      <c r="BQ14" s="241"/>
      <c r="BR14" s="3"/>
      <c r="BS14" s="3"/>
      <c r="BT14" s="3"/>
      <c r="BU14" s="5913"/>
      <c r="BV14" s="5913"/>
      <c r="BW14" s="5913"/>
      <c r="BX14" s="254"/>
      <c r="BY14" s="255"/>
      <c r="BZ14" s="261"/>
      <c r="CA14" s="3"/>
      <c r="CB14" s="3"/>
      <c r="CC14" s="3"/>
      <c r="CD14" s="3"/>
      <c r="CE14" s="3"/>
      <c r="CF14" s="3"/>
      <c r="CG14" s="3"/>
      <c r="CH14" s="3"/>
      <c r="CI14" s="3"/>
      <c r="CJ14" s="3"/>
      <c r="CK14" s="3"/>
      <c r="CL14" s="3"/>
      <c r="CM14" s="3"/>
      <c r="CN14" s="3"/>
      <c r="CO14" s="3"/>
      <c r="CP14" s="3"/>
      <c r="CQ14" s="3"/>
      <c r="CR14" s="3"/>
      <c r="CS14" s="3"/>
      <c r="CT14" s="3"/>
    </row>
    <row r="15" spans="1:98" ht="12.95" customHeight="1">
      <c r="A15" s="384"/>
      <c r="B15" s="99" t="s">
        <v>1478</v>
      </c>
      <c r="C15" s="5927" t="s">
        <v>1504</v>
      </c>
      <c r="D15" s="5928"/>
      <c r="E15" s="5928"/>
      <c r="F15" s="5928"/>
      <c r="G15" s="5928"/>
      <c r="H15" s="5928"/>
      <c r="I15" s="5928"/>
      <c r="J15" s="5928"/>
      <c r="K15" s="5929"/>
      <c r="L15" s="5930">
        <f>SUM(K16:K18)</f>
        <v>52400</v>
      </c>
      <c r="M15" s="5931"/>
      <c r="N15" s="2940"/>
      <c r="O15" s="5922" t="s">
        <v>476</v>
      </c>
      <c r="P15" s="5923"/>
      <c r="Q15" s="5923"/>
      <c r="R15" s="244" t="s">
        <v>474</v>
      </c>
      <c r="S15" s="265">
        <v>0</v>
      </c>
      <c r="T15" s="248"/>
      <c r="U15" s="5925" t="s">
        <v>660</v>
      </c>
      <c r="V15" s="5926"/>
      <c r="W15" s="5926"/>
      <c r="X15" s="5926"/>
      <c r="Y15" s="5926"/>
      <c r="Z15" s="2618"/>
      <c r="AA15" s="995"/>
      <c r="AB15" s="5932" t="s">
        <v>1736</v>
      </c>
      <c r="AC15" s="5923"/>
      <c r="AD15" s="5923"/>
      <c r="AE15" s="244" t="s">
        <v>474</v>
      </c>
      <c r="AF15" s="3717">
        <f>SUM(AI18-AI15)</f>
        <v>89760</v>
      </c>
      <c r="AG15" s="248"/>
      <c r="AH15" s="534"/>
      <c r="AI15" s="3715">
        <f>AF14</f>
        <v>140640</v>
      </c>
      <c r="AJ15" s="534"/>
      <c r="AK15" s="3714">
        <f>ROUND(AF13*AK14,0)</f>
        <v>562560</v>
      </c>
      <c r="AL15" s="534"/>
      <c r="AM15" s="3714"/>
      <c r="AN15" s="534"/>
      <c r="AO15" s="534"/>
      <c r="AP15" s="160"/>
      <c r="AQ15" s="160"/>
      <c r="AR15" s="141" t="s">
        <v>261</v>
      </c>
      <c r="AS15" s="143">
        <f>ROUND(0.1*AS14,-2)</f>
        <v>140600</v>
      </c>
      <c r="AT15" s="154"/>
      <c r="AU15" s="161"/>
      <c r="AV15" s="162"/>
      <c r="AW15" s="162"/>
      <c r="AX15" s="131"/>
      <c r="AY15" s="131"/>
      <c r="AZ15" s="131"/>
      <c r="BA15" s="131"/>
      <c r="BB15" s="131"/>
      <c r="BC15" s="131"/>
      <c r="BD15" s="131"/>
      <c r="BE15" s="132"/>
      <c r="BF15" s="133"/>
      <c r="BG15" s="133"/>
      <c r="BH15" s="133"/>
      <c r="BI15" s="133"/>
      <c r="BJ15" s="133"/>
      <c r="BK15" s="133"/>
      <c r="BL15" s="133"/>
      <c r="BM15" s="133"/>
      <c r="BN15" s="133"/>
      <c r="BO15" s="241"/>
      <c r="BP15" s="241"/>
      <c r="BQ15" s="241"/>
      <c r="BR15" s="3"/>
      <c r="BS15" s="3"/>
      <c r="BT15" s="3"/>
      <c r="BU15" s="5913"/>
      <c r="BV15" s="5913"/>
      <c r="BW15" s="5913"/>
      <c r="BX15" s="254"/>
      <c r="BY15" s="256"/>
      <c r="BZ15" s="262"/>
      <c r="CA15" s="3"/>
      <c r="CB15" s="3"/>
      <c r="CC15" s="3"/>
      <c r="CD15" s="3"/>
      <c r="CE15" s="3"/>
      <c r="CF15" s="3"/>
      <c r="CG15" s="3"/>
      <c r="CH15" s="3"/>
      <c r="CI15" s="3"/>
      <c r="CJ15" s="3"/>
      <c r="CK15" s="3"/>
      <c r="CL15" s="3"/>
      <c r="CM15" s="3"/>
      <c r="CN15" s="3"/>
      <c r="CO15" s="3"/>
      <c r="CP15" s="3"/>
      <c r="CQ15" s="3"/>
      <c r="CR15" s="3"/>
      <c r="CS15" s="3"/>
      <c r="CT15" s="3"/>
    </row>
    <row r="16" spans="1:98" ht="12.95" customHeight="1">
      <c r="A16" s="384"/>
      <c r="B16" s="99"/>
      <c r="C16" s="2508" t="s">
        <v>957</v>
      </c>
      <c r="D16" s="5832" t="s">
        <v>1484</v>
      </c>
      <c r="E16" s="5832"/>
      <c r="F16" s="5832"/>
      <c r="G16" s="5832"/>
      <c r="H16" s="5832"/>
      <c r="I16" s="2508" t="s">
        <v>1480</v>
      </c>
      <c r="J16" s="2462" t="s">
        <v>5</v>
      </c>
      <c r="K16" s="2508">
        <v>50000</v>
      </c>
      <c r="L16" s="2476"/>
      <c r="M16" s="2463"/>
      <c r="N16" s="2939"/>
      <c r="O16" s="5911" t="s">
        <v>478</v>
      </c>
      <c r="P16" s="5912"/>
      <c r="Q16" s="5912"/>
      <c r="R16" s="245" t="s">
        <v>474</v>
      </c>
      <c r="S16" s="246">
        <f>SUM(S15*12)</f>
        <v>0</v>
      </c>
      <c r="T16" s="247"/>
      <c r="U16" s="5925"/>
      <c r="V16" s="5926"/>
      <c r="W16" s="5926"/>
      <c r="X16" s="5926"/>
      <c r="Y16" s="5926"/>
      <c r="Z16" s="2618"/>
      <c r="AA16" s="995"/>
      <c r="AB16" s="5911" t="s">
        <v>795</v>
      </c>
      <c r="AC16" s="5912"/>
      <c r="AD16" s="5912"/>
      <c r="AE16" s="245" t="s">
        <v>474</v>
      </c>
      <c r="AF16" s="3720">
        <f>ROUND(SUM(AF14+AF15)/12,-2)</f>
        <v>19200</v>
      </c>
      <c r="AG16" s="247"/>
      <c r="AH16" s="535"/>
      <c r="AI16" s="3718">
        <f>SUM(AI15+AF10)</f>
        <v>229974</v>
      </c>
      <c r="AJ16" s="535"/>
      <c r="AK16" s="535"/>
      <c r="AL16" s="535"/>
      <c r="AM16" s="3715" t="s">
        <v>1738</v>
      </c>
      <c r="AN16" s="3721">
        <f>CEILING(ROUND(AO16/12,0),100)</f>
        <v>11800</v>
      </c>
      <c r="AO16" s="535">
        <f>ROUND(AF14,-2)</f>
        <v>140600</v>
      </c>
      <c r="AP16" s="152"/>
      <c r="AQ16" s="152"/>
      <c r="AR16" s="141" t="s">
        <v>262</v>
      </c>
      <c r="AS16" s="143">
        <f>BA6</f>
        <v>231600</v>
      </c>
      <c r="AT16" s="163" t="s">
        <v>263</v>
      </c>
      <c r="AU16" s="164">
        <f>AZ6</f>
        <v>19300</v>
      </c>
      <c r="AV16" s="131"/>
      <c r="AW16" s="5924"/>
      <c r="AX16" s="165">
        <v>0.4</v>
      </c>
      <c r="AY16" s="131"/>
      <c r="AZ16" s="151"/>
      <c r="BA16" s="166"/>
      <c r="BB16" s="131"/>
      <c r="BC16" s="131"/>
      <c r="BD16" s="131"/>
      <c r="BE16" s="157"/>
      <c r="BF16" s="133"/>
      <c r="BG16" s="133"/>
      <c r="BH16" s="133"/>
      <c r="BI16" s="133"/>
      <c r="BJ16" s="133"/>
      <c r="BK16" s="133"/>
      <c r="BL16" s="133"/>
      <c r="BM16" s="133"/>
      <c r="BN16" s="133"/>
      <c r="BO16" s="241"/>
      <c r="BP16" s="241"/>
      <c r="BQ16" s="241"/>
      <c r="BR16" s="3"/>
      <c r="BS16" s="3"/>
      <c r="BT16" s="3"/>
      <c r="BU16" s="5913"/>
      <c r="BV16" s="5913"/>
      <c r="BW16" s="5913"/>
      <c r="BX16" s="257"/>
      <c r="BY16" s="258"/>
      <c r="BZ16" s="261"/>
      <c r="CA16" s="3"/>
      <c r="CB16" s="3"/>
      <c r="CC16" s="3"/>
      <c r="CD16" s="3"/>
      <c r="CE16" s="3"/>
      <c r="CF16" s="3"/>
      <c r="CG16" s="3"/>
      <c r="CH16" s="3"/>
      <c r="CI16" s="3"/>
      <c r="CJ16" s="3"/>
      <c r="CK16" s="3"/>
      <c r="CL16" s="3"/>
      <c r="CM16" s="3"/>
      <c r="CN16" s="3"/>
      <c r="CO16" s="3"/>
      <c r="CP16" s="3"/>
      <c r="CQ16" s="3"/>
      <c r="CR16" s="3"/>
      <c r="CS16" s="3"/>
      <c r="CT16" s="3"/>
    </row>
    <row r="17" spans="1:98" ht="12.95" customHeight="1">
      <c r="A17" s="384"/>
      <c r="B17" s="99"/>
      <c r="C17" s="2508" t="s">
        <v>958</v>
      </c>
      <c r="D17" s="5832" t="s">
        <v>1502</v>
      </c>
      <c r="E17" s="5832"/>
      <c r="F17" s="5832"/>
      <c r="G17" s="5832"/>
      <c r="H17" s="5832"/>
      <c r="I17" s="2508" t="s">
        <v>1481</v>
      </c>
      <c r="J17" s="2462" t="s">
        <v>5</v>
      </c>
      <c r="K17" s="2508">
        <v>0</v>
      </c>
      <c r="L17" s="2476"/>
      <c r="M17" s="2463"/>
      <c r="N17" s="2939"/>
      <c r="O17" s="5911" t="s">
        <v>477</v>
      </c>
      <c r="P17" s="5912"/>
      <c r="Q17" s="5912"/>
      <c r="R17" s="243" t="s">
        <v>474</v>
      </c>
      <c r="S17" s="263">
        <f>SUM(S16-S14)</f>
        <v>-140640</v>
      </c>
      <c r="T17" s="247"/>
      <c r="U17" s="152"/>
      <c r="V17" s="152"/>
      <c r="W17" s="152"/>
      <c r="X17" s="152"/>
      <c r="Y17" s="152"/>
      <c r="Z17" s="991"/>
      <c r="AA17" s="991"/>
      <c r="AB17" s="5911"/>
      <c r="AC17" s="5912"/>
      <c r="AD17" s="5912"/>
      <c r="AE17" s="243"/>
      <c r="AF17" s="263"/>
      <c r="AG17" s="247"/>
      <c r="AH17" s="152"/>
      <c r="AI17" s="3716">
        <f>CEILING(AI16/12,100)</f>
        <v>19200</v>
      </c>
      <c r="AJ17" s="152"/>
      <c r="AK17" s="152"/>
      <c r="AL17" s="152"/>
      <c r="AM17" s="152"/>
      <c r="AN17" s="152"/>
      <c r="AO17" s="152"/>
      <c r="AP17" s="152"/>
      <c r="AQ17" s="152"/>
      <c r="AR17" s="141" t="s">
        <v>264</v>
      </c>
      <c r="AS17" s="158">
        <f>SUM(AS16-AS15)</f>
        <v>91000</v>
      </c>
      <c r="AT17" s="167">
        <f>K10</f>
        <v>89334</v>
      </c>
      <c r="AU17" s="168"/>
      <c r="AV17" s="169"/>
      <c r="AW17" s="5924"/>
      <c r="AX17" s="135">
        <f>ROUNDDOWN(AU19*40%,0)</f>
        <v>562560</v>
      </c>
      <c r="AY17" s="131"/>
      <c r="AZ17" s="151"/>
      <c r="BA17" s="131"/>
      <c r="BB17" s="131"/>
      <c r="BC17" s="170"/>
      <c r="BD17" s="131"/>
      <c r="BE17" s="132"/>
      <c r="BF17" s="133"/>
      <c r="BG17" s="133"/>
      <c r="BH17" s="133"/>
      <c r="BI17" s="133"/>
      <c r="BJ17" s="133"/>
      <c r="BK17" s="133"/>
      <c r="BL17" s="133"/>
      <c r="BM17" s="133"/>
      <c r="BN17" s="133"/>
      <c r="BO17" s="241"/>
      <c r="BP17" s="241"/>
      <c r="BQ17" s="241"/>
      <c r="BR17" s="3"/>
      <c r="BS17" s="3"/>
      <c r="BT17" s="3"/>
      <c r="BU17" s="5913"/>
      <c r="BV17" s="5913"/>
      <c r="BW17" s="5913"/>
      <c r="BX17" s="259"/>
      <c r="BY17" s="260"/>
      <c r="BZ17" s="261"/>
      <c r="CA17" s="3"/>
      <c r="CB17" s="3"/>
      <c r="CC17" s="3"/>
      <c r="CD17" s="3"/>
      <c r="CE17" s="3"/>
      <c r="CF17" s="3"/>
      <c r="CG17" s="3"/>
      <c r="CH17" s="3"/>
      <c r="CI17" s="3"/>
      <c r="CJ17" s="3"/>
      <c r="CK17" s="3"/>
      <c r="CL17" s="3"/>
      <c r="CM17" s="3"/>
      <c r="CN17" s="3"/>
      <c r="CO17" s="3"/>
      <c r="CP17" s="3"/>
      <c r="CQ17" s="3"/>
      <c r="CR17" s="3"/>
      <c r="CS17" s="3"/>
      <c r="CT17" s="3"/>
    </row>
    <row r="18" spans="1:98" ht="12.95" customHeight="1">
      <c r="A18" s="384"/>
      <c r="B18" s="99"/>
      <c r="C18" s="2508" t="s">
        <v>1125</v>
      </c>
      <c r="D18" s="5832" t="s">
        <v>1503</v>
      </c>
      <c r="E18" s="5832"/>
      <c r="F18" s="5832"/>
      <c r="G18" s="5832"/>
      <c r="H18" s="5832"/>
      <c r="I18" s="2508" t="s">
        <v>1482</v>
      </c>
      <c r="J18" s="2462" t="s">
        <v>5</v>
      </c>
      <c r="K18" s="2508">
        <f>IF('Anexure-I'!AK30&gt;0,'Anexure-I'!AK30,0)</f>
        <v>2400</v>
      </c>
      <c r="L18" s="2567"/>
      <c r="M18" s="2568"/>
      <c r="N18" s="2939"/>
      <c r="O18" s="249"/>
      <c r="P18" s="152"/>
      <c r="Q18" s="152"/>
      <c r="R18" s="152"/>
      <c r="S18" s="152"/>
      <c r="T18" s="247"/>
      <c r="U18" s="152"/>
      <c r="V18" s="152"/>
      <c r="W18" s="152"/>
      <c r="X18" s="152"/>
      <c r="Y18" s="152"/>
      <c r="Z18" s="991"/>
      <c r="AA18" s="991"/>
      <c r="AB18" s="249"/>
      <c r="AC18" s="152"/>
      <c r="AD18" s="152"/>
      <c r="AE18" s="152"/>
      <c r="AF18" s="152"/>
      <c r="AG18" s="247"/>
      <c r="AH18" s="152"/>
      <c r="AI18" s="3716">
        <f>SUM(AI17*12)</f>
        <v>230400</v>
      </c>
      <c r="AJ18" s="152"/>
      <c r="AK18" s="152"/>
      <c r="AL18" s="152"/>
      <c r="AM18" s="152"/>
      <c r="AN18" s="152"/>
      <c r="AO18" s="152"/>
      <c r="AP18" s="152"/>
      <c r="AQ18" s="152"/>
      <c r="AR18" s="150">
        <f>AS17</f>
        <v>91000</v>
      </c>
      <c r="AS18" s="171"/>
      <c r="AT18" s="172"/>
      <c r="AU18" s="151"/>
      <c r="AV18" s="151"/>
      <c r="AW18" s="162"/>
      <c r="AX18" s="130">
        <f>ROUND(AX17,-2)</f>
        <v>562600</v>
      </c>
      <c r="AY18" s="131"/>
      <c r="AZ18" s="131"/>
      <c r="BA18" s="131"/>
      <c r="BB18" s="131"/>
      <c r="BC18" s="131"/>
      <c r="BD18" s="130"/>
      <c r="BE18" s="162"/>
      <c r="BF18" s="173"/>
      <c r="BG18" s="173"/>
      <c r="BH18" s="173"/>
      <c r="BI18" s="173"/>
      <c r="BJ18" s="173"/>
      <c r="BK18" s="173"/>
      <c r="BL18" s="173"/>
      <c r="BM18" s="173"/>
      <c r="BN18" s="173"/>
      <c r="BO18" s="242"/>
      <c r="BP18" s="242"/>
      <c r="BQ18" s="242"/>
      <c r="BR18" s="3"/>
      <c r="BS18" s="3"/>
      <c r="BT18" s="3"/>
      <c r="BU18" s="261"/>
      <c r="BV18" s="261"/>
      <c r="BW18" s="261"/>
      <c r="BX18" s="261"/>
      <c r="BY18" s="261"/>
      <c r="BZ18" s="261"/>
      <c r="CA18" s="3"/>
      <c r="CB18" s="3"/>
      <c r="CC18" s="3"/>
      <c r="CD18" s="3"/>
      <c r="CE18" s="3"/>
      <c r="CF18" s="3"/>
      <c r="CG18" s="3"/>
      <c r="CH18" s="3"/>
      <c r="CI18" s="3"/>
      <c r="CJ18" s="3"/>
      <c r="CK18" s="3"/>
      <c r="CL18" s="3"/>
      <c r="CM18" s="3"/>
      <c r="CN18" s="3"/>
      <c r="CO18" s="3"/>
      <c r="CP18" s="3"/>
      <c r="CQ18" s="3"/>
      <c r="CR18" s="3"/>
      <c r="CS18" s="3"/>
      <c r="CT18" s="3"/>
    </row>
    <row r="19" spans="1:98" ht="12.95" customHeight="1">
      <c r="A19" s="384"/>
      <c r="B19" s="2589" t="s">
        <v>1466</v>
      </c>
      <c r="C19" s="5915" t="s">
        <v>1554</v>
      </c>
      <c r="D19" s="5916"/>
      <c r="E19" s="5916"/>
      <c r="F19" s="5916"/>
      <c r="G19" s="5916"/>
      <c r="H19" s="5916"/>
      <c r="I19" s="5916"/>
      <c r="J19" s="5916"/>
      <c r="K19" s="2512" t="s">
        <v>1466</v>
      </c>
      <c r="L19" s="5828">
        <f>SUM(L14-L15)</f>
        <v>1361800</v>
      </c>
      <c r="M19" s="5836"/>
      <c r="N19" s="2940"/>
      <c r="O19" s="250"/>
      <c r="P19" s="251"/>
      <c r="Q19" s="251"/>
      <c r="R19" s="251"/>
      <c r="S19" s="251"/>
      <c r="T19" s="252"/>
      <c r="U19" s="160"/>
      <c r="V19" s="160"/>
      <c r="W19" s="160"/>
      <c r="X19" s="160"/>
      <c r="Y19" s="160"/>
      <c r="Z19" s="997"/>
      <c r="AA19" s="997"/>
      <c r="AB19" s="250"/>
      <c r="AC19" s="251"/>
      <c r="AD19" s="251"/>
      <c r="AE19" s="251"/>
      <c r="AF19" s="251"/>
      <c r="AG19" s="252"/>
      <c r="AH19" s="160"/>
      <c r="AI19" s="160"/>
      <c r="AJ19" s="160"/>
      <c r="AK19" s="160"/>
      <c r="AL19" s="160"/>
      <c r="AM19" s="160"/>
      <c r="AN19" s="160"/>
      <c r="AO19" s="160"/>
      <c r="AP19" s="160"/>
      <c r="AQ19" s="160"/>
      <c r="AR19" s="150"/>
      <c r="AS19" s="150"/>
      <c r="AT19" s="174">
        <f>AX17</f>
        <v>562560</v>
      </c>
      <c r="AU19" s="161">
        <f>AS14</f>
        <v>1406400</v>
      </c>
      <c r="AV19" s="162"/>
      <c r="AW19" s="131"/>
      <c r="AX19" s="131"/>
      <c r="AY19" s="131"/>
      <c r="AZ19" s="131"/>
      <c r="BA19" s="175"/>
      <c r="BB19" s="136">
        <f>AS5</f>
        <v>19300</v>
      </c>
      <c r="BC19" s="131"/>
      <c r="BD19" s="131"/>
      <c r="BE19" s="131"/>
      <c r="BF19" s="173"/>
      <c r="BG19" s="173"/>
      <c r="BH19" s="173"/>
      <c r="BI19" s="173"/>
      <c r="BJ19" s="173"/>
      <c r="BK19" s="173"/>
      <c r="BL19" s="173"/>
      <c r="BM19" s="173"/>
      <c r="BN19" s="173"/>
      <c r="BO19" s="242"/>
      <c r="BP19" s="242"/>
      <c r="BQ19" s="242"/>
      <c r="BR19" s="3"/>
      <c r="BS19" s="3"/>
      <c r="BT19" s="3"/>
      <c r="BU19" s="262"/>
      <c r="BV19" s="262"/>
      <c r="BW19" s="262"/>
      <c r="BX19" s="262"/>
      <c r="BY19" s="262"/>
      <c r="BZ19" s="262"/>
      <c r="CA19" s="3"/>
      <c r="CB19" s="3"/>
      <c r="CC19" s="3"/>
      <c r="CD19" s="3"/>
      <c r="CE19" s="3"/>
      <c r="CF19" s="3"/>
      <c r="CG19" s="3"/>
      <c r="CH19" s="3"/>
      <c r="CI19" s="3"/>
      <c r="CJ19" s="3"/>
      <c r="CK19" s="3"/>
      <c r="CL19" s="3"/>
      <c r="CM19" s="3"/>
      <c r="CN19" s="3"/>
      <c r="CO19" s="3"/>
      <c r="CP19" s="3"/>
      <c r="CQ19" s="3"/>
      <c r="CR19" s="3"/>
      <c r="CS19" s="3"/>
      <c r="CT19" s="3"/>
    </row>
    <row r="20" spans="1:98" ht="12.95" customHeight="1">
      <c r="A20" s="384"/>
      <c r="B20" s="2589" t="s">
        <v>1489</v>
      </c>
      <c r="C20" s="5832" t="s">
        <v>1505</v>
      </c>
      <c r="D20" s="5832"/>
      <c r="E20" s="5832"/>
      <c r="F20" s="5832"/>
      <c r="G20" s="5832"/>
      <c r="H20" s="5832"/>
      <c r="I20" s="5832"/>
      <c r="J20" s="5917"/>
      <c r="K20" s="2512" t="s">
        <v>1489</v>
      </c>
      <c r="L20" s="5821">
        <f>AG58</f>
        <v>0</v>
      </c>
      <c r="M20" s="5822"/>
      <c r="N20" s="2939"/>
      <c r="O20" s="152"/>
      <c r="P20" s="152"/>
      <c r="Q20" s="152"/>
      <c r="R20" s="152"/>
      <c r="S20" s="152"/>
      <c r="T20" s="152"/>
      <c r="U20" s="152"/>
      <c r="V20" s="152"/>
      <c r="W20" s="152"/>
      <c r="X20" s="152"/>
      <c r="Y20" s="152"/>
      <c r="Z20" s="152"/>
      <c r="AA20" s="152"/>
      <c r="AB20" s="991"/>
      <c r="AC20" s="991"/>
      <c r="AD20" s="152"/>
      <c r="AE20" s="152"/>
      <c r="AF20" s="152"/>
      <c r="AG20" s="152"/>
      <c r="AH20" s="152"/>
      <c r="AI20" s="152"/>
      <c r="AJ20" s="152"/>
      <c r="AK20" s="152"/>
      <c r="AL20" s="152"/>
      <c r="AM20" s="152"/>
      <c r="AN20" s="152"/>
      <c r="AO20" s="152"/>
      <c r="AP20" s="152"/>
      <c r="AQ20" s="152"/>
      <c r="AR20" s="5914"/>
      <c r="AS20" s="5914"/>
      <c r="AT20" s="5914"/>
      <c r="AU20" s="131"/>
      <c r="AV20" s="131"/>
      <c r="AW20" s="131"/>
      <c r="AX20" s="131"/>
      <c r="AY20" s="131"/>
      <c r="AZ20" s="131"/>
      <c r="BA20" s="131"/>
      <c r="BB20" s="131"/>
      <c r="BC20" s="131"/>
      <c r="BD20" s="131"/>
      <c r="BE20" s="131"/>
      <c r="BF20" s="173"/>
      <c r="BG20" s="173"/>
      <c r="BH20" s="173"/>
      <c r="BI20" s="173"/>
      <c r="BJ20" s="173"/>
      <c r="BK20" s="173"/>
      <c r="BL20" s="173"/>
      <c r="BM20" s="173"/>
      <c r="BN20" s="173"/>
      <c r="BO20" s="242"/>
      <c r="BP20" s="242"/>
      <c r="BQ20" s="242"/>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row>
    <row r="21" spans="1:98" ht="12" customHeight="1">
      <c r="A21" s="384"/>
      <c r="B21" s="2589" t="s">
        <v>1490</v>
      </c>
      <c r="C21" s="5918" t="s">
        <v>1506</v>
      </c>
      <c r="D21" s="5918"/>
      <c r="E21" s="5918"/>
      <c r="F21" s="5918"/>
      <c r="G21" s="5918"/>
      <c r="H21" s="5918"/>
      <c r="I21" s="5918"/>
      <c r="J21" s="5915"/>
      <c r="K21" s="2512" t="s">
        <v>1490</v>
      </c>
      <c r="L21" s="5821">
        <f>IF(SUM(I22+I23+I24)="",0,SUM(I22+I23+I24))</f>
        <v>258400</v>
      </c>
      <c r="M21" s="5822"/>
      <c r="N21" s="2939"/>
      <c r="O21" s="152"/>
      <c r="P21" s="152"/>
      <c r="Q21" s="152"/>
      <c r="R21" s="152"/>
      <c r="S21" s="152"/>
      <c r="T21" s="152"/>
      <c r="U21" s="152"/>
      <c r="V21" s="152"/>
      <c r="W21" s="152"/>
      <c r="X21" s="152"/>
      <c r="Y21" s="152"/>
      <c r="Z21" s="152"/>
      <c r="AA21" s="152"/>
      <c r="AB21" s="991"/>
      <c r="AC21" s="991"/>
      <c r="AD21" s="152"/>
      <c r="AE21" s="152"/>
      <c r="AF21" s="152"/>
      <c r="AG21" s="152"/>
      <c r="AH21" s="152"/>
      <c r="AI21" s="152"/>
      <c r="AJ21" s="152"/>
      <c r="AK21" s="152"/>
      <c r="AL21" s="152"/>
      <c r="AM21" s="152"/>
      <c r="AN21" s="152"/>
      <c r="AO21" s="152"/>
      <c r="AP21" s="152"/>
      <c r="AQ21" s="152"/>
      <c r="AR21" s="2426"/>
      <c r="AS21" s="2426"/>
      <c r="AT21" s="2426"/>
      <c r="AU21" s="131"/>
      <c r="AV21" s="131"/>
      <c r="AW21" s="131"/>
      <c r="AX21" s="131"/>
      <c r="AY21" s="131"/>
      <c r="AZ21" s="131"/>
      <c r="BA21" s="131"/>
      <c r="BB21" s="131"/>
      <c r="BC21" s="131"/>
      <c r="BD21" s="131"/>
      <c r="BE21" s="131"/>
      <c r="BF21" s="173"/>
      <c r="BG21" s="173"/>
      <c r="BH21" s="173"/>
      <c r="BI21" s="173"/>
      <c r="BJ21" s="173"/>
      <c r="BK21" s="173"/>
      <c r="BL21" s="173"/>
      <c r="BM21" s="173"/>
      <c r="BN21" s="173"/>
      <c r="BO21" s="242"/>
      <c r="BP21" s="242"/>
      <c r="BQ21" s="242"/>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row>
    <row r="22" spans="1:98" ht="12.95" customHeight="1">
      <c r="A22" s="384"/>
      <c r="B22" s="99"/>
      <c r="C22" s="2512" t="s">
        <v>491</v>
      </c>
      <c r="D22" s="5982" t="str">
        <f>Formula!MX3</f>
        <v>Income from Profession</v>
      </c>
      <c r="E22" s="5982"/>
      <c r="F22" s="5982"/>
      <c r="G22" s="5982"/>
      <c r="H22" s="5982"/>
      <c r="I22" s="5983">
        <f>IF('Data Sheet-II'!M64&gt;0,'Data Sheet-II'!M64,0)</f>
        <v>258400</v>
      </c>
      <c r="J22" s="5983"/>
      <c r="K22" s="5985" t="s">
        <v>29</v>
      </c>
      <c r="L22" s="5859"/>
      <c r="M22" s="5980"/>
      <c r="N22" s="2939"/>
      <c r="O22" s="152"/>
      <c r="P22" s="152"/>
      <c r="Q22" s="152"/>
      <c r="R22" s="152"/>
      <c r="S22" s="152"/>
      <c r="T22" s="152"/>
      <c r="U22" s="152"/>
      <c r="V22" s="152"/>
      <c r="W22" s="152"/>
      <c r="X22" s="152"/>
      <c r="Y22" s="152"/>
      <c r="Z22" s="152"/>
      <c r="AA22" s="152"/>
      <c r="AB22" s="991"/>
      <c r="AC22" s="991"/>
      <c r="AD22" s="152"/>
      <c r="AE22" s="152"/>
      <c r="AF22" s="152"/>
      <c r="AG22" s="152"/>
      <c r="AH22" s="152"/>
      <c r="AI22" s="152"/>
      <c r="AJ22" s="152"/>
      <c r="AK22" s="152"/>
      <c r="AL22" s="152"/>
      <c r="AM22" s="152"/>
      <c r="AN22" s="152"/>
      <c r="AO22" s="152"/>
      <c r="AP22" s="152"/>
      <c r="AQ22" s="152"/>
      <c r="AR22" s="2426"/>
      <c r="AS22" s="2426"/>
      <c r="AT22" s="2426"/>
      <c r="AU22" s="131"/>
      <c r="AV22" s="131"/>
      <c r="AW22" s="131"/>
      <c r="AX22" s="131"/>
      <c r="AY22" s="131"/>
      <c r="AZ22" s="131"/>
      <c r="BA22" s="131"/>
      <c r="BB22" s="131"/>
      <c r="BC22" s="131"/>
      <c r="BD22" s="131"/>
      <c r="BE22" s="131"/>
      <c r="BF22" s="173"/>
      <c r="BG22" s="173"/>
      <c r="BH22" s="173"/>
      <c r="BI22" s="173"/>
      <c r="BJ22" s="173"/>
      <c r="BK22" s="173"/>
      <c r="BL22" s="173"/>
      <c r="BM22" s="173"/>
      <c r="BN22" s="173"/>
      <c r="BO22" s="242"/>
      <c r="BP22" s="242"/>
      <c r="BQ22" s="242"/>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row>
    <row r="23" spans="1:98" ht="12.95" customHeight="1">
      <c r="A23" s="384"/>
      <c r="B23" s="99"/>
      <c r="C23" s="2512" t="s">
        <v>493</v>
      </c>
      <c r="D23" s="5984" t="str">
        <f>Formula!MX4</f>
        <v>Interest from Deposit (Bank/Post Office/Cooperative Society)</v>
      </c>
      <c r="E23" s="5984"/>
      <c r="F23" s="5984"/>
      <c r="G23" s="5984"/>
      <c r="H23" s="5984"/>
      <c r="I23" s="5983">
        <f>IF('Data Sheet-II'!M65&gt;0,'Data Sheet-II'!M65,0)</f>
        <v>0</v>
      </c>
      <c r="J23" s="5983"/>
      <c r="K23" s="5985"/>
      <c r="L23" s="5859"/>
      <c r="M23" s="5980"/>
      <c r="N23" s="2939"/>
      <c r="O23" s="152"/>
      <c r="P23" s="152"/>
      <c r="Q23" s="152"/>
      <c r="R23" s="152"/>
      <c r="S23" s="152"/>
      <c r="T23" s="152"/>
      <c r="U23" s="152"/>
      <c r="V23" s="152"/>
      <c r="W23" s="152"/>
      <c r="X23" s="152"/>
      <c r="Y23" s="152"/>
      <c r="Z23" s="152"/>
      <c r="AA23" s="152"/>
      <c r="AB23" s="991"/>
      <c r="AC23" s="991"/>
      <c r="AD23" s="152"/>
      <c r="AE23" s="152"/>
      <c r="AF23" s="152"/>
      <c r="AG23" s="152"/>
      <c r="AH23" s="152"/>
      <c r="AI23" s="152"/>
      <c r="AJ23" s="152"/>
      <c r="AK23" s="152"/>
      <c r="AL23" s="152"/>
      <c r="AM23" s="152"/>
      <c r="AN23" s="152"/>
      <c r="AO23" s="152"/>
      <c r="AP23" s="152"/>
      <c r="AQ23" s="152"/>
      <c r="AR23" s="171"/>
      <c r="AS23" s="171"/>
      <c r="AT23" s="131"/>
      <c r="AU23" s="131"/>
      <c r="AV23" s="5919"/>
      <c r="AW23" s="5919"/>
      <c r="AX23" s="5919"/>
      <c r="AY23" s="131"/>
      <c r="AZ23" s="131"/>
      <c r="BA23" s="176"/>
      <c r="BB23" s="176"/>
      <c r="BC23" s="131"/>
      <c r="BD23" s="131"/>
      <c r="BE23" s="131"/>
      <c r="BF23" s="173"/>
      <c r="BG23" s="173"/>
      <c r="BH23" s="173"/>
      <c r="BI23" s="173"/>
      <c r="BJ23" s="173"/>
      <c r="BK23" s="173"/>
      <c r="BL23" s="173"/>
      <c r="BM23" s="173"/>
      <c r="BN23" s="173"/>
      <c r="BO23" s="242"/>
      <c r="BP23" s="242"/>
      <c r="BQ23" s="242"/>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row>
    <row r="24" spans="1:98" ht="12.95" customHeight="1">
      <c r="A24" s="384"/>
      <c r="B24" s="99"/>
      <c r="C24" s="2512" t="s">
        <v>597</v>
      </c>
      <c r="D24" s="5982" t="str">
        <f>Formula!MX5</f>
        <v>Interest from Income Tax Refund</v>
      </c>
      <c r="E24" s="5982"/>
      <c r="F24" s="5982"/>
      <c r="G24" s="5982"/>
      <c r="H24" s="5982"/>
      <c r="I24" s="5983">
        <f>IF('Data Sheet-II'!M66&gt;0,'Data Sheet-II'!M66,0)</f>
        <v>0</v>
      </c>
      <c r="J24" s="5983"/>
      <c r="K24" s="5985"/>
      <c r="L24" s="5867"/>
      <c r="M24" s="5981"/>
      <c r="N24" s="2941"/>
      <c r="O24" s="5920" t="s">
        <v>186</v>
      </c>
      <c r="P24" s="5921" t="str">
        <f>CONCATENATE(" In order to claim maximum HRA,You must rise your monthly rent paid by you should  lies between Min.",AN16,   "  ", "to"," Max.",AN14)</f>
        <v xml:space="preserve"> In order to claim maximum HRA,You must rise your monthly rent paid by you should  lies between Min.11800  to Max.19200</v>
      </c>
      <c r="Q24" s="5921"/>
      <c r="R24" s="5921"/>
      <c r="S24" s="5921"/>
      <c r="T24" s="5921"/>
      <c r="U24" s="177"/>
      <c r="V24" s="177"/>
      <c r="W24" s="177"/>
      <c r="X24" s="177"/>
      <c r="Y24" s="177"/>
      <c r="Z24" s="177"/>
      <c r="AA24" s="177"/>
      <c r="AB24" s="1005"/>
      <c r="AC24" s="1005"/>
      <c r="AD24" s="177"/>
      <c r="AE24" s="177"/>
      <c r="AF24" s="177"/>
      <c r="AG24" s="177"/>
      <c r="AH24" s="177"/>
      <c r="AI24" s="177"/>
      <c r="AJ24" s="177"/>
      <c r="AK24" s="177"/>
      <c r="AL24" s="177"/>
      <c r="AM24" s="177"/>
      <c r="AN24" s="177"/>
      <c r="AO24" s="177"/>
      <c r="AP24" s="177"/>
      <c r="AQ24" s="177"/>
      <c r="AR24" s="178"/>
      <c r="AS24" s="171"/>
      <c r="AT24" s="179"/>
      <c r="AU24" s="131"/>
      <c r="AV24" s="131"/>
      <c r="AW24" s="131"/>
      <c r="AX24" s="131"/>
      <c r="AY24" s="131"/>
      <c r="AZ24" s="131"/>
      <c r="BA24" s="131"/>
      <c r="BB24" s="131"/>
      <c r="BC24" s="131"/>
      <c r="BD24" s="131"/>
      <c r="BE24" s="131"/>
      <c r="BF24" s="173"/>
      <c r="BG24" s="173"/>
      <c r="BH24" s="173"/>
      <c r="BI24" s="173"/>
      <c r="BJ24" s="173"/>
      <c r="BK24" s="173"/>
      <c r="BL24" s="173"/>
      <c r="BM24" s="173"/>
      <c r="BN24" s="173"/>
      <c r="BO24" s="242"/>
      <c r="BP24" s="242"/>
      <c r="BQ24" s="242"/>
      <c r="BR24" s="3"/>
      <c r="BS24" s="3"/>
      <c r="BT24" s="4528"/>
      <c r="BU24" s="4528"/>
      <c r="BV24" s="4528"/>
      <c r="BW24" s="4528"/>
      <c r="BX24" s="4528"/>
      <c r="BY24" s="4528"/>
      <c r="BZ24" s="402"/>
      <c r="CA24" s="3"/>
      <c r="CB24" s="3"/>
      <c r="CC24" s="3"/>
      <c r="CD24" s="3"/>
      <c r="CE24" s="3"/>
      <c r="CF24" s="3"/>
      <c r="CG24" s="3"/>
      <c r="CH24" s="3"/>
      <c r="CI24" s="3"/>
      <c r="CJ24" s="3"/>
      <c r="CK24" s="3"/>
      <c r="CL24" s="3"/>
      <c r="CM24" s="3"/>
      <c r="CN24" s="3"/>
      <c r="CO24" s="3"/>
      <c r="CP24" s="3"/>
      <c r="CQ24" s="3"/>
      <c r="CR24" s="3"/>
      <c r="CS24" s="3"/>
      <c r="CT24" s="3"/>
    </row>
    <row r="25" spans="1:98" ht="20.25" customHeight="1">
      <c r="A25" s="384"/>
      <c r="B25" s="99" t="s">
        <v>1495</v>
      </c>
      <c r="C25" s="5839" t="s">
        <v>1507</v>
      </c>
      <c r="D25" s="5839"/>
      <c r="E25" s="5839"/>
      <c r="F25" s="5839"/>
      <c r="G25" s="5839"/>
      <c r="H25" s="5839"/>
      <c r="I25" s="5839"/>
      <c r="J25" s="5839"/>
      <c r="K25" s="5839"/>
      <c r="L25" s="5828">
        <f>SUM(L19:M21)</f>
        <v>1620200</v>
      </c>
      <c r="M25" s="5836"/>
      <c r="N25" s="2940"/>
      <c r="O25" s="5920"/>
      <c r="P25" s="5921"/>
      <c r="Q25" s="5921"/>
      <c r="R25" s="5921"/>
      <c r="S25" s="5921"/>
      <c r="T25" s="5921"/>
      <c r="U25" s="160"/>
      <c r="V25" s="160"/>
      <c r="W25" s="160"/>
      <c r="X25" s="160"/>
      <c r="Y25" s="160"/>
      <c r="Z25" s="160"/>
      <c r="AA25" s="160"/>
      <c r="AB25" s="160"/>
      <c r="AC25" s="160"/>
      <c r="AD25" s="160"/>
      <c r="AE25" s="160"/>
      <c r="AF25" s="160"/>
      <c r="AG25" s="160"/>
      <c r="AH25" s="160"/>
      <c r="AI25" s="160"/>
      <c r="AJ25" s="160"/>
      <c r="AK25" s="160"/>
      <c r="AL25" s="160"/>
      <c r="AM25" s="160"/>
      <c r="AN25" s="160"/>
      <c r="AO25" s="160"/>
      <c r="AP25" s="160"/>
      <c r="AQ25" s="160"/>
      <c r="AR25" s="180"/>
      <c r="AS25" s="181"/>
      <c r="AT25" s="182"/>
      <c r="AU25" s="131"/>
      <c r="AV25" s="131"/>
      <c r="AW25" s="131"/>
      <c r="AX25" s="131"/>
      <c r="AY25" s="131"/>
      <c r="AZ25" s="131"/>
      <c r="BA25" s="136"/>
      <c r="BB25" s="131"/>
      <c r="BC25" s="131"/>
      <c r="BD25" s="131"/>
      <c r="BE25" s="131"/>
      <c r="BF25" s="173"/>
      <c r="BG25" s="173"/>
      <c r="BH25" s="173"/>
      <c r="BI25" s="173"/>
      <c r="BJ25" s="173"/>
      <c r="BK25" s="173"/>
      <c r="BL25" s="173"/>
      <c r="BM25" s="173"/>
      <c r="BN25" s="173"/>
      <c r="BO25" s="242"/>
      <c r="BP25" s="242"/>
      <c r="BQ25" s="242"/>
      <c r="BR25" s="3"/>
      <c r="BS25" s="3"/>
      <c r="BT25" s="5910"/>
      <c r="BU25" s="5910"/>
      <c r="BV25" s="5910"/>
      <c r="BW25" s="5910"/>
      <c r="BX25" s="5910"/>
      <c r="BY25" s="5910"/>
      <c r="BZ25" s="292"/>
      <c r="CA25" s="3"/>
      <c r="CB25" s="3"/>
      <c r="CC25" s="3"/>
      <c r="CD25" s="3"/>
      <c r="CE25" s="3"/>
      <c r="CF25" s="3"/>
      <c r="CG25" s="3"/>
      <c r="CH25" s="3"/>
      <c r="CI25" s="3"/>
      <c r="CJ25" s="3"/>
      <c r="CK25" s="3"/>
      <c r="CL25" s="3"/>
      <c r="CM25" s="3"/>
      <c r="CN25" s="3"/>
      <c r="CO25" s="3"/>
      <c r="CP25" s="3"/>
      <c r="CQ25" s="3"/>
      <c r="CR25" s="3"/>
      <c r="CS25" s="3"/>
      <c r="CT25" s="3"/>
    </row>
    <row r="26" spans="1:98" ht="12.75" customHeight="1">
      <c r="A26" s="384"/>
      <c r="B26" s="99" t="s">
        <v>1508</v>
      </c>
      <c r="C26" s="5839" t="s">
        <v>265</v>
      </c>
      <c r="D26" s="5839"/>
      <c r="E26" s="5839"/>
      <c r="F26" s="5839"/>
      <c r="G26" s="5839"/>
      <c r="H26" s="5839"/>
      <c r="I26" s="5839"/>
      <c r="J26" s="101"/>
      <c r="K26" s="2514"/>
      <c r="L26" s="5893"/>
      <c r="M26" s="5894"/>
      <c r="N26" s="2939"/>
      <c r="O26" s="5920"/>
      <c r="P26" s="5921"/>
      <c r="Q26" s="5921"/>
      <c r="R26" s="5921"/>
      <c r="S26" s="5921"/>
      <c r="T26" s="5921"/>
      <c r="U26" s="152"/>
      <c r="V26" s="152"/>
      <c r="W26" s="152"/>
      <c r="X26" s="152"/>
      <c r="Y26" s="152"/>
      <c r="Z26" s="152"/>
      <c r="AA26" s="152"/>
      <c r="AB26" s="152"/>
      <c r="AC26" s="152"/>
      <c r="AD26" s="152"/>
      <c r="AE26" s="152"/>
      <c r="AF26" s="152"/>
      <c r="AG26" s="152"/>
      <c r="AH26" s="152"/>
      <c r="AI26" s="152"/>
      <c r="AJ26" s="152"/>
      <c r="AK26" s="152"/>
      <c r="AL26" s="152"/>
      <c r="AM26" s="152"/>
      <c r="AN26" s="152"/>
      <c r="AO26" s="152"/>
      <c r="AP26" s="152"/>
      <c r="AQ26" s="152"/>
      <c r="AR26" s="180"/>
      <c r="AS26" s="181"/>
      <c r="AT26" s="183"/>
      <c r="AU26" s="131"/>
      <c r="AV26" s="135"/>
      <c r="AW26" s="131"/>
      <c r="AX26" s="131"/>
      <c r="AY26" s="131"/>
      <c r="AZ26" s="131"/>
      <c r="BA26" s="136"/>
      <c r="BB26" s="131"/>
      <c r="BC26" s="131"/>
      <c r="BD26" s="131"/>
      <c r="BE26" s="131"/>
      <c r="BF26" s="173"/>
      <c r="BG26" s="173"/>
      <c r="BH26" s="173"/>
      <c r="BI26" s="173"/>
      <c r="BJ26" s="184"/>
      <c r="BK26" s="173"/>
      <c r="BL26" s="173"/>
      <c r="BM26" s="173"/>
      <c r="BN26" s="173"/>
      <c r="BO26" s="242"/>
      <c r="BP26" s="242"/>
      <c r="BQ26" s="242"/>
      <c r="BR26" s="3"/>
      <c r="BS26" s="3"/>
      <c r="BT26" s="4528"/>
      <c r="BU26" s="4528"/>
      <c r="BV26" s="4528"/>
      <c r="BW26" s="4528"/>
      <c r="BX26" s="4528"/>
      <c r="BY26" s="4528"/>
      <c r="BZ26" s="292"/>
      <c r="CA26" s="3"/>
      <c r="CB26" s="3"/>
      <c r="CC26" s="3"/>
      <c r="CD26" s="3"/>
      <c r="CE26" s="3"/>
      <c r="CF26" s="3"/>
      <c r="CG26" s="3"/>
      <c r="CH26" s="3"/>
      <c r="CI26" s="3"/>
      <c r="CJ26" s="3"/>
      <c r="CK26" s="3"/>
      <c r="CL26" s="3"/>
      <c r="CM26" s="3"/>
      <c r="CN26" s="3"/>
      <c r="CO26" s="3"/>
      <c r="CP26" s="3"/>
      <c r="CQ26" s="3"/>
      <c r="CR26" s="3"/>
      <c r="CS26" s="3"/>
      <c r="CT26" s="3"/>
    </row>
    <row r="27" spans="1:98" ht="14.1" customHeight="1">
      <c r="A27" s="384"/>
      <c r="B27" s="99"/>
      <c r="C27" s="2504" t="s">
        <v>323</v>
      </c>
      <c r="D27" s="6013" t="s">
        <v>268</v>
      </c>
      <c r="E27" s="6013"/>
      <c r="F27" s="6013"/>
      <c r="G27" s="6013"/>
      <c r="H27" s="6013"/>
      <c r="I27" s="2590"/>
      <c r="J27" s="2578" t="s">
        <v>5</v>
      </c>
      <c r="K27" s="2482">
        <f>IF('Anexure-I'!AK21&gt;0,'Anexure-I'!AK21,"")</f>
        <v>550</v>
      </c>
      <c r="L27" s="5821">
        <f>IF(K27&gt;0,K27,"")</f>
        <v>550</v>
      </c>
      <c r="M27" s="5822"/>
      <c r="N27" s="2939"/>
      <c r="O27" s="152"/>
      <c r="P27" s="152"/>
      <c r="Q27" s="152"/>
      <c r="R27" s="152"/>
      <c r="S27" s="152"/>
      <c r="T27" s="152"/>
      <c r="U27" s="152"/>
      <c r="V27" s="152"/>
      <c r="W27" s="152"/>
      <c r="X27" s="152"/>
      <c r="Y27" s="152"/>
      <c r="Z27" s="152"/>
      <c r="AA27" s="152"/>
      <c r="AB27" s="152"/>
      <c r="AC27" s="152"/>
      <c r="AD27" s="152"/>
      <c r="AE27" s="152"/>
      <c r="AF27" s="152"/>
      <c r="AG27" s="152"/>
      <c r="AH27" s="152"/>
      <c r="AI27" s="152"/>
      <c r="AJ27" s="152"/>
      <c r="AK27" s="152"/>
      <c r="AL27" s="152"/>
      <c r="AM27" s="152"/>
      <c r="AN27" s="152"/>
      <c r="AO27" s="152"/>
      <c r="AP27" s="152"/>
      <c r="AQ27" s="152"/>
      <c r="AR27" s="150"/>
      <c r="AS27" s="185"/>
      <c r="AT27" s="183"/>
      <c r="AU27" s="131"/>
      <c r="AV27" s="135"/>
      <c r="AW27" s="131"/>
      <c r="AX27" s="131"/>
      <c r="AY27" s="131"/>
      <c r="AZ27" s="131"/>
      <c r="BA27" s="136"/>
      <c r="BB27" s="131"/>
      <c r="BC27" s="131"/>
      <c r="BD27" s="131"/>
      <c r="BE27" s="131"/>
      <c r="BF27" s="173"/>
      <c r="BG27" s="173"/>
      <c r="BH27" s="173"/>
      <c r="BI27" s="173"/>
      <c r="BJ27" s="186"/>
      <c r="BK27" s="173"/>
      <c r="BL27" s="173"/>
      <c r="BM27" s="173"/>
      <c r="BN27" s="173"/>
      <c r="BO27" s="242"/>
      <c r="BP27" s="242"/>
      <c r="BQ27" s="242"/>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row>
    <row r="28" spans="1:98" ht="14.1" customHeight="1">
      <c r="A28" s="384"/>
      <c r="B28" s="99"/>
      <c r="C28" s="2503" t="str">
        <f>Formula!MO17</f>
        <v>80EE</v>
      </c>
      <c r="D28" s="6013" t="str">
        <f>Formula!MP17</f>
        <v xml:space="preserve"> Interest on loan taken for residential house property</v>
      </c>
      <c r="E28" s="6013"/>
      <c r="F28" s="6013"/>
      <c r="G28" s="6013"/>
      <c r="H28" s="6013"/>
      <c r="I28" s="2511"/>
      <c r="J28" s="2462" t="s">
        <v>5</v>
      </c>
      <c r="K28" s="2482">
        <f>Formula!MQ5</f>
        <v>0</v>
      </c>
      <c r="L28" s="5821">
        <f>IF(Formula!MQ5&gt;=Formula!MQ17,Formula!MQ17,Formula!MQ5)</f>
        <v>0</v>
      </c>
      <c r="M28" s="5822"/>
      <c r="N28" s="2939"/>
      <c r="O28" s="152"/>
      <c r="P28" s="152"/>
      <c r="Q28" s="152"/>
      <c r="R28" s="152"/>
      <c r="S28" s="152"/>
      <c r="T28" s="152"/>
      <c r="U28" s="152"/>
      <c r="V28" s="152"/>
      <c r="W28" s="152"/>
      <c r="X28" s="152"/>
      <c r="Y28" s="152"/>
      <c r="Z28" s="152"/>
      <c r="AA28" s="152"/>
      <c r="AB28" s="152"/>
      <c r="AC28" s="152"/>
      <c r="AD28" s="152"/>
      <c r="AE28" s="152"/>
      <c r="AF28" s="152"/>
      <c r="AG28" s="152"/>
      <c r="AH28" s="152"/>
      <c r="AI28" s="152"/>
      <c r="AJ28" s="152"/>
      <c r="AK28" s="152"/>
      <c r="AL28" s="152"/>
      <c r="AM28" s="152"/>
      <c r="AN28" s="152"/>
      <c r="AO28" s="152"/>
      <c r="AP28" s="152"/>
      <c r="AQ28" s="152"/>
      <c r="AR28" s="187"/>
      <c r="AS28" s="166"/>
      <c r="AT28" s="183"/>
      <c r="AU28" s="131"/>
      <c r="AV28" s="135"/>
      <c r="AW28" s="131"/>
      <c r="AX28" s="131"/>
      <c r="AY28" s="131"/>
      <c r="AZ28" s="131"/>
      <c r="BA28" s="131"/>
      <c r="BB28" s="151"/>
      <c r="BC28" s="131"/>
      <c r="BD28" s="131"/>
      <c r="BE28" s="131"/>
      <c r="BF28" s="173"/>
      <c r="BG28" s="173"/>
      <c r="BH28" s="173"/>
      <c r="BI28" s="173"/>
      <c r="BJ28" s="184"/>
      <c r="BK28" s="173"/>
      <c r="BL28" s="173"/>
      <c r="BM28" s="173"/>
      <c r="BN28" s="173"/>
      <c r="BO28" s="242"/>
      <c r="BP28" s="242"/>
      <c r="BQ28" s="242"/>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row>
    <row r="29" spans="1:98" ht="14.1" customHeight="1">
      <c r="A29" s="384"/>
      <c r="B29" s="99"/>
      <c r="C29" s="2503" t="str">
        <f>Formula!MO18</f>
        <v>80EEA</v>
      </c>
      <c r="D29" s="5993" t="str">
        <f>Formula!MP18</f>
        <v xml:space="preserve"> Deduction in respect of interest on loan taken for certain house property</v>
      </c>
      <c r="E29" s="5993"/>
      <c r="F29" s="5993"/>
      <c r="G29" s="5993"/>
      <c r="H29" s="5993"/>
      <c r="I29" s="5994"/>
      <c r="J29" s="2462" t="s">
        <v>5</v>
      </c>
      <c r="K29" s="2482">
        <f>Formula!MQ6</f>
        <v>0</v>
      </c>
      <c r="L29" s="5821">
        <f>IF(Formula!MQ6&gt;=Formula!MQ18,Formula!MQ18,Formula!MQ6)</f>
        <v>0</v>
      </c>
      <c r="M29" s="5822"/>
      <c r="N29" s="2939"/>
      <c r="O29" s="152"/>
      <c r="P29" s="152"/>
      <c r="Q29" s="152"/>
      <c r="R29" s="152"/>
      <c r="S29" s="152"/>
      <c r="T29" s="152"/>
      <c r="U29" s="152"/>
      <c r="V29" s="152"/>
      <c r="W29" s="152"/>
      <c r="X29" s="152"/>
      <c r="Y29" s="152"/>
      <c r="Z29" s="152"/>
      <c r="AA29" s="152"/>
      <c r="AB29" s="152"/>
      <c r="AC29" s="152"/>
      <c r="AD29" s="152"/>
      <c r="AE29" s="152"/>
      <c r="AF29" s="152"/>
      <c r="AG29" s="152"/>
      <c r="AH29" s="152"/>
      <c r="AI29" s="152"/>
      <c r="AJ29" s="152"/>
      <c r="AK29" s="152"/>
      <c r="AL29" s="152"/>
      <c r="AM29" s="152"/>
      <c r="AN29" s="152"/>
      <c r="AO29" s="152"/>
      <c r="AP29" s="152"/>
      <c r="AQ29" s="152"/>
      <c r="AR29" s="171"/>
      <c r="AS29" s="171"/>
      <c r="AT29" s="130"/>
      <c r="AU29" s="131"/>
      <c r="AV29" s="135"/>
      <c r="AW29" s="131"/>
      <c r="AX29" s="131"/>
      <c r="AY29" s="131"/>
      <c r="AZ29" s="131"/>
      <c r="BA29" s="136"/>
      <c r="BB29" s="131"/>
      <c r="BC29" s="131"/>
      <c r="BD29" s="131"/>
      <c r="BE29" s="131"/>
      <c r="BF29" s="173"/>
      <c r="BG29" s="173"/>
      <c r="BH29" s="173"/>
      <c r="BI29" s="173"/>
      <c r="BJ29" s="173"/>
      <c r="BK29" s="173"/>
      <c r="BL29" s="173"/>
      <c r="BM29" s="173"/>
      <c r="BN29" s="173"/>
      <c r="BO29" s="242"/>
      <c r="BP29" s="242"/>
      <c r="BQ29" s="242"/>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row>
    <row r="30" spans="1:98" ht="14.1" customHeight="1">
      <c r="A30" s="384"/>
      <c r="B30" s="99"/>
      <c r="C30" s="2503" t="str">
        <f>Formula!MO19</f>
        <v>80E</v>
      </c>
      <c r="D30" s="5873" t="str">
        <f>Formula!MP19</f>
        <v xml:space="preserve">Interest  on loan taken for higher Educational </v>
      </c>
      <c r="E30" s="5873"/>
      <c r="F30" s="5873"/>
      <c r="G30" s="5873"/>
      <c r="H30" s="5873"/>
      <c r="I30" s="5991"/>
      <c r="J30" s="2462" t="s">
        <v>5</v>
      </c>
      <c r="K30" s="2482">
        <f>IF('Data Sheet-III '!O45&gt;0,'Data Sheet-III '!O45,0)</f>
        <v>0</v>
      </c>
      <c r="L30" s="5821">
        <f>K30</f>
        <v>0</v>
      </c>
      <c r="M30" s="5822"/>
      <c r="N30" s="2939"/>
      <c r="O30" s="152"/>
      <c r="P30" s="152"/>
      <c r="Q30" s="152"/>
      <c r="R30" s="152"/>
      <c r="S30" s="152"/>
      <c r="T30" s="152"/>
      <c r="U30" s="152"/>
      <c r="V30" s="152"/>
      <c r="W30" s="152"/>
      <c r="X30" s="152"/>
      <c r="Y30" s="152"/>
      <c r="Z30" s="152"/>
      <c r="AA30" s="152"/>
      <c r="AB30" s="152"/>
      <c r="AC30" s="152"/>
      <c r="AD30" s="152"/>
      <c r="AE30" s="152"/>
      <c r="AF30" s="152"/>
      <c r="AG30" s="152"/>
      <c r="AH30" s="152"/>
      <c r="AI30" s="152"/>
      <c r="AJ30" s="152"/>
      <c r="AK30" s="152"/>
      <c r="AL30" s="152"/>
      <c r="AM30" s="152"/>
      <c r="AN30" s="152"/>
      <c r="AO30" s="152"/>
      <c r="AP30" s="152"/>
      <c r="AQ30" s="152"/>
      <c r="AR30" s="187"/>
      <c r="AS30" s="131"/>
      <c r="AT30" s="189"/>
      <c r="AU30" s="131"/>
      <c r="AV30" s="131"/>
      <c r="AW30" s="131"/>
      <c r="AX30" s="131"/>
      <c r="AY30" s="131"/>
      <c r="AZ30" s="131"/>
      <c r="BA30" s="131"/>
      <c r="BB30" s="131"/>
      <c r="BC30" s="131"/>
      <c r="BD30" s="131"/>
      <c r="BE30" s="131"/>
      <c r="BF30" s="131"/>
      <c r="BG30" s="131"/>
      <c r="BH30" s="131"/>
      <c r="BI30" s="131"/>
      <c r="BJ30" s="131"/>
      <c r="BK30" s="173"/>
      <c r="BL30" s="173"/>
      <c r="BM30" s="173"/>
      <c r="BN30" s="173"/>
      <c r="BO30" s="242"/>
      <c r="BP30" s="242"/>
      <c r="BQ30" s="242"/>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row>
    <row r="31" spans="1:98" ht="14.1" customHeight="1">
      <c r="A31" s="384"/>
      <c r="B31" s="99"/>
      <c r="C31" s="2503" t="str">
        <f>Formula!MO20</f>
        <v>80D</v>
      </c>
      <c r="D31" s="5873" t="str">
        <f>Formula!MP20</f>
        <v>Deduction in respect of Health insurance Premium</v>
      </c>
      <c r="E31" s="5873"/>
      <c r="F31" s="5873"/>
      <c r="G31" s="5873"/>
      <c r="H31" s="5873"/>
      <c r="I31" s="5991"/>
      <c r="J31" s="2462" t="s">
        <v>5</v>
      </c>
      <c r="K31" s="2482"/>
      <c r="L31" s="5821">
        <f>Formula!MQ20</f>
        <v>0</v>
      </c>
      <c r="M31" s="5822"/>
      <c r="N31" s="2939"/>
      <c r="O31" s="152"/>
      <c r="P31" s="152"/>
      <c r="Q31" s="152"/>
      <c r="R31" s="152"/>
      <c r="S31" s="152"/>
      <c r="T31" s="152"/>
      <c r="U31" s="152"/>
      <c r="V31" s="152"/>
      <c r="W31" s="152"/>
      <c r="X31" s="152"/>
      <c r="Y31" s="152"/>
      <c r="Z31" s="152"/>
      <c r="AA31" s="152"/>
      <c r="AB31" s="152"/>
      <c r="AC31" s="152"/>
      <c r="AD31" s="152"/>
      <c r="AE31" s="152"/>
      <c r="AF31" s="152"/>
      <c r="AG31" s="152"/>
      <c r="AH31" s="152"/>
      <c r="AI31" s="152"/>
      <c r="AJ31" s="152"/>
      <c r="AK31" s="152"/>
      <c r="AL31" s="152"/>
      <c r="AM31" s="152"/>
      <c r="AN31" s="152"/>
      <c r="AO31" s="152"/>
      <c r="AP31" s="152"/>
      <c r="AQ31" s="152"/>
      <c r="AR31" s="187"/>
      <c r="AS31" s="131"/>
      <c r="AT31" s="189"/>
      <c r="AU31" s="131"/>
      <c r="AV31" s="131"/>
      <c r="AW31" s="131"/>
      <c r="AX31" s="131"/>
      <c r="AY31" s="131"/>
      <c r="AZ31" s="131"/>
      <c r="BA31" s="131"/>
      <c r="BB31" s="131"/>
      <c r="BC31" s="131"/>
      <c r="BD31" s="188"/>
      <c r="BE31" s="188"/>
      <c r="BF31" s="188"/>
      <c r="BG31" s="188"/>
      <c r="BH31" s="188"/>
      <c r="BI31" s="188"/>
      <c r="BJ31" s="188"/>
      <c r="BK31" s="173"/>
      <c r="BL31" s="173"/>
      <c r="BM31" s="173"/>
      <c r="BN31" s="173"/>
      <c r="BO31" s="242"/>
      <c r="BP31" s="242"/>
      <c r="BQ31" s="242"/>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row>
    <row r="32" spans="1:98" ht="14.1" customHeight="1">
      <c r="A32" s="384"/>
      <c r="B32" s="99"/>
      <c r="C32" s="2503" t="str">
        <f>Formula!MO21</f>
        <v>80DD</v>
      </c>
      <c r="D32" s="5873" t="str">
        <f>Formula!MP21</f>
        <v>Maintance including medical treatment of a dependent who is a person with disability</v>
      </c>
      <c r="E32" s="5873"/>
      <c r="F32" s="5873"/>
      <c r="G32" s="5873"/>
      <c r="H32" s="5873"/>
      <c r="I32" s="5991"/>
      <c r="J32" s="2462" t="s">
        <v>5</v>
      </c>
      <c r="K32" s="2482"/>
      <c r="L32" s="5821">
        <f>Formula!MQ21</f>
        <v>0</v>
      </c>
      <c r="M32" s="5822"/>
      <c r="N32" s="2939"/>
      <c r="O32" s="152"/>
      <c r="P32" s="152"/>
      <c r="Q32" s="152"/>
      <c r="R32" s="152"/>
      <c r="S32" s="152"/>
      <c r="T32" s="152"/>
      <c r="U32" s="152"/>
      <c r="V32" s="152"/>
      <c r="W32" s="152"/>
      <c r="X32" s="152"/>
      <c r="Y32" s="152"/>
      <c r="Z32" s="152"/>
      <c r="AA32" s="152"/>
      <c r="AB32" s="152"/>
      <c r="AC32" s="152"/>
      <c r="AD32" s="152"/>
      <c r="AE32" s="152"/>
      <c r="AF32" s="152"/>
      <c r="AG32" s="152"/>
      <c r="AH32" s="152"/>
      <c r="AI32" s="152"/>
      <c r="AJ32" s="152"/>
      <c r="AK32" s="152"/>
      <c r="AL32" s="152"/>
      <c r="AM32" s="152"/>
      <c r="AN32" s="152"/>
      <c r="AO32" s="152"/>
      <c r="AP32" s="152"/>
      <c r="AQ32" s="152"/>
      <c r="AR32" s="187"/>
      <c r="AS32" s="131"/>
      <c r="AT32" s="189"/>
      <c r="AU32" s="131"/>
      <c r="AV32" s="131"/>
      <c r="AW32" s="131"/>
      <c r="AX32" s="131"/>
      <c r="AY32" s="131"/>
      <c r="AZ32" s="131"/>
      <c r="BA32" s="131"/>
      <c r="BB32" s="131"/>
      <c r="BC32" s="131"/>
      <c r="BD32" s="188"/>
      <c r="BE32" s="188"/>
      <c r="BF32" s="188"/>
      <c r="BG32" s="188"/>
      <c r="BH32" s="188"/>
      <c r="BI32" s="188"/>
      <c r="BJ32" s="188"/>
      <c r="BK32" s="173"/>
      <c r="BL32" s="173"/>
      <c r="BM32" s="173"/>
      <c r="BN32" s="173"/>
      <c r="BO32" s="242"/>
      <c r="BP32" s="242"/>
      <c r="BQ32" s="242"/>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row>
    <row r="33" spans="1:98" ht="14.1" customHeight="1">
      <c r="A33" s="384"/>
      <c r="B33" s="99"/>
      <c r="C33" s="2503" t="str">
        <f>Formula!MO22</f>
        <v>80U</v>
      </c>
      <c r="D33" s="5873" t="str">
        <f>Formula!MP22</f>
        <v>In Case of a Tax Payer  with disability</v>
      </c>
      <c r="E33" s="5873"/>
      <c r="F33" s="5873"/>
      <c r="G33" s="5873"/>
      <c r="H33" s="5873"/>
      <c r="I33" s="5991"/>
      <c r="J33" s="2462" t="s">
        <v>5</v>
      </c>
      <c r="K33" s="2482"/>
      <c r="L33" s="5821">
        <f>Formula!MQ22</f>
        <v>0</v>
      </c>
      <c r="M33" s="5822"/>
      <c r="N33" s="2939"/>
      <c r="O33" s="152"/>
      <c r="P33" s="152"/>
      <c r="Q33" s="152"/>
      <c r="R33" s="152"/>
      <c r="S33" s="152"/>
      <c r="T33" s="152"/>
      <c r="U33" s="152"/>
      <c r="V33" s="152"/>
      <c r="W33" s="152"/>
      <c r="X33" s="152"/>
      <c r="Y33" s="152"/>
      <c r="Z33" s="152"/>
      <c r="AA33" s="152"/>
      <c r="AB33" s="152"/>
      <c r="AC33" s="152"/>
      <c r="AD33" s="152"/>
      <c r="AE33" s="152"/>
      <c r="AF33" s="152"/>
      <c r="AG33" s="152"/>
      <c r="AH33" s="152"/>
      <c r="AI33" s="152"/>
      <c r="AJ33" s="152"/>
      <c r="AK33" s="152"/>
      <c r="AL33" s="152"/>
      <c r="AM33" s="152"/>
      <c r="AN33" s="152"/>
      <c r="AO33" s="152"/>
      <c r="AP33" s="152"/>
      <c r="AQ33" s="152"/>
      <c r="AR33" s="187"/>
      <c r="AS33" s="131"/>
      <c r="AT33" s="189"/>
      <c r="AU33" s="131"/>
      <c r="AV33" s="131"/>
      <c r="AW33" s="131"/>
      <c r="AX33" s="131"/>
      <c r="AY33" s="131"/>
      <c r="AZ33" s="131"/>
      <c r="BA33" s="131"/>
      <c r="BB33" s="131"/>
      <c r="BC33" s="131"/>
      <c r="BD33" s="188"/>
      <c r="BE33" s="188"/>
      <c r="BF33" s="188"/>
      <c r="BG33" s="188"/>
      <c r="BH33" s="188"/>
      <c r="BI33" s="188"/>
      <c r="BJ33" s="188"/>
      <c r="BK33" s="173"/>
      <c r="BL33" s="173"/>
      <c r="BM33" s="173"/>
      <c r="BN33" s="173"/>
      <c r="BO33" s="242"/>
      <c r="BP33" s="242"/>
      <c r="BQ33" s="242"/>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row>
    <row r="34" spans="1:98" ht="14.1" customHeight="1">
      <c r="A34" s="384"/>
      <c r="B34" s="99"/>
      <c r="C34" s="2503" t="str">
        <f>Formula!MO23</f>
        <v>80DDB</v>
      </c>
      <c r="D34" s="5873" t="str">
        <f>Formula!MP23</f>
        <v>Medical Expenses incurred for Medical treatment of Specified diseases or ailments</v>
      </c>
      <c r="E34" s="5873"/>
      <c r="F34" s="5873"/>
      <c r="G34" s="5873"/>
      <c r="H34" s="5873"/>
      <c r="I34" s="5991"/>
      <c r="J34" s="2462" t="s">
        <v>5</v>
      </c>
      <c r="K34" s="2482"/>
      <c r="L34" s="5821">
        <f>Formula!MQ23</f>
        <v>0</v>
      </c>
      <c r="M34" s="5822"/>
      <c r="N34" s="2939"/>
      <c r="O34" s="152"/>
      <c r="P34" s="152"/>
      <c r="Q34" s="152"/>
      <c r="R34" s="152"/>
      <c r="S34" s="152"/>
      <c r="T34" s="152"/>
      <c r="U34" s="152"/>
      <c r="V34" s="152"/>
      <c r="W34" s="152"/>
      <c r="X34" s="152"/>
      <c r="Y34" s="152"/>
      <c r="Z34" s="152"/>
      <c r="AA34" s="152"/>
      <c r="AB34" s="152"/>
      <c r="AC34" s="152"/>
      <c r="AD34" s="152"/>
      <c r="AE34" s="152"/>
      <c r="AF34" s="152"/>
      <c r="AG34" s="152"/>
      <c r="AH34" s="152"/>
      <c r="AI34" s="152"/>
      <c r="AJ34" s="152"/>
      <c r="AK34" s="152"/>
      <c r="AL34" s="152"/>
      <c r="AM34" s="152"/>
      <c r="AN34" s="152"/>
      <c r="AO34" s="152"/>
      <c r="AP34" s="152"/>
      <c r="AQ34" s="152"/>
      <c r="AR34" s="187"/>
      <c r="AS34" s="131"/>
      <c r="AT34" s="189"/>
      <c r="AU34" s="131"/>
      <c r="AV34" s="131"/>
      <c r="AW34" s="131"/>
      <c r="AX34" s="131"/>
      <c r="AY34" s="131"/>
      <c r="AZ34" s="131"/>
      <c r="BA34" s="131"/>
      <c r="BB34" s="131"/>
      <c r="BC34" s="131"/>
      <c r="BD34" s="188"/>
      <c r="BE34" s="188"/>
      <c r="BF34" s="188"/>
      <c r="BG34" s="188"/>
      <c r="BH34" s="188"/>
      <c r="BI34" s="188"/>
      <c r="BJ34" s="188"/>
      <c r="BK34" s="173"/>
      <c r="BL34" s="173"/>
      <c r="BM34" s="173"/>
      <c r="BN34" s="173"/>
      <c r="BO34" s="242"/>
      <c r="BP34" s="242"/>
      <c r="BQ34" s="242"/>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row>
    <row r="35" spans="1:98" ht="14.1" customHeight="1">
      <c r="A35" s="384"/>
      <c r="B35" s="99"/>
      <c r="C35" s="2503" t="str">
        <f>Formula!MO24</f>
        <v>80TTA</v>
      </c>
      <c r="D35" s="5873" t="str">
        <f>Formula!MP24</f>
        <v>Interest on deposit in saving Accounts</v>
      </c>
      <c r="E35" s="5873"/>
      <c r="F35" s="5873"/>
      <c r="G35" s="5873"/>
      <c r="H35" s="5873"/>
      <c r="I35" s="2511"/>
      <c r="J35" s="2462" t="s">
        <v>5</v>
      </c>
      <c r="K35" s="2482" t="str">
        <f>IF('Data Sheet-III '!O60&gt;0,'Data Sheet-III '!O60,"")</f>
        <v/>
      </c>
      <c r="L35" s="5821">
        <f>IF(K35="",0,IF(K35&gt;Formula!MQ53,Formula!MQ53,K35))</f>
        <v>0</v>
      </c>
      <c r="M35" s="5822"/>
      <c r="N35" s="2939"/>
      <c r="O35" s="152"/>
      <c r="P35" s="152"/>
      <c r="Q35" s="152"/>
      <c r="R35" s="152"/>
      <c r="S35" s="152"/>
      <c r="T35" s="152"/>
      <c r="U35" s="152"/>
      <c r="V35" s="152"/>
      <c r="W35" s="152"/>
      <c r="X35" s="152"/>
      <c r="Y35" s="152"/>
      <c r="Z35" s="152"/>
      <c r="AA35" s="152"/>
      <c r="AB35" s="152"/>
      <c r="AC35" s="152"/>
      <c r="AD35" s="152"/>
      <c r="AE35" s="152"/>
      <c r="AF35" s="152"/>
      <c r="AG35" s="152"/>
      <c r="AH35" s="152"/>
      <c r="AI35" s="152"/>
      <c r="AJ35" s="152"/>
      <c r="AK35" s="152"/>
      <c r="AL35" s="152"/>
      <c r="AM35" s="152"/>
      <c r="AN35" s="152"/>
      <c r="AO35" s="152"/>
      <c r="AP35" s="152"/>
      <c r="AQ35" s="152"/>
      <c r="AR35" s="187"/>
      <c r="AS35" s="131"/>
      <c r="AT35" s="189"/>
      <c r="AU35" s="131"/>
      <c r="AV35" s="131"/>
      <c r="AW35" s="131"/>
      <c r="AX35" s="131"/>
      <c r="AY35" s="131"/>
      <c r="AZ35" s="131"/>
      <c r="BA35" s="131"/>
      <c r="BB35" s="131"/>
      <c r="BC35" s="131"/>
      <c r="BD35" s="188"/>
      <c r="BE35" s="188"/>
      <c r="BF35" s="188"/>
      <c r="BG35" s="188"/>
      <c r="BH35" s="188"/>
      <c r="BI35" s="188"/>
      <c r="BJ35" s="188"/>
      <c r="BK35" s="173"/>
      <c r="BL35" s="173"/>
      <c r="BM35" s="173"/>
      <c r="BN35" s="173"/>
      <c r="BO35" s="242"/>
      <c r="BP35" s="242"/>
      <c r="BQ35" s="242"/>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row>
    <row r="36" spans="1:98" ht="14.1" customHeight="1">
      <c r="A36" s="384"/>
      <c r="B36" s="99"/>
      <c r="C36" s="2503" t="str">
        <f>Formula!MO25</f>
        <v>80EEB</v>
      </c>
      <c r="D36" s="5873" t="str">
        <f>Formula!MP25</f>
        <v>Deduction in respect of purchase of electric vehicle</v>
      </c>
      <c r="E36" s="5873"/>
      <c r="F36" s="5873"/>
      <c r="G36" s="5873"/>
      <c r="H36" s="5873"/>
      <c r="I36" s="2511"/>
      <c r="J36" s="2462" t="s">
        <v>5</v>
      </c>
      <c r="K36" s="2482" t="str">
        <f>IF('Data Sheet-III '!O48&gt;0,'Data Sheet-III '!O48,"")</f>
        <v/>
      </c>
      <c r="L36" s="5821">
        <f>IF(K36="",0,IF(K36&gt;Formula!MQ52,Formula!MQ52,K36))</f>
        <v>0</v>
      </c>
      <c r="M36" s="5822"/>
      <c r="N36" s="2939"/>
      <c r="O36" s="152"/>
      <c r="P36" s="152"/>
      <c r="Q36" s="152"/>
      <c r="R36" s="152"/>
      <c r="S36" s="152"/>
      <c r="T36" s="152"/>
      <c r="U36" s="152"/>
      <c r="V36" s="152"/>
      <c r="W36" s="152"/>
      <c r="X36" s="152"/>
      <c r="Y36" s="152"/>
      <c r="Z36" s="152"/>
      <c r="AA36" s="152"/>
      <c r="AB36" s="152"/>
      <c r="AC36" s="152"/>
      <c r="AD36" s="152"/>
      <c r="AE36" s="152"/>
      <c r="AF36" s="152"/>
      <c r="AG36" s="152"/>
      <c r="AH36" s="152"/>
      <c r="AI36" s="152"/>
      <c r="AJ36" s="152"/>
      <c r="AK36" s="152"/>
      <c r="AL36" s="152"/>
      <c r="AM36" s="152"/>
      <c r="AN36" s="152"/>
      <c r="AO36" s="152"/>
      <c r="AP36" s="152"/>
      <c r="AQ36" s="152"/>
      <c r="AR36" s="187"/>
      <c r="AS36" s="131"/>
      <c r="AT36" s="189"/>
      <c r="AU36" s="131"/>
      <c r="AV36" s="131"/>
      <c r="AW36" s="131"/>
      <c r="AX36" s="131"/>
      <c r="AY36" s="131"/>
      <c r="AZ36" s="131"/>
      <c r="BA36" s="131"/>
      <c r="BB36" s="131"/>
      <c r="BC36" s="131"/>
      <c r="BD36" s="188"/>
      <c r="BE36" s="188"/>
      <c r="BF36" s="188"/>
      <c r="BG36" s="188"/>
      <c r="BH36" s="188"/>
      <c r="BI36" s="188"/>
      <c r="BJ36" s="188"/>
      <c r="BK36" s="173"/>
      <c r="BL36" s="173"/>
      <c r="BM36" s="173"/>
      <c r="BN36" s="173"/>
      <c r="BO36" s="242"/>
      <c r="BP36" s="242"/>
      <c r="BQ36" s="242"/>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row>
    <row r="37" spans="1:98" ht="14.1" customHeight="1">
      <c r="A37" s="384"/>
      <c r="B37" s="99"/>
      <c r="C37" s="2503" t="str">
        <f>Formula!MO26</f>
        <v>80GGC</v>
      </c>
      <c r="D37" s="5992" t="str">
        <f>Formula!MP26</f>
        <v>100% Deduction of  Donation Amount to Political Party or Electrol Trusts</v>
      </c>
      <c r="E37" s="5873"/>
      <c r="F37" s="5873"/>
      <c r="G37" s="5873"/>
      <c r="H37" s="5873"/>
      <c r="I37" s="5991"/>
      <c r="J37" s="2462" t="s">
        <v>5</v>
      </c>
      <c r="K37" s="2482">
        <f>'Data Sheet-III '!O51</f>
        <v>0</v>
      </c>
      <c r="L37" s="5821">
        <f>Formula!MQ26</f>
        <v>0</v>
      </c>
      <c r="M37" s="5822"/>
      <c r="N37" s="2939"/>
      <c r="O37" s="152"/>
      <c r="P37" s="152"/>
      <c r="Q37" s="152"/>
      <c r="R37" s="152"/>
      <c r="S37" s="152"/>
      <c r="T37" s="152"/>
      <c r="U37" s="152"/>
      <c r="V37" s="152"/>
      <c r="W37" s="152"/>
      <c r="X37" s="152"/>
      <c r="Y37" s="152"/>
      <c r="Z37" s="152"/>
      <c r="AA37" s="152"/>
      <c r="AB37" s="152"/>
      <c r="AC37" s="152"/>
      <c r="AD37" s="152"/>
      <c r="AE37" s="152"/>
      <c r="AF37" s="152"/>
      <c r="AG37" s="152"/>
      <c r="AH37" s="152"/>
      <c r="AI37" s="152"/>
      <c r="AJ37" s="152"/>
      <c r="AK37" s="152"/>
      <c r="AL37" s="152"/>
      <c r="AM37" s="152"/>
      <c r="AN37" s="152"/>
      <c r="AO37" s="152"/>
      <c r="AP37" s="152"/>
      <c r="AQ37" s="152"/>
      <c r="AR37" s="187"/>
      <c r="AS37" s="131"/>
      <c r="AT37" s="189"/>
      <c r="AU37" s="131"/>
      <c r="AV37" s="131"/>
      <c r="AW37" s="131"/>
      <c r="AX37" s="131"/>
      <c r="AY37" s="131"/>
      <c r="AZ37" s="131"/>
      <c r="BA37" s="131"/>
      <c r="BB37" s="131"/>
      <c r="BC37" s="131"/>
      <c r="BD37" s="188"/>
      <c r="BE37" s="188"/>
      <c r="BF37" s="188"/>
      <c r="BG37" s="188"/>
      <c r="BH37" s="188"/>
      <c r="BI37" s="188"/>
      <c r="BJ37" s="188"/>
      <c r="BK37" s="173"/>
      <c r="BL37" s="173"/>
      <c r="BM37" s="173"/>
      <c r="BN37" s="173"/>
      <c r="BO37" s="242"/>
      <c r="BP37" s="242"/>
      <c r="BQ37" s="242"/>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row>
    <row r="38" spans="1:98" ht="14.1" customHeight="1">
      <c r="A38" s="384"/>
      <c r="B38" s="99"/>
      <c r="C38" s="2503" t="str">
        <f>Formula!MO27</f>
        <v>80G</v>
      </c>
      <c r="D38" s="5873" t="str">
        <f>Formula!MP27</f>
        <v>Donation entitled for 50% Deduction Subjected to Qualifying Limit</v>
      </c>
      <c r="E38" s="5873"/>
      <c r="F38" s="5873"/>
      <c r="G38" s="5873"/>
      <c r="H38" s="5873"/>
      <c r="I38" s="5991"/>
      <c r="J38" s="2462" t="s">
        <v>5</v>
      </c>
      <c r="K38" s="2482" t="str">
        <f>IF('Data Sheet-III '!O53&gt;0,'Data Sheet-III '!O53,"")</f>
        <v/>
      </c>
      <c r="L38" s="5821">
        <f>Formula!MQ41</f>
        <v>0</v>
      </c>
      <c r="M38" s="5822"/>
      <c r="N38" s="2939"/>
      <c r="O38" s="152"/>
      <c r="P38" s="152"/>
      <c r="Q38" s="152"/>
      <c r="R38" s="152"/>
      <c r="S38" s="152"/>
      <c r="T38" s="152"/>
      <c r="U38" s="152"/>
      <c r="V38" s="152"/>
      <c r="W38" s="152"/>
      <c r="X38" s="152"/>
      <c r="Y38" s="152"/>
      <c r="Z38" s="152"/>
      <c r="AA38" s="152"/>
      <c r="AB38" s="152"/>
      <c r="AC38" s="152"/>
      <c r="AD38" s="152"/>
      <c r="AE38" s="152"/>
      <c r="AF38" s="152"/>
      <c r="AG38" s="152"/>
      <c r="AH38" s="152"/>
      <c r="AI38" s="152"/>
      <c r="AJ38" s="152"/>
      <c r="AK38" s="152"/>
      <c r="AL38" s="152"/>
      <c r="AM38" s="152"/>
      <c r="AN38" s="152"/>
      <c r="AO38" s="152"/>
      <c r="AP38" s="152"/>
      <c r="AQ38" s="152"/>
      <c r="AR38" s="187"/>
      <c r="AS38" s="131"/>
      <c r="AT38" s="189"/>
      <c r="AU38" s="131"/>
      <c r="AV38" s="131"/>
      <c r="AW38" s="131"/>
      <c r="AX38" s="131"/>
      <c r="AY38" s="131"/>
      <c r="AZ38" s="131"/>
      <c r="BA38" s="131"/>
      <c r="BB38" s="131"/>
      <c r="BC38" s="131"/>
      <c r="BD38" s="188"/>
      <c r="BE38" s="188"/>
      <c r="BF38" s="188"/>
      <c r="BG38" s="188"/>
      <c r="BH38" s="188"/>
      <c r="BI38" s="188"/>
      <c r="BJ38" s="188"/>
      <c r="BK38" s="173"/>
      <c r="BL38" s="173"/>
      <c r="BM38" s="173"/>
      <c r="BN38" s="173"/>
      <c r="BO38" s="242"/>
      <c r="BP38" s="242"/>
      <c r="BQ38" s="242"/>
      <c r="BR38" s="3"/>
      <c r="BS38" s="113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row>
    <row r="39" spans="1:98" ht="14.1" customHeight="1">
      <c r="A39" s="384"/>
      <c r="B39" s="99"/>
      <c r="C39" s="2503" t="str">
        <f>Formula!MO28</f>
        <v>80GGA</v>
      </c>
      <c r="D39" s="5873" t="str">
        <f>Formula!MP28</f>
        <v>Certain Donation for scientific research or rural development</v>
      </c>
      <c r="E39" s="5873"/>
      <c r="F39" s="5873"/>
      <c r="G39" s="5873"/>
      <c r="H39" s="5873"/>
      <c r="I39" s="5991"/>
      <c r="J39" s="2462" t="s">
        <v>5</v>
      </c>
      <c r="K39" s="2482" t="str">
        <f>IF('Data Sheet-III '!O57&gt;0,'Data Sheet-III '!O57,"")</f>
        <v/>
      </c>
      <c r="L39" s="6005">
        <f>Formula!MQ28</f>
        <v>0</v>
      </c>
      <c r="M39" s="5822"/>
      <c r="N39" s="2939"/>
      <c r="O39" s="152"/>
      <c r="P39" s="152"/>
      <c r="Q39" s="152"/>
      <c r="R39" s="152"/>
      <c r="S39" s="152"/>
      <c r="T39" s="152"/>
      <c r="U39" s="152"/>
      <c r="V39" s="152"/>
      <c r="W39" s="152"/>
      <c r="X39" s="152"/>
      <c r="Y39" s="152"/>
      <c r="Z39" s="152"/>
      <c r="AA39" s="152"/>
      <c r="AB39" s="152"/>
      <c r="AC39" s="152"/>
      <c r="AD39" s="152"/>
      <c r="AE39" s="152"/>
      <c r="AF39" s="152"/>
      <c r="AG39" s="152"/>
      <c r="AH39" s="152"/>
      <c r="AI39" s="152"/>
      <c r="AJ39" s="152"/>
      <c r="AK39" s="152"/>
      <c r="AL39" s="152"/>
      <c r="AM39" s="152"/>
      <c r="AN39" s="152"/>
      <c r="AO39" s="152"/>
      <c r="AP39" s="152"/>
      <c r="AQ39" s="152"/>
      <c r="AR39" s="187"/>
      <c r="AS39" s="131"/>
      <c r="AT39" s="189"/>
      <c r="AU39" s="131"/>
      <c r="AV39" s="131"/>
      <c r="AW39" s="131"/>
      <c r="AX39" s="131"/>
      <c r="AY39" s="131"/>
      <c r="AZ39" s="131"/>
      <c r="BA39" s="131"/>
      <c r="BB39" s="131"/>
      <c r="BC39" s="131"/>
      <c r="BD39" s="188"/>
      <c r="BE39" s="188"/>
      <c r="BF39" s="188"/>
      <c r="BG39" s="188"/>
      <c r="BH39" s="188"/>
      <c r="BI39" s="188"/>
      <c r="BJ39" s="188"/>
      <c r="BK39" s="173"/>
      <c r="BL39" s="173"/>
      <c r="BM39" s="173"/>
      <c r="BN39" s="173"/>
      <c r="BO39" s="242"/>
      <c r="BP39" s="242"/>
      <c r="BQ39" s="242"/>
      <c r="BR39" s="3"/>
      <c r="BS39" s="113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row>
    <row r="40" spans="1:98">
      <c r="A40" s="384"/>
      <c r="B40" s="99"/>
      <c r="C40" s="5828" t="s">
        <v>31</v>
      </c>
      <c r="D40" s="5828"/>
      <c r="E40" s="5828"/>
      <c r="F40" s="5828"/>
      <c r="G40" s="5828"/>
      <c r="H40" s="5828"/>
      <c r="I40" s="5828"/>
      <c r="J40" s="5907" t="s">
        <v>1508</v>
      </c>
      <c r="K40" s="5908"/>
      <c r="L40" s="5905">
        <f>SUM(L27:M39)</f>
        <v>550</v>
      </c>
      <c r="M40" s="5906"/>
      <c r="N40" s="2939"/>
      <c r="O40" s="152"/>
      <c r="P40" s="152"/>
      <c r="Q40" s="152"/>
      <c r="R40" s="152"/>
      <c r="S40" s="152"/>
      <c r="T40" s="152"/>
      <c r="U40" s="152"/>
      <c r="V40" s="152"/>
      <c r="W40" s="152"/>
      <c r="X40" s="152"/>
      <c r="Y40" s="152"/>
      <c r="Z40" s="152"/>
      <c r="AA40" s="152"/>
      <c r="AB40" s="152"/>
      <c r="AC40" s="152"/>
      <c r="AD40" s="152"/>
      <c r="AE40" s="152"/>
      <c r="AF40" s="152"/>
      <c r="AG40" s="152"/>
      <c r="AH40" s="152"/>
      <c r="AI40" s="152"/>
      <c r="AJ40" s="152"/>
      <c r="AK40" s="152"/>
      <c r="AL40" s="152"/>
      <c r="AM40" s="152"/>
      <c r="AN40" s="152"/>
      <c r="AO40" s="152"/>
      <c r="AP40" s="152"/>
      <c r="AQ40" s="152"/>
      <c r="AR40" s="171"/>
      <c r="AS40" s="171"/>
      <c r="AT40" s="136"/>
      <c r="AU40" s="151"/>
      <c r="AV40" s="131"/>
      <c r="AW40" s="131"/>
      <c r="AX40" s="131"/>
      <c r="AY40" s="131"/>
      <c r="AZ40" s="131"/>
      <c r="BA40" s="131"/>
      <c r="BB40" s="131"/>
      <c r="BC40" s="131"/>
      <c r="BD40" s="131"/>
      <c r="BE40" s="131"/>
      <c r="BF40" s="173"/>
      <c r="BG40" s="173"/>
      <c r="BH40" s="173"/>
      <c r="BI40" s="173"/>
      <c r="BJ40" s="184"/>
      <c r="BK40" s="173"/>
      <c r="BL40" s="173"/>
      <c r="BM40" s="173"/>
      <c r="BN40" s="173"/>
      <c r="BO40" s="242"/>
      <c r="BP40" s="242"/>
      <c r="BQ40" s="242"/>
      <c r="BR40" s="3"/>
      <c r="BS40" s="1133"/>
      <c r="BT40" s="4528" t="s">
        <v>472</v>
      </c>
      <c r="BU40" s="4528"/>
      <c r="BV40" s="4528"/>
      <c r="BW40" s="403">
        <f>SUM(K44:K53)</f>
        <v>61440</v>
      </c>
      <c r="BX40" s="3"/>
      <c r="BY40" s="3"/>
      <c r="BZ40" s="3"/>
      <c r="CA40" s="3"/>
      <c r="CB40" s="3"/>
      <c r="CC40" s="3"/>
      <c r="CD40" s="3"/>
      <c r="CE40" s="3"/>
      <c r="CF40" s="3"/>
      <c r="CG40" s="3"/>
      <c r="CH40" s="3"/>
      <c r="CI40" s="3"/>
      <c r="CJ40" s="3"/>
      <c r="CK40" s="3"/>
      <c r="CL40" s="3"/>
      <c r="CM40" s="3"/>
      <c r="CN40" s="3"/>
      <c r="CO40" s="3"/>
      <c r="CP40" s="3"/>
      <c r="CQ40" s="3"/>
      <c r="CR40" s="3"/>
      <c r="CS40" s="3"/>
      <c r="CT40" s="3"/>
    </row>
    <row r="41" spans="1:98" ht="15.75">
      <c r="A41" s="384"/>
      <c r="B41" s="99" t="s">
        <v>1509</v>
      </c>
      <c r="C41" s="5884" t="s">
        <v>1510</v>
      </c>
      <c r="D41" s="5826"/>
      <c r="E41" s="5826"/>
      <c r="F41" s="5826"/>
      <c r="G41" s="5826"/>
      <c r="H41" s="5826"/>
      <c r="I41" s="5835"/>
      <c r="J41" s="5905" t="s">
        <v>1509</v>
      </c>
      <c r="K41" s="5909"/>
      <c r="L41" s="5905">
        <f>SUM(L25-L40)</f>
        <v>1619650</v>
      </c>
      <c r="M41" s="5906"/>
      <c r="N41" s="2940"/>
      <c r="O41" s="160"/>
      <c r="P41" s="160"/>
      <c r="Q41" s="160"/>
      <c r="R41" s="160"/>
      <c r="S41" s="160"/>
      <c r="T41" s="160"/>
      <c r="U41" s="160"/>
      <c r="V41" s="160"/>
      <c r="W41" s="160"/>
      <c r="X41" s="160"/>
      <c r="Y41" s="160"/>
      <c r="Z41" s="160"/>
      <c r="AA41" s="160"/>
      <c r="AB41" s="160"/>
      <c r="AC41" s="160"/>
      <c r="AD41" s="160"/>
      <c r="AE41" s="160"/>
      <c r="AF41" s="160"/>
      <c r="AG41" s="160"/>
      <c r="AH41" s="160"/>
      <c r="AI41" s="160"/>
      <c r="AJ41" s="160"/>
      <c r="AK41" s="160"/>
      <c r="AL41" s="160"/>
      <c r="AM41" s="160"/>
      <c r="AN41" s="160"/>
      <c r="AO41" s="160"/>
      <c r="AP41" s="160"/>
      <c r="AQ41" s="160"/>
      <c r="AR41" s="150"/>
      <c r="AS41" s="131"/>
      <c r="AT41" s="190"/>
      <c r="AU41" s="131"/>
      <c r="AV41" s="191"/>
      <c r="AW41" s="192"/>
      <c r="AX41" s="191"/>
      <c r="AY41" s="131"/>
      <c r="AZ41" s="131"/>
      <c r="BA41" s="131"/>
      <c r="BB41" s="131"/>
      <c r="BC41" s="131"/>
      <c r="BD41" s="131"/>
      <c r="BE41" s="131"/>
      <c r="BF41" s="173"/>
      <c r="BG41" s="173"/>
      <c r="BH41" s="173"/>
      <c r="BI41" s="173"/>
      <c r="BJ41" s="173"/>
      <c r="BK41" s="173"/>
      <c r="BL41" s="173"/>
      <c r="BM41" s="173"/>
      <c r="BN41" s="173"/>
      <c r="BO41" s="242"/>
      <c r="BP41" s="242"/>
      <c r="BQ41" s="242"/>
      <c r="BR41" s="3"/>
      <c r="BS41" s="1133"/>
      <c r="BT41" s="4528" t="s">
        <v>473</v>
      </c>
      <c r="BU41" s="4528"/>
      <c r="BV41" s="4528"/>
      <c r="BW41" s="403">
        <f>K43</f>
        <v>72000</v>
      </c>
      <c r="BX41" s="3"/>
      <c r="BY41" s="3"/>
      <c r="BZ41" s="3"/>
      <c r="CA41" s="3"/>
      <c r="CB41" s="3"/>
      <c r="CC41" s="3"/>
      <c r="CD41" s="3"/>
      <c r="CE41" s="3"/>
      <c r="CF41" s="3"/>
      <c r="CG41" s="3"/>
      <c r="CH41" s="3"/>
      <c r="CI41" s="3"/>
      <c r="CJ41" s="3"/>
      <c r="CK41" s="3"/>
      <c r="CL41" s="3"/>
      <c r="CM41" s="3"/>
      <c r="CN41" s="3"/>
      <c r="CO41" s="3"/>
      <c r="CP41" s="3"/>
      <c r="CQ41" s="3"/>
      <c r="CR41" s="3"/>
      <c r="CS41" s="3"/>
      <c r="CT41" s="3"/>
    </row>
    <row r="42" spans="1:98">
      <c r="A42" s="384"/>
      <c r="B42" s="99" t="s">
        <v>1511</v>
      </c>
      <c r="C42" s="5839" t="s">
        <v>470</v>
      </c>
      <c r="D42" s="5839"/>
      <c r="E42" s="5839"/>
      <c r="F42" s="5839"/>
      <c r="G42" s="5839"/>
      <c r="H42" s="5839"/>
      <c r="I42" s="5839"/>
      <c r="J42" s="5996"/>
      <c r="K42" s="5997"/>
      <c r="L42" s="5893"/>
      <c r="M42" s="5894"/>
      <c r="N42" s="2939"/>
      <c r="O42" s="152"/>
      <c r="P42" s="152"/>
      <c r="Q42" s="152"/>
      <c r="R42" s="152"/>
      <c r="S42" s="152"/>
      <c r="T42" s="152"/>
      <c r="U42" s="152"/>
      <c r="V42" s="152"/>
      <c r="W42" s="152"/>
      <c r="X42" s="152"/>
      <c r="Y42" s="152"/>
      <c r="Z42" s="152"/>
      <c r="AA42" s="152"/>
      <c r="AB42" s="152"/>
      <c r="AC42" s="152"/>
      <c r="AD42" s="152"/>
      <c r="AE42" s="152"/>
      <c r="AF42" s="152"/>
      <c r="AG42" s="152"/>
      <c r="AH42" s="152"/>
      <c r="AI42" s="152"/>
      <c r="AJ42" s="152"/>
      <c r="AK42" s="152"/>
      <c r="AL42" s="152"/>
      <c r="AM42" s="152"/>
      <c r="AN42" s="152"/>
      <c r="AO42" s="152"/>
      <c r="AP42" s="152"/>
      <c r="AQ42" s="152"/>
      <c r="AR42" s="171"/>
      <c r="AS42" s="171"/>
      <c r="AT42" s="193"/>
      <c r="AU42" s="131"/>
      <c r="AV42" s="131"/>
      <c r="AW42" s="131"/>
      <c r="AX42" s="131"/>
      <c r="AY42" s="131"/>
      <c r="AZ42" s="131"/>
      <c r="BA42" s="131"/>
      <c r="BB42" s="131"/>
      <c r="BC42" s="131"/>
      <c r="BD42" s="131"/>
      <c r="BE42" s="131"/>
      <c r="BF42" s="173"/>
      <c r="BG42" s="173"/>
      <c r="BH42" s="173"/>
      <c r="BI42" s="173"/>
      <c r="BJ42" s="173"/>
      <c r="BK42" s="173"/>
      <c r="BL42" s="173"/>
      <c r="BM42" s="173"/>
      <c r="BN42" s="173"/>
      <c r="BO42" s="242"/>
      <c r="BP42" s="242"/>
      <c r="BQ42" s="242"/>
      <c r="BR42" s="3"/>
      <c r="BS42" s="113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row>
    <row r="43" spans="1:98" ht="14.1" customHeight="1">
      <c r="A43" s="177"/>
      <c r="B43" s="99"/>
      <c r="C43" s="2596" t="s">
        <v>1</v>
      </c>
      <c r="D43" s="5899" t="str">
        <f>IF(Formula!GE3=1,"GPF","CPS Deduction")</f>
        <v>GPF</v>
      </c>
      <c r="E43" s="5900"/>
      <c r="F43" s="5900"/>
      <c r="G43" s="5900"/>
      <c r="H43" s="5901"/>
      <c r="I43" s="2509"/>
      <c r="J43" s="2462" t="s">
        <v>5</v>
      </c>
      <c r="K43" s="2508">
        <f>IF('Anexure-I'!AK23&gt;0,'Anexure-I'!AK23,0)</f>
        <v>72000</v>
      </c>
      <c r="L43" s="5895"/>
      <c r="M43" s="5896"/>
      <c r="N43" s="2939"/>
      <c r="O43" s="152"/>
      <c r="P43" s="152"/>
      <c r="Q43" s="152"/>
      <c r="R43" s="152"/>
      <c r="S43" s="152"/>
      <c r="T43" s="152"/>
      <c r="U43" s="152"/>
      <c r="V43" s="152"/>
      <c r="W43" s="152"/>
      <c r="X43" s="152"/>
      <c r="Y43" s="152"/>
      <c r="Z43" s="152"/>
      <c r="AA43" s="152"/>
      <c r="AB43" s="152"/>
      <c r="AC43" s="152"/>
      <c r="AD43" s="152"/>
      <c r="AE43" s="152"/>
      <c r="AF43" s="152"/>
      <c r="AG43" s="152"/>
      <c r="AH43" s="152"/>
      <c r="AI43" s="152"/>
      <c r="AJ43" s="152"/>
      <c r="AK43" s="152"/>
      <c r="AL43" s="152"/>
      <c r="AM43" s="152"/>
      <c r="AN43" s="152"/>
      <c r="AO43" s="152"/>
      <c r="AP43" s="152"/>
      <c r="AQ43" s="152"/>
      <c r="AR43" s="194"/>
      <c r="AS43" s="195"/>
      <c r="AT43" s="182"/>
      <c r="AU43" s="182"/>
      <c r="AV43" s="182"/>
      <c r="AW43" s="182"/>
      <c r="AX43" s="182"/>
      <c r="AY43" s="182"/>
      <c r="AZ43" s="182"/>
      <c r="BA43" s="182"/>
      <c r="BB43" s="182"/>
      <c r="BC43" s="182"/>
      <c r="BD43" s="182"/>
      <c r="BE43" s="182"/>
      <c r="BF43" s="173"/>
      <c r="BG43" s="173"/>
      <c r="BH43" s="173"/>
      <c r="BI43" s="173"/>
      <c r="BJ43" s="173"/>
      <c r="BK43" s="173"/>
      <c r="BL43" s="173"/>
      <c r="BM43" s="173"/>
      <c r="BN43" s="173"/>
      <c r="BO43" s="242"/>
      <c r="BP43" s="242"/>
      <c r="BQ43" s="242"/>
      <c r="BR43" s="3"/>
      <c r="BS43" s="113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row>
    <row r="44" spans="1:98" ht="14.1" customHeight="1">
      <c r="A44" s="177"/>
      <c r="B44" s="99"/>
      <c r="C44" s="2508" t="s">
        <v>2</v>
      </c>
      <c r="D44" s="5902" t="s">
        <v>671</v>
      </c>
      <c r="E44" s="5903"/>
      <c r="F44" s="5903"/>
      <c r="G44" s="5903"/>
      <c r="H44" s="5904"/>
      <c r="I44" s="2456"/>
      <c r="J44" s="2462" t="s">
        <v>5</v>
      </c>
      <c r="K44" s="2508">
        <f>IF('Anexure-I'!AK25&gt;0,'Anexure-I'!AK25,0)</f>
        <v>60000</v>
      </c>
      <c r="L44" s="5895"/>
      <c r="M44" s="5896"/>
      <c r="N44" s="2939"/>
      <c r="O44" s="152"/>
      <c r="P44" s="152"/>
      <c r="Q44" s="152"/>
      <c r="R44" s="152"/>
      <c r="S44" s="152"/>
      <c r="T44" s="152"/>
      <c r="U44" s="152"/>
      <c r="V44" s="152"/>
      <c r="W44" s="152"/>
      <c r="X44" s="152"/>
      <c r="Y44" s="152"/>
      <c r="Z44" s="152"/>
      <c r="AA44" s="152"/>
      <c r="AB44" s="152"/>
      <c r="AC44" s="152"/>
      <c r="AD44" s="152"/>
      <c r="AE44" s="152"/>
      <c r="AF44" s="152"/>
      <c r="AG44" s="152"/>
      <c r="AH44" s="152"/>
      <c r="AI44" s="152"/>
      <c r="AJ44" s="152"/>
      <c r="AK44" s="152"/>
      <c r="AL44" s="152"/>
      <c r="AM44" s="152"/>
      <c r="AN44" s="152"/>
      <c r="AO44" s="152"/>
      <c r="AP44" s="152"/>
      <c r="AQ44" s="152"/>
      <c r="AR44" s="194"/>
      <c r="AS44" s="194"/>
      <c r="AT44" s="182"/>
      <c r="AU44" s="182"/>
      <c r="AV44" s="182"/>
      <c r="AW44" s="182"/>
      <c r="AX44" s="196"/>
      <c r="AY44" s="182"/>
      <c r="AZ44" s="182"/>
      <c r="BA44" s="182"/>
      <c r="BB44" s="182"/>
      <c r="BC44" s="182"/>
      <c r="BD44" s="182"/>
      <c r="BE44" s="182"/>
      <c r="BF44" s="173"/>
      <c r="BG44" s="173"/>
      <c r="BH44" s="173"/>
      <c r="BI44" s="173"/>
      <c r="BJ44" s="173"/>
      <c r="BK44" s="173"/>
      <c r="BL44" s="173"/>
      <c r="BM44" s="173"/>
      <c r="BN44" s="173"/>
      <c r="BO44" s="242"/>
      <c r="BP44" s="242"/>
      <c r="BQ44" s="242"/>
      <c r="BR44" s="3"/>
      <c r="BS44" s="113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row>
    <row r="45" spans="1:98" ht="14.1" customHeight="1">
      <c r="A45" s="177"/>
      <c r="B45" s="99"/>
      <c r="C45" s="2508" t="s">
        <v>3</v>
      </c>
      <c r="D45" s="5902" t="s">
        <v>281</v>
      </c>
      <c r="E45" s="5903"/>
      <c r="F45" s="5903"/>
      <c r="G45" s="5903"/>
      <c r="H45" s="5904"/>
      <c r="I45" s="2509"/>
      <c r="J45" s="2462" t="s">
        <v>5</v>
      </c>
      <c r="K45" s="2508">
        <f>IF('Anexure-I'!AK27&gt;0,'Anexure-I'!AK27,0)</f>
        <v>1440</v>
      </c>
      <c r="L45" s="5895"/>
      <c r="M45" s="5896"/>
      <c r="N45" s="2939"/>
      <c r="O45" s="152"/>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94"/>
      <c r="AS45" s="197"/>
      <c r="AT45" s="197"/>
      <c r="AU45" s="182"/>
      <c r="AV45" s="182"/>
      <c r="AW45" s="182"/>
      <c r="AX45" s="182"/>
      <c r="AY45" s="182"/>
      <c r="AZ45" s="182"/>
      <c r="BA45" s="182"/>
      <c r="BB45" s="182"/>
      <c r="BC45" s="182"/>
      <c r="BD45" s="182"/>
      <c r="BE45" s="182"/>
      <c r="BF45" s="173"/>
      <c r="BG45" s="173"/>
      <c r="BH45" s="173"/>
      <c r="BI45" s="173"/>
      <c r="BJ45" s="173"/>
      <c r="BK45" s="173"/>
      <c r="BL45" s="173"/>
      <c r="BM45" s="173"/>
      <c r="BN45" s="173"/>
      <c r="BO45" s="242"/>
      <c r="BP45" s="242"/>
      <c r="BQ45" s="242"/>
      <c r="BR45" s="3"/>
      <c r="BS45" s="113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row>
    <row r="46" spans="1:98" ht="14.1" customHeight="1">
      <c r="A46" s="177"/>
      <c r="B46" s="99"/>
      <c r="C46" s="2508" t="s">
        <v>4</v>
      </c>
      <c r="D46" s="5872" t="str">
        <f>Formula!MK16</f>
        <v>Tuition Fee for Children</v>
      </c>
      <c r="E46" s="5873"/>
      <c r="F46" s="5873"/>
      <c r="G46" s="5873"/>
      <c r="H46" s="5874"/>
      <c r="I46" s="2509"/>
      <c r="J46" s="2462" t="s">
        <v>5</v>
      </c>
      <c r="K46" s="2508">
        <f>IF('Data Sheet-III '!O7&gt;0,'Data Sheet-III '!O7,0)</f>
        <v>0</v>
      </c>
      <c r="L46" s="5895"/>
      <c r="M46" s="5896"/>
      <c r="N46" s="2939"/>
      <c r="O46" s="152"/>
      <c r="P46" s="152"/>
      <c r="Q46" s="152"/>
      <c r="R46" s="152"/>
      <c r="S46" s="152"/>
      <c r="T46" s="152"/>
      <c r="U46" s="152"/>
      <c r="V46" s="152"/>
      <c r="W46" s="152"/>
      <c r="X46" s="152"/>
      <c r="Y46" s="152"/>
      <c r="Z46" s="152"/>
      <c r="AA46" s="152"/>
      <c r="AB46" s="152"/>
      <c r="AC46" s="152"/>
      <c r="AD46" s="152"/>
      <c r="AE46" s="152"/>
      <c r="AF46" s="152"/>
      <c r="AG46" s="152"/>
      <c r="AH46" s="152"/>
      <c r="AI46" s="152"/>
      <c r="AJ46" s="152"/>
      <c r="AK46" s="152"/>
      <c r="AL46" s="152"/>
      <c r="AM46" s="152"/>
      <c r="AN46" s="152"/>
      <c r="AO46" s="152"/>
      <c r="AP46" s="152"/>
      <c r="AQ46" s="152"/>
      <c r="AR46" s="194"/>
      <c r="AS46" s="182"/>
      <c r="AT46" s="198"/>
      <c r="AU46" s="182"/>
      <c r="AV46" s="182"/>
      <c r="AW46" s="198"/>
      <c r="AX46" s="198"/>
      <c r="AY46" s="198"/>
      <c r="AZ46" s="198"/>
      <c r="BA46" s="182"/>
      <c r="BB46" s="182"/>
      <c r="BC46" s="182"/>
      <c r="BD46" s="182"/>
      <c r="BE46" s="182"/>
      <c r="BF46" s="173"/>
      <c r="BG46" s="173"/>
      <c r="BH46" s="173"/>
      <c r="BI46" s="173"/>
      <c r="BJ46" s="173"/>
      <c r="BK46" s="173"/>
      <c r="BL46" s="173"/>
      <c r="BM46" s="173"/>
      <c r="BN46" s="173"/>
      <c r="BO46" s="242"/>
      <c r="BP46" s="242"/>
      <c r="BQ46" s="242"/>
      <c r="BR46" s="3"/>
      <c r="BS46" s="113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row>
    <row r="47" spans="1:98" ht="14.1" customHeight="1">
      <c r="A47" s="177"/>
      <c r="B47" s="99"/>
      <c r="C47" s="2508" t="s">
        <v>278</v>
      </c>
      <c r="D47" s="5872" t="str">
        <f>Formula!MK17</f>
        <v>Principle Amount of Home Loan installments</v>
      </c>
      <c r="E47" s="5873"/>
      <c r="F47" s="5873"/>
      <c r="G47" s="5873"/>
      <c r="H47" s="5874"/>
      <c r="I47" s="2510"/>
      <c r="J47" s="2462" t="s">
        <v>5</v>
      </c>
      <c r="K47" s="2508">
        <f>IF('Data Sheet-III '!O8&gt;0,'Data Sheet-III '!O8,0)</f>
        <v>0</v>
      </c>
      <c r="L47" s="5895"/>
      <c r="M47" s="5896"/>
      <c r="N47" s="2939"/>
      <c r="O47" s="152"/>
      <c r="P47" s="152"/>
      <c r="Q47" s="152"/>
      <c r="R47" s="152"/>
      <c r="S47" s="152"/>
      <c r="T47" s="152"/>
      <c r="U47" s="152"/>
      <c r="V47" s="152"/>
      <c r="W47" s="152"/>
      <c r="X47" s="152"/>
      <c r="Y47" s="152"/>
      <c r="Z47" s="152"/>
      <c r="AA47" s="152"/>
      <c r="AB47" s="152"/>
      <c r="AC47" s="152"/>
      <c r="AD47" s="152"/>
      <c r="AE47" s="152"/>
      <c r="AF47" s="152"/>
      <c r="AG47" s="152"/>
      <c r="AH47" s="152"/>
      <c r="AI47" s="152"/>
      <c r="AJ47" s="152"/>
      <c r="AK47" s="152"/>
      <c r="AL47" s="152"/>
      <c r="AM47" s="152"/>
      <c r="AN47" s="152"/>
      <c r="AO47" s="152"/>
      <c r="AP47" s="152"/>
      <c r="AQ47" s="152"/>
      <c r="AR47" s="194"/>
      <c r="AS47" s="194"/>
      <c r="AT47" s="198"/>
      <c r="AU47" s="198"/>
      <c r="AV47" s="198"/>
      <c r="AW47" s="198"/>
      <c r="AX47" s="198"/>
      <c r="AY47" s="198"/>
      <c r="AZ47" s="198"/>
      <c r="BA47" s="182"/>
      <c r="BB47" s="182"/>
      <c r="BC47" s="182"/>
      <c r="BD47" s="182"/>
      <c r="BE47" s="182"/>
      <c r="BF47" s="173"/>
      <c r="BG47" s="173"/>
      <c r="BH47" s="173"/>
      <c r="BI47" s="173"/>
      <c r="BJ47" s="173"/>
      <c r="BK47" s="173"/>
      <c r="BL47" s="173"/>
      <c r="BM47" s="173"/>
      <c r="BN47" s="173"/>
      <c r="BO47" s="242"/>
      <c r="BP47" s="242"/>
      <c r="BQ47" s="242"/>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row>
    <row r="48" spans="1:98" ht="14.1" customHeight="1">
      <c r="A48" s="177"/>
      <c r="B48" s="99"/>
      <c r="C48" s="2508" t="s">
        <v>282</v>
      </c>
      <c r="D48" s="5872" t="str">
        <f>Formula!MK18</f>
        <v>LIC Policies premium - Yearly</v>
      </c>
      <c r="E48" s="5873"/>
      <c r="F48" s="5873"/>
      <c r="G48" s="5873"/>
      <c r="H48" s="5874"/>
      <c r="I48" s="2510"/>
      <c r="J48" s="2462" t="s">
        <v>5</v>
      </c>
      <c r="K48" s="2508">
        <f>IF('Data Sheet-III '!O9&gt;0,'Data Sheet-III '!O9,0)</f>
        <v>0</v>
      </c>
      <c r="L48" s="5895"/>
      <c r="M48" s="5896"/>
      <c r="N48" s="2939"/>
      <c r="O48" s="152"/>
      <c r="P48" s="152"/>
      <c r="Q48" s="152"/>
      <c r="R48" s="152"/>
      <c r="S48" s="152"/>
      <c r="T48" s="152"/>
      <c r="U48" s="152"/>
      <c r="V48" s="152"/>
      <c r="W48" s="152"/>
      <c r="X48" s="152"/>
      <c r="Y48" s="152"/>
      <c r="Z48" s="152"/>
      <c r="AA48" s="152"/>
      <c r="AB48" s="152"/>
      <c r="AC48" s="152"/>
      <c r="AD48" s="152"/>
      <c r="AE48" s="152"/>
      <c r="AF48" s="152"/>
      <c r="AG48" s="152"/>
      <c r="AH48" s="152"/>
      <c r="AI48" s="152"/>
      <c r="AJ48" s="152"/>
      <c r="AK48" s="152"/>
      <c r="AL48" s="152"/>
      <c r="AM48" s="152"/>
      <c r="AN48" s="152"/>
      <c r="AO48" s="152"/>
      <c r="AP48" s="152"/>
      <c r="AQ48" s="152"/>
      <c r="AR48" s="194"/>
      <c r="AS48" s="194"/>
      <c r="AT48" s="198"/>
      <c r="AU48" s="199"/>
      <c r="AV48" s="198"/>
      <c r="AW48" s="198"/>
      <c r="AX48" s="198"/>
      <c r="AY48" s="200"/>
      <c r="AZ48" s="201"/>
      <c r="BA48" s="200"/>
      <c r="BB48" s="182"/>
      <c r="BC48" s="182"/>
      <c r="BD48" s="182"/>
      <c r="BE48" s="182"/>
      <c r="BF48" s="173"/>
      <c r="BG48" s="173"/>
      <c r="BH48" s="173"/>
      <c r="BI48" s="173"/>
      <c r="BJ48" s="173"/>
      <c r="BK48" s="173"/>
      <c r="BL48" s="173"/>
      <c r="BM48" s="173"/>
      <c r="BN48" s="173"/>
      <c r="BO48" s="1755"/>
      <c r="BP48" s="1755"/>
      <c r="BQ48" s="1755"/>
      <c r="BR48" s="831"/>
      <c r="BS48" s="831"/>
      <c r="BT48" s="831"/>
      <c r="BU48" s="831"/>
      <c r="BV48" s="831"/>
      <c r="BW48" s="831"/>
      <c r="BX48" s="831"/>
      <c r="BY48" s="831"/>
      <c r="BZ48" s="831"/>
      <c r="CA48" s="831"/>
      <c r="CB48" s="831"/>
      <c r="CC48" s="831"/>
      <c r="CD48" s="831"/>
      <c r="CE48" s="831"/>
      <c r="CF48" s="831"/>
      <c r="CG48" s="831"/>
      <c r="CH48" s="831"/>
      <c r="CI48" s="831"/>
      <c r="CJ48" s="831"/>
      <c r="CK48" s="831"/>
      <c r="CL48" s="831"/>
      <c r="CM48" s="831"/>
      <c r="CN48" s="831"/>
      <c r="CO48" s="831"/>
      <c r="CP48" s="831"/>
      <c r="CQ48" s="831"/>
      <c r="CR48" s="831"/>
      <c r="CS48" s="831"/>
      <c r="CT48" s="831"/>
    </row>
    <row r="49" spans="1:98" ht="14.1" customHeight="1">
      <c r="A49" s="177"/>
      <c r="B49" s="99"/>
      <c r="C49" s="2508" t="s">
        <v>283</v>
      </c>
      <c r="D49" s="5872" t="str">
        <f>Formula!MK19</f>
        <v>SBI  Life Insurance</v>
      </c>
      <c r="E49" s="5873"/>
      <c r="F49" s="5873"/>
      <c r="G49" s="5873"/>
      <c r="H49" s="5874"/>
      <c r="I49" s="2510"/>
      <c r="J49" s="2462" t="s">
        <v>5</v>
      </c>
      <c r="K49" s="2508">
        <f>IF('Data Sheet-III '!O10&gt;0,'Data Sheet-III '!O10,0)</f>
        <v>0</v>
      </c>
      <c r="L49" s="5895"/>
      <c r="M49" s="5896"/>
      <c r="N49" s="2939"/>
      <c r="O49" s="152"/>
      <c r="P49" s="152"/>
      <c r="Q49" s="152"/>
      <c r="R49" s="152"/>
      <c r="S49" s="152"/>
      <c r="T49" s="152"/>
      <c r="U49" s="152"/>
      <c r="V49" s="152"/>
      <c r="W49" s="152"/>
      <c r="X49" s="152"/>
      <c r="Y49" s="152"/>
      <c r="Z49" s="152"/>
      <c r="AA49" s="152"/>
      <c r="AB49" s="152"/>
      <c r="AC49" s="152"/>
      <c r="AD49" s="152"/>
      <c r="AE49" s="152"/>
      <c r="AF49" s="152"/>
      <c r="AG49" s="152"/>
      <c r="AH49" s="152"/>
      <c r="AI49" s="152"/>
      <c r="AJ49" s="152"/>
      <c r="AK49" s="152"/>
      <c r="AL49" s="152"/>
      <c r="AM49" s="152"/>
      <c r="AN49" s="152"/>
      <c r="AO49" s="152"/>
      <c r="AP49" s="152"/>
      <c r="AQ49" s="152"/>
      <c r="AR49" s="194"/>
      <c r="AS49" s="194"/>
      <c r="AT49" s="198"/>
      <c r="AU49" s="198"/>
      <c r="AV49" s="198"/>
      <c r="AW49" s="198"/>
      <c r="AX49" s="198"/>
      <c r="AY49" s="200"/>
      <c r="AZ49" s="201"/>
      <c r="BA49" s="200"/>
      <c r="BB49" s="182"/>
      <c r="BC49" s="182"/>
      <c r="BD49" s="182"/>
      <c r="BE49" s="182"/>
      <c r="BF49" s="173"/>
      <c r="BG49" s="173"/>
      <c r="BH49" s="173"/>
      <c r="BI49" s="173"/>
      <c r="BJ49" s="173"/>
      <c r="BK49" s="173"/>
      <c r="BL49" s="173"/>
      <c r="BM49" s="173"/>
      <c r="BN49" s="173"/>
      <c r="BO49" s="1755"/>
      <c r="BP49" s="1755"/>
      <c r="BQ49" s="1755"/>
      <c r="BR49" s="831"/>
      <c r="BS49" s="831"/>
      <c r="BT49" s="831"/>
      <c r="BU49" s="831"/>
      <c r="BV49" s="831"/>
      <c r="BW49" s="831"/>
      <c r="BX49" s="831"/>
      <c r="BY49" s="831"/>
      <c r="BZ49" s="831"/>
      <c r="CA49" s="831"/>
      <c r="CB49" s="831"/>
      <c r="CC49" s="831"/>
      <c r="CD49" s="831"/>
      <c r="CE49" s="831"/>
      <c r="CF49" s="831"/>
      <c r="CG49" s="831"/>
      <c r="CH49" s="831"/>
      <c r="CI49" s="831"/>
      <c r="CJ49" s="831"/>
      <c r="CK49" s="831"/>
      <c r="CL49" s="831"/>
      <c r="CM49" s="831"/>
      <c r="CN49" s="831"/>
      <c r="CO49" s="831"/>
      <c r="CP49" s="831"/>
      <c r="CQ49" s="831"/>
      <c r="CR49" s="831"/>
      <c r="CS49" s="831"/>
      <c r="CT49" s="831"/>
    </row>
    <row r="50" spans="1:98" ht="14.1" customHeight="1">
      <c r="A50" s="177"/>
      <c r="B50" s="99"/>
      <c r="C50" s="2508" t="s">
        <v>284</v>
      </c>
      <c r="D50" s="5872" t="str">
        <f>Formula!MK20</f>
        <v>Public Provident Fund</v>
      </c>
      <c r="E50" s="5873"/>
      <c r="F50" s="5873"/>
      <c r="G50" s="5873"/>
      <c r="H50" s="5874"/>
      <c r="I50" s="2510"/>
      <c r="J50" s="2462" t="s">
        <v>5</v>
      </c>
      <c r="K50" s="2508">
        <f>IF('Data Sheet-III '!O11&gt;0,'Data Sheet-III '!O11,0)</f>
        <v>0</v>
      </c>
      <c r="L50" s="5895"/>
      <c r="M50" s="5896"/>
      <c r="N50" s="2939"/>
      <c r="O50" s="152"/>
      <c r="P50" s="152"/>
      <c r="Q50" s="152"/>
      <c r="R50" s="152"/>
      <c r="S50" s="152"/>
      <c r="T50" s="152"/>
      <c r="U50" s="152"/>
      <c r="V50" s="152"/>
      <c r="W50" s="152"/>
      <c r="X50" s="152"/>
      <c r="Y50" s="152"/>
      <c r="Z50" s="152"/>
      <c r="AA50" s="152"/>
      <c r="AB50" s="152"/>
      <c r="AC50" s="152"/>
      <c r="AD50" s="152"/>
      <c r="AE50" s="152"/>
      <c r="AF50" s="152"/>
      <c r="AG50" s="152"/>
      <c r="AH50" s="152"/>
      <c r="AI50" s="152"/>
      <c r="AJ50" s="152"/>
      <c r="AK50" s="152"/>
      <c r="AL50" s="152"/>
      <c r="AM50" s="152"/>
      <c r="AN50" s="152"/>
      <c r="AO50" s="152"/>
      <c r="AP50" s="152"/>
      <c r="AQ50" s="152"/>
      <c r="AR50" s="194"/>
      <c r="AS50" s="194"/>
      <c r="AT50" s="198"/>
      <c r="AU50" s="198"/>
      <c r="AV50" s="198"/>
      <c r="AW50" s="198"/>
      <c r="AX50" s="198"/>
      <c r="AY50" s="200"/>
      <c r="AZ50" s="200"/>
      <c r="BA50" s="200"/>
      <c r="BB50" s="182"/>
      <c r="BC50" s="182"/>
      <c r="BD50" s="182"/>
      <c r="BE50" s="182"/>
      <c r="BF50" s="173"/>
      <c r="BG50" s="173"/>
      <c r="BH50" s="173"/>
      <c r="BI50" s="173"/>
      <c r="BJ50" s="173"/>
      <c r="BK50" s="173"/>
      <c r="BL50" s="173"/>
      <c r="BM50" s="173"/>
      <c r="BN50" s="173"/>
      <c r="BO50" s="1755"/>
      <c r="BP50" s="1755"/>
      <c r="BQ50" s="1755"/>
      <c r="BR50" s="831"/>
      <c r="BS50" s="831"/>
      <c r="BT50" s="831"/>
      <c r="BU50" s="831"/>
      <c r="BV50" s="831"/>
      <c r="BW50" s="831"/>
      <c r="BX50" s="831"/>
      <c r="BY50" s="831"/>
      <c r="BZ50" s="831"/>
      <c r="CA50" s="831"/>
      <c r="CB50" s="831"/>
      <c r="CC50" s="831"/>
      <c r="CD50" s="831"/>
      <c r="CE50" s="831"/>
      <c r="CF50" s="831"/>
      <c r="CG50" s="831"/>
      <c r="CH50" s="831"/>
      <c r="CI50" s="831"/>
      <c r="CJ50" s="831"/>
      <c r="CK50" s="831"/>
      <c r="CL50" s="831"/>
      <c r="CM50" s="831"/>
      <c r="CN50" s="831"/>
      <c r="CO50" s="831"/>
      <c r="CP50" s="831"/>
      <c r="CQ50" s="831"/>
      <c r="CR50" s="831"/>
      <c r="CS50" s="831"/>
      <c r="CT50" s="831"/>
    </row>
    <row r="51" spans="1:98" ht="14.1" customHeight="1">
      <c r="A51" s="177"/>
      <c r="B51" s="99"/>
      <c r="C51" s="2508" t="s">
        <v>285</v>
      </c>
      <c r="D51" s="5872" t="str">
        <f>Formula!MK21</f>
        <v>HDFC Life Insurance</v>
      </c>
      <c r="E51" s="5873"/>
      <c r="F51" s="5873"/>
      <c r="G51" s="5873"/>
      <c r="H51" s="5874"/>
      <c r="I51" s="2510"/>
      <c r="J51" s="2462" t="s">
        <v>5</v>
      </c>
      <c r="K51" s="2508">
        <f>IF('Data Sheet-III '!O12&gt;0,'Data Sheet-III '!O12,0)</f>
        <v>0</v>
      </c>
      <c r="L51" s="5895"/>
      <c r="M51" s="5896"/>
      <c r="N51" s="2939"/>
      <c r="O51" s="152"/>
      <c r="P51" s="152"/>
      <c r="Q51" s="152"/>
      <c r="R51" s="152"/>
      <c r="S51" s="152"/>
      <c r="T51" s="152"/>
      <c r="U51" s="152"/>
      <c r="V51" s="152"/>
      <c r="W51" s="152"/>
      <c r="X51" s="152"/>
      <c r="Y51" s="152"/>
      <c r="Z51" s="152"/>
      <c r="AA51" s="152"/>
      <c r="AB51" s="152"/>
      <c r="AC51" s="152"/>
      <c r="AD51" s="152"/>
      <c r="AE51" s="152"/>
      <c r="AF51" s="152"/>
      <c r="AG51" s="152"/>
      <c r="AH51" s="152"/>
      <c r="AI51" s="152"/>
      <c r="AJ51" s="152"/>
      <c r="AK51" s="152"/>
      <c r="AL51" s="152"/>
      <c r="AM51" s="152"/>
      <c r="AN51" s="152"/>
      <c r="AO51" s="152"/>
      <c r="AP51" s="152"/>
      <c r="AQ51" s="152"/>
      <c r="AR51" s="194"/>
      <c r="AS51" s="194"/>
      <c r="AT51" s="198"/>
      <c r="AU51" s="198"/>
      <c r="AV51" s="202"/>
      <c r="AW51" s="198"/>
      <c r="AX51" s="198"/>
      <c r="AY51" s="198"/>
      <c r="AZ51" s="203"/>
      <c r="BA51" s="182"/>
      <c r="BB51" s="182"/>
      <c r="BC51" s="182"/>
      <c r="BD51" s="182"/>
      <c r="BE51" s="182"/>
      <c r="BF51" s="173"/>
      <c r="BG51" s="173"/>
      <c r="BH51" s="173"/>
      <c r="BI51" s="173"/>
      <c r="BJ51" s="173"/>
      <c r="BK51" s="173"/>
      <c r="BL51" s="173"/>
      <c r="BM51" s="173"/>
      <c r="BN51" s="173"/>
      <c r="BO51" s="1755"/>
      <c r="BP51" s="1755"/>
      <c r="BQ51" s="1755"/>
      <c r="BR51" s="831"/>
      <c r="BS51" s="831"/>
      <c r="BT51" s="831"/>
      <c r="BU51" s="831"/>
      <c r="BV51" s="831"/>
      <c r="BW51" s="831"/>
      <c r="BX51" s="831"/>
      <c r="BY51" s="831"/>
      <c r="BZ51" s="831"/>
      <c r="CA51" s="831"/>
      <c r="CB51" s="831"/>
      <c r="CC51" s="831"/>
      <c r="CD51" s="831"/>
      <c r="CE51" s="831"/>
      <c r="CF51" s="831"/>
      <c r="CG51" s="831"/>
      <c r="CH51" s="831"/>
      <c r="CI51" s="831"/>
      <c r="CJ51" s="831"/>
      <c r="CK51" s="831"/>
      <c r="CL51" s="831"/>
      <c r="CM51" s="831"/>
      <c r="CN51" s="831"/>
      <c r="CO51" s="831"/>
      <c r="CP51" s="831"/>
      <c r="CQ51" s="831"/>
      <c r="CR51" s="831"/>
      <c r="CS51" s="831"/>
      <c r="CT51" s="831"/>
    </row>
    <row r="52" spans="1:98" ht="14.1" customHeight="1">
      <c r="A52" s="177"/>
      <c r="B52" s="99"/>
      <c r="C52" s="2508" t="s">
        <v>542</v>
      </c>
      <c r="D52" s="5872" t="str">
        <f>Formula!MK22</f>
        <v>Max NewYark Life Insurance</v>
      </c>
      <c r="E52" s="5873"/>
      <c r="F52" s="5873"/>
      <c r="G52" s="5873"/>
      <c r="H52" s="5874"/>
      <c r="I52" s="2510"/>
      <c r="J52" s="2462" t="s">
        <v>5</v>
      </c>
      <c r="K52" s="2508">
        <f>IF('Data Sheet-III '!O13&gt;0,'Data Sheet-III '!O13,0)</f>
        <v>0</v>
      </c>
      <c r="L52" s="5895"/>
      <c r="M52" s="5896"/>
      <c r="N52" s="2939"/>
      <c r="O52" s="152"/>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152"/>
      <c r="AM52" s="152"/>
      <c r="AN52" s="152"/>
      <c r="AO52" s="152"/>
      <c r="AP52" s="152"/>
      <c r="AQ52" s="152"/>
      <c r="AR52" s="194"/>
      <c r="AS52" s="194"/>
      <c r="AT52" s="198"/>
      <c r="AU52" s="198"/>
      <c r="AV52" s="202"/>
      <c r="AW52" s="198"/>
      <c r="AX52" s="198"/>
      <c r="AY52" s="198"/>
      <c r="AZ52" s="203"/>
      <c r="BA52" s="182"/>
      <c r="BB52" s="182"/>
      <c r="BC52" s="182"/>
      <c r="BD52" s="182"/>
      <c r="BE52" s="182"/>
      <c r="BF52" s="173"/>
      <c r="BG52" s="173"/>
      <c r="BH52" s="173"/>
      <c r="BI52" s="173"/>
      <c r="BJ52" s="173"/>
      <c r="BK52" s="173"/>
      <c r="BL52" s="173"/>
      <c r="BM52" s="173"/>
      <c r="BN52" s="173"/>
      <c r="BO52" s="1755"/>
      <c r="BP52" s="1755"/>
      <c r="BQ52" s="1755"/>
      <c r="BR52" s="831"/>
      <c r="BS52" s="831"/>
      <c r="BT52" s="831"/>
      <c r="BU52" s="831"/>
      <c r="BV52" s="831"/>
      <c r="BW52" s="831"/>
      <c r="BX52" s="831"/>
      <c r="BY52" s="831"/>
      <c r="BZ52" s="831"/>
      <c r="CA52" s="831"/>
      <c r="CB52" s="831"/>
      <c r="CC52" s="831"/>
      <c r="CD52" s="831"/>
      <c r="CE52" s="831"/>
      <c r="CF52" s="831"/>
      <c r="CG52" s="831"/>
      <c r="CH52" s="831"/>
      <c r="CI52" s="831"/>
      <c r="CJ52" s="831"/>
      <c r="CK52" s="831"/>
      <c r="CL52" s="831"/>
      <c r="CM52" s="831"/>
      <c r="CN52" s="831"/>
      <c r="CO52" s="831"/>
      <c r="CP52" s="831"/>
      <c r="CQ52" s="831"/>
      <c r="CR52" s="831"/>
      <c r="CS52" s="831"/>
      <c r="CT52" s="831"/>
    </row>
    <row r="53" spans="1:98" ht="14.1" customHeight="1">
      <c r="A53" s="177"/>
      <c r="B53" s="99"/>
      <c r="C53" s="2515" t="s">
        <v>543</v>
      </c>
      <c r="D53" s="5875" t="str">
        <f>Formula!MK23</f>
        <v>ICICI Life Insurance</v>
      </c>
      <c r="E53" s="5876"/>
      <c r="F53" s="5876"/>
      <c r="G53" s="5876"/>
      <c r="H53" s="5877"/>
      <c r="I53" s="2510"/>
      <c r="J53" s="2462" t="s">
        <v>5</v>
      </c>
      <c r="K53" s="2508">
        <f>IF('Data Sheet-III '!O14&gt;0,'Data Sheet-III '!O14,0)</f>
        <v>0</v>
      </c>
      <c r="L53" s="5895"/>
      <c r="M53" s="5896"/>
      <c r="N53" s="2939"/>
      <c r="O53" s="152"/>
      <c r="P53" s="152"/>
      <c r="Q53" s="152"/>
      <c r="R53" s="152"/>
      <c r="S53" s="152"/>
      <c r="T53" s="152"/>
      <c r="U53" s="152"/>
      <c r="V53" s="152"/>
      <c r="W53" s="152"/>
      <c r="X53" s="152"/>
      <c r="Y53" s="152"/>
      <c r="Z53" s="152"/>
      <c r="AA53" s="152"/>
      <c r="AB53" s="152"/>
      <c r="AC53" s="152"/>
      <c r="AD53" s="152"/>
      <c r="AE53" s="152"/>
      <c r="AF53" s="152"/>
      <c r="AG53" s="152"/>
      <c r="AH53" s="152"/>
      <c r="AI53" s="152"/>
      <c r="AJ53" s="152"/>
      <c r="AK53" s="152"/>
      <c r="AL53" s="152"/>
      <c r="AM53" s="152"/>
      <c r="AN53" s="152"/>
      <c r="AO53" s="152"/>
      <c r="AP53" s="152"/>
      <c r="AQ53" s="152"/>
      <c r="AR53" s="194"/>
      <c r="AS53" s="194"/>
      <c r="AT53" s="198"/>
      <c r="AU53" s="198"/>
      <c r="AV53" s="202"/>
      <c r="AW53" s="198"/>
      <c r="AX53" s="198"/>
      <c r="AY53" s="198"/>
      <c r="AZ53" s="203"/>
      <c r="BA53" s="182"/>
      <c r="BB53" s="182"/>
      <c r="BC53" s="182"/>
      <c r="BD53" s="182"/>
      <c r="BE53" s="182"/>
      <c r="BF53" s="173"/>
      <c r="BG53" s="173"/>
      <c r="BH53" s="173"/>
      <c r="BI53" s="173"/>
      <c r="BJ53" s="173"/>
      <c r="BK53" s="173"/>
      <c r="BL53" s="173"/>
      <c r="BM53" s="173"/>
      <c r="BN53" s="173"/>
      <c r="BO53" s="1189"/>
      <c r="BP53" s="1189"/>
      <c r="BQ53" s="1189"/>
      <c r="BR53" s="831"/>
      <c r="BS53" s="831"/>
      <c r="BT53" s="831"/>
      <c r="BU53" s="831"/>
      <c r="BV53" s="831"/>
      <c r="BW53" s="831"/>
      <c r="BX53" s="831"/>
      <c r="BY53" s="831"/>
      <c r="BZ53" s="831"/>
      <c r="CA53" s="831"/>
      <c r="CB53" s="831"/>
      <c r="CC53" s="831"/>
      <c r="CD53" s="831"/>
      <c r="CE53" s="831"/>
      <c r="CF53" s="831"/>
      <c r="CG53" s="831"/>
      <c r="CH53" s="831"/>
      <c r="CI53" s="831"/>
      <c r="CJ53" s="831"/>
      <c r="CK53" s="831"/>
      <c r="CL53" s="831"/>
      <c r="CM53" s="831"/>
      <c r="CN53" s="831"/>
      <c r="CO53" s="831"/>
      <c r="CP53" s="831"/>
      <c r="CQ53" s="831"/>
      <c r="CR53" s="831"/>
      <c r="CS53" s="831"/>
      <c r="CT53" s="831"/>
    </row>
    <row r="54" spans="1:98" ht="14.1" customHeight="1">
      <c r="A54" s="384"/>
      <c r="B54" s="99"/>
      <c r="C54" s="5888" t="s">
        <v>628</v>
      </c>
      <c r="D54" s="5888"/>
      <c r="E54" s="5888"/>
      <c r="F54" s="5888"/>
      <c r="G54" s="5888"/>
      <c r="H54" s="5888"/>
      <c r="I54" s="5888"/>
      <c r="J54" s="2459" t="s">
        <v>5</v>
      </c>
      <c r="K54" s="2508">
        <f>SUM(K43:K53)</f>
        <v>133440</v>
      </c>
      <c r="L54" s="5895"/>
      <c r="M54" s="5896"/>
      <c r="N54" s="2939"/>
      <c r="O54" s="152"/>
      <c r="P54" s="152"/>
      <c r="Q54" s="152"/>
      <c r="R54" s="152"/>
      <c r="S54" s="152"/>
      <c r="T54" s="152"/>
      <c r="U54" s="152"/>
      <c r="V54" s="152"/>
      <c r="W54" s="152"/>
      <c r="X54" s="152"/>
      <c r="Y54" s="152"/>
      <c r="Z54" s="152"/>
      <c r="AA54" s="152"/>
      <c r="AB54" s="152"/>
      <c r="AC54" s="152"/>
      <c r="AD54" s="152"/>
      <c r="AE54" s="152"/>
      <c r="AF54" s="152"/>
      <c r="AG54" s="152"/>
      <c r="AH54" s="152"/>
      <c r="AI54" s="152"/>
      <c r="AJ54" s="152"/>
      <c r="AK54" s="152"/>
      <c r="AL54" s="152"/>
      <c r="AM54" s="152"/>
      <c r="AN54" s="152"/>
      <c r="AO54" s="152"/>
      <c r="AP54" s="152"/>
      <c r="AQ54" s="152"/>
      <c r="AR54" s="195"/>
      <c r="AS54" s="204"/>
      <c r="AT54" s="205"/>
      <c r="AU54" s="206"/>
      <c r="AV54" s="206"/>
      <c r="AW54" s="206"/>
      <c r="AX54" s="170"/>
      <c r="AY54" s="206"/>
      <c r="AZ54" s="170"/>
      <c r="BA54" s="131"/>
      <c r="BB54" s="207"/>
      <c r="BC54" s="131"/>
      <c r="BD54" s="153"/>
      <c r="BE54" s="131"/>
      <c r="BF54" s="173"/>
      <c r="BG54" s="173"/>
      <c r="BH54" s="173"/>
      <c r="BI54" s="173"/>
      <c r="BJ54" s="173"/>
      <c r="BK54" s="173"/>
      <c r="BL54" s="173"/>
      <c r="BM54" s="173"/>
      <c r="BN54" s="173"/>
      <c r="BO54" s="1189"/>
      <c r="BP54" s="1189"/>
      <c r="BQ54" s="1189"/>
      <c r="BR54" s="831"/>
      <c r="BS54" s="831"/>
      <c r="BT54" s="831"/>
      <c r="BU54" s="831"/>
      <c r="BV54" s="831"/>
      <c r="BW54" s="831"/>
      <c r="BX54" s="831"/>
      <c r="BY54" s="831"/>
      <c r="BZ54" s="831"/>
      <c r="CA54" s="831"/>
      <c r="CB54" s="831"/>
      <c r="CC54" s="831"/>
      <c r="CD54" s="831"/>
      <c r="CE54" s="831"/>
      <c r="CF54" s="831"/>
      <c r="CG54" s="831"/>
      <c r="CH54" s="831"/>
      <c r="CI54" s="831"/>
      <c r="CJ54" s="831"/>
      <c r="CK54" s="831"/>
      <c r="CL54" s="831"/>
      <c r="CM54" s="831"/>
      <c r="CN54" s="831"/>
      <c r="CO54" s="831"/>
      <c r="CP54" s="831"/>
      <c r="CQ54" s="831"/>
      <c r="CR54" s="831"/>
      <c r="CS54" s="831"/>
      <c r="CT54" s="831"/>
    </row>
    <row r="55" spans="1:98" ht="14.1" customHeight="1">
      <c r="A55" s="384"/>
      <c r="B55" s="99"/>
      <c r="C55" s="5889" t="s">
        <v>469</v>
      </c>
      <c r="D55" s="5861"/>
      <c r="E55" s="5861"/>
      <c r="F55" s="5861"/>
      <c r="G55" s="5861"/>
      <c r="H55" s="5861"/>
      <c r="I55" s="5862"/>
      <c r="J55" s="2459" t="s">
        <v>471</v>
      </c>
      <c r="K55" s="2464">
        <f>IF(Formula!GE3=1,IF(AND(K54&gt;=150000),150000,IF(AND(K54&lt;150000),K54)),IF(AND(BW40&gt;=150000),150000,IF(AND(BW40&lt;150000,BW41&lt;50000),BW40,IF(AND(BW40&lt;150000,BW41&gt;50000,SUM(BW40+BW41-50000)&lt;=150000),SUM(BW40+BW41-50000),IF(AND(BW40&lt;150000,BW41&gt;50000,SUM(BW40+BW41-50000)&gt;150000),150000)))))</f>
        <v>133440</v>
      </c>
      <c r="L55" s="5895"/>
      <c r="M55" s="5896"/>
      <c r="N55" s="2939"/>
      <c r="O55" s="152"/>
      <c r="P55" s="152"/>
      <c r="Q55" s="152"/>
      <c r="R55" s="152"/>
      <c r="S55" s="152"/>
      <c r="T55" s="152"/>
      <c r="U55" s="152"/>
      <c r="V55" s="152"/>
      <c r="W55" s="152"/>
      <c r="X55" s="152"/>
      <c r="Y55" s="152"/>
      <c r="Z55" s="152"/>
      <c r="AA55" s="991"/>
      <c r="AB55" s="1019"/>
      <c r="AC55" s="1019"/>
      <c r="AD55" s="1019"/>
      <c r="AE55" s="1019"/>
      <c r="AF55" s="1019"/>
      <c r="AG55" s="5879"/>
      <c r="AH55" s="5879"/>
      <c r="AI55" s="991"/>
      <c r="AJ55" s="991"/>
      <c r="AK55" s="991"/>
      <c r="AL55" s="991"/>
      <c r="AM55" s="991"/>
      <c r="AN55" s="991"/>
      <c r="AO55" s="991"/>
      <c r="AP55" s="991"/>
      <c r="AQ55" s="991"/>
      <c r="AR55" s="1756"/>
      <c r="AS55" s="1757"/>
      <c r="AT55" s="1758"/>
      <c r="AU55" s="1759"/>
      <c r="AV55" s="1759"/>
      <c r="AW55" s="1759"/>
      <c r="AX55" s="1760"/>
      <c r="AY55" s="1759"/>
      <c r="AZ55" s="1760"/>
      <c r="BA55" s="1761"/>
      <c r="BB55" s="1762"/>
      <c r="BC55" s="1761"/>
      <c r="BD55" s="1763"/>
      <c r="BE55" s="1761"/>
      <c r="BF55" s="1764"/>
      <c r="BG55" s="1764"/>
      <c r="BH55" s="1764"/>
      <c r="BI55" s="1764"/>
      <c r="BJ55" s="1764"/>
      <c r="BK55" s="1764"/>
      <c r="BL55" s="1764"/>
      <c r="BM55" s="1764"/>
      <c r="BN55" s="1764"/>
      <c r="BO55" s="1189"/>
      <c r="BP55" s="1189"/>
      <c r="BQ55" s="1189"/>
      <c r="BR55" s="831"/>
      <c r="BS55" s="831"/>
      <c r="BT55" s="831"/>
      <c r="BU55" s="831"/>
      <c r="BV55" s="831"/>
      <c r="BW55" s="831"/>
      <c r="BX55" s="831"/>
      <c r="BY55" s="831"/>
      <c r="BZ55" s="831"/>
      <c r="CA55" s="831"/>
      <c r="CB55" s="831"/>
      <c r="CC55" s="831"/>
      <c r="CD55" s="831"/>
      <c r="CE55" s="831"/>
      <c r="CF55" s="831"/>
      <c r="CG55" s="831"/>
      <c r="CH55" s="831"/>
      <c r="CI55" s="831"/>
      <c r="CJ55" s="831"/>
      <c r="CK55" s="831"/>
      <c r="CL55" s="831"/>
      <c r="CM55" s="831"/>
      <c r="CN55" s="831"/>
      <c r="CO55" s="831"/>
      <c r="CP55" s="831"/>
      <c r="CQ55" s="831"/>
      <c r="CR55" s="831"/>
      <c r="CS55" s="831"/>
      <c r="CT55" s="831"/>
    </row>
    <row r="56" spans="1:98" ht="14.1" customHeight="1">
      <c r="A56" s="384"/>
      <c r="B56" s="2589"/>
      <c r="C56" s="5905" t="str">
        <f>IF(Formula!GE3=1,"",CONCATENATE("Savings U/S 80CCD(1B)"))</f>
        <v/>
      </c>
      <c r="D56" s="5995"/>
      <c r="E56" s="5995"/>
      <c r="F56" s="5995"/>
      <c r="G56" s="5995"/>
      <c r="H56" s="5995"/>
      <c r="I56" s="5909"/>
      <c r="J56" s="2459" t="s">
        <v>5</v>
      </c>
      <c r="K56" s="2512">
        <f>IF(Formula!GE3=1,0,IF(BW41&gt;50000,50000,BW41))</f>
        <v>0</v>
      </c>
      <c r="L56" s="5897"/>
      <c r="M56" s="5898"/>
      <c r="N56" s="2939"/>
      <c r="O56" s="152"/>
      <c r="P56" s="152"/>
      <c r="Q56" s="152"/>
      <c r="R56" s="152"/>
      <c r="S56" s="152"/>
      <c r="T56" s="152"/>
      <c r="U56" s="152"/>
      <c r="V56" s="152"/>
      <c r="W56" s="152"/>
      <c r="X56" s="152"/>
      <c r="Y56" s="152"/>
      <c r="Z56" s="152"/>
      <c r="AA56" s="152"/>
      <c r="AB56" s="5880" t="s">
        <v>691</v>
      </c>
      <c r="AC56" s="5880"/>
      <c r="AD56" s="5880"/>
      <c r="AE56" s="5880"/>
      <c r="AF56" s="5880"/>
      <c r="AG56" s="5882" t="str">
        <f>Formula!OA15</f>
        <v>Self Occupied</v>
      </c>
      <c r="AH56" s="5882"/>
      <c r="AI56" s="152"/>
      <c r="AJ56" s="991"/>
      <c r="AK56" s="991"/>
      <c r="AL56" s="991"/>
      <c r="AM56" s="991"/>
      <c r="AN56" s="991"/>
      <c r="AO56" s="991"/>
      <c r="AP56" s="991"/>
      <c r="AQ56" s="991"/>
      <c r="AR56" s="1765"/>
      <c r="AS56" s="1766"/>
      <c r="AT56" s="1767"/>
      <c r="AU56" s="1768"/>
      <c r="AV56" s="1768"/>
      <c r="AW56" s="1768"/>
      <c r="AX56" s="1769"/>
      <c r="AY56" s="1768"/>
      <c r="AZ56" s="1769"/>
      <c r="BA56" s="1046"/>
      <c r="BB56" s="1770"/>
      <c r="BC56" s="1046"/>
      <c r="BD56" s="1771"/>
      <c r="BE56" s="1046"/>
      <c r="BF56" s="1772"/>
      <c r="BG56" s="1772"/>
      <c r="BH56" s="1772"/>
      <c r="BI56" s="1772"/>
      <c r="BJ56" s="1772"/>
      <c r="BK56" s="1772"/>
      <c r="BL56" s="1772"/>
      <c r="BM56" s="1772"/>
      <c r="BN56" s="1772"/>
      <c r="BO56" s="1189"/>
      <c r="BP56" s="1189"/>
      <c r="BQ56" s="1189"/>
      <c r="BR56" s="831"/>
      <c r="BS56" s="831"/>
      <c r="BT56" s="831"/>
      <c r="BU56" s="831"/>
      <c r="BV56" s="831"/>
      <c r="BW56" s="831"/>
      <c r="BX56" s="831"/>
      <c r="BY56" s="831"/>
      <c r="BZ56" s="831"/>
      <c r="CA56" s="831"/>
      <c r="CB56" s="831"/>
      <c r="CC56" s="831"/>
      <c r="CD56" s="831"/>
      <c r="CE56" s="831"/>
      <c r="CF56" s="831"/>
      <c r="CG56" s="831"/>
      <c r="CH56" s="831"/>
      <c r="CI56" s="831"/>
      <c r="CJ56" s="831"/>
      <c r="CK56" s="831"/>
      <c r="CL56" s="831"/>
      <c r="CM56" s="831"/>
      <c r="CN56" s="831"/>
      <c r="CO56" s="831"/>
      <c r="CP56" s="831"/>
      <c r="CQ56" s="831"/>
      <c r="CR56" s="831"/>
      <c r="CS56" s="831"/>
      <c r="CT56" s="831"/>
    </row>
    <row r="57" spans="1:98" ht="12.95" customHeight="1">
      <c r="A57" s="384"/>
      <c r="B57" s="2589" t="s">
        <v>1512</v>
      </c>
      <c r="C57" s="5884" t="str">
        <f>IF(Formula!GE3=1,"Total Savings U/S 80C( Limited  to  One Lakh Fifty Thousand)","Total Savings U/S 80C+U/S 80 CCD(1B)")</f>
        <v>Total Savings U/S 80C( Limited  to  One Lakh Fifty Thousand)</v>
      </c>
      <c r="D57" s="5826"/>
      <c r="E57" s="5826"/>
      <c r="F57" s="5826"/>
      <c r="G57" s="5826"/>
      <c r="H57" s="5826"/>
      <c r="I57" s="5835"/>
      <c r="J57" s="2459" t="s">
        <v>5</v>
      </c>
      <c r="K57" s="2477">
        <f>SUM(K55+K56)</f>
        <v>133440</v>
      </c>
      <c r="L57" s="5905">
        <f>K57</f>
        <v>133440</v>
      </c>
      <c r="M57" s="5906"/>
      <c r="N57" s="2939"/>
      <c r="O57" s="152"/>
      <c r="P57" s="152"/>
      <c r="Q57" s="152"/>
      <c r="R57" s="152"/>
      <c r="S57" s="152"/>
      <c r="T57" s="152"/>
      <c r="U57" s="152"/>
      <c r="V57" s="152"/>
      <c r="W57" s="152"/>
      <c r="X57" s="152"/>
      <c r="Y57" s="152"/>
      <c r="Z57" s="152"/>
      <c r="AA57" s="152"/>
      <c r="AB57" s="5881"/>
      <c r="AC57" s="5881"/>
      <c r="AD57" s="5881"/>
      <c r="AE57" s="5881"/>
      <c r="AF57" s="5881"/>
      <c r="AG57" s="5883"/>
      <c r="AH57" s="5883"/>
      <c r="AI57" s="152"/>
      <c r="AJ57" s="991"/>
      <c r="AK57" s="991"/>
      <c r="AL57" s="991"/>
      <c r="AM57" s="991"/>
      <c r="AN57" s="991"/>
      <c r="AO57" s="991"/>
      <c r="AP57" s="991"/>
      <c r="AQ57" s="991"/>
      <c r="AR57" s="1765"/>
      <c r="AS57" s="1766"/>
      <c r="AT57" s="1767"/>
      <c r="AU57" s="1768"/>
      <c r="AV57" s="1768"/>
      <c r="AW57" s="1768"/>
      <c r="AX57" s="1769"/>
      <c r="AY57" s="1768"/>
      <c r="AZ57" s="1769"/>
      <c r="BA57" s="1046"/>
      <c r="BB57" s="1770"/>
      <c r="BC57" s="1046"/>
      <c r="BD57" s="1771"/>
      <c r="BE57" s="1046"/>
      <c r="BF57" s="1772"/>
      <c r="BG57" s="1772"/>
      <c r="BH57" s="1772"/>
      <c r="BI57" s="1772"/>
      <c r="BJ57" s="1772"/>
      <c r="BK57" s="1772"/>
      <c r="BL57" s="1772"/>
      <c r="BM57" s="1772"/>
      <c r="BN57" s="1772"/>
      <c r="BO57" s="1189"/>
      <c r="BP57" s="1189"/>
      <c r="BQ57" s="1189"/>
      <c r="BR57" s="831"/>
      <c r="BS57" s="831"/>
      <c r="BT57" s="831"/>
      <c r="BU57" s="831"/>
      <c r="BV57" s="831"/>
      <c r="BW57" s="831"/>
      <c r="BX57" s="831"/>
      <c r="BY57" s="831"/>
      <c r="BZ57" s="831"/>
      <c r="CA57" s="831"/>
      <c r="CB57" s="831"/>
      <c r="CC57" s="831"/>
      <c r="CD57" s="831"/>
      <c r="CE57" s="831"/>
      <c r="CF57" s="831"/>
      <c r="CG57" s="831"/>
      <c r="CH57" s="831"/>
      <c r="CI57" s="831"/>
      <c r="CJ57" s="831"/>
      <c r="CK57" s="831"/>
      <c r="CL57" s="831"/>
      <c r="CM57" s="831"/>
      <c r="CN57" s="831"/>
      <c r="CO57" s="831"/>
      <c r="CP57" s="831"/>
      <c r="CQ57" s="831"/>
      <c r="CR57" s="831"/>
      <c r="CS57" s="831"/>
      <c r="CT57" s="831"/>
    </row>
    <row r="58" spans="1:98" ht="14.1" customHeight="1">
      <c r="A58" s="384"/>
      <c r="B58" s="2589" t="s">
        <v>1513</v>
      </c>
      <c r="C58" s="2591" t="str">
        <f>Formula!MJ24</f>
        <v>80CCD(1B)</v>
      </c>
      <c r="D58" s="5890" t="str">
        <f>Formula!MK24</f>
        <v xml:space="preserve">Contribution to National Pension Scheme (NPS) of Central Government </v>
      </c>
      <c r="E58" s="5891"/>
      <c r="F58" s="5891"/>
      <c r="G58" s="5891"/>
      <c r="H58" s="5891"/>
      <c r="I58" s="5892"/>
      <c r="J58" s="2587"/>
      <c r="K58" s="2588">
        <f>IF(Formula!GE3=1,'Data Sheet-III '!X25,0)</f>
        <v>0</v>
      </c>
      <c r="L58" s="5998">
        <f>IF(AND(Formula!GE3=1,K57&gt;=Formula!ML24),MIN(K58,50000),0)</f>
        <v>0</v>
      </c>
      <c r="M58" s="5999"/>
      <c r="N58" s="2939"/>
      <c r="O58" s="152"/>
      <c r="P58" s="6000" t="s">
        <v>661</v>
      </c>
      <c r="Q58" s="6000"/>
      <c r="R58" s="6000"/>
      <c r="S58" s="6000"/>
      <c r="T58" s="6000"/>
      <c r="U58" s="6002">
        <f>IF(L59&gt;0,L59,"")</f>
        <v>1486210</v>
      </c>
      <c r="V58" s="152"/>
      <c r="W58" s="152"/>
      <c r="X58" s="152"/>
      <c r="Y58" s="152"/>
      <c r="Z58" s="152"/>
      <c r="AA58" s="152"/>
      <c r="AB58" s="567"/>
      <c r="AC58" s="568" t="str">
        <f>IF(AG58&lt;=0,"Loss","Income")</f>
        <v>Loss</v>
      </c>
      <c r="AD58" s="5868" t="s">
        <v>692</v>
      </c>
      <c r="AE58" s="5868"/>
      <c r="AF58" s="5869"/>
      <c r="AG58" s="5870">
        <f>Formula!OA16</f>
        <v>0</v>
      </c>
      <c r="AH58" s="5871"/>
      <c r="AI58" s="152"/>
      <c r="AJ58" s="991"/>
      <c r="AK58" s="991"/>
      <c r="AL58" s="991"/>
      <c r="AM58" s="991"/>
      <c r="AN58" s="991"/>
      <c r="AO58" s="991"/>
      <c r="AP58" s="991"/>
      <c r="AQ58" s="991"/>
      <c r="AR58" s="1765"/>
      <c r="AS58" s="1011"/>
      <c r="AT58" s="1011"/>
      <c r="AU58" s="1011"/>
      <c r="AV58" s="1011"/>
      <c r="AW58" s="1011"/>
      <c r="AX58" s="1011"/>
      <c r="AY58" s="1011"/>
      <c r="AZ58" s="1011"/>
      <c r="BA58" s="1011"/>
      <c r="BB58" s="1011"/>
      <c r="BC58" s="1011"/>
      <c r="BD58" s="1771"/>
      <c r="BE58" s="1046"/>
      <c r="BF58" s="1772"/>
      <c r="BG58" s="1772"/>
      <c r="BH58" s="1772"/>
      <c r="BI58" s="1772"/>
      <c r="BJ58" s="1772"/>
      <c r="BK58" s="1772"/>
      <c r="BL58" s="1772"/>
      <c r="BM58" s="1772"/>
      <c r="BN58" s="1772"/>
      <c r="BO58" s="1189"/>
      <c r="BP58" s="1189"/>
      <c r="BQ58" s="1189"/>
      <c r="BR58" s="831"/>
      <c r="BS58" s="831"/>
      <c r="BT58" s="831"/>
      <c r="BU58" s="831"/>
      <c r="BV58" s="831"/>
      <c r="BW58" s="831"/>
      <c r="BX58" s="831"/>
      <c r="BY58" s="831"/>
      <c r="BZ58" s="831"/>
      <c r="CA58" s="831"/>
      <c r="CB58" s="831"/>
      <c r="CC58" s="831"/>
      <c r="CD58" s="831"/>
      <c r="CE58" s="831"/>
      <c r="CF58" s="831"/>
      <c r="CG58" s="831"/>
      <c r="CH58" s="831"/>
      <c r="CI58" s="831"/>
      <c r="CJ58" s="831"/>
      <c r="CK58" s="831"/>
      <c r="CL58" s="831"/>
      <c r="CM58" s="831"/>
      <c r="CN58" s="831"/>
      <c r="CO58" s="831"/>
      <c r="CP58" s="831"/>
      <c r="CQ58" s="831"/>
      <c r="CR58" s="831"/>
      <c r="CS58" s="831"/>
      <c r="CT58" s="831"/>
    </row>
    <row r="59" spans="1:98" ht="14.1" customHeight="1">
      <c r="A59" s="384"/>
      <c r="B59" s="2589" t="s">
        <v>1514</v>
      </c>
      <c r="C59" s="5887" t="s">
        <v>1552</v>
      </c>
      <c r="D59" s="5887"/>
      <c r="E59" s="5887"/>
      <c r="F59" s="5887"/>
      <c r="G59" s="5887"/>
      <c r="H59" s="5887"/>
      <c r="I59" s="5887"/>
      <c r="J59" s="5887"/>
      <c r="K59" s="5887"/>
      <c r="L59" s="5884">
        <f>CEILING(SUM(L41-(L57+L58)),10)</f>
        <v>1486210</v>
      </c>
      <c r="M59" s="5827"/>
      <c r="N59" s="2940"/>
      <c r="O59" s="543"/>
      <c r="P59" s="6001"/>
      <c r="Q59" s="6001"/>
      <c r="R59" s="6001"/>
      <c r="S59" s="6001"/>
      <c r="T59" s="6001"/>
      <c r="U59" s="6003"/>
      <c r="V59" s="160"/>
      <c r="W59" s="160"/>
      <c r="X59" s="160"/>
      <c r="Y59" s="160"/>
      <c r="Z59" s="160"/>
      <c r="AA59" s="160"/>
      <c r="AB59" s="5678" t="s">
        <v>677</v>
      </c>
      <c r="AC59" s="5679"/>
      <c r="AD59" s="5679"/>
      <c r="AE59" s="5679"/>
      <c r="AF59" s="5679"/>
      <c r="AG59" s="5679"/>
      <c r="AH59" s="5680"/>
      <c r="AI59" s="160"/>
      <c r="AJ59" s="997"/>
      <c r="AK59" s="997"/>
      <c r="AL59" s="997"/>
      <c r="AM59" s="997"/>
      <c r="AN59" s="997"/>
      <c r="AO59" s="997"/>
      <c r="AP59" s="997"/>
      <c r="AQ59" s="997"/>
      <c r="AR59" s="1773"/>
      <c r="AS59" s="1011"/>
      <c r="AT59" s="1011"/>
      <c r="AU59" s="1011"/>
      <c r="AV59" s="1011"/>
      <c r="AW59" s="1011"/>
      <c r="AX59" s="1011"/>
      <c r="AY59" s="1011"/>
      <c r="AZ59" s="1011"/>
      <c r="BA59" s="1011"/>
      <c r="BB59" s="1011"/>
      <c r="BC59" s="1011"/>
      <c r="BD59" s="1063"/>
      <c r="BE59" s="1046"/>
      <c r="BF59" s="1772"/>
      <c r="BG59" s="1772"/>
      <c r="BH59" s="1772"/>
      <c r="BI59" s="1772"/>
      <c r="BJ59" s="1772"/>
      <c r="BK59" s="1772"/>
      <c r="BL59" s="1772"/>
      <c r="BM59" s="1772"/>
      <c r="BN59" s="1772"/>
      <c r="BO59" s="1189"/>
      <c r="BP59" s="1189"/>
      <c r="BQ59" s="1189"/>
      <c r="BR59" s="831"/>
      <c r="BS59" s="831"/>
      <c r="BT59" s="831"/>
      <c r="BU59" s="831"/>
      <c r="BV59" s="831"/>
      <c r="BW59" s="831"/>
      <c r="BX59" s="831"/>
      <c r="BY59" s="831"/>
      <c r="BZ59" s="831"/>
      <c r="CA59" s="831"/>
      <c r="CB59" s="831"/>
      <c r="CC59" s="831"/>
      <c r="CD59" s="831"/>
      <c r="CE59" s="831"/>
      <c r="CF59" s="831"/>
      <c r="CG59" s="831"/>
      <c r="CH59" s="831"/>
      <c r="CI59" s="831"/>
      <c r="CJ59" s="831"/>
      <c r="CK59" s="831"/>
      <c r="CL59" s="831"/>
      <c r="CM59" s="831"/>
      <c r="CN59" s="831"/>
      <c r="CO59" s="831"/>
      <c r="CP59" s="831"/>
      <c r="CQ59" s="831"/>
      <c r="CR59" s="831"/>
      <c r="CS59" s="831"/>
      <c r="CT59" s="831"/>
    </row>
    <row r="60" spans="1:98" ht="14.1" customHeight="1">
      <c r="A60" s="384"/>
      <c r="B60" s="2589" t="s">
        <v>1553</v>
      </c>
      <c r="C60" s="5884" t="s">
        <v>1515</v>
      </c>
      <c r="D60" s="5826"/>
      <c r="E60" s="5826"/>
      <c r="F60" s="5826"/>
      <c r="G60" s="5826"/>
      <c r="H60" s="5826"/>
      <c r="I60" s="5826"/>
      <c r="J60" s="5826"/>
      <c r="K60" s="5835"/>
      <c r="L60" s="5885"/>
      <c r="M60" s="5886"/>
      <c r="N60" s="2942"/>
      <c r="O60" s="209"/>
      <c r="P60" s="545"/>
      <c r="Q60" s="546"/>
      <c r="R60" s="5878"/>
      <c r="S60" s="5878"/>
      <c r="T60" s="1173"/>
      <c r="U60" s="1175"/>
      <c r="V60" s="209"/>
      <c r="W60" s="209"/>
      <c r="X60" s="209"/>
      <c r="Y60" s="209"/>
      <c r="Z60" s="209"/>
      <c r="AA60" s="209"/>
      <c r="AB60" s="5681"/>
      <c r="AC60" s="5682"/>
      <c r="AD60" s="5682"/>
      <c r="AE60" s="5682"/>
      <c r="AF60" s="5682"/>
      <c r="AG60" s="5682"/>
      <c r="AH60" s="5683"/>
      <c r="AI60" s="209"/>
      <c r="AJ60" s="1009"/>
      <c r="AK60" s="1009"/>
      <c r="AL60" s="1009"/>
      <c r="AM60" s="1009"/>
      <c r="AN60" s="1009"/>
      <c r="AO60" s="1009"/>
      <c r="AP60" s="1009"/>
      <c r="AQ60" s="1009"/>
      <c r="AR60" s="1774"/>
      <c r="AS60" s="1011"/>
      <c r="AT60" s="1011"/>
      <c r="AU60" s="1011"/>
      <c r="AV60" s="1011"/>
      <c r="AW60" s="1011"/>
      <c r="AX60" s="1011"/>
      <c r="AY60" s="1011"/>
      <c r="AZ60" s="1011"/>
      <c r="BA60" s="1011"/>
      <c r="BB60" s="1011"/>
      <c r="BC60" s="1011"/>
      <c r="BD60" s="1046"/>
      <c r="BE60" s="1046"/>
      <c r="BF60" s="1772"/>
      <c r="BG60" s="1772"/>
      <c r="BH60" s="1772"/>
      <c r="BI60" s="1772"/>
      <c r="BJ60" s="1772"/>
      <c r="BK60" s="1772"/>
      <c r="BL60" s="1772"/>
      <c r="BM60" s="1772"/>
      <c r="BN60" s="1772"/>
      <c r="BO60" s="1189"/>
      <c r="BP60" s="1189"/>
      <c r="BQ60" s="1189"/>
      <c r="BR60" s="831"/>
      <c r="BS60" s="831"/>
      <c r="BT60" s="831"/>
      <c r="BU60" s="831"/>
      <c r="BV60" s="831"/>
      <c r="BW60" s="831"/>
      <c r="BX60" s="831"/>
      <c r="BY60" s="831"/>
      <c r="BZ60" s="831"/>
      <c r="CA60" s="831"/>
      <c r="CB60" s="831"/>
      <c r="CC60" s="831"/>
      <c r="CD60" s="831"/>
      <c r="CE60" s="831"/>
      <c r="CF60" s="831"/>
      <c r="CG60" s="831"/>
      <c r="CH60" s="831"/>
      <c r="CI60" s="831"/>
      <c r="CJ60" s="831"/>
      <c r="CK60" s="831"/>
      <c r="CL60" s="831"/>
      <c r="CM60" s="831"/>
      <c r="CN60" s="831"/>
      <c r="CO60" s="831"/>
      <c r="CP60" s="831"/>
      <c r="CQ60" s="831"/>
      <c r="CR60" s="831"/>
      <c r="CS60" s="831"/>
      <c r="CT60" s="831"/>
    </row>
    <row r="61" spans="1:98" ht="14.1" customHeight="1">
      <c r="A61" s="384"/>
      <c r="B61" s="99"/>
      <c r="C61" s="2508" t="s">
        <v>1</v>
      </c>
      <c r="D61" s="5889" t="s">
        <v>9</v>
      </c>
      <c r="E61" s="5861"/>
      <c r="F61" s="5861"/>
      <c r="G61" s="5861"/>
      <c r="H61" s="5862"/>
      <c r="I61" s="5861"/>
      <c r="J61" s="5861"/>
      <c r="K61" s="5862"/>
      <c r="L61" s="5847" t="str">
        <f>T61</f>
        <v>NIL</v>
      </c>
      <c r="M61" s="5848"/>
      <c r="N61" s="2943"/>
      <c r="O61" s="540"/>
      <c r="P61" s="6006" t="s">
        <v>662</v>
      </c>
      <c r="Q61" s="6007"/>
      <c r="R61" s="5857">
        <f>IF(U58&gt;250000,250000,U58)</f>
        <v>250000</v>
      </c>
      <c r="S61" s="5857"/>
      <c r="T61" s="1174" t="s">
        <v>287</v>
      </c>
      <c r="U61" s="544" t="s">
        <v>287</v>
      </c>
      <c r="V61" s="211"/>
      <c r="W61" s="211"/>
      <c r="X61" s="211"/>
      <c r="Y61" s="211"/>
      <c r="Z61" s="211"/>
      <c r="AA61" s="211"/>
      <c r="AB61" s="5703" t="s">
        <v>678</v>
      </c>
      <c r="AC61" s="5703"/>
      <c r="AD61" s="5703"/>
      <c r="AE61" s="5703"/>
      <c r="AF61" s="5703"/>
      <c r="AG61" s="5853">
        <f>Formula!OA19</f>
        <v>0</v>
      </c>
      <c r="AH61" s="5854"/>
      <c r="AI61" s="211"/>
      <c r="AJ61" s="1010"/>
      <c r="AK61" s="1010"/>
      <c r="AL61" s="1010"/>
      <c r="AM61" s="1010"/>
      <c r="AN61" s="1010"/>
      <c r="AO61" s="1010"/>
      <c r="AP61" s="1010"/>
      <c r="AQ61" s="1010"/>
      <c r="AR61" s="1775"/>
      <c r="AS61" s="1011"/>
      <c r="AT61" s="1011"/>
      <c r="AU61" s="1011"/>
      <c r="AV61" s="1011"/>
      <c r="AW61" s="1011"/>
      <c r="AX61" s="1011"/>
      <c r="AY61" s="1011"/>
      <c r="AZ61" s="1011"/>
      <c r="BA61" s="1011"/>
      <c r="BB61" s="1011"/>
      <c r="BC61" s="1011"/>
      <c r="BD61" s="1046"/>
      <c r="BE61" s="1046"/>
      <c r="BF61" s="1772"/>
      <c r="BG61" s="1772"/>
      <c r="BH61" s="1772"/>
      <c r="BI61" s="1772"/>
      <c r="BJ61" s="1772"/>
      <c r="BK61" s="1772"/>
      <c r="BL61" s="1772"/>
      <c r="BM61" s="1772"/>
      <c r="BN61" s="1772"/>
      <c r="BO61" s="1189"/>
      <c r="BP61" s="1189"/>
      <c r="BQ61" s="1189"/>
      <c r="BR61" s="831"/>
      <c r="BS61" s="831"/>
      <c r="BT61" s="831"/>
      <c r="BU61" s="831"/>
      <c r="BV61" s="831"/>
      <c r="BW61" s="831"/>
      <c r="BX61" s="831"/>
      <c r="BY61" s="831"/>
      <c r="BZ61" s="831"/>
      <c r="CA61" s="831"/>
      <c r="CB61" s="831"/>
      <c r="CC61" s="831"/>
      <c r="CD61" s="831"/>
      <c r="CE61" s="831"/>
      <c r="CF61" s="831"/>
      <c r="CG61" s="831"/>
      <c r="CH61" s="831"/>
      <c r="CI61" s="831"/>
      <c r="CJ61" s="831"/>
      <c r="CK61" s="831"/>
      <c r="CL61" s="831"/>
      <c r="CM61" s="831"/>
      <c r="CN61" s="831"/>
      <c r="CO61" s="831"/>
      <c r="CP61" s="831"/>
      <c r="CQ61" s="831"/>
      <c r="CR61" s="831"/>
      <c r="CS61" s="831"/>
      <c r="CT61" s="831"/>
    </row>
    <row r="62" spans="1:98" ht="14.1" customHeight="1">
      <c r="A62" s="384"/>
      <c r="B62" s="99"/>
      <c r="C62" s="2508" t="s">
        <v>2</v>
      </c>
      <c r="D62" s="5859" t="s">
        <v>667</v>
      </c>
      <c r="E62" s="3964"/>
      <c r="F62" s="3964"/>
      <c r="G62" s="3964"/>
      <c r="H62" s="5860"/>
      <c r="I62" s="3964"/>
      <c r="J62" s="3964"/>
      <c r="K62" s="5860"/>
      <c r="L62" s="5847">
        <f>U62</f>
        <v>12500</v>
      </c>
      <c r="M62" s="5848"/>
      <c r="N62" s="2944"/>
      <c r="O62" s="542"/>
      <c r="P62" s="5855" t="s">
        <v>663</v>
      </c>
      <c r="Q62" s="5856"/>
      <c r="R62" s="5857">
        <f>IF(AND(U58&gt;500000),250000,IF(AND(U58&gt;250000,T59&lt;=500000),U58-250000,0))</f>
        <v>250000</v>
      </c>
      <c r="S62" s="5857"/>
      <c r="T62" s="1176">
        <v>0.05</v>
      </c>
      <c r="U62" s="1177">
        <f>ROUND(R62*T62,0.1)</f>
        <v>12500</v>
      </c>
      <c r="V62" s="213"/>
      <c r="W62" s="213"/>
      <c r="X62" s="213"/>
      <c r="Y62" s="213"/>
      <c r="Z62" s="213"/>
      <c r="AA62" s="213"/>
      <c r="AB62" s="5858" t="s">
        <v>679</v>
      </c>
      <c r="AC62" s="5858"/>
      <c r="AD62" s="5858"/>
      <c r="AE62" s="5858"/>
      <c r="AF62" s="5858"/>
      <c r="AG62" s="5858">
        <f>Formula!OA20</f>
        <v>0</v>
      </c>
      <c r="AH62" s="5858"/>
      <c r="AI62" s="213"/>
      <c r="AJ62" s="1011"/>
      <c r="AK62" s="1011"/>
      <c r="AL62" s="1011"/>
      <c r="AM62" s="1011"/>
      <c r="AN62" s="1011"/>
      <c r="AO62" s="1011"/>
      <c r="AP62" s="1011"/>
      <c r="AQ62" s="1011"/>
      <c r="AR62" s="1776"/>
      <c r="AS62" s="1777"/>
      <c r="AT62" s="1777"/>
      <c r="AU62" s="1777"/>
      <c r="AV62" s="1777"/>
      <c r="AW62" s="1777"/>
      <c r="AX62" s="1777"/>
      <c r="AY62" s="1777"/>
      <c r="AZ62" s="1777"/>
      <c r="BA62" s="1777"/>
      <c r="BB62" s="1777"/>
      <c r="BC62" s="1777"/>
      <c r="BD62" s="1761"/>
      <c r="BE62" s="1761"/>
      <c r="BF62" s="1764"/>
      <c r="BG62" s="1764"/>
      <c r="BH62" s="1764"/>
      <c r="BI62" s="1764"/>
      <c r="BJ62" s="1764"/>
      <c r="BK62" s="1764"/>
      <c r="BL62" s="1764"/>
      <c r="BM62" s="1764"/>
      <c r="BN62" s="1764"/>
      <c r="BO62" s="1189"/>
      <c r="BP62" s="1189"/>
      <c r="BQ62" s="1189"/>
      <c r="BR62" s="831"/>
      <c r="BS62" s="831"/>
      <c r="BT62" s="831"/>
      <c r="BU62" s="831"/>
      <c r="BV62" s="831"/>
      <c r="BW62" s="831"/>
      <c r="BX62" s="831"/>
      <c r="BY62" s="831"/>
      <c r="BZ62" s="831"/>
      <c r="CA62" s="831"/>
      <c r="CB62" s="831"/>
      <c r="CC62" s="831"/>
      <c r="CD62" s="831"/>
      <c r="CE62" s="831"/>
      <c r="CF62" s="831"/>
      <c r="CG62" s="831"/>
      <c r="CH62" s="831"/>
      <c r="CI62" s="831"/>
      <c r="CJ62" s="831"/>
      <c r="CK62" s="831"/>
      <c r="CL62" s="831"/>
      <c r="CM62" s="831"/>
      <c r="CN62" s="831"/>
      <c r="CO62" s="831"/>
      <c r="CP62" s="831"/>
      <c r="CQ62" s="831"/>
      <c r="CR62" s="831"/>
      <c r="CS62" s="831"/>
      <c r="CT62" s="831"/>
    </row>
    <row r="63" spans="1:98" ht="14.1" customHeight="1">
      <c r="A63" s="384"/>
      <c r="B63" s="99"/>
      <c r="C63" s="2508" t="s">
        <v>3</v>
      </c>
      <c r="D63" s="5859" t="s">
        <v>288</v>
      </c>
      <c r="E63" s="3964"/>
      <c r="F63" s="3964"/>
      <c r="G63" s="3964"/>
      <c r="H63" s="5860"/>
      <c r="I63" s="3964"/>
      <c r="J63" s="3964"/>
      <c r="K63" s="5860"/>
      <c r="L63" s="5847">
        <f>U63</f>
        <v>100000</v>
      </c>
      <c r="M63" s="5848"/>
      <c r="N63" s="2945"/>
      <c r="O63" s="542"/>
      <c r="P63" s="5855" t="s">
        <v>664</v>
      </c>
      <c r="Q63" s="5856"/>
      <c r="R63" s="5857">
        <f>IF(AND(U58&gt;1000000),500000,IF(AND(U58&gt;500000,U58&lt;=1000000),U58-500000,0))</f>
        <v>500000</v>
      </c>
      <c r="S63" s="5857"/>
      <c r="T63" s="1176">
        <v>0.2</v>
      </c>
      <c r="U63" s="1177">
        <f t="shared" ref="U63:U64" si="0">ROUND(R63*T63,0.1)</f>
        <v>100000</v>
      </c>
      <c r="V63" s="216"/>
      <c r="W63" s="216"/>
      <c r="X63" s="216"/>
      <c r="Y63" s="216"/>
      <c r="Z63" s="216"/>
      <c r="AA63" s="216"/>
      <c r="AB63" s="562"/>
      <c r="AC63" s="563"/>
      <c r="AD63" s="563"/>
      <c r="AE63" s="563"/>
      <c r="AF63" s="563"/>
      <c r="AG63" s="5694">
        <f>IF(ABS(AG62)&gt;=200000,-200000,AG62)</f>
        <v>0</v>
      </c>
      <c r="AH63" s="5695"/>
      <c r="AI63" s="216"/>
      <c r="AJ63" s="1012"/>
      <c r="AK63" s="1012"/>
      <c r="AL63" s="1012"/>
      <c r="AM63" s="1012"/>
      <c r="AN63" s="1012"/>
      <c r="AO63" s="1012"/>
      <c r="AP63" s="1012"/>
      <c r="AQ63" s="1012"/>
      <c r="AR63" s="1778"/>
      <c r="AS63" s="1777"/>
      <c r="AT63" s="1777"/>
      <c r="AU63" s="1777"/>
      <c r="AV63" s="1777"/>
      <c r="AW63" s="1777"/>
      <c r="AX63" s="1777"/>
      <c r="AY63" s="1777"/>
      <c r="AZ63" s="1777"/>
      <c r="BA63" s="1777"/>
      <c r="BB63" s="1777"/>
      <c r="BC63" s="1777"/>
      <c r="BD63" s="1761"/>
      <c r="BE63" s="1761"/>
      <c r="BF63" s="1764"/>
      <c r="BG63" s="1764"/>
      <c r="BH63" s="1764"/>
      <c r="BI63" s="1764"/>
      <c r="BJ63" s="1764"/>
      <c r="BK63" s="1764"/>
      <c r="BL63" s="1764"/>
      <c r="BM63" s="1764"/>
      <c r="BN63" s="1764"/>
      <c r="BO63" s="1189"/>
      <c r="BP63" s="1189"/>
      <c r="BQ63" s="1189"/>
      <c r="BR63" s="831"/>
      <c r="BS63" s="831"/>
      <c r="BT63" s="831"/>
      <c r="BU63" s="831"/>
      <c r="BV63" s="831"/>
      <c r="BW63" s="831"/>
      <c r="BX63" s="831"/>
      <c r="BY63" s="831"/>
      <c r="BZ63" s="831"/>
      <c r="CA63" s="831"/>
      <c r="CB63" s="831"/>
      <c r="CC63" s="831"/>
      <c r="CD63" s="831"/>
      <c r="CE63" s="831"/>
      <c r="CF63" s="831"/>
      <c r="CG63" s="831"/>
      <c r="CH63" s="831"/>
      <c r="CI63" s="831"/>
      <c r="CJ63" s="831"/>
      <c r="CK63" s="831"/>
      <c r="CL63" s="831"/>
      <c r="CM63" s="831"/>
      <c r="CN63" s="831"/>
      <c r="CO63" s="831"/>
      <c r="CP63" s="831"/>
      <c r="CQ63" s="831"/>
      <c r="CR63" s="831"/>
      <c r="CS63" s="831"/>
      <c r="CT63" s="831"/>
    </row>
    <row r="64" spans="1:98" ht="14.1" customHeight="1">
      <c r="A64" s="384"/>
      <c r="B64" s="99"/>
      <c r="C64" s="2508" t="s">
        <v>4</v>
      </c>
      <c r="D64" s="5867" t="s">
        <v>289</v>
      </c>
      <c r="E64" s="5863"/>
      <c r="F64" s="5863"/>
      <c r="G64" s="5863"/>
      <c r="H64" s="5864"/>
      <c r="I64" s="5863"/>
      <c r="J64" s="5863"/>
      <c r="K64" s="5864"/>
      <c r="L64" s="5847">
        <f>U64</f>
        <v>145863</v>
      </c>
      <c r="M64" s="5848"/>
      <c r="N64" s="2946"/>
      <c r="O64" s="542"/>
      <c r="P64" s="5865" t="s">
        <v>665</v>
      </c>
      <c r="Q64" s="5866"/>
      <c r="R64" s="5857">
        <f>IF(AND(U58&gt;1000000),U58-1000000,0)</f>
        <v>486210</v>
      </c>
      <c r="S64" s="5857"/>
      <c r="T64" s="1176">
        <v>0.3</v>
      </c>
      <c r="U64" s="1177">
        <f t="shared" si="0"/>
        <v>145863</v>
      </c>
      <c r="V64" s="219"/>
      <c r="W64" s="219"/>
      <c r="X64" s="219"/>
      <c r="Y64" s="219"/>
      <c r="Z64" s="219"/>
      <c r="AA64" s="219"/>
      <c r="AB64" s="564"/>
      <c r="AC64" s="565"/>
      <c r="AD64" s="565"/>
      <c r="AE64" s="565"/>
      <c r="AF64" s="565"/>
      <c r="AG64" s="565"/>
      <c r="AH64" s="566"/>
      <c r="AI64" s="219"/>
      <c r="AJ64" s="219"/>
      <c r="AK64" s="219"/>
      <c r="AL64" s="219"/>
      <c r="AM64" s="219"/>
      <c r="AN64" s="219"/>
      <c r="AO64" s="219"/>
      <c r="AP64" s="219"/>
      <c r="AQ64" s="219"/>
      <c r="AR64" s="220"/>
      <c r="AS64" s="1188"/>
      <c r="AT64" s="1188"/>
      <c r="AU64" s="1188"/>
      <c r="AV64" s="1188"/>
      <c r="AW64" s="1188"/>
      <c r="AX64" s="1188"/>
      <c r="AY64" s="1188"/>
      <c r="AZ64" s="1188"/>
      <c r="BA64" s="1188"/>
      <c r="BB64" s="1188"/>
      <c r="BC64" s="1188"/>
      <c r="BD64" s="131"/>
      <c r="BE64" s="131"/>
      <c r="BF64" s="173"/>
      <c r="BG64" s="173"/>
      <c r="BH64" s="173"/>
      <c r="BI64" s="173"/>
      <c r="BJ64" s="173"/>
      <c r="BK64" s="173"/>
      <c r="BL64" s="173"/>
      <c r="BM64" s="173"/>
      <c r="BN64" s="173"/>
      <c r="BO64" s="1189"/>
      <c r="BP64" s="1189"/>
      <c r="BQ64" s="1189"/>
      <c r="BR64" s="831"/>
      <c r="BS64" s="831"/>
      <c r="BT64" s="831"/>
      <c r="BU64" s="831"/>
      <c r="BV64" s="831"/>
      <c r="BW64" s="831"/>
      <c r="BX64" s="831"/>
      <c r="BY64" s="831"/>
      <c r="BZ64" s="831"/>
      <c r="CA64" s="831"/>
      <c r="CB64" s="831"/>
      <c r="CC64" s="831"/>
      <c r="CD64" s="831"/>
      <c r="CE64" s="831"/>
      <c r="CF64" s="831"/>
      <c r="CG64" s="831"/>
      <c r="CH64" s="831"/>
      <c r="CI64" s="831"/>
      <c r="CJ64" s="831"/>
      <c r="CK64" s="831"/>
      <c r="CL64" s="831"/>
      <c r="CM64" s="831"/>
      <c r="CN64" s="831"/>
      <c r="CO64" s="831"/>
      <c r="CP64" s="831"/>
      <c r="CQ64" s="831"/>
      <c r="CR64" s="831"/>
      <c r="CS64" s="831"/>
      <c r="CT64" s="831"/>
    </row>
    <row r="65" spans="1:98" ht="14.1" customHeight="1">
      <c r="A65" s="384"/>
      <c r="B65" s="99" t="s">
        <v>1516</v>
      </c>
      <c r="C65" s="6009" t="s">
        <v>1526</v>
      </c>
      <c r="D65" s="6009"/>
      <c r="E65" s="6009"/>
      <c r="F65" s="6009"/>
      <c r="G65" s="6009"/>
      <c r="H65" s="6009"/>
      <c r="I65" s="6009"/>
      <c r="J65" s="6009"/>
      <c r="K65" s="6009"/>
      <c r="L65" s="5849">
        <f>SUM(K62:M64)</f>
        <v>258363</v>
      </c>
      <c r="M65" s="5850"/>
      <c r="N65" s="2947"/>
      <c r="O65" s="536"/>
      <c r="P65" s="5800" t="s">
        <v>0</v>
      </c>
      <c r="Q65" s="5801"/>
      <c r="R65" s="5801"/>
      <c r="S65" s="5801"/>
      <c r="T65" s="5802"/>
      <c r="U65" s="1178">
        <f>SUM(U62:U64)</f>
        <v>258363</v>
      </c>
      <c r="V65" s="222"/>
      <c r="W65" s="222"/>
      <c r="X65" s="222"/>
      <c r="Y65" s="222"/>
      <c r="Z65" s="222"/>
      <c r="AA65" s="222"/>
      <c r="AB65" s="5842" t="s">
        <v>680</v>
      </c>
      <c r="AC65" s="5843"/>
      <c r="AD65" s="5843"/>
      <c r="AE65" s="5843"/>
      <c r="AF65" s="5844"/>
      <c r="AG65" s="5845">
        <f>Formula!OA23</f>
        <v>0</v>
      </c>
      <c r="AH65" s="5846"/>
      <c r="AI65" s="222"/>
      <c r="AJ65" s="222"/>
      <c r="AK65" s="222"/>
      <c r="AL65" s="222"/>
      <c r="AM65" s="222"/>
      <c r="AN65" s="222"/>
      <c r="AO65" s="222"/>
      <c r="AP65" s="222"/>
      <c r="AQ65" s="222"/>
      <c r="AR65" s="220"/>
      <c r="AS65" s="1188"/>
      <c r="AT65" s="1188"/>
      <c r="AU65" s="1188"/>
      <c r="AV65" s="1188"/>
      <c r="AW65" s="1188"/>
      <c r="AX65" s="1188"/>
      <c r="AY65" s="1188"/>
      <c r="AZ65" s="1188"/>
      <c r="BA65" s="1188"/>
      <c r="BB65" s="1188"/>
      <c r="BC65" s="1188"/>
      <c r="BD65" s="131"/>
      <c r="BE65" s="131"/>
      <c r="BF65" s="173"/>
      <c r="BG65" s="173"/>
      <c r="BH65" s="173"/>
      <c r="BI65" s="173"/>
      <c r="BJ65" s="173"/>
      <c r="BK65" s="173"/>
      <c r="BL65" s="173"/>
      <c r="BM65" s="173"/>
      <c r="BN65" s="173"/>
      <c r="BO65" s="1189"/>
      <c r="BP65" s="1189"/>
      <c r="BQ65" s="1189"/>
      <c r="BR65" s="831"/>
      <c r="BS65" s="831"/>
      <c r="BT65" s="831"/>
      <c r="BU65" s="831"/>
      <c r="BV65" s="831"/>
      <c r="BW65" s="831"/>
      <c r="BX65" s="831"/>
      <c r="BY65" s="831"/>
      <c r="BZ65" s="831"/>
      <c r="CA65" s="831"/>
      <c r="CB65" s="831"/>
      <c r="CC65" s="831"/>
      <c r="CD65" s="831"/>
      <c r="CE65" s="831"/>
      <c r="CF65" s="831"/>
      <c r="CG65" s="831"/>
      <c r="CH65" s="831"/>
      <c r="CI65" s="831"/>
      <c r="CJ65" s="831"/>
      <c r="CK65" s="831"/>
      <c r="CL65" s="831"/>
      <c r="CM65" s="831"/>
      <c r="CN65" s="831"/>
      <c r="CO65" s="831"/>
      <c r="CP65" s="831"/>
      <c r="CQ65" s="831"/>
      <c r="CR65" s="831"/>
      <c r="CS65" s="831"/>
      <c r="CT65" s="831"/>
    </row>
    <row r="66" spans="1:98" ht="14.1" customHeight="1">
      <c r="A66" s="384"/>
      <c r="B66" s="99" t="s">
        <v>1517</v>
      </c>
      <c r="C66" s="2483" t="s">
        <v>8</v>
      </c>
      <c r="D66" s="2569"/>
      <c r="E66" s="2569"/>
      <c r="F66" s="6008" t="str">
        <f>IF( U66=0, "(No Tax Rebate)",  " (Rs.12500/-Rebate Upto Rs.500000/- Taxble Income)")</f>
        <v>(No Tax Rebate)</v>
      </c>
      <c r="G66" s="6008"/>
      <c r="H66" s="6008"/>
      <c r="I66" s="6008"/>
      <c r="J66" s="2570"/>
      <c r="K66" s="2465"/>
      <c r="L66" s="5851">
        <f t="shared" ref="L66:L72" si="1">U66</f>
        <v>0</v>
      </c>
      <c r="M66" s="5852"/>
      <c r="N66" s="2948"/>
      <c r="O66" s="536"/>
      <c r="P66" s="5800" t="s">
        <v>666</v>
      </c>
      <c r="Q66" s="5801"/>
      <c r="R66" s="5801"/>
      <c r="S66" s="5801"/>
      <c r="T66" s="5802"/>
      <c r="U66" s="1179">
        <f>IF(U58&lt;=500000,IF(U65&gt;12500,12500,U65),0)</f>
        <v>0</v>
      </c>
      <c r="V66" s="223"/>
      <c r="W66" s="223"/>
      <c r="X66" s="223"/>
      <c r="Y66" s="223"/>
      <c r="Z66" s="223"/>
      <c r="AA66" s="223"/>
      <c r="AB66" s="5841" t="s">
        <v>681</v>
      </c>
      <c r="AC66" s="5841"/>
      <c r="AD66" s="5841"/>
      <c r="AE66" s="5841"/>
      <c r="AF66" s="5841"/>
      <c r="AG66" s="5829">
        <f>Formula!OA24</f>
        <v>0</v>
      </c>
      <c r="AH66" s="5829"/>
      <c r="AI66" s="223"/>
      <c r="AJ66" s="223"/>
      <c r="AK66" s="223"/>
      <c r="AL66" s="223"/>
      <c r="AM66" s="223"/>
      <c r="AN66" s="223"/>
      <c r="AO66" s="223"/>
      <c r="AP66" s="223"/>
      <c r="AQ66" s="223"/>
      <c r="AR66" s="135"/>
      <c r="AS66" s="1188"/>
      <c r="AT66" s="1188"/>
      <c r="AU66" s="1188"/>
      <c r="AV66" s="1188"/>
      <c r="AW66" s="1188"/>
      <c r="AX66" s="1188"/>
      <c r="AY66" s="1188"/>
      <c r="AZ66" s="1188"/>
      <c r="BA66" s="1188"/>
      <c r="BB66" s="1188"/>
      <c r="BC66" s="1188"/>
      <c r="BD66" s="131"/>
      <c r="BE66" s="131"/>
      <c r="BF66" s="173"/>
      <c r="BG66" s="173"/>
      <c r="BH66" s="173"/>
      <c r="BI66" s="173"/>
      <c r="BJ66" s="173"/>
      <c r="BK66" s="173"/>
      <c r="BL66" s="173"/>
      <c r="BM66" s="173"/>
      <c r="BN66" s="173"/>
      <c r="BO66" s="1189"/>
      <c r="BP66" s="1189"/>
      <c r="BQ66" s="1189"/>
      <c r="BR66" s="831"/>
      <c r="BS66" s="831"/>
      <c r="BT66" s="831"/>
      <c r="BU66" s="831"/>
      <c r="BV66" s="831"/>
      <c r="BW66" s="831"/>
      <c r="BX66" s="831"/>
      <c r="BY66" s="831"/>
      <c r="BZ66" s="831"/>
      <c r="CA66" s="831"/>
      <c r="CB66" s="831"/>
      <c r="CC66" s="831"/>
      <c r="CD66" s="831"/>
      <c r="CE66" s="831"/>
      <c r="CF66" s="831"/>
      <c r="CG66" s="831"/>
      <c r="CH66" s="831"/>
      <c r="CI66" s="831"/>
      <c r="CJ66" s="831"/>
      <c r="CK66" s="831"/>
      <c r="CL66" s="831"/>
      <c r="CM66" s="831"/>
      <c r="CN66" s="831"/>
      <c r="CO66" s="831"/>
      <c r="CP66" s="831"/>
      <c r="CQ66" s="831"/>
      <c r="CR66" s="831"/>
      <c r="CS66" s="831"/>
      <c r="CT66" s="831"/>
    </row>
    <row r="67" spans="1:98" ht="14.1" customHeight="1">
      <c r="A67" s="384"/>
      <c r="B67" s="99" t="s">
        <v>1518</v>
      </c>
      <c r="C67" s="5830" t="s">
        <v>1528</v>
      </c>
      <c r="D67" s="5831"/>
      <c r="E67" s="5831"/>
      <c r="F67" s="5831"/>
      <c r="G67" s="5831"/>
      <c r="H67" s="5831"/>
      <c r="I67" s="2466"/>
      <c r="J67" s="2467"/>
      <c r="K67" s="2468"/>
      <c r="L67" s="5833">
        <f t="shared" si="1"/>
        <v>258363</v>
      </c>
      <c r="M67" s="5834"/>
      <c r="N67" s="2949"/>
      <c r="O67" s="537"/>
      <c r="P67" s="5800" t="s">
        <v>768</v>
      </c>
      <c r="Q67" s="5801"/>
      <c r="R67" s="5801"/>
      <c r="S67" s="5801"/>
      <c r="T67" s="5802"/>
      <c r="U67" s="1180">
        <f>SUM(U65-U66)</f>
        <v>258363</v>
      </c>
      <c r="V67" s="225"/>
      <c r="W67" s="225"/>
      <c r="X67" s="225"/>
      <c r="Y67" s="225"/>
      <c r="Z67" s="225"/>
      <c r="AA67" s="225"/>
      <c r="AB67" s="5645" t="s">
        <v>682</v>
      </c>
      <c r="AC67" s="5645"/>
      <c r="AD67" s="5645"/>
      <c r="AE67" s="5645"/>
      <c r="AF67" s="5645"/>
      <c r="AG67" s="5829">
        <f>Formula!OA25</f>
        <v>0</v>
      </c>
      <c r="AH67" s="5829"/>
      <c r="AI67" s="225"/>
      <c r="AJ67" s="225"/>
      <c r="AK67" s="225"/>
      <c r="AL67" s="225"/>
      <c r="AM67" s="225"/>
      <c r="AN67" s="225"/>
      <c r="AO67" s="225"/>
      <c r="AP67" s="225"/>
      <c r="AQ67" s="225"/>
      <c r="AR67" s="135"/>
      <c r="AS67" s="1188"/>
      <c r="AT67" s="1188"/>
      <c r="AU67" s="1188"/>
      <c r="AV67" s="1188"/>
      <c r="AW67" s="1188"/>
      <c r="AX67" s="1188"/>
      <c r="AY67" s="1188"/>
      <c r="AZ67" s="1188"/>
      <c r="BA67" s="1188"/>
      <c r="BB67" s="1188"/>
      <c r="BC67" s="1188"/>
      <c r="BD67" s="131"/>
      <c r="BE67" s="131"/>
      <c r="BF67" s="173"/>
      <c r="BG67" s="173"/>
      <c r="BH67" s="173"/>
      <c r="BI67" s="173"/>
      <c r="BJ67" s="173"/>
      <c r="BK67" s="173"/>
      <c r="BL67" s="173"/>
      <c r="BM67" s="173"/>
      <c r="BN67" s="173"/>
      <c r="BO67" s="1189"/>
      <c r="BP67" s="1189"/>
      <c r="BQ67" s="1189"/>
      <c r="BR67" s="831"/>
      <c r="BS67" s="831"/>
      <c r="BT67" s="831"/>
      <c r="BU67" s="831"/>
      <c r="BV67" s="831"/>
      <c r="BW67" s="831"/>
      <c r="BX67" s="831"/>
      <c r="BY67" s="831"/>
      <c r="BZ67" s="831"/>
      <c r="CA67" s="831"/>
      <c r="CB67" s="831"/>
      <c r="CC67" s="831"/>
      <c r="CD67" s="831"/>
      <c r="CE67" s="831"/>
      <c r="CF67" s="831"/>
      <c r="CG67" s="831"/>
      <c r="CH67" s="831"/>
      <c r="CI67" s="831"/>
      <c r="CJ67" s="831"/>
      <c r="CK67" s="831"/>
      <c r="CL67" s="831"/>
      <c r="CM67" s="831"/>
      <c r="CN67" s="831"/>
      <c r="CO67" s="831"/>
      <c r="CP67" s="831"/>
      <c r="CQ67" s="831"/>
      <c r="CR67" s="831"/>
      <c r="CS67" s="831"/>
      <c r="CT67" s="831"/>
    </row>
    <row r="68" spans="1:98" ht="14.1" customHeight="1">
      <c r="A68" s="384"/>
      <c r="B68" s="99" t="s">
        <v>1519</v>
      </c>
      <c r="C68" s="2571" t="s">
        <v>766</v>
      </c>
      <c r="D68" s="2469"/>
      <c r="E68" s="2469"/>
      <c r="F68" s="2469"/>
      <c r="G68" s="2469"/>
      <c r="H68" s="2469"/>
      <c r="I68" s="2470"/>
      <c r="J68" s="2471"/>
      <c r="K68" s="2472"/>
      <c r="L68" s="5833">
        <f t="shared" si="1"/>
        <v>10335</v>
      </c>
      <c r="M68" s="5834"/>
      <c r="N68" s="2949"/>
      <c r="O68" s="537"/>
      <c r="P68" s="5800" t="s">
        <v>767</v>
      </c>
      <c r="Q68" s="5801"/>
      <c r="R68" s="5801"/>
      <c r="S68" s="5801"/>
      <c r="T68" s="5802"/>
      <c r="U68" s="1180">
        <f>ROUND(U67*4%,0.1)</f>
        <v>10335</v>
      </c>
      <c r="V68" s="225"/>
      <c r="W68" s="225"/>
      <c r="X68" s="225"/>
      <c r="Y68" s="225"/>
      <c r="Z68" s="225"/>
      <c r="AA68" s="225"/>
      <c r="AB68" s="5645" t="s">
        <v>683</v>
      </c>
      <c r="AC68" s="5645"/>
      <c r="AD68" s="5645"/>
      <c r="AE68" s="5645"/>
      <c r="AF68" s="5645"/>
      <c r="AG68" s="5829">
        <f>Formula!OA26</f>
        <v>0</v>
      </c>
      <c r="AH68" s="5829"/>
      <c r="AI68" s="225"/>
      <c r="AJ68" s="225"/>
      <c r="AK68" s="225"/>
      <c r="AL68" s="225"/>
      <c r="AM68" s="225"/>
      <c r="AN68" s="225"/>
      <c r="AO68" s="225"/>
      <c r="AP68" s="225"/>
      <c r="AQ68" s="225"/>
      <c r="AR68" s="135"/>
      <c r="AS68" s="1188"/>
      <c r="AT68" s="1188"/>
      <c r="AU68" s="1188"/>
      <c r="AV68" s="1188"/>
      <c r="AW68" s="1188"/>
      <c r="AX68" s="1188"/>
      <c r="AY68" s="1188"/>
      <c r="AZ68" s="1188"/>
      <c r="BA68" s="1188"/>
      <c r="BB68" s="1188"/>
      <c r="BC68" s="1188"/>
      <c r="BD68" s="131"/>
      <c r="BE68" s="131"/>
      <c r="BF68" s="173"/>
      <c r="BG68" s="173"/>
      <c r="BH68" s="173"/>
      <c r="BI68" s="173"/>
      <c r="BJ68" s="173"/>
      <c r="BK68" s="173"/>
      <c r="BL68" s="173"/>
      <c r="BM68" s="173"/>
      <c r="BN68" s="173"/>
      <c r="BO68" s="1755"/>
      <c r="BP68" s="1755"/>
      <c r="BQ68" s="1755"/>
      <c r="BR68" s="831"/>
      <c r="BS68" s="831"/>
      <c r="BT68" s="831"/>
      <c r="BU68" s="831"/>
      <c r="BV68" s="831"/>
      <c r="BW68" s="831"/>
      <c r="BX68" s="831"/>
      <c r="BY68" s="831"/>
      <c r="BZ68" s="831"/>
      <c r="CA68" s="831"/>
      <c r="CB68" s="831"/>
      <c r="CC68" s="831"/>
      <c r="CD68" s="831"/>
      <c r="CE68" s="831"/>
      <c r="CF68" s="831"/>
      <c r="CG68" s="831"/>
      <c r="CH68" s="831"/>
      <c r="CI68" s="831"/>
      <c r="CJ68" s="831"/>
      <c r="CK68" s="831"/>
      <c r="CL68" s="831"/>
      <c r="CM68" s="831"/>
      <c r="CN68" s="831"/>
      <c r="CO68" s="831"/>
      <c r="CP68" s="831"/>
      <c r="CQ68" s="831"/>
      <c r="CR68" s="831"/>
      <c r="CS68" s="831"/>
      <c r="CT68" s="831"/>
    </row>
    <row r="69" spans="1:98" ht="14.1" customHeight="1">
      <c r="A69" s="384"/>
      <c r="B69" s="99" t="s">
        <v>1520</v>
      </c>
      <c r="C69" s="5839" t="s">
        <v>1521</v>
      </c>
      <c r="D69" s="5839"/>
      <c r="E69" s="5839"/>
      <c r="F69" s="5839"/>
      <c r="G69" s="5839"/>
      <c r="H69" s="5839"/>
      <c r="I69" s="5839"/>
      <c r="J69" s="5839"/>
      <c r="K69" s="5839"/>
      <c r="L69" s="5835">
        <f t="shared" si="1"/>
        <v>268698</v>
      </c>
      <c r="M69" s="5836"/>
      <c r="N69" s="2950"/>
      <c r="O69" s="538"/>
      <c r="P69" s="5800" t="s">
        <v>7</v>
      </c>
      <c r="Q69" s="5801"/>
      <c r="R69" s="5801"/>
      <c r="S69" s="5801"/>
      <c r="T69" s="5802"/>
      <c r="U69" s="1180">
        <f>SUM(U67+U68)</f>
        <v>268698</v>
      </c>
      <c r="V69" s="227"/>
      <c r="W69" s="227"/>
      <c r="X69" s="227"/>
      <c r="Y69" s="227"/>
      <c r="Z69" s="227"/>
      <c r="AA69" s="227"/>
      <c r="AB69" s="5645" t="s">
        <v>684</v>
      </c>
      <c r="AC69" s="5645"/>
      <c r="AD69" s="5645"/>
      <c r="AE69" s="5645"/>
      <c r="AF69" s="5645"/>
      <c r="AG69" s="5829">
        <f>Formula!OA27</f>
        <v>0</v>
      </c>
      <c r="AH69" s="5829"/>
      <c r="AI69" s="227"/>
      <c r="AJ69" s="227"/>
      <c r="AK69" s="227"/>
      <c r="AL69" s="227"/>
      <c r="AM69" s="227"/>
      <c r="AN69" s="227"/>
      <c r="AO69" s="227"/>
      <c r="AP69" s="227"/>
      <c r="AQ69" s="227"/>
      <c r="AR69" s="135"/>
      <c r="AS69" s="1188"/>
      <c r="AT69" s="1188"/>
      <c r="AU69" s="1188"/>
      <c r="AV69" s="1188"/>
      <c r="AW69" s="1188"/>
      <c r="AX69" s="1188"/>
      <c r="AY69" s="1188"/>
      <c r="AZ69" s="1188"/>
      <c r="BA69" s="1188"/>
      <c r="BB69" s="1188"/>
      <c r="BC69" s="1188"/>
      <c r="BD69" s="131"/>
      <c r="BE69" s="131"/>
      <c r="BF69" s="173"/>
      <c r="BG69" s="173"/>
      <c r="BH69" s="173"/>
      <c r="BI69" s="173"/>
      <c r="BJ69" s="173"/>
      <c r="BK69" s="173"/>
      <c r="BL69" s="173"/>
      <c r="BM69" s="173"/>
      <c r="BN69" s="173"/>
      <c r="BO69" s="1755"/>
      <c r="BP69" s="1755"/>
      <c r="BQ69" s="1755"/>
      <c r="BR69" s="831"/>
      <c r="BS69" s="831"/>
      <c r="BT69" s="831"/>
      <c r="BU69" s="831"/>
      <c r="BV69" s="831"/>
      <c r="BW69" s="831"/>
      <c r="BX69" s="831"/>
      <c r="BY69" s="831"/>
      <c r="BZ69" s="831"/>
      <c r="CA69" s="831"/>
      <c r="CB69" s="831"/>
      <c r="CC69" s="831"/>
      <c r="CD69" s="831"/>
      <c r="CE69" s="831"/>
      <c r="CF69" s="831"/>
      <c r="CG69" s="831"/>
      <c r="CH69" s="831"/>
      <c r="CI69" s="831"/>
      <c r="CJ69" s="831"/>
      <c r="CK69" s="831"/>
      <c r="CL69" s="831"/>
      <c r="CM69" s="831"/>
      <c r="CN69" s="831"/>
      <c r="CO69" s="831"/>
      <c r="CP69" s="831"/>
      <c r="CQ69" s="831"/>
      <c r="CR69" s="831"/>
      <c r="CS69" s="831"/>
      <c r="CT69" s="831"/>
    </row>
    <row r="70" spans="1:98" ht="14.1" customHeight="1">
      <c r="A70" s="384"/>
      <c r="B70" s="99" t="s">
        <v>1522</v>
      </c>
      <c r="C70" s="5832" t="s">
        <v>775</v>
      </c>
      <c r="D70" s="5832"/>
      <c r="E70" s="5832"/>
      <c r="F70" s="5832"/>
      <c r="G70" s="5832"/>
      <c r="H70" s="5840"/>
      <c r="I70" s="5840"/>
      <c r="J70" s="5840"/>
      <c r="K70" s="5840"/>
      <c r="L70" s="5837">
        <f t="shared" si="1"/>
        <v>0</v>
      </c>
      <c r="M70" s="5838"/>
      <c r="N70" s="2950"/>
      <c r="O70" s="538"/>
      <c r="P70" s="5800" t="s">
        <v>777</v>
      </c>
      <c r="Q70" s="5801"/>
      <c r="R70" s="5801"/>
      <c r="S70" s="5801"/>
      <c r="T70" s="5802"/>
      <c r="U70" s="1181">
        <v>0</v>
      </c>
      <c r="V70" s="227"/>
      <c r="W70" s="227"/>
      <c r="X70" s="227"/>
      <c r="Y70" s="227"/>
      <c r="Z70" s="227"/>
      <c r="AA70" s="227"/>
      <c r="AB70" s="5645" t="s">
        <v>685</v>
      </c>
      <c r="AC70" s="5645"/>
      <c r="AD70" s="5645"/>
      <c r="AE70" s="5645"/>
      <c r="AF70" s="5645"/>
      <c r="AG70" s="5646"/>
      <c r="AH70" s="5646"/>
      <c r="AI70" s="227"/>
      <c r="AJ70" s="227"/>
      <c r="AK70" s="227"/>
      <c r="AL70" s="227"/>
      <c r="AM70" s="227"/>
      <c r="AN70" s="227"/>
      <c r="AO70" s="227"/>
      <c r="AP70" s="227"/>
      <c r="AQ70" s="227"/>
      <c r="AR70" s="135"/>
      <c r="AS70" s="1188"/>
      <c r="AT70" s="1188"/>
      <c r="AU70" s="1188"/>
      <c r="AV70" s="1188"/>
      <c r="AW70" s="1188"/>
      <c r="AX70" s="1188"/>
      <c r="AY70" s="1188"/>
      <c r="AZ70" s="1188"/>
      <c r="BA70" s="1188"/>
      <c r="BB70" s="1188"/>
      <c r="BC70" s="1188"/>
      <c r="BD70" s="131"/>
      <c r="BE70" s="131"/>
      <c r="BF70" s="173"/>
      <c r="BG70" s="173"/>
      <c r="BH70" s="173"/>
      <c r="BI70" s="173"/>
      <c r="BJ70" s="173"/>
      <c r="BK70" s="173"/>
      <c r="BL70" s="173"/>
      <c r="BM70" s="173"/>
      <c r="BN70" s="173"/>
      <c r="BO70" s="1755"/>
      <c r="BP70" s="1755"/>
      <c r="BQ70" s="1755"/>
      <c r="BR70" s="831"/>
      <c r="BS70" s="831"/>
      <c r="BT70" s="831"/>
      <c r="BU70" s="831"/>
      <c r="BV70" s="831"/>
      <c r="BW70" s="831"/>
      <c r="BX70" s="831"/>
      <c r="BY70" s="831"/>
      <c r="BZ70" s="831"/>
      <c r="CA70" s="831"/>
      <c r="CB70" s="831"/>
      <c r="CC70" s="831"/>
      <c r="CD70" s="831"/>
      <c r="CE70" s="831"/>
      <c r="CF70" s="831"/>
      <c r="CG70" s="831"/>
      <c r="CH70" s="831"/>
      <c r="CI70" s="831"/>
      <c r="CJ70" s="831"/>
      <c r="CK70" s="831"/>
      <c r="CL70" s="831"/>
      <c r="CM70" s="831"/>
      <c r="CN70" s="831"/>
      <c r="CO70" s="831"/>
      <c r="CP70" s="831"/>
      <c r="CQ70" s="831"/>
      <c r="CR70" s="831"/>
      <c r="CS70" s="831"/>
      <c r="CT70" s="831"/>
    </row>
    <row r="71" spans="1:98" ht="13.5" customHeight="1">
      <c r="A71" s="384"/>
      <c r="B71" s="99" t="s">
        <v>1523</v>
      </c>
      <c r="C71" s="5823" t="s">
        <v>1524</v>
      </c>
      <c r="D71" s="5823"/>
      <c r="E71" s="5823"/>
      <c r="F71" s="5823"/>
      <c r="G71" s="5823"/>
      <c r="H71" s="5824"/>
      <c r="I71" s="5824"/>
      <c r="J71" s="5824"/>
      <c r="K71" s="5825"/>
      <c r="L71" s="5821">
        <f t="shared" si="1"/>
        <v>268698</v>
      </c>
      <c r="M71" s="5822"/>
      <c r="N71" s="2950"/>
      <c r="O71" s="538"/>
      <c r="P71" s="5800" t="s">
        <v>776</v>
      </c>
      <c r="Q71" s="5801"/>
      <c r="R71" s="5801"/>
      <c r="S71" s="5801"/>
      <c r="T71" s="5802"/>
      <c r="U71" s="1182">
        <f>SUM(U69-U70)</f>
        <v>268698</v>
      </c>
      <c r="V71" s="227"/>
      <c r="W71" s="227"/>
      <c r="X71" s="227"/>
      <c r="Y71" s="227"/>
      <c r="Z71" s="227"/>
      <c r="AA71" s="227"/>
      <c r="AB71" s="5645" t="s">
        <v>686</v>
      </c>
      <c r="AC71" s="5645"/>
      <c r="AD71" s="5645"/>
      <c r="AE71" s="5645"/>
      <c r="AF71" s="5645"/>
      <c r="AG71" s="5643">
        <f>Formula!OA29</f>
        <v>0</v>
      </c>
      <c r="AH71" s="5643"/>
      <c r="AI71" s="227"/>
      <c r="AJ71" s="227"/>
      <c r="AK71" s="227"/>
      <c r="AL71" s="227"/>
      <c r="AM71" s="227"/>
      <c r="AN71" s="227"/>
      <c r="AO71" s="227"/>
      <c r="AP71" s="227"/>
      <c r="AQ71" s="227"/>
      <c r="AR71" s="135"/>
      <c r="AS71" s="1188"/>
      <c r="AT71" s="1188"/>
      <c r="AU71" s="1188"/>
      <c r="AV71" s="1188"/>
      <c r="AW71" s="1188"/>
      <c r="AX71" s="1188"/>
      <c r="AY71" s="1188"/>
      <c r="AZ71" s="1188"/>
      <c r="BA71" s="1188"/>
      <c r="BB71" s="1188"/>
      <c r="BC71" s="1188"/>
      <c r="BD71" s="131"/>
      <c r="BE71" s="131"/>
      <c r="BF71" s="173"/>
      <c r="BG71" s="173"/>
      <c r="BH71" s="173"/>
      <c r="BI71" s="173"/>
      <c r="BJ71" s="173"/>
      <c r="BK71" s="173"/>
      <c r="BL71" s="173"/>
      <c r="BM71" s="173"/>
      <c r="BN71" s="173"/>
      <c r="BO71" s="1755"/>
      <c r="BP71" s="1755"/>
      <c r="BQ71" s="1755"/>
      <c r="BR71" s="831"/>
      <c r="BS71" s="831"/>
      <c r="BT71" s="831"/>
      <c r="BU71" s="831"/>
      <c r="BV71" s="831"/>
      <c r="BW71" s="831"/>
      <c r="BX71" s="831"/>
      <c r="BY71" s="831"/>
      <c r="BZ71" s="831"/>
      <c r="CA71" s="831"/>
      <c r="CB71" s="831"/>
      <c r="CC71" s="831"/>
      <c r="CD71" s="831"/>
      <c r="CE71" s="831"/>
      <c r="CF71" s="831"/>
      <c r="CG71" s="831"/>
      <c r="CH71" s="831"/>
      <c r="CI71" s="831"/>
      <c r="CJ71" s="831"/>
      <c r="CK71" s="831"/>
      <c r="CL71" s="831"/>
      <c r="CM71" s="831"/>
      <c r="CN71" s="831"/>
      <c r="CO71" s="831"/>
      <c r="CP71" s="831"/>
      <c r="CQ71" s="831"/>
      <c r="CR71" s="831"/>
      <c r="CS71" s="831"/>
      <c r="CT71" s="831"/>
    </row>
    <row r="72" spans="1:98" ht="15.75">
      <c r="A72" s="384"/>
      <c r="B72" s="99" t="s">
        <v>1527</v>
      </c>
      <c r="C72" s="6010" t="s">
        <v>290</v>
      </c>
      <c r="D72" s="6011"/>
      <c r="E72" s="6011"/>
      <c r="F72" s="6011"/>
      <c r="G72" s="6011"/>
      <c r="H72" s="6012"/>
      <c r="I72" s="5828" t="s">
        <v>1525</v>
      </c>
      <c r="J72" s="5828"/>
      <c r="K72" s="5828"/>
      <c r="L72" s="5826">
        <f t="shared" si="1"/>
        <v>194000</v>
      </c>
      <c r="M72" s="5827"/>
      <c r="N72" s="2950"/>
      <c r="O72" s="538"/>
      <c r="P72" s="5800" t="s">
        <v>545</v>
      </c>
      <c r="Q72" s="5801"/>
      <c r="R72" s="5801"/>
      <c r="S72" s="5801"/>
      <c r="T72" s="5802"/>
      <c r="U72" s="1181">
        <f>'Anexure-I'!U41</f>
        <v>194000</v>
      </c>
      <c r="V72" s="227"/>
      <c r="W72" s="227"/>
      <c r="X72" s="227"/>
      <c r="Y72" s="227"/>
      <c r="Z72" s="227"/>
      <c r="AA72" s="227"/>
      <c r="AB72" s="5645" t="s">
        <v>687</v>
      </c>
      <c r="AC72" s="5645"/>
      <c r="AD72" s="5645"/>
      <c r="AE72" s="5645"/>
      <c r="AF72" s="5645"/>
      <c r="AG72" s="5643">
        <f>Formula!OA30</f>
        <v>0</v>
      </c>
      <c r="AH72" s="5643"/>
      <c r="AI72" s="227"/>
      <c r="AJ72" s="227"/>
      <c r="AK72" s="227"/>
      <c r="AL72" s="227"/>
      <c r="AM72" s="227"/>
      <c r="AN72" s="227"/>
      <c r="AO72" s="227"/>
      <c r="AP72" s="227"/>
      <c r="AQ72" s="227"/>
      <c r="AR72" s="210"/>
      <c r="AS72" s="1188"/>
      <c r="AT72" s="1188"/>
      <c r="AU72" s="1188"/>
      <c r="AV72" s="1188"/>
      <c r="AW72" s="1188"/>
      <c r="AX72" s="1188"/>
      <c r="AY72" s="1188"/>
      <c r="AZ72" s="1188"/>
      <c r="BA72" s="1188"/>
      <c r="BB72" s="1188"/>
      <c r="BC72" s="1188"/>
      <c r="BD72" s="228"/>
      <c r="BE72" s="228"/>
      <c r="BF72" s="173"/>
      <c r="BG72" s="173"/>
      <c r="BH72" s="173"/>
      <c r="BI72" s="173"/>
      <c r="BJ72" s="173"/>
      <c r="BK72" s="173"/>
      <c r="BL72" s="173"/>
      <c r="BM72" s="173"/>
      <c r="BN72" s="173"/>
      <c r="BO72" s="1755"/>
      <c r="BP72" s="1755"/>
      <c r="BQ72" s="1755"/>
      <c r="BR72" s="831"/>
      <c r="BS72" s="831"/>
      <c r="BT72" s="831"/>
      <c r="BU72" s="831"/>
      <c r="BV72" s="831"/>
      <c r="BW72" s="831"/>
      <c r="BX72" s="831"/>
      <c r="BY72" s="831"/>
      <c r="BZ72" s="831"/>
      <c r="CA72" s="831"/>
      <c r="CB72" s="831"/>
      <c r="CC72" s="831"/>
      <c r="CD72" s="831"/>
      <c r="CE72" s="831"/>
      <c r="CF72" s="831"/>
      <c r="CG72" s="831"/>
      <c r="CH72" s="831"/>
      <c r="CI72" s="831"/>
      <c r="CJ72" s="831"/>
      <c r="CK72" s="831"/>
      <c r="CL72" s="831"/>
      <c r="CM72" s="831"/>
      <c r="CN72" s="831"/>
      <c r="CO72" s="831"/>
      <c r="CP72" s="831"/>
      <c r="CQ72" s="831"/>
      <c r="CR72" s="831"/>
      <c r="CS72" s="831"/>
      <c r="CT72" s="831"/>
    </row>
    <row r="73" spans="1:98" ht="14.1" customHeight="1">
      <c r="A73" s="384"/>
      <c r="B73" s="103"/>
      <c r="C73" s="2478" t="s">
        <v>1</v>
      </c>
      <c r="D73" s="2479">
        <v>45717</v>
      </c>
      <c r="E73" s="2478">
        <f>'Data Sheet-II'!M69</f>
        <v>20000</v>
      </c>
      <c r="F73" s="2478" t="s">
        <v>283</v>
      </c>
      <c r="G73" s="2480">
        <v>45901</v>
      </c>
      <c r="H73" s="2478">
        <f>'Data Sheet-II'!M75</f>
        <v>20000</v>
      </c>
      <c r="I73" s="5814" t="s">
        <v>1556</v>
      </c>
      <c r="J73" s="5815"/>
      <c r="K73" s="5816"/>
      <c r="L73" s="5810"/>
      <c r="M73" s="5811"/>
      <c r="N73" s="2951"/>
      <c r="O73" s="539"/>
      <c r="P73" s="5800" t="str">
        <f>IF(U73&lt;0,CONCATENATE("Tax to be  Refundable "),CONCATENATE("Tax to be Paid Now"))</f>
        <v>Tax to be Paid Now</v>
      </c>
      <c r="Q73" s="5801"/>
      <c r="R73" s="5801"/>
      <c r="S73" s="5801"/>
      <c r="T73" s="5802"/>
      <c r="U73" s="1183">
        <f>SUM(U71-U72)</f>
        <v>74698</v>
      </c>
      <c r="V73" s="229"/>
      <c r="W73" s="229"/>
      <c r="X73" s="229"/>
      <c r="Y73" s="229"/>
      <c r="Z73" s="229"/>
      <c r="AA73" s="229"/>
      <c r="AB73" s="5645" t="s">
        <v>688</v>
      </c>
      <c r="AC73" s="5645"/>
      <c r="AD73" s="5645"/>
      <c r="AE73" s="5645"/>
      <c r="AF73" s="5645"/>
      <c r="AG73" s="5643">
        <f>Formula!OA31</f>
        <v>0</v>
      </c>
      <c r="AH73" s="5643"/>
      <c r="AI73" s="229"/>
      <c r="AJ73" s="229"/>
      <c r="AK73" s="229"/>
      <c r="AL73" s="229"/>
      <c r="AM73" s="229"/>
      <c r="AN73" s="229"/>
      <c r="AO73" s="229"/>
      <c r="AP73" s="229"/>
      <c r="AQ73" s="229"/>
      <c r="AR73" s="210"/>
      <c r="AS73" s="1188"/>
      <c r="AT73" s="1188"/>
      <c r="AU73" s="1188"/>
      <c r="AV73" s="1188"/>
      <c r="AW73" s="1188"/>
      <c r="AX73" s="1188"/>
      <c r="AY73" s="1188"/>
      <c r="AZ73" s="1188"/>
      <c r="BA73" s="1188"/>
      <c r="BB73" s="1188"/>
      <c r="BC73" s="1188"/>
      <c r="BD73" s="228"/>
      <c r="BE73" s="228"/>
      <c r="BF73" s="173"/>
      <c r="BG73" s="173"/>
      <c r="BH73" s="173"/>
      <c r="BI73" s="173"/>
      <c r="BJ73" s="173"/>
      <c r="BK73" s="173"/>
      <c r="BL73" s="173"/>
      <c r="BM73" s="173"/>
      <c r="BN73" s="173"/>
      <c r="BO73" s="242"/>
      <c r="BP73" s="242"/>
      <c r="BQ73" s="242"/>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row>
    <row r="74" spans="1:98" ht="14.1" customHeight="1">
      <c r="A74" s="384"/>
      <c r="B74" s="103"/>
      <c r="C74" s="2478" t="s">
        <v>2</v>
      </c>
      <c r="D74" s="2479">
        <v>45748</v>
      </c>
      <c r="E74" s="2478">
        <f>'Data Sheet-II'!M70</f>
        <v>20000</v>
      </c>
      <c r="F74" s="2481" t="s">
        <v>284</v>
      </c>
      <c r="G74" s="2480">
        <v>45931</v>
      </c>
      <c r="H74" s="2478">
        <f>'Data Sheet-II'!M76</f>
        <v>20000</v>
      </c>
      <c r="I74" s="5817"/>
      <c r="J74" s="5818"/>
      <c r="K74" s="5819"/>
      <c r="L74" s="5812"/>
      <c r="M74" s="5813"/>
      <c r="N74" s="2952"/>
      <c r="O74" s="230"/>
      <c r="P74" s="5797"/>
      <c r="Q74" s="5797"/>
      <c r="R74" s="5797"/>
      <c r="S74" s="5797"/>
      <c r="T74" s="585"/>
      <c r="U74" s="230"/>
      <c r="V74" s="230"/>
      <c r="W74" s="230"/>
      <c r="X74" s="230"/>
      <c r="Y74" s="230"/>
      <c r="Z74" s="230"/>
      <c r="AA74" s="230"/>
      <c r="AB74" s="5798"/>
      <c r="AC74" s="5798"/>
      <c r="AD74" s="5798"/>
      <c r="AE74" s="5798"/>
      <c r="AF74" s="5798"/>
      <c r="AG74" s="5799"/>
      <c r="AH74" s="5799"/>
      <c r="AI74" s="230"/>
      <c r="AJ74" s="230"/>
      <c r="AK74" s="230"/>
      <c r="AL74" s="230"/>
      <c r="AM74" s="230"/>
      <c r="AN74" s="230"/>
      <c r="AO74" s="230"/>
      <c r="AP74" s="230"/>
      <c r="AQ74" s="230"/>
      <c r="AR74" s="171"/>
      <c r="AS74" s="1188"/>
      <c r="AT74" s="1188"/>
      <c r="AU74" s="1188"/>
      <c r="AV74" s="1188"/>
      <c r="AW74" s="1188"/>
      <c r="AX74" s="1188"/>
      <c r="AY74" s="1188"/>
      <c r="AZ74" s="1188"/>
      <c r="BA74" s="1188"/>
      <c r="BB74" s="1188"/>
      <c r="BC74" s="1188"/>
      <c r="BD74" s="131"/>
      <c r="BE74" s="131"/>
      <c r="BF74" s="173"/>
      <c r="BG74" s="173"/>
      <c r="BH74" s="173"/>
      <c r="BI74" s="173"/>
      <c r="BJ74" s="173"/>
      <c r="BK74" s="173"/>
      <c r="BL74" s="173"/>
      <c r="BM74" s="173"/>
      <c r="BN74" s="173"/>
      <c r="BO74" s="242"/>
      <c r="BP74" s="242"/>
      <c r="BQ74" s="242"/>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row>
    <row r="75" spans="1:98" ht="14.1" customHeight="1">
      <c r="A75" s="384"/>
      <c r="B75" s="103"/>
      <c r="C75" s="2478" t="s">
        <v>3</v>
      </c>
      <c r="D75" s="2479">
        <v>45778</v>
      </c>
      <c r="E75" s="2478">
        <f>'Data Sheet-II'!M71</f>
        <v>20000</v>
      </c>
      <c r="F75" s="2478" t="s">
        <v>285</v>
      </c>
      <c r="G75" s="2480">
        <v>45962</v>
      </c>
      <c r="H75" s="2478">
        <f>'Data Sheet-II'!M77</f>
        <v>20000</v>
      </c>
      <c r="I75" s="2482" t="str">
        <f>IF(AND(Formula!BW2=2,'Data Sheet-II'!X30&gt;0),'Data Sheet-II'!X30,"")</f>
        <v/>
      </c>
      <c r="J75" s="5820" t="str">
        <f>IF(AND(Formula!AR917=2,Formula!AQ923&gt;0),Formula!AQ923,"")</f>
        <v/>
      </c>
      <c r="K75" s="5820"/>
      <c r="L75" s="5812"/>
      <c r="M75" s="5813"/>
      <c r="N75" s="2952"/>
      <c r="O75" s="230"/>
      <c r="P75" s="536"/>
      <c r="Q75" s="536"/>
      <c r="R75" s="536"/>
      <c r="S75" s="536"/>
      <c r="T75" s="230"/>
      <c r="U75" s="230"/>
      <c r="V75" s="230"/>
      <c r="W75" s="230"/>
      <c r="X75" s="230"/>
      <c r="Y75" s="230"/>
      <c r="Z75" s="230"/>
      <c r="AA75" s="230"/>
      <c r="AB75" s="584"/>
      <c r="AC75" s="584"/>
      <c r="AD75" s="584"/>
      <c r="AE75" s="584"/>
      <c r="AF75" s="584"/>
      <c r="AG75" s="584"/>
      <c r="AH75" s="584"/>
      <c r="AI75" s="230"/>
      <c r="AJ75" s="230"/>
      <c r="AK75" s="230"/>
      <c r="AL75" s="230"/>
      <c r="AM75" s="230"/>
      <c r="AN75" s="230"/>
      <c r="AO75" s="230"/>
      <c r="AP75" s="230"/>
      <c r="AQ75" s="230"/>
      <c r="AR75" s="171"/>
      <c r="AS75" s="1188"/>
      <c r="AT75" s="1188"/>
      <c r="AU75" s="1188"/>
      <c r="AV75" s="1188"/>
      <c r="AW75" s="1188"/>
      <c r="AX75" s="1188"/>
      <c r="AY75" s="1188"/>
      <c r="AZ75" s="1188"/>
      <c r="BA75" s="1188"/>
      <c r="BB75" s="1188"/>
      <c r="BC75" s="1188"/>
      <c r="BD75" s="131"/>
      <c r="BE75" s="131"/>
      <c r="BF75" s="173"/>
      <c r="BG75" s="173"/>
      <c r="BH75" s="173"/>
      <c r="BI75" s="173"/>
      <c r="BJ75" s="173"/>
      <c r="BK75" s="173"/>
      <c r="BL75" s="173"/>
      <c r="BM75" s="173"/>
      <c r="BN75" s="173"/>
      <c r="BO75" s="242"/>
      <c r="BP75" s="242"/>
      <c r="BQ75" s="242"/>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row>
    <row r="76" spans="1:98" ht="14.1" customHeight="1">
      <c r="A76" s="384"/>
      <c r="B76" s="103"/>
      <c r="C76" s="2481" t="s">
        <v>4</v>
      </c>
      <c r="D76" s="2479">
        <v>45809</v>
      </c>
      <c r="E76" s="2478">
        <f>'Data Sheet-II'!M72</f>
        <v>20000</v>
      </c>
      <c r="F76" s="2481" t="s">
        <v>542</v>
      </c>
      <c r="G76" s="2480">
        <v>45992</v>
      </c>
      <c r="H76" s="2478">
        <f>'Data Sheet-II'!M78</f>
        <v>14000</v>
      </c>
      <c r="I76" s="2482" t="str">
        <f>IF(AND(Formula!CS2=2,'Data Sheet-II'!X48&gt;0),'Data Sheet-II'!X48,"")</f>
        <v/>
      </c>
      <c r="J76" s="5820"/>
      <c r="K76" s="5820"/>
      <c r="L76" s="5812"/>
      <c r="M76" s="5813"/>
      <c r="N76" s="2952"/>
      <c r="O76" s="230"/>
      <c r="P76" s="536"/>
      <c r="Q76" s="536"/>
      <c r="R76" s="536"/>
      <c r="S76" s="536"/>
      <c r="T76" s="230"/>
      <c r="U76" s="230"/>
      <c r="V76" s="230"/>
      <c r="W76" s="230"/>
      <c r="X76" s="230"/>
      <c r="Y76" s="230"/>
      <c r="Z76" s="230"/>
      <c r="AA76" s="230"/>
      <c r="AB76" s="584"/>
      <c r="AC76" s="584"/>
      <c r="AD76" s="584"/>
      <c r="AE76" s="584"/>
      <c r="AF76" s="584"/>
      <c r="AG76" s="584"/>
      <c r="AH76" s="584"/>
      <c r="AI76" s="230"/>
      <c r="AJ76" s="230"/>
      <c r="AK76" s="230"/>
      <c r="AL76" s="230"/>
      <c r="AM76" s="230"/>
      <c r="AN76" s="230"/>
      <c r="AO76" s="230"/>
      <c r="AP76" s="230"/>
      <c r="AQ76" s="230"/>
      <c r="AR76" s="171"/>
      <c r="AS76" s="1188"/>
      <c r="AT76" s="1188"/>
      <c r="AU76" s="1188"/>
      <c r="AV76" s="1188"/>
      <c r="AW76" s="1188"/>
      <c r="AX76" s="1188"/>
      <c r="AY76" s="1188"/>
      <c r="AZ76" s="1188"/>
      <c r="BA76" s="1188"/>
      <c r="BB76" s="1188"/>
      <c r="BC76" s="1188"/>
      <c r="BD76" s="131"/>
      <c r="BE76" s="131"/>
      <c r="BF76" s="173"/>
      <c r="BG76" s="173"/>
      <c r="BH76" s="173"/>
      <c r="BI76" s="173"/>
      <c r="BJ76" s="173"/>
      <c r="BK76" s="173"/>
      <c r="BL76" s="173"/>
      <c r="BM76" s="173"/>
      <c r="BN76" s="173"/>
      <c r="BO76" s="242"/>
      <c r="BP76" s="242"/>
      <c r="BQ76" s="242"/>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row>
    <row r="77" spans="1:98" ht="14.1" customHeight="1">
      <c r="A77" s="384"/>
      <c r="B77" s="103"/>
      <c r="C77" s="2478" t="s">
        <v>278</v>
      </c>
      <c r="D77" s="2479">
        <v>45839</v>
      </c>
      <c r="E77" s="2478">
        <f>'Data Sheet-II'!M73</f>
        <v>20000</v>
      </c>
      <c r="F77" s="2481" t="s">
        <v>543</v>
      </c>
      <c r="G77" s="2480">
        <v>46023</v>
      </c>
      <c r="H77" s="2478">
        <f>'Data Sheet-II'!M79</f>
        <v>0</v>
      </c>
      <c r="I77" s="2482" t="str">
        <f>IF(AND(Formula!DT2=2,Formula!CX157=1,'Data Sheet-II'!X61&gt;0),'Data Sheet-II'!X61,"")</f>
        <v/>
      </c>
      <c r="J77" s="5820"/>
      <c r="K77" s="5820"/>
      <c r="L77" s="5812"/>
      <c r="M77" s="5813"/>
      <c r="N77" s="2952"/>
      <c r="O77" s="230"/>
      <c r="P77" s="536"/>
      <c r="Q77" s="536"/>
      <c r="R77" s="536"/>
      <c r="S77" s="536"/>
      <c r="T77" s="230"/>
      <c r="U77" s="230"/>
      <c r="V77" s="230"/>
      <c r="W77" s="230"/>
      <c r="X77" s="230"/>
      <c r="Y77" s="230"/>
      <c r="Z77" s="230"/>
      <c r="AA77" s="230"/>
      <c r="AB77" s="584"/>
      <c r="AC77" s="584"/>
      <c r="AD77" s="584"/>
      <c r="AE77" s="584"/>
      <c r="AF77" s="584"/>
      <c r="AG77" s="584"/>
      <c r="AH77" s="584"/>
      <c r="AI77" s="230"/>
      <c r="AJ77" s="230"/>
      <c r="AK77" s="230"/>
      <c r="AL77" s="230"/>
      <c r="AM77" s="230"/>
      <c r="AN77" s="230"/>
      <c r="AO77" s="230"/>
      <c r="AP77" s="230"/>
      <c r="AQ77" s="230"/>
      <c r="AR77" s="171"/>
      <c r="AS77" s="1188"/>
      <c r="AT77" s="1188"/>
      <c r="AU77" s="1188"/>
      <c r="AV77" s="1188"/>
      <c r="AW77" s="1188"/>
      <c r="AX77" s="1188"/>
      <c r="AY77" s="1188"/>
      <c r="AZ77" s="1188"/>
      <c r="BA77" s="1188"/>
      <c r="BB77" s="1188"/>
      <c r="BC77" s="1188"/>
      <c r="BD77" s="131"/>
      <c r="BE77" s="131"/>
      <c r="BF77" s="173"/>
      <c r="BG77" s="173"/>
      <c r="BH77" s="173"/>
      <c r="BI77" s="173"/>
      <c r="BJ77" s="173"/>
      <c r="BK77" s="173"/>
      <c r="BL77" s="173"/>
      <c r="BM77" s="173"/>
      <c r="BN77" s="173"/>
      <c r="BO77" s="242"/>
      <c r="BP77" s="242"/>
      <c r="BQ77" s="242"/>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row>
    <row r="78" spans="1:98" ht="14.1" customHeight="1">
      <c r="A78" s="384"/>
      <c r="B78" s="103"/>
      <c r="C78" s="2481" t="s">
        <v>282</v>
      </c>
      <c r="D78" s="2479">
        <v>45870</v>
      </c>
      <c r="E78" s="2478">
        <f>'Data Sheet-II'!M74</f>
        <v>20000</v>
      </c>
      <c r="F78" s="2481" t="s">
        <v>544</v>
      </c>
      <c r="G78" s="2480">
        <v>46054</v>
      </c>
      <c r="H78" s="2478">
        <f>'Data Sheet-II'!M80</f>
        <v>0</v>
      </c>
      <c r="I78" s="2484" t="str">
        <f>IF(AND(Formula!K917=2,Formula!K927&gt;0),Formula!K927,"")</f>
        <v/>
      </c>
      <c r="J78" s="5820"/>
      <c r="K78" s="5820"/>
      <c r="L78" s="5812"/>
      <c r="M78" s="5813"/>
      <c r="N78" s="2952"/>
      <c r="O78" s="1074"/>
      <c r="P78" s="1092"/>
      <c r="Q78" s="536"/>
      <c r="R78" s="536"/>
      <c r="S78" s="536"/>
      <c r="T78" s="230"/>
      <c r="U78" s="230"/>
      <c r="V78" s="230"/>
      <c r="W78" s="230"/>
      <c r="X78" s="230"/>
      <c r="Y78" s="230"/>
      <c r="Z78" s="230"/>
      <c r="AA78" s="230"/>
      <c r="AB78" s="584"/>
      <c r="AC78" s="584"/>
      <c r="AD78" s="584"/>
      <c r="AE78" s="584"/>
      <c r="AF78" s="584"/>
      <c r="AG78" s="584"/>
      <c r="AH78" s="584"/>
      <c r="AI78" s="230"/>
      <c r="AJ78" s="230"/>
      <c r="AK78" s="230"/>
      <c r="AL78" s="230"/>
      <c r="AM78" s="230"/>
      <c r="AN78" s="230"/>
      <c r="AO78" s="230"/>
      <c r="AP78" s="230"/>
      <c r="AQ78" s="230"/>
      <c r="AR78" s="171"/>
      <c r="AS78" s="1188"/>
      <c r="AT78" s="1188"/>
      <c r="AU78" s="1188"/>
      <c r="AV78" s="1188"/>
      <c r="AW78" s="1188"/>
      <c r="AX78" s="1188"/>
      <c r="AY78" s="1188"/>
      <c r="AZ78" s="1188"/>
      <c r="BA78" s="1188"/>
      <c r="BB78" s="1188"/>
      <c r="BC78" s="1188"/>
      <c r="BD78" s="131"/>
      <c r="BE78" s="131"/>
      <c r="BF78" s="173"/>
      <c r="BG78" s="173"/>
      <c r="BH78" s="173"/>
      <c r="BI78" s="173"/>
      <c r="BJ78" s="173"/>
      <c r="BK78" s="173"/>
      <c r="BL78" s="173"/>
      <c r="BM78" s="173"/>
      <c r="BN78" s="173"/>
      <c r="BO78" s="242"/>
      <c r="BP78" s="242"/>
      <c r="BQ78" s="242"/>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row>
    <row r="79" spans="1:98" ht="17.25" customHeight="1">
      <c r="A79" s="383"/>
      <c r="B79" s="2497" t="s">
        <v>29</v>
      </c>
      <c r="C79" s="2498"/>
      <c r="D79" s="2499"/>
      <c r="E79" s="2498"/>
      <c r="F79" s="5805" t="s">
        <v>22</v>
      </c>
      <c r="G79" s="5806"/>
      <c r="H79" s="2502">
        <f>SUM(E73+E74+E75+E76+E77+E78+H73+H74+H75+H76+H77+H78)</f>
        <v>194000</v>
      </c>
      <c r="I79" s="5807" t="str">
        <f>IF(U73&lt;0,"Tax  To be  Refundable ","Tax To  be Paid  Now")</f>
        <v>Tax To  be Paid  Now</v>
      </c>
      <c r="J79" s="5807"/>
      <c r="K79" s="5807"/>
      <c r="L79" s="5808">
        <f>IF(AND(U71&gt;=0,U73=0),"No Tax",IF(U73&gt;=0,U73,ABS(U73)))</f>
        <v>74698</v>
      </c>
      <c r="M79" s="5809"/>
      <c r="N79" s="2953"/>
      <c r="O79" s="1077"/>
      <c r="P79" s="1077"/>
      <c r="Q79" s="231"/>
      <c r="R79" s="231"/>
      <c r="S79" s="231"/>
      <c r="T79" s="231"/>
      <c r="U79" s="231"/>
      <c r="V79" s="231"/>
      <c r="W79" s="231"/>
      <c r="X79" s="231"/>
      <c r="Y79" s="231"/>
      <c r="Z79" s="231"/>
      <c r="AA79" s="231"/>
      <c r="AB79" s="584"/>
      <c r="AC79" s="584"/>
      <c r="AD79" s="584"/>
      <c r="AE79" s="584"/>
      <c r="AF79" s="584"/>
      <c r="AG79" s="584"/>
      <c r="AH79" s="584"/>
      <c r="AI79" s="231"/>
      <c r="AJ79" s="231"/>
      <c r="AK79" s="231"/>
      <c r="AL79" s="231"/>
      <c r="AM79" s="231"/>
      <c r="AN79" s="231"/>
      <c r="AO79" s="231"/>
      <c r="AP79" s="231"/>
      <c r="AQ79" s="231"/>
      <c r="AR79" s="171"/>
      <c r="AS79" s="1188"/>
      <c r="AT79" s="1188"/>
      <c r="AU79" s="1188"/>
      <c r="AV79" s="1188"/>
      <c r="AW79" s="1188"/>
      <c r="AX79" s="1188"/>
      <c r="AY79" s="1188"/>
      <c r="AZ79" s="1188"/>
      <c r="BA79" s="1188"/>
      <c r="BB79" s="1188"/>
      <c r="BC79" s="1188"/>
      <c r="BD79" s="131"/>
      <c r="BE79" s="131"/>
      <c r="BF79" s="173"/>
      <c r="BG79" s="173"/>
      <c r="BH79" s="173"/>
      <c r="BI79" s="173"/>
      <c r="BJ79" s="173"/>
      <c r="BK79" s="173"/>
      <c r="BL79" s="173"/>
      <c r="BM79" s="173"/>
      <c r="BN79" s="173"/>
      <c r="BO79" s="242"/>
      <c r="BP79" s="242"/>
      <c r="BQ79" s="242"/>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row>
    <row r="80" spans="1:98" ht="16.5" customHeight="1">
      <c r="A80" s="383"/>
      <c r="B80" s="2500"/>
      <c r="C80" s="2485"/>
      <c r="D80" s="2495"/>
      <c r="E80" s="2485"/>
      <c r="F80" s="1032"/>
      <c r="G80" s="2928"/>
      <c r="H80" s="2928"/>
      <c r="I80" s="5804"/>
      <c r="J80" s="5804"/>
      <c r="K80" s="5804"/>
      <c r="L80" s="2496"/>
      <c r="M80" s="2501"/>
      <c r="N80" s="2953"/>
      <c r="O80" s="842"/>
      <c r="P80" s="2678"/>
      <c r="Q80" s="536"/>
      <c r="R80" s="536"/>
      <c r="S80" s="536"/>
      <c r="T80" s="536"/>
      <c r="U80" s="541"/>
      <c r="V80" s="541"/>
      <c r="W80" s="541"/>
      <c r="X80" s="541"/>
      <c r="Y80" s="541"/>
      <c r="Z80" s="541"/>
      <c r="AA80" s="231"/>
      <c r="AB80" s="577"/>
      <c r="AC80" s="577"/>
      <c r="AD80" s="577"/>
      <c r="AE80" s="577"/>
      <c r="AF80" s="577"/>
      <c r="AG80" s="577"/>
      <c r="AH80" s="577"/>
      <c r="AI80" s="231"/>
      <c r="AJ80" s="231"/>
      <c r="AK80" s="231"/>
      <c r="AL80" s="231"/>
      <c r="AM80" s="231"/>
      <c r="AN80" s="231"/>
      <c r="AO80" s="231"/>
      <c r="AP80" s="577"/>
      <c r="AQ80" s="577"/>
      <c r="AR80" s="577"/>
      <c r="AS80" s="1188"/>
      <c r="AT80" s="1188"/>
      <c r="AU80" s="1188"/>
      <c r="AV80" s="1188"/>
      <c r="AW80" s="1188"/>
      <c r="AX80" s="1188"/>
      <c r="AY80" s="1188"/>
      <c r="AZ80" s="1188"/>
      <c r="BA80" s="1188"/>
      <c r="BB80" s="1188"/>
      <c r="BC80" s="1188"/>
      <c r="BD80" s="131"/>
      <c r="BE80" s="131"/>
      <c r="BF80" s="173"/>
      <c r="BG80" s="173"/>
      <c r="BH80" s="173"/>
      <c r="BI80" s="173"/>
      <c r="BJ80" s="173"/>
      <c r="BK80" s="173"/>
      <c r="BL80" s="173"/>
      <c r="BM80" s="173"/>
      <c r="BN80" s="173"/>
      <c r="BO80" s="242"/>
      <c r="BP80" s="242"/>
      <c r="BQ80" s="242"/>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row>
    <row r="81" spans="1:98" ht="0.75" customHeight="1">
      <c r="A81" s="383"/>
      <c r="B81" s="2487" t="s">
        <v>29</v>
      </c>
      <c r="C81" s="2488"/>
      <c r="D81" s="2488"/>
      <c r="E81" s="2488"/>
      <c r="F81" s="2488"/>
      <c r="G81" s="2929"/>
      <c r="H81" s="2929"/>
      <c r="I81" s="2488"/>
      <c r="J81" s="2488"/>
      <c r="K81" s="2488"/>
      <c r="L81" s="2488"/>
      <c r="M81" s="2489"/>
      <c r="N81" s="2954"/>
      <c r="O81" s="1080"/>
      <c r="P81" s="1080"/>
      <c r="Q81" s="233"/>
      <c r="R81" s="233"/>
      <c r="S81" s="233"/>
      <c r="T81" s="233"/>
      <c r="U81" s="233"/>
      <c r="V81" s="233"/>
      <c r="W81" s="233"/>
      <c r="X81" s="233"/>
      <c r="Y81" s="233"/>
      <c r="Z81" s="233"/>
      <c r="AA81" s="233"/>
      <c r="AB81" s="577"/>
      <c r="AC81" s="577"/>
      <c r="AD81" s="577"/>
      <c r="AE81" s="577"/>
      <c r="AF81" s="577"/>
      <c r="AG81" s="577"/>
      <c r="AH81" s="577"/>
      <c r="AI81" s="233"/>
      <c r="AJ81" s="233"/>
      <c r="AK81" s="233"/>
      <c r="AL81" s="233"/>
      <c r="AM81" s="233"/>
      <c r="AN81" s="233"/>
      <c r="AO81" s="233"/>
      <c r="AP81" s="577"/>
      <c r="AQ81" s="577"/>
      <c r="AR81" s="577"/>
      <c r="AS81" s="1188"/>
      <c r="AT81" s="1188"/>
      <c r="AU81" s="1188"/>
      <c r="AV81" s="1188"/>
      <c r="AW81" s="1188"/>
      <c r="AX81" s="1188"/>
      <c r="AY81" s="1188"/>
      <c r="AZ81" s="1188"/>
      <c r="BA81" s="1188"/>
      <c r="BB81" s="1188"/>
      <c r="BC81" s="1188"/>
      <c r="BD81" s="131"/>
      <c r="BE81" s="131"/>
      <c r="BF81" s="173"/>
      <c r="BG81" s="173"/>
      <c r="BH81" s="173"/>
      <c r="BI81" s="173"/>
      <c r="BJ81" s="173"/>
      <c r="BK81" s="173"/>
      <c r="BL81" s="173"/>
      <c r="BM81" s="173"/>
      <c r="BN81" s="173"/>
      <c r="BO81" s="242"/>
      <c r="BP81" s="242"/>
      <c r="BQ81" s="242"/>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row>
    <row r="82" spans="1:98" ht="7.5" customHeight="1">
      <c r="A82" s="383"/>
      <c r="B82" s="2487"/>
      <c r="C82" s="2490"/>
      <c r="D82" s="2490"/>
      <c r="E82" s="2490"/>
      <c r="F82" s="2490"/>
      <c r="G82" s="2930"/>
      <c r="H82" s="2929"/>
      <c r="I82" s="2488"/>
      <c r="J82" s="1395"/>
      <c r="K82" s="1395"/>
      <c r="L82" s="1395"/>
      <c r="M82" s="2491"/>
      <c r="N82" s="2954"/>
      <c r="O82" s="2678"/>
      <c r="P82" s="1080"/>
      <c r="Q82" s="233"/>
      <c r="R82" s="233"/>
      <c r="S82" s="233"/>
      <c r="T82" s="233"/>
      <c r="U82" s="233"/>
      <c r="V82" s="233"/>
      <c r="W82" s="233"/>
      <c r="X82" s="233"/>
      <c r="Y82" s="233"/>
      <c r="Z82" s="233"/>
      <c r="AA82" s="233"/>
      <c r="AB82" s="577"/>
      <c r="AC82" s="577"/>
      <c r="AD82" s="577"/>
      <c r="AE82" s="577"/>
      <c r="AF82" s="577"/>
      <c r="AG82" s="577"/>
      <c r="AH82" s="577"/>
      <c r="AI82" s="233"/>
      <c r="AJ82" s="233"/>
      <c r="AK82" s="233"/>
      <c r="AL82" s="233"/>
      <c r="AM82" s="233"/>
      <c r="AN82" s="233"/>
      <c r="AO82" s="233"/>
      <c r="AP82" s="577"/>
      <c r="AQ82" s="577"/>
      <c r="AR82" s="577"/>
      <c r="AS82" s="1188"/>
      <c r="AT82" s="1188"/>
      <c r="AU82" s="1188"/>
      <c r="AV82" s="1188"/>
      <c r="AW82" s="1188"/>
      <c r="AX82" s="1188"/>
      <c r="AY82" s="1188"/>
      <c r="AZ82" s="1188"/>
      <c r="BA82" s="1188"/>
      <c r="BB82" s="1188"/>
      <c r="BC82" s="1188"/>
      <c r="BD82" s="131"/>
      <c r="BE82" s="131"/>
      <c r="BF82" s="173"/>
      <c r="BG82" s="173"/>
      <c r="BH82" s="173"/>
      <c r="BI82" s="173"/>
      <c r="BJ82" s="173"/>
      <c r="BK82" s="173"/>
      <c r="BL82" s="173"/>
      <c r="BM82" s="173"/>
      <c r="BN82" s="173"/>
      <c r="BO82" s="242"/>
      <c r="BP82" s="242"/>
      <c r="BQ82" s="242"/>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row>
    <row r="83" spans="1:98" ht="19.5" customHeight="1" thickBot="1">
      <c r="A83" s="383"/>
      <c r="B83" s="2492"/>
      <c r="C83" s="2493" t="s">
        <v>32</v>
      </c>
      <c r="D83" s="2493"/>
      <c r="E83" s="2493"/>
      <c r="F83" s="2493"/>
      <c r="G83" s="2931"/>
      <c r="H83" s="2932"/>
      <c r="I83" s="2494"/>
      <c r="J83" s="5791" t="s">
        <v>30</v>
      </c>
      <c r="K83" s="5791"/>
      <c r="L83" s="5791"/>
      <c r="M83" s="5792"/>
      <c r="N83" s="2955"/>
      <c r="O83" s="234"/>
      <c r="P83" s="234"/>
      <c r="Q83" s="234"/>
      <c r="R83" s="234"/>
      <c r="S83" s="234"/>
      <c r="T83" s="234"/>
      <c r="U83" s="234"/>
      <c r="V83" s="234"/>
      <c r="W83" s="234"/>
      <c r="X83" s="234"/>
      <c r="Y83" s="234"/>
      <c r="Z83" s="234"/>
      <c r="AA83" s="234"/>
      <c r="AB83" s="577"/>
      <c r="AC83" s="577"/>
      <c r="AD83" s="577"/>
      <c r="AE83" s="577"/>
      <c r="AF83" s="577"/>
      <c r="AG83" s="577"/>
      <c r="AH83" s="577"/>
      <c r="AI83" s="234"/>
      <c r="AJ83" s="234"/>
      <c r="AK83" s="234"/>
      <c r="AL83" s="234"/>
      <c r="AM83" s="234"/>
      <c r="AN83" s="234"/>
      <c r="AO83" s="234"/>
      <c r="AP83" s="577"/>
      <c r="AQ83" s="577"/>
      <c r="AR83" s="577"/>
      <c r="AS83" s="1188"/>
      <c r="AT83" s="1188"/>
      <c r="AU83" s="1188"/>
      <c r="AV83" s="1188"/>
      <c r="AW83" s="1188"/>
      <c r="AX83" s="1188"/>
      <c r="AY83" s="1188"/>
      <c r="AZ83" s="1188"/>
      <c r="BA83" s="1188"/>
      <c r="BB83" s="1188"/>
      <c r="BC83" s="1188"/>
      <c r="BD83" s="131"/>
      <c r="BE83" s="131"/>
      <c r="BF83" s="173"/>
      <c r="BG83" s="173"/>
      <c r="BH83" s="173"/>
      <c r="BI83" s="173"/>
      <c r="BJ83" s="173"/>
      <c r="BK83" s="173"/>
      <c r="BL83" s="173"/>
      <c r="BM83" s="173"/>
      <c r="BN83" s="173"/>
      <c r="BO83" s="242"/>
      <c r="BP83" s="242"/>
      <c r="BQ83" s="242"/>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row>
    <row r="84" spans="1:98" ht="19.5" customHeight="1" thickTop="1">
      <c r="A84" s="383"/>
      <c r="B84" s="384"/>
      <c r="C84" s="1040"/>
      <c r="D84" s="1040"/>
      <c r="E84" s="1040"/>
      <c r="F84" s="1040"/>
      <c r="G84" s="1040"/>
      <c r="H84" s="1041"/>
      <c r="I84" s="1041"/>
      <c r="J84" s="1042"/>
      <c r="K84" s="1042"/>
      <c r="L84" s="1042"/>
      <c r="M84" s="1042"/>
      <c r="N84" s="234"/>
      <c r="O84" s="234"/>
      <c r="P84" s="234"/>
      <c r="Q84" s="234"/>
      <c r="R84" s="234"/>
      <c r="S84" s="234"/>
      <c r="T84" s="234"/>
      <c r="U84" s="234"/>
      <c r="V84" s="234"/>
      <c r="W84" s="234"/>
      <c r="X84" s="234"/>
      <c r="Y84" s="234"/>
      <c r="Z84" s="234"/>
      <c r="AA84" s="234"/>
      <c r="AB84" s="577"/>
      <c r="AC84" s="577"/>
      <c r="AD84" s="577"/>
      <c r="AE84" s="577"/>
      <c r="AF84" s="577"/>
      <c r="AG84" s="577"/>
      <c r="AH84" s="577"/>
      <c r="AI84" s="234"/>
      <c r="AJ84" s="234"/>
      <c r="AK84" s="234"/>
      <c r="AL84" s="234"/>
      <c r="AM84" s="234"/>
      <c r="AN84" s="234"/>
      <c r="AO84" s="234"/>
      <c r="AP84" s="577"/>
      <c r="AQ84" s="577"/>
      <c r="AR84" s="577"/>
      <c r="AS84" s="577"/>
      <c r="AT84" s="577"/>
      <c r="AU84" s="577"/>
      <c r="AV84" s="577"/>
      <c r="AW84" s="131"/>
      <c r="AX84" s="131"/>
      <c r="AY84" s="131"/>
      <c r="AZ84" s="131"/>
      <c r="BA84" s="131"/>
      <c r="BB84" s="131"/>
      <c r="BC84" s="131"/>
      <c r="BD84" s="131"/>
      <c r="BE84" s="131"/>
      <c r="BF84" s="173"/>
      <c r="BG84" s="173"/>
      <c r="BH84" s="173"/>
      <c r="BI84" s="173"/>
      <c r="BJ84" s="173"/>
      <c r="BK84" s="173"/>
      <c r="BL84" s="173"/>
      <c r="BM84" s="173"/>
      <c r="BN84" s="173"/>
      <c r="BO84" s="242"/>
      <c r="BP84" s="242"/>
      <c r="BQ84" s="242"/>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row>
    <row r="85" spans="1:98" ht="15.75" hidden="1">
      <c r="A85" s="383"/>
      <c r="B85" s="385" t="s">
        <v>29</v>
      </c>
      <c r="C85" s="1652" t="s">
        <v>29</v>
      </c>
      <c r="D85" s="1652"/>
      <c r="E85" s="1652"/>
      <c r="F85" s="1652"/>
      <c r="G85" s="1652"/>
      <c r="H85" s="1652"/>
      <c r="I85" s="385"/>
      <c r="J85" s="385"/>
      <c r="K85" s="5793" t="s">
        <v>29</v>
      </c>
      <c r="L85" s="5793"/>
      <c r="M85" s="5793"/>
      <c r="N85" s="233"/>
      <c r="O85" s="233"/>
      <c r="P85" s="233"/>
      <c r="Q85" s="233"/>
      <c r="R85" s="233"/>
      <c r="S85" s="233"/>
      <c r="T85" s="233"/>
      <c r="U85" s="233"/>
      <c r="V85" s="233"/>
      <c r="W85" s="233"/>
      <c r="X85" s="233"/>
      <c r="Y85" s="233"/>
      <c r="Z85" s="233"/>
      <c r="AA85" s="233"/>
      <c r="AB85" s="233"/>
      <c r="AC85" s="233"/>
      <c r="AD85" s="233"/>
      <c r="AE85" s="233"/>
      <c r="AF85" s="233"/>
      <c r="AG85" s="233"/>
      <c r="AH85" s="233"/>
      <c r="AI85" s="233"/>
      <c r="AJ85" s="233"/>
      <c r="AK85" s="233"/>
      <c r="AL85" s="233"/>
      <c r="AM85" s="233"/>
      <c r="AN85" s="233"/>
      <c r="AO85" s="233"/>
      <c r="AP85" s="233"/>
      <c r="AQ85" s="233"/>
      <c r="AR85" s="235"/>
      <c r="AS85" s="232"/>
      <c r="AT85" s="232"/>
      <c r="AU85" s="232"/>
      <c r="AV85" s="236"/>
      <c r="AW85" s="131"/>
      <c r="AX85" s="131"/>
      <c r="AY85" s="131"/>
      <c r="AZ85" s="131"/>
      <c r="BA85" s="131"/>
      <c r="BB85" s="131"/>
      <c r="BC85" s="131"/>
      <c r="BD85" s="131"/>
      <c r="BE85" s="131"/>
      <c r="BF85" s="173"/>
      <c r="BG85" s="173"/>
      <c r="BH85" s="173"/>
      <c r="BI85" s="173"/>
      <c r="BJ85" s="173"/>
      <c r="BK85" s="173"/>
      <c r="BL85" s="173"/>
      <c r="BM85" s="173"/>
      <c r="BN85" s="173"/>
      <c r="BO85" s="242"/>
      <c r="BP85" s="242"/>
      <c r="BQ85" s="242"/>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row>
    <row r="86" spans="1:98" hidden="1">
      <c r="A86" s="383"/>
      <c r="B86" s="5794"/>
      <c r="C86" s="5794"/>
      <c r="D86" s="5794"/>
      <c r="E86" s="5794"/>
      <c r="F86" s="5794"/>
      <c r="G86" s="5794"/>
      <c r="H86" s="5795"/>
      <c r="I86" s="5796"/>
      <c r="J86" s="5796"/>
      <c r="K86" s="5796"/>
      <c r="L86" s="5796"/>
      <c r="M86" s="5796"/>
      <c r="N86" s="237"/>
      <c r="O86" s="237"/>
      <c r="P86" s="237"/>
      <c r="Q86" s="237"/>
      <c r="R86" s="237"/>
      <c r="S86" s="237"/>
      <c r="T86" s="237"/>
      <c r="U86" s="237"/>
      <c r="V86" s="237"/>
      <c r="W86" s="237"/>
      <c r="X86" s="237"/>
      <c r="Y86" s="237"/>
      <c r="Z86" s="237"/>
      <c r="AA86" s="237"/>
      <c r="AB86" s="237"/>
      <c r="AC86" s="237"/>
      <c r="AD86" s="237"/>
      <c r="AE86" s="237"/>
      <c r="AF86" s="237"/>
      <c r="AG86" s="237"/>
      <c r="AH86" s="237"/>
      <c r="AI86" s="237"/>
      <c r="AJ86" s="237"/>
      <c r="AK86" s="237"/>
      <c r="AL86" s="237"/>
      <c r="AM86" s="237"/>
      <c r="AN86" s="237"/>
      <c r="AO86" s="237"/>
      <c r="AP86" s="237"/>
      <c r="AQ86" s="237"/>
      <c r="AR86" s="136"/>
      <c r="AS86" s="136"/>
      <c r="AT86" s="208"/>
      <c r="AU86" s="131"/>
      <c r="AV86" s="238"/>
      <c r="AW86" s="238"/>
      <c r="AX86" s="238"/>
      <c r="AY86" s="238"/>
      <c r="AZ86" s="131"/>
      <c r="BA86" s="131"/>
      <c r="BB86" s="131"/>
      <c r="BC86" s="131"/>
      <c r="BD86" s="131"/>
      <c r="BE86" s="131"/>
      <c r="BF86" s="173"/>
      <c r="BG86" s="173"/>
      <c r="BH86" s="173"/>
      <c r="BI86" s="173"/>
      <c r="BJ86" s="173"/>
      <c r="BK86" s="173"/>
      <c r="BL86" s="173"/>
      <c r="BM86" s="173"/>
      <c r="BN86" s="173"/>
      <c r="BO86" s="242"/>
      <c r="BP86" s="242"/>
      <c r="BQ86" s="242"/>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row>
    <row r="87" spans="1:98" hidden="1">
      <c r="A87" s="383"/>
      <c r="B87" s="386"/>
      <c r="C87" s="386"/>
      <c r="D87" s="386"/>
      <c r="E87" s="386"/>
      <c r="F87" s="386"/>
      <c r="G87" s="386"/>
      <c r="H87" s="386"/>
      <c r="I87" s="386"/>
      <c r="J87" s="386"/>
      <c r="K87" s="386"/>
      <c r="L87" s="239"/>
      <c r="M87" s="239"/>
      <c r="N87" s="239"/>
      <c r="O87" s="239"/>
      <c r="P87" s="239"/>
      <c r="Q87" s="239"/>
      <c r="R87" s="239"/>
      <c r="S87" s="239"/>
      <c r="T87" s="239"/>
      <c r="U87" s="239"/>
      <c r="V87" s="239"/>
      <c r="W87" s="239"/>
      <c r="X87" s="239"/>
      <c r="Y87" s="239"/>
      <c r="Z87" s="239"/>
      <c r="AA87" s="239"/>
      <c r="AB87" s="239"/>
      <c r="AC87" s="239"/>
      <c r="AD87" s="239"/>
      <c r="AE87" s="239"/>
      <c r="AF87" s="239"/>
      <c r="AG87" s="239"/>
      <c r="AH87" s="239"/>
      <c r="AI87" s="239"/>
      <c r="AJ87" s="239"/>
      <c r="AK87" s="239"/>
      <c r="AL87" s="239"/>
      <c r="AM87" s="239"/>
      <c r="AN87" s="239"/>
      <c r="AO87" s="239"/>
      <c r="AP87" s="239"/>
      <c r="AQ87" s="239"/>
      <c r="AR87" s="136"/>
      <c r="AS87" s="136"/>
      <c r="AT87" s="131"/>
      <c r="AU87" s="131"/>
      <c r="AV87" s="240"/>
      <c r="AW87" s="240"/>
      <c r="AX87" s="240"/>
      <c r="AY87" s="240"/>
      <c r="AZ87" s="240"/>
      <c r="BA87" s="240"/>
      <c r="BB87" s="240"/>
      <c r="BC87" s="240"/>
      <c r="BD87" s="240"/>
      <c r="BE87" s="240"/>
      <c r="BF87" s="173"/>
      <c r="BG87" s="173"/>
      <c r="BH87" s="173"/>
      <c r="BI87" s="173"/>
      <c r="BJ87" s="173"/>
      <c r="BK87" s="173"/>
      <c r="BL87" s="173"/>
      <c r="BM87" s="1"/>
      <c r="BN87" s="1"/>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row>
    <row r="88" spans="1:98" hidden="1">
      <c r="A88" s="383"/>
      <c r="B88" s="387"/>
      <c r="C88" s="387"/>
      <c r="D88" s="387"/>
      <c r="E88" s="387"/>
      <c r="F88" s="387"/>
      <c r="G88" s="387"/>
      <c r="H88" s="387"/>
      <c r="I88" s="387"/>
      <c r="J88" s="387"/>
      <c r="K88" s="387"/>
      <c r="L88" s="388"/>
      <c r="M88" s="388"/>
      <c r="N88" s="388"/>
      <c r="O88" s="388"/>
      <c r="P88" s="388"/>
      <c r="Q88" s="388"/>
      <c r="R88" s="388"/>
      <c r="S88" s="388"/>
      <c r="T88" s="388"/>
      <c r="U88" s="388"/>
      <c r="V88" s="388"/>
      <c r="W88" s="388"/>
      <c r="X88" s="388"/>
      <c r="Y88" s="388"/>
      <c r="Z88" s="388"/>
      <c r="AA88" s="388"/>
      <c r="AB88" s="388"/>
      <c r="AC88" s="388"/>
      <c r="AD88" s="388"/>
      <c r="AE88" s="388"/>
      <c r="AF88" s="388"/>
      <c r="AG88" s="388"/>
      <c r="AH88" s="388"/>
      <c r="AI88" s="388"/>
      <c r="AJ88" s="388"/>
      <c r="AK88" s="388"/>
      <c r="AL88" s="388"/>
      <c r="AM88" s="388"/>
      <c r="AN88" s="388"/>
      <c r="AO88" s="388"/>
      <c r="AP88" s="388"/>
      <c r="AQ88" s="388"/>
      <c r="AR88" s="389"/>
      <c r="AS88" s="389"/>
      <c r="AT88" s="131"/>
      <c r="AU88" s="200"/>
      <c r="AV88" s="130"/>
      <c r="AW88" s="206"/>
      <c r="AX88" s="206"/>
      <c r="AY88" s="240"/>
      <c r="AZ88" s="240"/>
      <c r="BA88" s="240"/>
      <c r="BB88" s="240"/>
      <c r="BC88" s="106"/>
      <c r="BD88" s="106"/>
      <c r="BE88" s="106"/>
      <c r="BF88" s="105"/>
      <c r="BG88" s="105"/>
      <c r="BH88" s="105"/>
      <c r="BI88" s="105"/>
      <c r="BJ88" s="105"/>
      <c r="BK88" s="105"/>
      <c r="BL88" s="105"/>
    </row>
    <row r="89" spans="1:98" hidden="1">
      <c r="A89" s="383"/>
      <c r="B89" s="387"/>
      <c r="C89" s="383"/>
      <c r="D89" s="383"/>
      <c r="E89" s="383"/>
      <c r="F89" s="383"/>
      <c r="G89" s="383"/>
      <c r="H89" s="383"/>
      <c r="I89" s="383"/>
      <c r="J89" s="383"/>
      <c r="K89" s="383"/>
      <c r="L89" s="383"/>
      <c r="M89" s="383"/>
      <c r="N89" s="383"/>
      <c r="O89" s="390"/>
      <c r="P89" s="383"/>
      <c r="Q89" s="383"/>
      <c r="R89" s="383"/>
      <c r="S89" s="383"/>
      <c r="T89" s="383"/>
      <c r="U89" s="383"/>
      <c r="V89" s="383"/>
      <c r="W89" s="383"/>
      <c r="X89" s="383"/>
      <c r="Y89" s="383"/>
      <c r="Z89" s="383"/>
      <c r="AA89" s="383"/>
      <c r="AB89" s="383"/>
      <c r="AC89" s="383"/>
      <c r="AD89" s="383"/>
      <c r="AE89" s="383"/>
      <c r="AF89" s="383"/>
      <c r="AG89" s="383"/>
      <c r="AH89" s="383"/>
      <c r="AI89" s="383"/>
      <c r="AJ89" s="383"/>
      <c r="AK89" s="383"/>
      <c r="AL89" s="383"/>
      <c r="AM89" s="383"/>
      <c r="AN89" s="383"/>
      <c r="AO89" s="383"/>
      <c r="AP89" s="383"/>
      <c r="AQ89" s="383"/>
      <c r="AR89" s="391"/>
      <c r="AS89" s="131"/>
      <c r="AT89" s="131"/>
      <c r="AU89" s="5803"/>
      <c r="AV89" s="5803"/>
      <c r="AW89" s="5803"/>
      <c r="AX89" s="5803"/>
      <c r="AY89" s="131"/>
      <c r="AZ89" s="131"/>
      <c r="BA89" s="131"/>
      <c r="BB89" s="131"/>
      <c r="BC89" s="104"/>
      <c r="BD89" s="104"/>
      <c r="BE89" s="104"/>
      <c r="BF89" s="105"/>
      <c r="BG89" s="105"/>
      <c r="BH89" s="105"/>
      <c r="BI89" s="105"/>
      <c r="BJ89" s="105"/>
      <c r="BK89" s="105"/>
      <c r="BL89" s="105"/>
    </row>
    <row r="90" spans="1:98" hidden="1">
      <c r="A90" s="383"/>
      <c r="B90" s="387"/>
      <c r="C90" s="383"/>
      <c r="D90" s="383"/>
      <c r="E90" s="383"/>
      <c r="F90" s="383"/>
      <c r="G90" s="383"/>
      <c r="H90" s="383"/>
      <c r="I90" s="383"/>
      <c r="J90" s="383"/>
      <c r="K90" s="383"/>
      <c r="L90" s="383"/>
      <c r="M90" s="383"/>
      <c r="N90" s="383"/>
      <c r="O90" s="390"/>
      <c r="P90" s="383"/>
      <c r="Q90" s="383"/>
      <c r="R90" s="383"/>
      <c r="S90" s="383"/>
      <c r="T90" s="383"/>
      <c r="U90" s="383"/>
      <c r="V90" s="383"/>
      <c r="W90" s="383"/>
      <c r="X90" s="383"/>
      <c r="Y90" s="383"/>
      <c r="Z90" s="383"/>
      <c r="AA90" s="383"/>
      <c r="AB90" s="383"/>
      <c r="AC90" s="383"/>
      <c r="AD90" s="383"/>
      <c r="AE90" s="383"/>
      <c r="AF90" s="383"/>
      <c r="AG90" s="383"/>
      <c r="AH90" s="383"/>
      <c r="AI90" s="383"/>
      <c r="AJ90" s="383"/>
      <c r="AK90" s="383"/>
      <c r="AL90" s="383"/>
      <c r="AM90" s="383"/>
      <c r="AN90" s="383"/>
      <c r="AO90" s="383"/>
      <c r="AP90" s="383"/>
      <c r="AQ90" s="383"/>
      <c r="AR90" s="391"/>
      <c r="AS90" s="131"/>
      <c r="AT90" s="131"/>
      <c r="AU90" s="376"/>
      <c r="AV90" s="130"/>
      <c r="AW90" s="210"/>
      <c r="AX90" s="130"/>
      <c r="AY90" s="131"/>
      <c r="AZ90" s="131"/>
      <c r="BA90" s="131"/>
      <c r="BB90" s="131"/>
      <c r="BC90" s="104"/>
      <c r="BD90" s="104"/>
      <c r="BE90" s="104"/>
      <c r="BF90" s="105"/>
      <c r="BG90" s="105"/>
      <c r="BH90" s="105"/>
      <c r="BI90" s="105"/>
      <c r="BJ90" s="105"/>
      <c r="BK90" s="105"/>
      <c r="BL90" s="105"/>
    </row>
    <row r="91" spans="1:98" hidden="1">
      <c r="A91" s="383"/>
      <c r="B91" s="387"/>
      <c r="C91" s="383"/>
      <c r="D91" s="383"/>
      <c r="E91" s="383"/>
      <c r="F91" s="383"/>
      <c r="G91" s="383"/>
      <c r="H91" s="383"/>
      <c r="I91" s="383"/>
      <c r="J91" s="383"/>
      <c r="K91" s="383"/>
      <c r="L91" s="383"/>
      <c r="M91" s="383"/>
      <c r="N91" s="383"/>
      <c r="O91" s="390"/>
      <c r="P91" s="383"/>
      <c r="Q91" s="383"/>
      <c r="R91" s="383"/>
      <c r="S91" s="383"/>
      <c r="T91" s="383"/>
      <c r="U91" s="383"/>
      <c r="V91" s="383"/>
      <c r="W91" s="383"/>
      <c r="X91" s="383"/>
      <c r="Y91" s="383"/>
      <c r="Z91" s="383"/>
      <c r="AA91" s="383"/>
      <c r="AB91" s="383"/>
      <c r="AC91" s="383"/>
      <c r="AD91" s="383"/>
      <c r="AE91" s="383"/>
      <c r="AF91" s="383"/>
      <c r="AG91" s="383"/>
      <c r="AH91" s="383"/>
      <c r="AI91" s="383"/>
      <c r="AJ91" s="383"/>
      <c r="AK91" s="383"/>
      <c r="AL91" s="383"/>
      <c r="AM91" s="383"/>
      <c r="AN91" s="383"/>
      <c r="AO91" s="383"/>
      <c r="AP91" s="383"/>
      <c r="AQ91" s="383"/>
      <c r="AR91" s="391"/>
      <c r="AS91" s="131"/>
      <c r="AT91" s="131"/>
      <c r="AU91" s="5803"/>
      <c r="AV91" s="5803"/>
      <c r="AW91" s="5803"/>
      <c r="AX91" s="5803"/>
      <c r="AY91" s="131"/>
      <c r="AZ91" s="131"/>
      <c r="BA91" s="131"/>
      <c r="BB91" s="131"/>
      <c r="BC91" s="104"/>
      <c r="BD91" s="104"/>
      <c r="BE91" s="104"/>
      <c r="BF91" s="105"/>
      <c r="BG91" s="105"/>
      <c r="BH91" s="105"/>
      <c r="BI91" s="105"/>
      <c r="BJ91" s="105"/>
      <c r="BK91" s="105"/>
      <c r="BL91" s="105"/>
    </row>
    <row r="92" spans="1:98" hidden="1">
      <c r="A92" s="383"/>
      <c r="B92" s="387"/>
      <c r="C92" s="383"/>
      <c r="D92" s="383"/>
      <c r="E92" s="383"/>
      <c r="F92" s="383"/>
      <c r="G92" s="383"/>
      <c r="H92" s="383"/>
      <c r="I92" s="383"/>
      <c r="J92" s="383"/>
      <c r="K92" s="383"/>
      <c r="L92" s="383"/>
      <c r="M92" s="383"/>
      <c r="N92" s="383"/>
      <c r="O92" s="390"/>
      <c r="P92" s="383"/>
      <c r="Q92" s="383"/>
      <c r="R92" s="383"/>
      <c r="S92" s="383"/>
      <c r="T92" s="383"/>
      <c r="U92" s="383"/>
      <c r="V92" s="383"/>
      <c r="W92" s="383"/>
      <c r="X92" s="383"/>
      <c r="Y92" s="383"/>
      <c r="Z92" s="383"/>
      <c r="AA92" s="383"/>
      <c r="AB92" s="383"/>
      <c r="AC92" s="383"/>
      <c r="AD92" s="383"/>
      <c r="AE92" s="383"/>
      <c r="AF92" s="383"/>
      <c r="AG92" s="383"/>
      <c r="AH92" s="383"/>
      <c r="AI92" s="383"/>
      <c r="AJ92" s="383"/>
      <c r="AK92" s="383"/>
      <c r="AL92" s="383"/>
      <c r="AM92" s="383"/>
      <c r="AN92" s="383"/>
      <c r="AO92" s="383"/>
      <c r="AP92" s="383"/>
      <c r="AQ92" s="383"/>
      <c r="AR92" s="131"/>
      <c r="AS92" s="131"/>
      <c r="AT92" s="131"/>
      <c r="AU92" s="215"/>
      <c r="AV92" s="215"/>
      <c r="AW92" s="210"/>
      <c r="AX92" s="215"/>
      <c r="AY92" s="131"/>
      <c r="AZ92" s="131"/>
      <c r="BA92" s="131"/>
      <c r="BB92" s="131"/>
      <c r="BC92" s="104"/>
      <c r="BD92" s="104"/>
      <c r="BE92" s="104"/>
      <c r="BF92" s="105"/>
      <c r="BG92" s="105"/>
      <c r="BH92" s="105"/>
      <c r="BI92" s="105"/>
      <c r="BJ92" s="105"/>
      <c r="BK92" s="105"/>
      <c r="BL92" s="105"/>
    </row>
    <row r="93" spans="1:98" hidden="1">
      <c r="A93" s="383"/>
      <c r="B93" s="387"/>
      <c r="C93" s="387"/>
      <c r="D93" s="387"/>
      <c r="E93" s="383"/>
      <c r="F93" s="387"/>
      <c r="G93" s="387"/>
      <c r="H93" s="387"/>
      <c r="I93" s="387"/>
      <c r="J93" s="387"/>
      <c r="K93" s="387"/>
      <c r="L93" s="387"/>
      <c r="M93" s="387"/>
      <c r="N93" s="387"/>
      <c r="O93" s="392"/>
      <c r="P93" s="387"/>
      <c r="Q93" s="387"/>
      <c r="R93" s="387"/>
      <c r="S93" s="387"/>
      <c r="T93" s="387"/>
      <c r="U93" s="387"/>
      <c r="V93" s="387"/>
      <c r="W93" s="387"/>
      <c r="X93" s="387"/>
      <c r="Y93" s="387"/>
      <c r="Z93" s="387"/>
      <c r="AA93" s="387"/>
      <c r="AB93" s="387"/>
      <c r="AC93" s="387"/>
      <c r="AD93" s="387"/>
      <c r="AE93" s="387"/>
      <c r="AF93" s="387"/>
      <c r="AG93" s="387"/>
      <c r="AH93" s="387"/>
      <c r="AI93" s="387"/>
      <c r="AJ93" s="387"/>
      <c r="AK93" s="387"/>
      <c r="AL93" s="387"/>
      <c r="AM93" s="387"/>
      <c r="AN93" s="387"/>
      <c r="AO93" s="387"/>
      <c r="AP93" s="387"/>
      <c r="AQ93" s="387"/>
      <c r="AR93" s="393"/>
      <c r="AS93" s="393"/>
      <c r="AT93" s="131"/>
      <c r="AU93" s="215"/>
      <c r="AV93" s="5788"/>
      <c r="AW93" s="5788"/>
      <c r="AX93" s="5788"/>
      <c r="AY93" s="131"/>
      <c r="AZ93" s="131"/>
      <c r="BA93" s="131"/>
      <c r="BB93" s="131"/>
      <c r="BC93" s="104"/>
      <c r="BD93" s="104"/>
      <c r="BE93" s="104"/>
      <c r="BF93" s="105"/>
      <c r="BG93" s="105"/>
      <c r="BH93" s="105"/>
      <c r="BI93" s="105"/>
      <c r="BJ93" s="105"/>
      <c r="BK93" s="105"/>
      <c r="BL93" s="105"/>
    </row>
    <row r="94" spans="1:98" hidden="1">
      <c r="A94" s="350"/>
      <c r="B94" s="350"/>
      <c r="C94" s="350"/>
      <c r="D94" s="350"/>
      <c r="E94" s="350"/>
      <c r="F94" s="350"/>
      <c r="G94" s="350"/>
      <c r="H94" s="350"/>
      <c r="I94" s="350"/>
      <c r="J94" s="350"/>
      <c r="K94" s="350"/>
      <c r="L94" s="350"/>
      <c r="M94" s="383"/>
      <c r="N94" s="350"/>
      <c r="O94" s="350"/>
      <c r="P94" s="350"/>
      <c r="Q94" s="350"/>
      <c r="R94" s="350"/>
      <c r="S94" s="350"/>
      <c r="T94" s="350"/>
      <c r="U94" s="350"/>
      <c r="V94" s="350"/>
      <c r="W94" s="350"/>
      <c r="X94" s="350"/>
      <c r="Y94" s="350"/>
      <c r="Z94" s="350"/>
      <c r="AA94" s="350"/>
      <c r="AB94" s="350"/>
      <c r="AC94" s="350"/>
      <c r="AD94" s="350"/>
      <c r="AE94" s="350"/>
      <c r="AF94" s="350"/>
      <c r="AG94" s="350"/>
      <c r="AH94" s="350"/>
      <c r="AI94" s="350"/>
      <c r="AJ94" s="350"/>
      <c r="AK94" s="350"/>
      <c r="AL94" s="350"/>
      <c r="AM94" s="350"/>
      <c r="AN94" s="350"/>
      <c r="AO94" s="350"/>
      <c r="AP94" s="350"/>
      <c r="AQ94" s="350"/>
      <c r="AR94" s="131"/>
      <c r="AS94" s="131"/>
      <c r="AT94" s="131"/>
      <c r="AU94" s="208"/>
      <c r="AV94" s="5789"/>
      <c r="AW94" s="5789"/>
      <c r="AX94" s="5789"/>
      <c r="AY94" s="131"/>
      <c r="AZ94" s="131"/>
      <c r="BA94" s="131"/>
      <c r="BB94" s="131"/>
      <c r="BC94" s="104"/>
      <c r="BD94" s="104"/>
      <c r="BE94" s="104"/>
      <c r="BF94" s="105"/>
      <c r="BG94" s="105"/>
      <c r="BH94" s="105"/>
      <c r="BI94" s="105"/>
      <c r="BJ94" s="105"/>
      <c r="BK94" s="105"/>
      <c r="BL94" s="105"/>
    </row>
    <row r="95" spans="1:98" hidden="1">
      <c r="A95" s="350"/>
      <c r="B95" s="350"/>
      <c r="C95" s="350"/>
      <c r="D95" s="350"/>
      <c r="E95" s="350"/>
      <c r="F95" s="350"/>
      <c r="G95" s="350"/>
      <c r="H95" s="350"/>
      <c r="I95" s="350"/>
      <c r="J95" s="350"/>
      <c r="K95" s="350"/>
      <c r="L95" s="350"/>
      <c r="M95" s="350"/>
      <c r="N95" s="350"/>
      <c r="O95" s="350"/>
      <c r="P95" s="350"/>
      <c r="Q95" s="350"/>
      <c r="R95" s="350"/>
      <c r="S95" s="350"/>
      <c r="T95" s="350"/>
      <c r="U95" s="350"/>
      <c r="V95" s="350"/>
      <c r="W95" s="350"/>
      <c r="X95" s="350"/>
      <c r="Y95" s="350"/>
      <c r="Z95" s="350"/>
      <c r="AA95" s="350"/>
      <c r="AB95" s="350"/>
      <c r="AC95" s="350"/>
      <c r="AD95" s="350"/>
      <c r="AE95" s="350"/>
      <c r="AF95" s="350"/>
      <c r="AG95" s="350"/>
      <c r="AH95" s="350"/>
      <c r="AI95" s="350"/>
      <c r="AJ95" s="350"/>
      <c r="AK95" s="350"/>
      <c r="AL95" s="350"/>
      <c r="AM95" s="350"/>
      <c r="AN95" s="350"/>
      <c r="AO95" s="350"/>
      <c r="AP95" s="350"/>
      <c r="AQ95" s="350"/>
      <c r="AR95" s="131"/>
      <c r="AS95" s="131"/>
      <c r="AT95" s="131"/>
      <c r="AU95" s="131"/>
      <c r="AV95" s="131"/>
      <c r="AW95" s="131"/>
      <c r="AX95" s="131"/>
      <c r="AY95" s="131"/>
      <c r="AZ95" s="131"/>
      <c r="BA95" s="131"/>
      <c r="BB95" s="131"/>
      <c r="BC95" s="104"/>
      <c r="BD95" s="104"/>
      <c r="BE95" s="104"/>
      <c r="BF95" s="105"/>
      <c r="BG95" s="105"/>
      <c r="BH95" s="105"/>
      <c r="BI95" s="105"/>
      <c r="BJ95" s="105"/>
      <c r="BK95" s="105"/>
      <c r="BL95" s="105"/>
    </row>
    <row r="96" spans="1:98" hidden="1">
      <c r="A96" s="350"/>
      <c r="B96" s="350"/>
      <c r="C96" s="350"/>
      <c r="D96" s="350"/>
      <c r="E96" s="350"/>
      <c r="F96" s="350"/>
      <c r="G96" s="350"/>
      <c r="H96" s="350"/>
      <c r="I96" s="350"/>
      <c r="J96" s="350"/>
      <c r="K96" s="350"/>
      <c r="L96" s="350"/>
      <c r="M96" s="350"/>
      <c r="N96" s="350"/>
      <c r="O96" s="350"/>
      <c r="P96" s="350"/>
      <c r="Q96" s="350"/>
      <c r="R96" s="350"/>
      <c r="S96" s="350"/>
      <c r="T96" s="350"/>
      <c r="U96" s="350"/>
      <c r="V96" s="350"/>
      <c r="W96" s="350"/>
      <c r="X96" s="350"/>
      <c r="Y96" s="350"/>
      <c r="Z96" s="350"/>
      <c r="AA96" s="350"/>
      <c r="AB96" s="350"/>
      <c r="AC96" s="350"/>
      <c r="AD96" s="350"/>
      <c r="AE96" s="350"/>
      <c r="AF96" s="350"/>
      <c r="AG96" s="350"/>
      <c r="AH96" s="350"/>
      <c r="AI96" s="350"/>
      <c r="AJ96" s="350"/>
      <c r="AK96" s="350"/>
      <c r="AL96" s="350"/>
      <c r="AM96" s="350"/>
      <c r="AN96" s="350"/>
      <c r="AO96" s="350"/>
      <c r="AP96" s="350"/>
      <c r="AQ96" s="350"/>
      <c r="AR96" s="131"/>
      <c r="AS96" s="131"/>
      <c r="AT96" s="131"/>
      <c r="AU96" s="131"/>
      <c r="AV96" s="131"/>
      <c r="AW96" s="131"/>
      <c r="AX96" s="131"/>
      <c r="AY96" s="131"/>
      <c r="AZ96" s="131"/>
      <c r="BA96" s="131"/>
      <c r="BB96" s="131"/>
      <c r="BC96" s="104"/>
      <c r="BD96" s="104"/>
      <c r="BE96" s="104"/>
      <c r="BF96" s="105"/>
      <c r="BG96" s="105"/>
      <c r="BH96" s="105"/>
      <c r="BI96" s="105"/>
      <c r="BJ96" s="105"/>
      <c r="BK96" s="105"/>
      <c r="BL96" s="105"/>
    </row>
    <row r="97" spans="1:64" hidden="1">
      <c r="A97" s="350"/>
      <c r="B97" s="350"/>
      <c r="C97" s="350"/>
      <c r="D97" s="350"/>
      <c r="E97" s="350"/>
      <c r="F97" s="350"/>
      <c r="G97" s="350"/>
      <c r="H97" s="350"/>
      <c r="I97" s="350"/>
      <c r="J97" s="350"/>
      <c r="K97" s="350"/>
      <c r="L97" s="350"/>
      <c r="M97" s="350"/>
      <c r="N97" s="350"/>
      <c r="O97" s="350"/>
      <c r="P97" s="350"/>
      <c r="Q97" s="350"/>
      <c r="R97" s="350"/>
      <c r="S97" s="350"/>
      <c r="T97" s="350"/>
      <c r="U97" s="350"/>
      <c r="V97" s="350"/>
      <c r="W97" s="350"/>
      <c r="X97" s="350"/>
      <c r="Y97" s="350"/>
      <c r="Z97" s="350"/>
      <c r="AA97" s="350"/>
      <c r="AB97" s="350"/>
      <c r="AC97" s="350"/>
      <c r="AD97" s="350"/>
      <c r="AE97" s="350"/>
      <c r="AF97" s="350"/>
      <c r="AG97" s="350"/>
      <c r="AH97" s="350"/>
      <c r="AI97" s="350"/>
      <c r="AJ97" s="350"/>
      <c r="AK97" s="350"/>
      <c r="AL97" s="350"/>
      <c r="AM97" s="350"/>
      <c r="AN97" s="350"/>
      <c r="AO97" s="350"/>
      <c r="AP97" s="350"/>
      <c r="AQ97" s="350"/>
      <c r="AR97" s="131"/>
      <c r="AS97" s="131"/>
      <c r="AT97" s="131"/>
      <c r="AU97" s="131"/>
      <c r="AV97" s="131"/>
      <c r="AW97" s="131"/>
      <c r="AX97" s="131"/>
      <c r="AY97" s="131"/>
      <c r="AZ97" s="131"/>
      <c r="BA97" s="131"/>
      <c r="BB97" s="131"/>
      <c r="BC97" s="104"/>
      <c r="BD97" s="104"/>
      <c r="BE97" s="104"/>
      <c r="BF97" s="105"/>
      <c r="BG97" s="105"/>
      <c r="BH97" s="105"/>
      <c r="BI97" s="105"/>
      <c r="BJ97" s="105"/>
      <c r="BK97" s="105"/>
      <c r="BL97" s="105"/>
    </row>
    <row r="98" spans="1:64" hidden="1">
      <c r="A98" s="350"/>
      <c r="B98" s="350"/>
      <c r="C98" s="350"/>
      <c r="D98" s="350"/>
      <c r="E98" s="350"/>
      <c r="F98" s="350"/>
      <c r="G98" s="350"/>
      <c r="H98" s="350"/>
      <c r="I98" s="350"/>
      <c r="J98" s="350"/>
      <c r="K98" s="350"/>
      <c r="L98" s="350"/>
      <c r="M98" s="350"/>
      <c r="N98" s="350"/>
      <c r="O98" s="350"/>
      <c r="P98" s="350"/>
      <c r="Q98" s="350"/>
      <c r="R98" s="350"/>
      <c r="S98" s="350"/>
      <c r="T98" s="350"/>
      <c r="U98" s="350"/>
      <c r="V98" s="350"/>
      <c r="W98" s="350"/>
      <c r="X98" s="350"/>
      <c r="Y98" s="350"/>
      <c r="Z98" s="350"/>
      <c r="AA98" s="350"/>
      <c r="AB98" s="350"/>
      <c r="AC98" s="350"/>
      <c r="AD98" s="350"/>
      <c r="AE98" s="350"/>
      <c r="AF98" s="350"/>
      <c r="AG98" s="350"/>
      <c r="AH98" s="350"/>
      <c r="AI98" s="350"/>
      <c r="AJ98" s="350"/>
      <c r="AK98" s="350"/>
      <c r="AL98" s="350"/>
      <c r="AM98" s="350"/>
      <c r="AN98" s="350"/>
      <c r="AO98" s="350"/>
      <c r="AP98" s="350"/>
      <c r="AQ98" s="350"/>
      <c r="AR98" s="131"/>
      <c r="AS98" s="131"/>
      <c r="AT98" s="170"/>
      <c r="AU98" s="394"/>
      <c r="AV98" s="131"/>
      <c r="AW98" s="395"/>
      <c r="AX98" s="232"/>
      <c r="AY98" s="396"/>
      <c r="AZ98" s="396"/>
      <c r="BA98" s="131"/>
      <c r="BB98" s="131"/>
      <c r="BC98" s="104"/>
      <c r="BD98" s="104"/>
      <c r="BE98" s="104"/>
      <c r="BF98" s="105"/>
      <c r="BG98" s="105"/>
      <c r="BH98" s="105"/>
      <c r="BI98" s="105"/>
      <c r="BJ98" s="105"/>
      <c r="BK98" s="105"/>
      <c r="BL98" s="105"/>
    </row>
    <row r="99" spans="1:64" hidden="1">
      <c r="A99" s="350"/>
      <c r="B99" s="350"/>
      <c r="C99" s="350"/>
      <c r="D99" s="350"/>
      <c r="E99" s="350"/>
      <c r="F99" s="350"/>
      <c r="G99" s="350"/>
      <c r="H99" s="350"/>
      <c r="I99" s="350"/>
      <c r="J99" s="350"/>
      <c r="K99" s="350"/>
      <c r="L99" s="350"/>
      <c r="M99" s="350"/>
      <c r="N99" s="350"/>
      <c r="O99" s="350"/>
      <c r="P99" s="350"/>
      <c r="Q99" s="350"/>
      <c r="R99" s="350"/>
      <c r="S99" s="350"/>
      <c r="T99" s="350"/>
      <c r="U99" s="350"/>
      <c r="V99" s="350"/>
      <c r="W99" s="350"/>
      <c r="X99" s="350"/>
      <c r="Y99" s="350"/>
      <c r="Z99" s="350"/>
      <c r="AA99" s="350"/>
      <c r="AB99" s="350"/>
      <c r="AC99" s="350"/>
      <c r="AD99" s="350"/>
      <c r="AE99" s="350"/>
      <c r="AF99" s="350"/>
      <c r="AG99" s="350"/>
      <c r="AH99" s="350"/>
      <c r="AI99" s="350"/>
      <c r="AJ99" s="350"/>
      <c r="AK99" s="350"/>
      <c r="AL99" s="350"/>
      <c r="AM99" s="350"/>
      <c r="AN99" s="350"/>
      <c r="AO99" s="350"/>
      <c r="AP99" s="350"/>
      <c r="AQ99" s="350"/>
      <c r="AR99" s="131"/>
      <c r="AS99" s="131"/>
      <c r="AT99" s="170"/>
      <c r="AU99" s="397"/>
      <c r="AV99" s="131"/>
      <c r="AW99" s="395"/>
      <c r="AX99" s="232"/>
      <c r="AY99" s="396"/>
      <c r="AZ99" s="396"/>
      <c r="BA99" s="131"/>
      <c r="BB99" s="131"/>
      <c r="BC99" s="104"/>
      <c r="BD99" s="104"/>
      <c r="BE99" s="104"/>
      <c r="BF99" s="105"/>
      <c r="BG99" s="105"/>
      <c r="BH99" s="105"/>
      <c r="BI99" s="105"/>
      <c r="BJ99" s="105"/>
      <c r="BK99" s="105"/>
      <c r="BL99" s="105"/>
    </row>
    <row r="100" spans="1:64" hidden="1">
      <c r="A100" s="350"/>
      <c r="B100" s="350"/>
      <c r="C100" s="350"/>
      <c r="D100" s="350"/>
      <c r="E100" s="350"/>
      <c r="F100" s="350"/>
      <c r="G100" s="350"/>
      <c r="H100" s="350"/>
      <c r="I100" s="350"/>
      <c r="J100" s="350"/>
      <c r="K100" s="350"/>
      <c r="L100" s="350"/>
      <c r="M100" s="350"/>
      <c r="N100" s="350"/>
      <c r="O100" s="350"/>
      <c r="P100" s="350"/>
      <c r="Q100" s="350"/>
      <c r="R100" s="350"/>
      <c r="S100" s="350"/>
      <c r="T100" s="350"/>
      <c r="U100" s="350"/>
      <c r="V100" s="350"/>
      <c r="W100" s="350"/>
      <c r="X100" s="350"/>
      <c r="Y100" s="350"/>
      <c r="Z100" s="350"/>
      <c r="AA100" s="350"/>
      <c r="AB100" s="350"/>
      <c r="AC100" s="350"/>
      <c r="AD100" s="350"/>
      <c r="AE100" s="350"/>
      <c r="AF100" s="350"/>
      <c r="AG100" s="350"/>
      <c r="AH100" s="350"/>
      <c r="AI100" s="350"/>
      <c r="AJ100" s="350"/>
      <c r="AK100" s="350"/>
      <c r="AL100" s="350"/>
      <c r="AM100" s="350"/>
      <c r="AN100" s="350"/>
      <c r="AO100" s="350"/>
      <c r="AP100" s="350"/>
      <c r="AQ100" s="350"/>
      <c r="AR100" s="131"/>
      <c r="AS100" s="131"/>
      <c r="AT100" s="131"/>
      <c r="AU100" s="131"/>
      <c r="AV100" s="131"/>
      <c r="AW100" s="131"/>
      <c r="AX100" s="131"/>
      <c r="AY100" s="131"/>
      <c r="AZ100" s="131"/>
      <c r="BA100" s="131"/>
      <c r="BB100" s="131"/>
      <c r="BC100" s="104"/>
      <c r="BD100" s="104"/>
      <c r="BE100" s="104"/>
      <c r="BF100" s="105"/>
      <c r="BG100" s="105"/>
      <c r="BH100" s="105"/>
      <c r="BI100" s="105"/>
      <c r="BJ100" s="105"/>
      <c r="BK100" s="105"/>
      <c r="BL100" s="105"/>
    </row>
    <row r="101" spans="1:64" hidden="1">
      <c r="A101" s="350"/>
      <c r="B101" s="350"/>
      <c r="C101" s="350"/>
      <c r="D101" s="350"/>
      <c r="E101" s="350"/>
      <c r="F101" s="350"/>
      <c r="G101" s="350"/>
      <c r="H101" s="350"/>
      <c r="I101" s="350"/>
      <c r="J101" s="350"/>
      <c r="K101" s="350"/>
      <c r="L101" s="350"/>
      <c r="M101" s="350"/>
      <c r="N101" s="350"/>
      <c r="O101" s="350"/>
      <c r="P101" s="350"/>
      <c r="Q101" s="350"/>
      <c r="R101" s="350"/>
      <c r="S101" s="350"/>
      <c r="T101" s="350"/>
      <c r="U101" s="350"/>
      <c r="V101" s="350"/>
      <c r="W101" s="350"/>
      <c r="X101" s="350"/>
      <c r="Y101" s="350"/>
      <c r="Z101" s="350"/>
      <c r="AA101" s="350"/>
      <c r="AB101" s="350"/>
      <c r="AC101" s="350"/>
      <c r="AD101" s="350"/>
      <c r="AE101" s="350"/>
      <c r="AF101" s="350"/>
      <c r="AG101" s="350"/>
      <c r="AH101" s="350"/>
      <c r="AI101" s="350"/>
      <c r="AJ101" s="350"/>
      <c r="AK101" s="350"/>
      <c r="AL101" s="350"/>
      <c r="AM101" s="350"/>
      <c r="AN101" s="350"/>
      <c r="AO101" s="350"/>
      <c r="AP101" s="350"/>
      <c r="AQ101" s="350"/>
      <c r="AR101" s="131"/>
      <c r="AS101" s="208"/>
      <c r="AT101" s="398"/>
      <c r="AU101" s="131"/>
      <c r="AV101" s="131"/>
      <c r="AW101" s="131"/>
      <c r="AX101" s="131"/>
      <c r="AY101" s="131"/>
      <c r="AZ101" s="131"/>
      <c r="BA101" s="131"/>
      <c r="BB101" s="131"/>
      <c r="BC101" s="104"/>
      <c r="BD101" s="104"/>
      <c r="BE101" s="104"/>
      <c r="BF101" s="105"/>
      <c r="BG101" s="105"/>
      <c r="BH101" s="105"/>
      <c r="BI101" s="105"/>
      <c r="BJ101" s="105"/>
      <c r="BK101" s="105"/>
      <c r="BL101" s="105"/>
    </row>
    <row r="102" spans="1:64" hidden="1">
      <c r="A102" s="350"/>
      <c r="B102" s="350"/>
      <c r="C102" s="350"/>
      <c r="D102" s="350"/>
      <c r="E102" s="350"/>
      <c r="F102" s="350"/>
      <c r="G102" s="350"/>
      <c r="H102" s="350"/>
      <c r="I102" s="350"/>
      <c r="J102" s="350"/>
      <c r="K102" s="350"/>
      <c r="L102" s="350"/>
      <c r="M102" s="350"/>
      <c r="N102" s="350"/>
      <c r="O102" s="350"/>
      <c r="P102" s="350"/>
      <c r="Q102" s="350"/>
      <c r="R102" s="350"/>
      <c r="S102" s="350"/>
      <c r="T102" s="350"/>
      <c r="U102" s="350"/>
      <c r="V102" s="350"/>
      <c r="W102" s="350"/>
      <c r="X102" s="350"/>
      <c r="Y102" s="350"/>
      <c r="Z102" s="350"/>
      <c r="AA102" s="350"/>
      <c r="AB102" s="350"/>
      <c r="AC102" s="350"/>
      <c r="AD102" s="350"/>
      <c r="AE102" s="350"/>
      <c r="AF102" s="350"/>
      <c r="AG102" s="350"/>
      <c r="AH102" s="350"/>
      <c r="AI102" s="350"/>
      <c r="AJ102" s="350"/>
      <c r="AK102" s="350"/>
      <c r="AL102" s="350"/>
      <c r="AM102" s="350"/>
      <c r="AN102" s="350"/>
      <c r="AO102" s="350"/>
      <c r="AP102" s="350"/>
      <c r="AQ102" s="350"/>
      <c r="AR102" s="131"/>
      <c r="AS102" s="208"/>
      <c r="AT102" s="398"/>
      <c r="AU102" s="131"/>
      <c r="AV102" s="176"/>
      <c r="AW102" s="131"/>
      <c r="AX102" s="131"/>
      <c r="AY102" s="131"/>
      <c r="AZ102" s="131"/>
      <c r="BA102" s="131"/>
      <c r="BB102" s="131"/>
      <c r="BC102" s="104"/>
      <c r="BD102" s="104"/>
      <c r="BE102" s="104"/>
      <c r="BF102" s="105"/>
      <c r="BG102" s="105"/>
      <c r="BH102" s="105"/>
      <c r="BI102" s="105"/>
      <c r="BJ102" s="105"/>
      <c r="BK102" s="105"/>
      <c r="BL102" s="105"/>
    </row>
    <row r="103" spans="1:64" hidden="1">
      <c r="A103" s="350"/>
      <c r="B103" s="350"/>
      <c r="C103" s="350"/>
      <c r="D103" s="350"/>
      <c r="E103" s="350"/>
      <c r="F103" s="350"/>
      <c r="G103" s="350"/>
      <c r="H103" s="350"/>
      <c r="I103" s="350"/>
      <c r="J103" s="350"/>
      <c r="K103" s="350"/>
      <c r="L103" s="350"/>
      <c r="M103" s="350"/>
      <c r="N103" s="350"/>
      <c r="O103" s="350"/>
      <c r="P103" s="350"/>
      <c r="Q103" s="350"/>
      <c r="R103" s="350"/>
      <c r="S103" s="350"/>
      <c r="T103" s="350"/>
      <c r="U103" s="350"/>
      <c r="V103" s="350"/>
      <c r="W103" s="350"/>
      <c r="X103" s="350"/>
      <c r="Y103" s="350"/>
      <c r="Z103" s="350"/>
      <c r="AA103" s="350"/>
      <c r="AB103" s="350"/>
      <c r="AC103" s="350"/>
      <c r="AD103" s="350"/>
      <c r="AE103" s="350"/>
      <c r="AF103" s="350"/>
      <c r="AG103" s="350"/>
      <c r="AH103" s="350"/>
      <c r="AI103" s="350"/>
      <c r="AJ103" s="350"/>
      <c r="AK103" s="350"/>
      <c r="AL103" s="350"/>
      <c r="AM103" s="350"/>
      <c r="AN103" s="350"/>
      <c r="AO103" s="350"/>
      <c r="AP103" s="350"/>
      <c r="AQ103" s="350"/>
      <c r="AR103" s="131"/>
      <c r="AS103" s="208"/>
      <c r="AT103" s="398"/>
      <c r="AU103" s="131"/>
      <c r="AV103" s="176"/>
      <c r="AW103" s="131"/>
      <c r="AX103" s="131"/>
      <c r="AY103" s="131"/>
      <c r="AZ103" s="131"/>
      <c r="BA103" s="131"/>
      <c r="BB103" s="131"/>
      <c r="BC103" s="104"/>
      <c r="BD103" s="104"/>
      <c r="BE103" s="104"/>
      <c r="BF103" s="105"/>
      <c r="BG103" s="105"/>
      <c r="BH103" s="105"/>
      <c r="BI103" s="105"/>
      <c r="BJ103" s="105"/>
      <c r="BK103" s="105"/>
      <c r="BL103" s="105"/>
    </row>
    <row r="104" spans="1:64" hidden="1">
      <c r="A104" s="350"/>
      <c r="B104" s="350"/>
      <c r="C104" s="350"/>
      <c r="D104" s="350"/>
      <c r="E104" s="350"/>
      <c r="F104" s="350"/>
      <c r="G104" s="350"/>
      <c r="H104" s="350"/>
      <c r="I104" s="350"/>
      <c r="J104" s="350"/>
      <c r="K104" s="350"/>
      <c r="L104" s="350"/>
      <c r="M104" s="350"/>
      <c r="N104" s="350"/>
      <c r="O104" s="350"/>
      <c r="P104" s="350"/>
      <c r="Q104" s="350"/>
      <c r="R104" s="350"/>
      <c r="S104" s="350"/>
      <c r="T104" s="350"/>
      <c r="U104" s="350"/>
      <c r="V104" s="350"/>
      <c r="W104" s="350"/>
      <c r="X104" s="350"/>
      <c r="Y104" s="350"/>
      <c r="Z104" s="350"/>
      <c r="AA104" s="350"/>
      <c r="AB104" s="350"/>
      <c r="AC104" s="350"/>
      <c r="AD104" s="350"/>
      <c r="AE104" s="350"/>
      <c r="AF104" s="350"/>
      <c r="AG104" s="350"/>
      <c r="AH104" s="350"/>
      <c r="AI104" s="350"/>
      <c r="AJ104" s="350"/>
      <c r="AK104" s="350"/>
      <c r="AL104" s="350"/>
      <c r="AM104" s="350"/>
      <c r="AN104" s="350"/>
      <c r="AO104" s="350"/>
      <c r="AP104" s="350"/>
      <c r="AQ104" s="350"/>
      <c r="AR104" s="131"/>
      <c r="AS104" s="208"/>
      <c r="AT104" s="398"/>
      <c r="AU104" s="131"/>
      <c r="AV104" s="131"/>
      <c r="AW104" s="131"/>
      <c r="AX104" s="131"/>
      <c r="AY104" s="131"/>
      <c r="AZ104" s="131"/>
      <c r="BA104" s="131"/>
      <c r="BB104" s="131"/>
      <c r="BC104" s="104"/>
      <c r="BD104" s="104"/>
      <c r="BE104" s="104"/>
      <c r="BF104" s="105"/>
      <c r="BG104" s="105"/>
      <c r="BH104" s="105"/>
      <c r="BI104" s="105"/>
      <c r="BJ104" s="105"/>
      <c r="BK104" s="105"/>
      <c r="BL104" s="105"/>
    </row>
    <row r="105" spans="1:64" hidden="1">
      <c r="A105" s="350"/>
      <c r="B105" s="350"/>
      <c r="C105" s="350"/>
      <c r="D105" s="350"/>
      <c r="E105" s="350"/>
      <c r="F105" s="350"/>
      <c r="G105" s="350"/>
      <c r="H105" s="350"/>
      <c r="I105" s="350"/>
      <c r="J105" s="350"/>
      <c r="K105" s="350"/>
      <c r="L105" s="350"/>
      <c r="M105" s="350"/>
      <c r="N105" s="350"/>
      <c r="O105" s="350"/>
      <c r="P105" s="350"/>
      <c r="Q105" s="350"/>
      <c r="R105" s="350"/>
      <c r="S105" s="350"/>
      <c r="T105" s="350"/>
      <c r="U105" s="350"/>
      <c r="V105" s="350"/>
      <c r="W105" s="350"/>
      <c r="X105" s="350"/>
      <c r="Y105" s="350"/>
      <c r="Z105" s="350"/>
      <c r="AA105" s="350"/>
      <c r="AB105" s="350"/>
      <c r="AC105" s="350"/>
      <c r="AD105" s="350"/>
      <c r="AE105" s="350"/>
      <c r="AF105" s="350"/>
      <c r="AG105" s="350"/>
      <c r="AH105" s="350"/>
      <c r="AI105" s="350"/>
      <c r="AJ105" s="350"/>
      <c r="AK105" s="350"/>
      <c r="AL105" s="350"/>
      <c r="AM105" s="350"/>
      <c r="AN105" s="350"/>
      <c r="AO105" s="350"/>
      <c r="AP105" s="350"/>
      <c r="AQ105" s="350"/>
      <c r="AR105" s="131"/>
      <c r="AS105" s="208"/>
      <c r="AT105" s="398"/>
      <c r="AU105" s="131"/>
      <c r="AV105" s="131"/>
      <c r="AW105" s="131"/>
      <c r="AX105" s="131"/>
      <c r="AY105" s="131"/>
      <c r="AZ105" s="131"/>
      <c r="BA105" s="131"/>
      <c r="BB105" s="131"/>
      <c r="BC105" s="104"/>
      <c r="BD105" s="104"/>
      <c r="BE105" s="104"/>
      <c r="BF105" s="105"/>
      <c r="BG105" s="105"/>
      <c r="BH105" s="105"/>
      <c r="BI105" s="105"/>
      <c r="BJ105" s="105"/>
      <c r="BK105" s="105"/>
      <c r="BL105" s="105"/>
    </row>
    <row r="106" spans="1:64" hidden="1">
      <c r="A106" s="350"/>
      <c r="B106" s="350"/>
      <c r="C106" s="350"/>
      <c r="D106" s="350"/>
      <c r="E106" s="350"/>
      <c r="F106" s="350"/>
      <c r="G106" s="350"/>
      <c r="H106" s="350"/>
      <c r="I106" s="350"/>
      <c r="J106" s="350"/>
      <c r="K106" s="350"/>
      <c r="L106" s="350"/>
      <c r="M106" s="350"/>
      <c r="N106" s="350"/>
      <c r="O106" s="350"/>
      <c r="P106" s="350"/>
      <c r="Q106" s="350"/>
      <c r="R106" s="350"/>
      <c r="S106" s="350"/>
      <c r="T106" s="350"/>
      <c r="U106" s="350"/>
      <c r="V106" s="350"/>
      <c r="W106" s="350"/>
      <c r="X106" s="350"/>
      <c r="Y106" s="350"/>
      <c r="Z106" s="350"/>
      <c r="AA106" s="350"/>
      <c r="AB106" s="350"/>
      <c r="AC106" s="350"/>
      <c r="AD106" s="350"/>
      <c r="AE106" s="350"/>
      <c r="AF106" s="350"/>
      <c r="AG106" s="350"/>
      <c r="AH106" s="350"/>
      <c r="AI106" s="350"/>
      <c r="AJ106" s="350"/>
      <c r="AK106" s="350"/>
      <c r="AL106" s="350"/>
      <c r="AM106" s="350"/>
      <c r="AN106" s="350"/>
      <c r="AO106" s="350"/>
      <c r="AP106" s="350"/>
      <c r="AQ106" s="350"/>
      <c r="AR106" s="131"/>
      <c r="AS106" s="131"/>
      <c r="AT106" s="131"/>
      <c r="AU106" s="131"/>
      <c r="AV106" s="176"/>
      <c r="AW106" s="131"/>
      <c r="AX106" s="131"/>
      <c r="AY106" s="131"/>
      <c r="AZ106" s="131"/>
      <c r="BA106" s="131"/>
      <c r="BB106" s="131"/>
      <c r="BC106" s="104"/>
      <c r="BD106" s="104"/>
      <c r="BE106" s="104"/>
      <c r="BF106" s="105"/>
      <c r="BG106" s="105"/>
      <c r="BH106" s="105"/>
      <c r="BI106" s="105"/>
      <c r="BJ106" s="105"/>
      <c r="BK106" s="105"/>
      <c r="BL106" s="105"/>
    </row>
    <row r="107" spans="1:64" hidden="1">
      <c r="A107" s="350"/>
      <c r="B107" s="350"/>
      <c r="C107" s="350"/>
      <c r="D107" s="350"/>
      <c r="E107" s="350"/>
      <c r="F107" s="350"/>
      <c r="G107" s="350"/>
      <c r="H107" s="350"/>
      <c r="I107" s="350"/>
      <c r="J107" s="350"/>
      <c r="K107" s="350"/>
      <c r="L107" s="350"/>
      <c r="M107" s="350"/>
      <c r="N107" s="350"/>
      <c r="O107" s="350"/>
      <c r="P107" s="350"/>
      <c r="Q107" s="350"/>
      <c r="R107" s="350"/>
      <c r="S107" s="350"/>
      <c r="T107" s="350"/>
      <c r="U107" s="350"/>
      <c r="V107" s="350"/>
      <c r="W107" s="350"/>
      <c r="X107" s="350"/>
      <c r="Y107" s="350"/>
      <c r="Z107" s="350"/>
      <c r="AA107" s="350"/>
      <c r="AB107" s="350"/>
      <c r="AC107" s="350"/>
      <c r="AD107" s="350"/>
      <c r="AE107" s="350"/>
      <c r="AF107" s="350"/>
      <c r="AG107" s="350"/>
      <c r="AH107" s="350"/>
      <c r="AI107" s="350"/>
      <c r="AJ107" s="350"/>
      <c r="AK107" s="350"/>
      <c r="AL107" s="350"/>
      <c r="AM107" s="350"/>
      <c r="AN107" s="350"/>
      <c r="AO107" s="350"/>
      <c r="AP107" s="350"/>
      <c r="AQ107" s="350"/>
      <c r="AR107" s="131"/>
      <c r="AS107" s="131"/>
      <c r="AT107" s="131"/>
      <c r="AU107" s="131"/>
      <c r="AV107" s="131"/>
      <c r="AW107" s="131"/>
      <c r="AX107" s="131"/>
      <c r="AY107" s="131"/>
      <c r="AZ107" s="131"/>
      <c r="BA107" s="131"/>
      <c r="BB107" s="131"/>
      <c r="BC107" s="104"/>
      <c r="BD107" s="104"/>
      <c r="BE107" s="104"/>
      <c r="BF107" s="105"/>
      <c r="BG107" s="105"/>
      <c r="BH107" s="105"/>
      <c r="BI107" s="105"/>
      <c r="BJ107" s="105"/>
      <c r="BK107" s="105"/>
      <c r="BL107" s="105"/>
    </row>
    <row r="108" spans="1:64" hidden="1">
      <c r="A108" s="350"/>
      <c r="B108" s="350"/>
      <c r="C108" s="350"/>
      <c r="D108" s="350"/>
      <c r="E108" s="350"/>
      <c r="F108" s="350"/>
      <c r="G108" s="350"/>
      <c r="H108" s="350"/>
      <c r="I108" s="350"/>
      <c r="J108" s="350"/>
      <c r="K108" s="350"/>
      <c r="L108" s="350"/>
      <c r="M108" s="350"/>
      <c r="N108" s="350"/>
      <c r="O108" s="350"/>
      <c r="P108" s="350"/>
      <c r="Q108" s="350"/>
      <c r="R108" s="350"/>
      <c r="S108" s="350"/>
      <c r="T108" s="350"/>
      <c r="U108" s="350"/>
      <c r="V108" s="350"/>
      <c r="W108" s="350"/>
      <c r="X108" s="350"/>
      <c r="Y108" s="350"/>
      <c r="Z108" s="350"/>
      <c r="AA108" s="350"/>
      <c r="AB108" s="350"/>
      <c r="AC108" s="350"/>
      <c r="AD108" s="350"/>
      <c r="AE108" s="350"/>
      <c r="AF108" s="350"/>
      <c r="AG108" s="350"/>
      <c r="AH108" s="350"/>
      <c r="AI108" s="350"/>
      <c r="AJ108" s="350"/>
      <c r="AK108" s="350"/>
      <c r="AL108" s="350"/>
      <c r="AM108" s="350"/>
      <c r="AN108" s="350"/>
      <c r="AO108" s="350"/>
      <c r="AP108" s="350"/>
      <c r="AQ108" s="350"/>
      <c r="AR108" s="131"/>
      <c r="AS108" s="131"/>
      <c r="AT108" s="131"/>
      <c r="AU108" s="131"/>
      <c r="AV108" s="131"/>
      <c r="AW108" s="131"/>
      <c r="AX108" s="131"/>
      <c r="AY108" s="131"/>
      <c r="AZ108" s="131"/>
      <c r="BA108" s="131"/>
      <c r="BB108" s="131"/>
      <c r="BC108" s="104"/>
      <c r="BD108" s="104"/>
      <c r="BE108" s="104"/>
      <c r="BF108" s="105"/>
      <c r="BG108" s="105"/>
      <c r="BH108" s="105"/>
      <c r="BI108" s="105"/>
      <c r="BJ108" s="105"/>
      <c r="BK108" s="105"/>
      <c r="BL108" s="105"/>
    </row>
    <row r="109" spans="1:64" hidden="1">
      <c r="A109" s="350"/>
      <c r="B109" s="350"/>
      <c r="C109" s="350"/>
      <c r="D109" s="350"/>
      <c r="E109" s="350"/>
      <c r="F109" s="350"/>
      <c r="G109" s="350"/>
      <c r="H109" s="350"/>
      <c r="I109" s="350"/>
      <c r="J109" s="350"/>
      <c r="K109" s="350"/>
      <c r="L109" s="350"/>
      <c r="M109" s="350"/>
      <c r="N109" s="350"/>
      <c r="O109" s="350"/>
      <c r="P109" s="350"/>
      <c r="Q109" s="350"/>
      <c r="R109" s="350"/>
      <c r="S109" s="350"/>
      <c r="T109" s="350"/>
      <c r="U109" s="350"/>
      <c r="V109" s="350"/>
      <c r="W109" s="350"/>
      <c r="X109" s="350"/>
      <c r="Y109" s="350"/>
      <c r="Z109" s="350"/>
      <c r="AA109" s="350"/>
      <c r="AB109" s="350"/>
      <c r="AC109" s="350"/>
      <c r="AD109" s="350"/>
      <c r="AE109" s="350"/>
      <c r="AF109" s="350"/>
      <c r="AG109" s="350"/>
      <c r="AH109" s="350"/>
      <c r="AI109" s="350"/>
      <c r="AJ109" s="350"/>
      <c r="AK109" s="350"/>
      <c r="AL109" s="350"/>
      <c r="AM109" s="350"/>
      <c r="AN109" s="350"/>
      <c r="AO109" s="350"/>
      <c r="AP109" s="350"/>
      <c r="AQ109" s="350"/>
      <c r="AR109" s="131"/>
      <c r="AS109" s="131"/>
      <c r="AT109" s="131"/>
      <c r="AU109" s="131"/>
      <c r="AV109" s="131"/>
      <c r="AW109" s="131"/>
      <c r="AX109" s="131"/>
      <c r="AY109" s="131"/>
      <c r="AZ109" s="131"/>
      <c r="BA109" s="131"/>
      <c r="BB109" s="131"/>
      <c r="BC109" s="104"/>
      <c r="BD109" s="104"/>
      <c r="BE109" s="104"/>
      <c r="BF109" s="105"/>
      <c r="BG109" s="105"/>
      <c r="BH109" s="105"/>
      <c r="BI109" s="105"/>
      <c r="BJ109" s="105"/>
      <c r="BK109" s="105"/>
      <c r="BL109" s="105"/>
    </row>
    <row r="110" spans="1:64" hidden="1">
      <c r="A110" s="350"/>
      <c r="B110" s="350"/>
      <c r="C110" s="350"/>
      <c r="D110" s="350"/>
      <c r="E110" s="350"/>
      <c r="F110" s="350"/>
      <c r="G110" s="350"/>
      <c r="H110" s="350"/>
      <c r="I110" s="350"/>
      <c r="J110" s="350"/>
      <c r="K110" s="350"/>
      <c r="L110" s="350"/>
      <c r="M110" s="350"/>
      <c r="N110" s="350"/>
      <c r="O110" s="350"/>
      <c r="P110" s="350"/>
      <c r="Q110" s="350"/>
      <c r="R110" s="350"/>
      <c r="S110" s="350"/>
      <c r="T110" s="350"/>
      <c r="U110" s="350"/>
      <c r="V110" s="350"/>
      <c r="W110" s="350"/>
      <c r="X110" s="350"/>
      <c r="Y110" s="350"/>
      <c r="Z110" s="350"/>
      <c r="AA110" s="350"/>
      <c r="AB110" s="350"/>
      <c r="AC110" s="350"/>
      <c r="AD110" s="350"/>
      <c r="AE110" s="350"/>
      <c r="AF110" s="350"/>
      <c r="AG110" s="350"/>
      <c r="AH110" s="350"/>
      <c r="AI110" s="350"/>
      <c r="AJ110" s="350"/>
      <c r="AK110" s="350"/>
      <c r="AL110" s="350"/>
      <c r="AM110" s="350"/>
      <c r="AN110" s="350"/>
      <c r="AO110" s="350"/>
      <c r="AP110" s="350"/>
      <c r="AQ110" s="350"/>
      <c r="AR110" s="131"/>
      <c r="AS110" s="131"/>
      <c r="AT110" s="131"/>
      <c r="AU110" s="5790"/>
      <c r="AV110" s="5790"/>
      <c r="AW110" s="5790"/>
      <c r="AX110" s="5790"/>
      <c r="AY110" s="5790"/>
      <c r="AZ110" s="131"/>
      <c r="BA110" s="136"/>
      <c r="BB110" s="136"/>
      <c r="BC110" s="104"/>
      <c r="BD110" s="104"/>
      <c r="BE110" s="104"/>
      <c r="BF110" s="105"/>
      <c r="BG110" s="105"/>
      <c r="BH110" s="105"/>
      <c r="BI110" s="105"/>
      <c r="BJ110" s="105"/>
      <c r="BK110" s="105"/>
      <c r="BL110" s="105"/>
    </row>
    <row r="111" spans="1:64" hidden="1">
      <c r="A111" s="350"/>
      <c r="B111" s="350"/>
      <c r="C111" s="350"/>
      <c r="D111" s="350"/>
      <c r="E111" s="350"/>
      <c r="F111" s="350"/>
      <c r="G111" s="350"/>
      <c r="H111" s="350"/>
      <c r="I111" s="350"/>
      <c r="J111" s="350"/>
      <c r="K111" s="350"/>
      <c r="L111" s="350"/>
      <c r="M111" s="350"/>
      <c r="N111" s="350"/>
      <c r="O111" s="350"/>
      <c r="P111" s="350"/>
      <c r="Q111" s="350"/>
      <c r="R111" s="350"/>
      <c r="S111" s="350"/>
      <c r="T111" s="350"/>
      <c r="U111" s="350"/>
      <c r="V111" s="350"/>
      <c r="W111" s="350"/>
      <c r="X111" s="350"/>
      <c r="Y111" s="350"/>
      <c r="Z111" s="350"/>
      <c r="AA111" s="350"/>
      <c r="AB111" s="350"/>
      <c r="AC111" s="350"/>
      <c r="AD111" s="350"/>
      <c r="AE111" s="350"/>
      <c r="AF111" s="350"/>
      <c r="AG111" s="350"/>
      <c r="AH111" s="350"/>
      <c r="AI111" s="350"/>
      <c r="AJ111" s="350"/>
      <c r="AK111" s="350"/>
      <c r="AL111" s="350"/>
      <c r="AM111" s="350"/>
      <c r="AN111" s="350"/>
      <c r="AO111" s="350"/>
      <c r="AP111" s="350"/>
      <c r="AQ111" s="350"/>
      <c r="AR111" s="131"/>
      <c r="AS111" s="131"/>
      <c r="AT111" s="131"/>
      <c r="AU111" s="136"/>
      <c r="AV111" s="136"/>
      <c r="AW111" s="136"/>
      <c r="AX111" s="136"/>
      <c r="AY111" s="136"/>
      <c r="AZ111" s="131"/>
      <c r="BA111" s="136"/>
      <c r="BB111" s="136"/>
      <c r="BC111" s="104"/>
      <c r="BD111" s="104"/>
      <c r="BE111" s="104"/>
      <c r="BF111" s="105"/>
      <c r="BG111" s="105"/>
      <c r="BH111" s="105"/>
      <c r="BI111" s="105"/>
      <c r="BJ111" s="105"/>
      <c r="BK111" s="105"/>
      <c r="BL111" s="105"/>
    </row>
    <row r="112" spans="1:64" hidden="1">
      <c r="A112" s="350"/>
      <c r="B112" s="350"/>
      <c r="C112" s="350"/>
      <c r="D112" s="350"/>
      <c r="E112" s="350"/>
      <c r="F112" s="350"/>
      <c r="G112" s="350"/>
      <c r="H112" s="350"/>
      <c r="I112" s="350"/>
      <c r="J112" s="350"/>
      <c r="K112" s="350"/>
      <c r="L112" s="350"/>
      <c r="M112" s="350"/>
      <c r="N112" s="350"/>
      <c r="O112" s="350"/>
      <c r="P112" s="350"/>
      <c r="Q112" s="350"/>
      <c r="R112" s="350"/>
      <c r="S112" s="350"/>
      <c r="T112" s="350"/>
      <c r="U112" s="350"/>
      <c r="V112" s="350"/>
      <c r="W112" s="350"/>
      <c r="X112" s="350"/>
      <c r="Y112" s="350"/>
      <c r="Z112" s="350"/>
      <c r="AA112" s="350"/>
      <c r="AB112" s="350"/>
      <c r="AC112" s="350"/>
      <c r="AD112" s="350"/>
      <c r="AE112" s="350"/>
      <c r="AF112" s="350"/>
      <c r="AG112" s="350"/>
      <c r="AH112" s="350"/>
      <c r="AI112" s="350"/>
      <c r="AJ112" s="350"/>
      <c r="AK112" s="350"/>
      <c r="AL112" s="350"/>
      <c r="AM112" s="350"/>
      <c r="AN112" s="350"/>
      <c r="AO112" s="350"/>
      <c r="AP112" s="350"/>
      <c r="AQ112" s="350"/>
      <c r="AR112" s="131"/>
      <c r="AS112" s="131"/>
      <c r="AT112" s="131"/>
      <c r="AU112" s="136"/>
      <c r="AV112" s="131"/>
      <c r="AW112" s="136"/>
      <c r="AX112" s="131"/>
      <c r="AY112" s="131"/>
      <c r="AZ112" s="131"/>
      <c r="BA112" s="131"/>
      <c r="BB112" s="131"/>
      <c r="BC112" s="104"/>
      <c r="BD112" s="104"/>
      <c r="BE112" s="104"/>
      <c r="BF112" s="105"/>
      <c r="BG112" s="105"/>
      <c r="BH112" s="105"/>
      <c r="BI112" s="105"/>
      <c r="BJ112" s="105"/>
      <c r="BK112" s="105"/>
      <c r="BL112" s="105"/>
    </row>
    <row r="113" spans="1:64" hidden="1">
      <c r="A113" s="350"/>
      <c r="B113" s="350"/>
      <c r="C113" s="350"/>
      <c r="D113" s="350"/>
      <c r="E113" s="350"/>
      <c r="F113" s="350"/>
      <c r="G113" s="350"/>
      <c r="H113" s="350"/>
      <c r="I113" s="350"/>
      <c r="J113" s="350"/>
      <c r="K113" s="350"/>
      <c r="L113" s="350"/>
      <c r="M113" s="350"/>
      <c r="N113" s="350"/>
      <c r="O113" s="350"/>
      <c r="P113" s="350"/>
      <c r="Q113" s="350"/>
      <c r="R113" s="350"/>
      <c r="S113" s="350"/>
      <c r="T113" s="350"/>
      <c r="U113" s="350"/>
      <c r="V113" s="350"/>
      <c r="W113" s="350"/>
      <c r="X113" s="350"/>
      <c r="Y113" s="350"/>
      <c r="Z113" s="350"/>
      <c r="AA113" s="350"/>
      <c r="AB113" s="350"/>
      <c r="AC113" s="350"/>
      <c r="AD113" s="350"/>
      <c r="AE113" s="350"/>
      <c r="AF113" s="350"/>
      <c r="AG113" s="350"/>
      <c r="AH113" s="350"/>
      <c r="AI113" s="350"/>
      <c r="AJ113" s="350"/>
      <c r="AK113" s="350"/>
      <c r="AL113" s="350"/>
      <c r="AM113" s="350"/>
      <c r="AN113" s="350"/>
      <c r="AO113" s="350"/>
      <c r="AP113" s="350"/>
      <c r="AQ113" s="350"/>
      <c r="AR113" s="131"/>
      <c r="AS113" s="131"/>
      <c r="AT113" s="131"/>
      <c r="AU113" s="136"/>
      <c r="AV113" s="131"/>
      <c r="AW113" s="130"/>
      <c r="AX113" s="131"/>
      <c r="AY113" s="131"/>
      <c r="AZ113" s="131"/>
      <c r="BA113" s="131"/>
      <c r="BB113" s="131"/>
      <c r="BC113" s="104"/>
      <c r="BD113" s="104"/>
      <c r="BE113" s="104"/>
      <c r="BF113" s="105"/>
      <c r="BG113" s="105"/>
      <c r="BH113" s="105"/>
      <c r="BI113" s="105"/>
      <c r="BJ113" s="105"/>
      <c r="BK113" s="105"/>
      <c r="BL113" s="105"/>
    </row>
    <row r="114" spans="1:64" hidden="1">
      <c r="A114" s="350"/>
      <c r="B114" s="350"/>
      <c r="C114" s="350"/>
      <c r="D114" s="350"/>
      <c r="E114" s="350"/>
      <c r="F114" s="350"/>
      <c r="G114" s="350"/>
      <c r="H114" s="350"/>
      <c r="I114" s="350"/>
      <c r="J114" s="350"/>
      <c r="K114" s="350"/>
      <c r="L114" s="350"/>
      <c r="M114" s="350"/>
      <c r="N114" s="350"/>
      <c r="O114" s="350"/>
      <c r="P114" s="350"/>
      <c r="Q114" s="350"/>
      <c r="R114" s="350"/>
      <c r="S114" s="350"/>
      <c r="T114" s="350"/>
      <c r="U114" s="350"/>
      <c r="V114" s="350"/>
      <c r="W114" s="350"/>
      <c r="X114" s="350"/>
      <c r="Y114" s="350"/>
      <c r="Z114" s="350"/>
      <c r="AA114" s="350"/>
      <c r="AB114" s="350"/>
      <c r="AC114" s="350"/>
      <c r="AD114" s="350"/>
      <c r="AE114" s="350"/>
      <c r="AF114" s="350"/>
      <c r="AG114" s="350"/>
      <c r="AH114" s="350"/>
      <c r="AI114" s="350"/>
      <c r="AJ114" s="350"/>
      <c r="AK114" s="350"/>
      <c r="AL114" s="350"/>
      <c r="AM114" s="350"/>
      <c r="AN114" s="350"/>
      <c r="AO114" s="350"/>
      <c r="AP114" s="350"/>
      <c r="AQ114" s="350"/>
      <c r="AR114" s="131"/>
      <c r="AS114" s="131"/>
      <c r="AT114" s="131"/>
      <c r="AU114" s="136"/>
      <c r="AV114" s="136"/>
      <c r="AW114" s="136"/>
      <c r="AX114" s="136"/>
      <c r="AY114" s="136"/>
      <c r="AZ114" s="131"/>
      <c r="BA114" s="131"/>
      <c r="BB114" s="131"/>
      <c r="BC114" s="104"/>
      <c r="BD114" s="104"/>
      <c r="BE114" s="104"/>
      <c r="BF114" s="105"/>
      <c r="BG114" s="105"/>
      <c r="BH114" s="105"/>
      <c r="BI114" s="105"/>
      <c r="BJ114" s="105"/>
      <c r="BK114" s="105"/>
      <c r="BL114" s="105"/>
    </row>
    <row r="115" spans="1:64" hidden="1">
      <c r="A115" s="350"/>
      <c r="B115" s="350"/>
      <c r="C115" s="350"/>
      <c r="D115" s="350"/>
      <c r="E115" s="350"/>
      <c r="F115" s="350"/>
      <c r="G115" s="350"/>
      <c r="H115" s="350"/>
      <c r="I115" s="350"/>
      <c r="J115" s="350"/>
      <c r="K115" s="350"/>
      <c r="L115" s="350"/>
      <c r="M115" s="350"/>
      <c r="N115" s="350"/>
      <c r="O115" s="350"/>
      <c r="P115" s="350"/>
      <c r="Q115" s="350"/>
      <c r="R115" s="350"/>
      <c r="S115" s="350"/>
      <c r="T115" s="350"/>
      <c r="U115" s="350"/>
      <c r="V115" s="350"/>
      <c r="W115" s="350"/>
      <c r="X115" s="350"/>
      <c r="Y115" s="350"/>
      <c r="Z115" s="350"/>
      <c r="AA115" s="350"/>
      <c r="AB115" s="350"/>
      <c r="AC115" s="350"/>
      <c r="AD115" s="350"/>
      <c r="AE115" s="350"/>
      <c r="AF115" s="350"/>
      <c r="AG115" s="350"/>
      <c r="AH115" s="350"/>
      <c r="AI115" s="350"/>
      <c r="AJ115" s="350"/>
      <c r="AK115" s="350"/>
      <c r="AL115" s="350"/>
      <c r="AM115" s="350"/>
      <c r="AN115" s="350"/>
      <c r="AO115" s="350"/>
      <c r="AP115" s="350"/>
      <c r="AQ115" s="350"/>
      <c r="AR115" s="131"/>
      <c r="AS115" s="131"/>
      <c r="AT115" s="131"/>
      <c r="AU115" s="131"/>
      <c r="AV115" s="131"/>
      <c r="AW115" s="136"/>
      <c r="AX115" s="131"/>
      <c r="AY115" s="131"/>
      <c r="AZ115" s="131"/>
      <c r="BA115" s="131"/>
      <c r="BB115" s="131"/>
      <c r="BC115" s="104"/>
      <c r="BD115" s="104"/>
      <c r="BE115" s="104"/>
      <c r="BF115" s="105"/>
      <c r="BG115" s="105"/>
      <c r="BH115" s="105"/>
      <c r="BI115" s="105"/>
      <c r="BJ115" s="105"/>
      <c r="BK115" s="105"/>
      <c r="BL115" s="105"/>
    </row>
    <row r="116" spans="1:64" hidden="1">
      <c r="A116" s="350"/>
      <c r="B116" s="350"/>
      <c r="C116" s="350"/>
      <c r="D116" s="350"/>
      <c r="E116" s="350"/>
      <c r="F116" s="350"/>
      <c r="G116" s="350"/>
      <c r="H116" s="350"/>
      <c r="I116" s="350"/>
      <c r="J116" s="350"/>
      <c r="K116" s="350"/>
      <c r="L116" s="350"/>
      <c r="M116" s="350"/>
      <c r="N116" s="350"/>
      <c r="O116" s="350"/>
      <c r="P116" s="350"/>
      <c r="Q116" s="350"/>
      <c r="R116" s="350"/>
      <c r="S116" s="350"/>
      <c r="T116" s="350"/>
      <c r="U116" s="350"/>
      <c r="V116" s="350"/>
      <c r="W116" s="350"/>
      <c r="X116" s="350"/>
      <c r="Y116" s="350"/>
      <c r="Z116" s="350"/>
      <c r="AA116" s="350"/>
      <c r="AB116" s="350"/>
      <c r="AC116" s="350"/>
      <c r="AD116" s="350"/>
      <c r="AE116" s="350"/>
      <c r="AF116" s="350"/>
      <c r="AG116" s="350"/>
      <c r="AH116" s="350"/>
      <c r="AI116" s="350"/>
      <c r="AJ116" s="350"/>
      <c r="AK116" s="350"/>
      <c r="AL116" s="350"/>
      <c r="AM116" s="350"/>
      <c r="AN116" s="350"/>
      <c r="AO116" s="350"/>
      <c r="AP116" s="350"/>
      <c r="AQ116" s="350"/>
      <c r="AR116" s="131"/>
      <c r="AS116" s="131"/>
      <c r="AT116" s="131"/>
      <c r="AU116" s="131"/>
      <c r="AV116" s="131"/>
      <c r="AW116" s="131"/>
      <c r="AX116" s="131"/>
      <c r="AY116" s="131"/>
      <c r="AZ116" s="131"/>
      <c r="BA116" s="131"/>
      <c r="BB116" s="398"/>
      <c r="BC116" s="104"/>
      <c r="BD116" s="104"/>
      <c r="BE116" s="104"/>
      <c r="BF116" s="105"/>
      <c r="BG116" s="105"/>
      <c r="BH116" s="105"/>
      <c r="BI116" s="105"/>
      <c r="BJ116" s="105"/>
      <c r="BK116" s="105"/>
      <c r="BL116" s="105"/>
    </row>
    <row r="117" spans="1:64" hidden="1">
      <c r="A117" s="350"/>
      <c r="B117" s="350"/>
      <c r="C117" s="350"/>
      <c r="D117" s="350"/>
      <c r="E117" s="350"/>
      <c r="F117" s="350"/>
      <c r="G117" s="350"/>
      <c r="H117" s="350"/>
      <c r="I117" s="350"/>
      <c r="J117" s="350"/>
      <c r="K117" s="350"/>
      <c r="L117" s="350"/>
      <c r="M117" s="350"/>
      <c r="N117" s="350"/>
      <c r="O117" s="350"/>
      <c r="P117" s="350"/>
      <c r="Q117" s="350"/>
      <c r="R117" s="350"/>
      <c r="S117" s="350"/>
      <c r="T117" s="350"/>
      <c r="U117" s="350"/>
      <c r="V117" s="350"/>
      <c r="W117" s="350"/>
      <c r="X117" s="350"/>
      <c r="Y117" s="350"/>
      <c r="Z117" s="350"/>
      <c r="AA117" s="350"/>
      <c r="AB117" s="350"/>
      <c r="AC117" s="350"/>
      <c r="AD117" s="350"/>
      <c r="AE117" s="350"/>
      <c r="AF117" s="350"/>
      <c r="AG117" s="350"/>
      <c r="AH117" s="350"/>
      <c r="AI117" s="350"/>
      <c r="AJ117" s="350"/>
      <c r="AK117" s="350"/>
      <c r="AL117" s="350"/>
      <c r="AM117" s="350"/>
      <c r="AN117" s="350"/>
      <c r="AO117" s="350"/>
      <c r="AP117" s="350"/>
      <c r="AQ117" s="350"/>
      <c r="AR117" s="131"/>
      <c r="AS117" s="131"/>
      <c r="AT117" s="131"/>
      <c r="AU117" s="131"/>
      <c r="AV117" s="131"/>
      <c r="AW117" s="131"/>
      <c r="AX117" s="131"/>
      <c r="AY117" s="131"/>
      <c r="AZ117" s="131"/>
      <c r="BA117" s="131"/>
      <c r="BB117" s="398"/>
      <c r="BC117" s="104"/>
      <c r="BD117" s="104"/>
      <c r="BE117" s="104"/>
      <c r="BF117" s="105"/>
      <c r="BG117" s="105"/>
      <c r="BH117" s="105"/>
      <c r="BI117" s="105"/>
      <c r="BJ117" s="105"/>
      <c r="BK117" s="105"/>
      <c r="BL117" s="105"/>
    </row>
    <row r="118" spans="1:64" hidden="1">
      <c r="A118" s="350"/>
      <c r="B118" s="350"/>
      <c r="C118" s="350"/>
      <c r="D118" s="350"/>
      <c r="E118" s="350"/>
      <c r="F118" s="350"/>
      <c r="G118" s="350"/>
      <c r="H118" s="350"/>
      <c r="I118" s="350"/>
      <c r="J118" s="350"/>
      <c r="K118" s="350"/>
      <c r="L118" s="350"/>
      <c r="M118" s="350"/>
      <c r="N118" s="350"/>
      <c r="O118" s="350"/>
      <c r="P118" s="350"/>
      <c r="Q118" s="350"/>
      <c r="R118" s="350"/>
      <c r="S118" s="350"/>
      <c r="T118" s="350"/>
      <c r="U118" s="350"/>
      <c r="V118" s="350"/>
      <c r="W118" s="350"/>
      <c r="X118" s="350"/>
      <c r="Y118" s="350"/>
      <c r="Z118" s="350"/>
      <c r="AA118" s="350"/>
      <c r="AB118" s="350"/>
      <c r="AC118" s="350"/>
      <c r="AD118" s="350"/>
      <c r="AE118" s="350"/>
      <c r="AF118" s="350"/>
      <c r="AG118" s="350"/>
      <c r="AH118" s="350"/>
      <c r="AI118" s="350"/>
      <c r="AJ118" s="350"/>
      <c r="AK118" s="350"/>
      <c r="AL118" s="350"/>
      <c r="AM118" s="350"/>
      <c r="AN118" s="350"/>
      <c r="AO118" s="350"/>
      <c r="AP118" s="350"/>
      <c r="AQ118" s="350"/>
      <c r="AR118" s="131"/>
      <c r="AS118" s="131"/>
      <c r="AT118" s="131"/>
      <c r="AU118" s="131"/>
      <c r="AV118" s="131"/>
      <c r="AW118" s="131"/>
      <c r="AX118" s="131"/>
      <c r="AY118" s="131"/>
      <c r="AZ118" s="131"/>
      <c r="BA118" s="131"/>
      <c r="BB118" s="131"/>
      <c r="BC118" s="104"/>
      <c r="BD118" s="104"/>
      <c r="BE118" s="104"/>
      <c r="BF118" s="105"/>
      <c r="BG118" s="105"/>
      <c r="BH118" s="105"/>
      <c r="BI118" s="105"/>
      <c r="BJ118" s="105"/>
      <c r="BK118" s="105"/>
      <c r="BL118" s="105"/>
    </row>
    <row r="119" spans="1:64" hidden="1">
      <c r="A119" s="350"/>
      <c r="B119" s="350"/>
      <c r="C119" s="350"/>
      <c r="D119" s="350"/>
      <c r="E119" s="350"/>
      <c r="F119" s="350"/>
      <c r="G119" s="350"/>
      <c r="H119" s="350"/>
      <c r="I119" s="350"/>
      <c r="J119" s="350"/>
      <c r="K119" s="350"/>
      <c r="L119" s="350"/>
      <c r="M119" s="350"/>
      <c r="N119" s="350"/>
      <c r="O119" s="350"/>
      <c r="P119" s="350"/>
      <c r="Q119" s="350"/>
      <c r="R119" s="350"/>
      <c r="S119" s="350"/>
      <c r="T119" s="350"/>
      <c r="U119" s="350"/>
      <c r="V119" s="350"/>
      <c r="W119" s="350"/>
      <c r="X119" s="350"/>
      <c r="Y119" s="350"/>
      <c r="Z119" s="350"/>
      <c r="AA119" s="350"/>
      <c r="AB119" s="350"/>
      <c r="AC119" s="350"/>
      <c r="AD119" s="350"/>
      <c r="AE119" s="350"/>
      <c r="AF119" s="350"/>
      <c r="AG119" s="350"/>
      <c r="AH119" s="350"/>
      <c r="AI119" s="350"/>
      <c r="AJ119" s="350"/>
      <c r="AK119" s="350"/>
      <c r="AL119" s="350"/>
      <c r="AM119" s="350"/>
      <c r="AN119" s="350"/>
      <c r="AO119" s="350"/>
      <c r="AP119" s="350"/>
      <c r="AQ119" s="350"/>
      <c r="AR119" s="131"/>
      <c r="AS119" s="131"/>
      <c r="AT119" s="131"/>
      <c r="AU119" s="131"/>
      <c r="AV119" s="131"/>
      <c r="AW119" s="131"/>
      <c r="AX119" s="131"/>
      <c r="AY119" s="131"/>
      <c r="AZ119" s="131"/>
      <c r="BA119" s="131"/>
      <c r="BB119" s="131"/>
      <c r="BC119" s="104"/>
      <c r="BD119" s="104"/>
      <c r="BE119" s="104"/>
      <c r="BF119" s="105"/>
      <c r="BG119" s="105"/>
      <c r="BH119" s="105"/>
      <c r="BI119" s="105"/>
      <c r="BJ119" s="105"/>
      <c r="BK119" s="105"/>
      <c r="BL119" s="105"/>
    </row>
    <row r="120" spans="1:64" hidden="1">
      <c r="A120" s="350"/>
      <c r="B120" s="350"/>
      <c r="C120" s="350"/>
      <c r="D120" s="350"/>
      <c r="E120" s="350"/>
      <c r="F120" s="350"/>
      <c r="G120" s="350"/>
      <c r="H120" s="350"/>
      <c r="I120" s="350"/>
      <c r="J120" s="350"/>
      <c r="K120" s="350"/>
      <c r="L120" s="350"/>
      <c r="M120" s="350"/>
      <c r="N120" s="350"/>
      <c r="O120" s="350"/>
      <c r="P120" s="350"/>
      <c r="Q120" s="350"/>
      <c r="R120" s="350"/>
      <c r="S120" s="350"/>
      <c r="T120" s="350"/>
      <c r="U120" s="350"/>
      <c r="V120" s="350"/>
      <c r="W120" s="350"/>
      <c r="X120" s="350"/>
      <c r="Y120" s="350"/>
      <c r="Z120" s="350"/>
      <c r="AA120" s="350"/>
      <c r="AB120" s="350"/>
      <c r="AC120" s="350"/>
      <c r="AD120" s="350"/>
      <c r="AE120" s="350"/>
      <c r="AF120" s="350"/>
      <c r="AG120" s="350"/>
      <c r="AH120" s="350"/>
      <c r="AI120" s="350"/>
      <c r="AJ120" s="350"/>
      <c r="AK120" s="350"/>
      <c r="AL120" s="350"/>
      <c r="AM120" s="350"/>
      <c r="AN120" s="350"/>
      <c r="AO120" s="350"/>
      <c r="AP120" s="350"/>
      <c r="AQ120" s="350"/>
      <c r="AR120" s="131"/>
      <c r="AS120" s="131"/>
      <c r="AT120" s="131"/>
      <c r="AU120" s="131"/>
      <c r="AV120" s="131"/>
      <c r="AW120" s="131"/>
      <c r="AX120" s="131"/>
      <c r="AY120" s="131"/>
      <c r="AZ120" s="182"/>
      <c r="BA120" s="131"/>
      <c r="BB120" s="131"/>
      <c r="BC120" s="104"/>
      <c r="BD120" s="104"/>
      <c r="BE120" s="104"/>
      <c r="BF120" s="105"/>
      <c r="BG120" s="105"/>
      <c r="BH120" s="105"/>
      <c r="BI120" s="105"/>
      <c r="BJ120" s="105"/>
      <c r="BK120" s="105"/>
      <c r="BL120" s="105"/>
    </row>
    <row r="121" spans="1:64" hidden="1">
      <c r="A121" s="350"/>
      <c r="B121" s="350"/>
      <c r="C121" s="350"/>
      <c r="D121" s="350"/>
      <c r="E121" s="350"/>
      <c r="F121" s="350"/>
      <c r="G121" s="350"/>
      <c r="H121" s="350"/>
      <c r="I121" s="350"/>
      <c r="J121" s="350"/>
      <c r="K121" s="350"/>
      <c r="L121" s="350"/>
      <c r="M121" s="350"/>
      <c r="N121" s="350"/>
      <c r="O121" s="350"/>
      <c r="P121" s="350"/>
      <c r="Q121" s="350"/>
      <c r="R121" s="350"/>
      <c r="S121" s="350"/>
      <c r="T121" s="350"/>
      <c r="U121" s="350"/>
      <c r="V121" s="350"/>
      <c r="W121" s="350"/>
      <c r="X121" s="350"/>
      <c r="Y121" s="350"/>
      <c r="Z121" s="350"/>
      <c r="AA121" s="350"/>
      <c r="AB121" s="350"/>
      <c r="AC121" s="350"/>
      <c r="AD121" s="350"/>
      <c r="AE121" s="350"/>
      <c r="AF121" s="350"/>
      <c r="AG121" s="350"/>
      <c r="AH121" s="350"/>
      <c r="AI121" s="350"/>
      <c r="AJ121" s="350"/>
      <c r="AK121" s="350"/>
      <c r="AL121" s="350"/>
      <c r="AM121" s="350"/>
      <c r="AN121" s="350"/>
      <c r="AO121" s="350"/>
      <c r="AP121" s="350"/>
      <c r="AQ121" s="350"/>
      <c r="AR121" s="131"/>
      <c r="AS121" s="131"/>
      <c r="AT121" s="131"/>
      <c r="AU121" s="131"/>
      <c r="AV121" s="131"/>
      <c r="AW121" s="131"/>
      <c r="AX121" s="131"/>
      <c r="AY121" s="131"/>
      <c r="AZ121" s="131"/>
      <c r="BA121" s="131"/>
      <c r="BB121" s="188"/>
      <c r="BC121" s="104"/>
      <c r="BD121" s="104"/>
      <c r="BE121" s="104"/>
      <c r="BF121" s="105"/>
      <c r="BG121" s="105"/>
      <c r="BH121" s="105"/>
      <c r="BI121" s="105"/>
      <c r="BJ121" s="105"/>
      <c r="BK121" s="105"/>
      <c r="BL121" s="105"/>
    </row>
    <row r="122" spans="1:64" hidden="1">
      <c r="A122" s="350"/>
      <c r="B122" s="350"/>
      <c r="C122" s="350"/>
      <c r="D122" s="350"/>
      <c r="E122" s="350"/>
      <c r="F122" s="350"/>
      <c r="G122" s="350"/>
      <c r="H122" s="350"/>
      <c r="I122" s="350"/>
      <c r="J122" s="350"/>
      <c r="K122" s="350"/>
      <c r="L122" s="350"/>
      <c r="M122" s="350"/>
      <c r="N122" s="350"/>
      <c r="O122" s="350"/>
      <c r="P122" s="350"/>
      <c r="Q122" s="350"/>
      <c r="R122" s="350"/>
      <c r="S122" s="350"/>
      <c r="T122" s="350"/>
      <c r="U122" s="350"/>
      <c r="V122" s="350"/>
      <c r="W122" s="350"/>
      <c r="X122" s="350"/>
      <c r="Y122" s="350"/>
      <c r="Z122" s="350"/>
      <c r="AA122" s="350"/>
      <c r="AB122" s="350"/>
      <c r="AC122" s="350"/>
      <c r="AD122" s="350"/>
      <c r="AE122" s="350"/>
      <c r="AF122" s="350"/>
      <c r="AG122" s="350"/>
      <c r="AH122" s="350"/>
      <c r="AI122" s="350"/>
      <c r="AJ122" s="350"/>
      <c r="AK122" s="350"/>
      <c r="AL122" s="350"/>
      <c r="AM122" s="350"/>
      <c r="AN122" s="350"/>
      <c r="AO122" s="350"/>
      <c r="AP122" s="350"/>
      <c r="AQ122" s="350"/>
      <c r="AR122" s="131"/>
      <c r="AS122" s="131"/>
      <c r="AT122" s="131"/>
      <c r="AU122" s="208"/>
      <c r="AV122" s="131"/>
      <c r="AW122" s="131"/>
      <c r="AX122" s="131"/>
      <c r="AY122" s="131"/>
      <c r="AZ122" s="131"/>
      <c r="BA122" s="131"/>
      <c r="BB122" s="131"/>
      <c r="BC122" s="104"/>
      <c r="BD122" s="104"/>
      <c r="BE122" s="104"/>
      <c r="BF122" s="105"/>
      <c r="BG122" s="105"/>
      <c r="BH122" s="105"/>
      <c r="BI122" s="105"/>
      <c r="BJ122" s="105"/>
      <c r="BK122" s="105"/>
      <c r="BL122" s="105"/>
    </row>
    <row r="123" spans="1:64" hidden="1">
      <c r="A123" s="350"/>
      <c r="B123" s="350"/>
      <c r="C123" s="350"/>
      <c r="D123" s="350"/>
      <c r="E123" s="350"/>
      <c r="F123" s="350"/>
      <c r="G123" s="350"/>
      <c r="H123" s="350"/>
      <c r="I123" s="350"/>
      <c r="J123" s="350"/>
      <c r="K123" s="350"/>
      <c r="L123" s="350"/>
      <c r="M123" s="350"/>
      <c r="N123" s="350"/>
      <c r="O123" s="350"/>
      <c r="P123" s="350"/>
      <c r="Q123" s="350"/>
      <c r="R123" s="350"/>
      <c r="S123" s="350"/>
      <c r="T123" s="350"/>
      <c r="U123" s="350"/>
      <c r="V123" s="350"/>
      <c r="W123" s="350"/>
      <c r="X123" s="350"/>
      <c r="Y123" s="350"/>
      <c r="Z123" s="350"/>
      <c r="AA123" s="350"/>
      <c r="AB123" s="350"/>
      <c r="AC123" s="350"/>
      <c r="AD123" s="350"/>
      <c r="AE123" s="350"/>
      <c r="AF123" s="350"/>
      <c r="AG123" s="350"/>
      <c r="AH123" s="350"/>
      <c r="AI123" s="350"/>
      <c r="AJ123" s="350"/>
      <c r="AK123" s="350"/>
      <c r="AL123" s="350"/>
      <c r="AM123" s="350"/>
      <c r="AN123" s="350"/>
      <c r="AO123" s="350"/>
      <c r="AP123" s="350"/>
      <c r="AQ123" s="350"/>
      <c r="AR123" s="131"/>
      <c r="AS123" s="131"/>
      <c r="AT123" s="131"/>
      <c r="AU123" s="131"/>
      <c r="AV123" s="131"/>
      <c r="AW123" s="131"/>
      <c r="AX123" s="208"/>
      <c r="AY123" s="188"/>
      <c r="AZ123" s="131"/>
      <c r="BA123" s="131"/>
      <c r="BB123" s="393"/>
      <c r="BC123" s="104"/>
      <c r="BD123" s="104"/>
      <c r="BE123" s="104"/>
      <c r="BF123" s="105"/>
      <c r="BG123" s="105"/>
      <c r="BH123" s="105"/>
      <c r="BI123" s="105"/>
      <c r="BJ123" s="105"/>
      <c r="BK123" s="105"/>
      <c r="BL123" s="105"/>
    </row>
    <row r="124" spans="1:64" hidden="1">
      <c r="A124" s="350"/>
      <c r="B124" s="350"/>
      <c r="C124" s="350"/>
      <c r="D124" s="350"/>
      <c r="E124" s="350"/>
      <c r="F124" s="350"/>
      <c r="G124" s="350"/>
      <c r="H124" s="350"/>
      <c r="I124" s="350"/>
      <c r="J124" s="350"/>
      <c r="K124" s="350"/>
      <c r="L124" s="350"/>
      <c r="M124" s="350"/>
      <c r="N124" s="350"/>
      <c r="O124" s="350"/>
      <c r="P124" s="350"/>
      <c r="Q124" s="350"/>
      <c r="R124" s="350"/>
      <c r="S124" s="350"/>
      <c r="T124" s="350"/>
      <c r="U124" s="350"/>
      <c r="V124" s="350"/>
      <c r="W124" s="350"/>
      <c r="X124" s="350"/>
      <c r="Y124" s="350"/>
      <c r="Z124" s="350"/>
      <c r="AA124" s="350"/>
      <c r="AB124" s="350"/>
      <c r="AC124" s="350"/>
      <c r="AD124" s="350"/>
      <c r="AE124" s="350"/>
      <c r="AF124" s="350"/>
      <c r="AG124" s="350"/>
      <c r="AH124" s="350"/>
      <c r="AI124" s="350"/>
      <c r="AJ124" s="350"/>
      <c r="AK124" s="350"/>
      <c r="AL124" s="350"/>
      <c r="AM124" s="350"/>
      <c r="AN124" s="350"/>
      <c r="AO124" s="350"/>
      <c r="AP124" s="350"/>
      <c r="AQ124" s="350"/>
      <c r="AR124" s="131"/>
      <c r="AS124" s="131"/>
      <c r="AT124" s="131"/>
      <c r="AU124" s="131"/>
      <c r="AV124" s="131"/>
      <c r="AW124" s="131"/>
      <c r="AX124" s="131"/>
      <c r="AY124" s="131"/>
      <c r="AZ124" s="131"/>
      <c r="BA124" s="131"/>
      <c r="BB124" s="131"/>
      <c r="BC124" s="104"/>
      <c r="BD124" s="104"/>
      <c r="BE124" s="104"/>
      <c r="BF124" s="105"/>
      <c r="BG124" s="105"/>
      <c r="BH124" s="105"/>
      <c r="BI124" s="105"/>
      <c r="BJ124" s="105"/>
      <c r="BK124" s="105"/>
      <c r="BL124" s="105"/>
    </row>
    <row r="125" spans="1:64" hidden="1">
      <c r="A125" s="350"/>
      <c r="B125" s="350"/>
      <c r="C125" s="350"/>
      <c r="D125" s="350"/>
      <c r="E125" s="350"/>
      <c r="F125" s="350"/>
      <c r="G125" s="350"/>
      <c r="H125" s="350"/>
      <c r="I125" s="350"/>
      <c r="J125" s="350"/>
      <c r="K125" s="350"/>
      <c r="L125" s="350"/>
      <c r="M125" s="350"/>
      <c r="N125" s="350"/>
      <c r="O125" s="350"/>
      <c r="P125" s="350"/>
      <c r="Q125" s="350"/>
      <c r="R125" s="350"/>
      <c r="S125" s="350"/>
      <c r="T125" s="350"/>
      <c r="U125" s="350"/>
      <c r="V125" s="350"/>
      <c r="W125" s="350"/>
      <c r="X125" s="350"/>
      <c r="Y125" s="350"/>
      <c r="Z125" s="350"/>
      <c r="AA125" s="350"/>
      <c r="AB125" s="350"/>
      <c r="AC125" s="350"/>
      <c r="AD125" s="350"/>
      <c r="AE125" s="350"/>
      <c r="AF125" s="350"/>
      <c r="AG125" s="350"/>
      <c r="AH125" s="350"/>
      <c r="AI125" s="350"/>
      <c r="AJ125" s="350"/>
      <c r="AK125" s="350"/>
      <c r="AL125" s="350"/>
      <c r="AM125" s="350"/>
      <c r="AN125" s="350"/>
      <c r="AO125" s="350"/>
      <c r="AP125" s="350"/>
      <c r="AQ125" s="350"/>
      <c r="AR125" s="131"/>
      <c r="AS125" s="131"/>
      <c r="AT125" s="131"/>
      <c r="AU125" s="131"/>
      <c r="AV125" s="131"/>
      <c r="AW125" s="131"/>
      <c r="AX125" s="208"/>
      <c r="AY125" s="398"/>
      <c r="AZ125" s="131"/>
      <c r="BA125" s="131"/>
      <c r="BB125" s="131"/>
      <c r="BC125" s="104"/>
      <c r="BD125" s="104"/>
      <c r="BE125" s="104"/>
      <c r="BF125" s="105"/>
      <c r="BG125" s="105"/>
      <c r="BH125" s="105"/>
      <c r="BI125" s="105"/>
      <c r="BJ125" s="105"/>
      <c r="BK125" s="105"/>
      <c r="BL125" s="105"/>
    </row>
    <row r="126" spans="1:64" hidden="1">
      <c r="A126" s="350"/>
      <c r="B126" s="350"/>
      <c r="C126" s="350"/>
      <c r="D126" s="350"/>
      <c r="E126" s="350"/>
      <c r="F126" s="350"/>
      <c r="G126" s="350"/>
      <c r="H126" s="350"/>
      <c r="I126" s="350"/>
      <c r="J126" s="350"/>
      <c r="K126" s="350"/>
      <c r="L126" s="350"/>
      <c r="M126" s="350"/>
      <c r="N126" s="350"/>
      <c r="O126" s="350"/>
      <c r="P126" s="350"/>
      <c r="Q126" s="350"/>
      <c r="R126" s="350"/>
      <c r="S126" s="350"/>
      <c r="T126" s="350"/>
      <c r="U126" s="350"/>
      <c r="V126" s="350"/>
      <c r="W126" s="350"/>
      <c r="X126" s="350"/>
      <c r="Y126" s="350"/>
      <c r="Z126" s="350"/>
      <c r="AA126" s="350"/>
      <c r="AB126" s="350"/>
      <c r="AC126" s="350"/>
      <c r="AD126" s="350"/>
      <c r="AE126" s="350"/>
      <c r="AF126" s="350"/>
      <c r="AG126" s="350"/>
      <c r="AH126" s="350"/>
      <c r="AI126" s="350"/>
      <c r="AJ126" s="350"/>
      <c r="AK126" s="350"/>
      <c r="AL126" s="350"/>
      <c r="AM126" s="350"/>
      <c r="AN126" s="350"/>
      <c r="AO126" s="350"/>
      <c r="AP126" s="350"/>
      <c r="AQ126" s="350"/>
      <c r="AR126" s="131"/>
      <c r="AS126" s="131"/>
      <c r="AT126" s="131"/>
      <c r="AU126" s="131"/>
      <c r="AV126" s="131"/>
      <c r="AW126" s="131"/>
      <c r="AX126" s="131"/>
      <c r="AY126" s="131"/>
      <c r="AZ126" s="131"/>
      <c r="BA126" s="131"/>
      <c r="BB126" s="131"/>
      <c r="BC126" s="104"/>
      <c r="BD126" s="104"/>
      <c r="BE126" s="104"/>
      <c r="BF126" s="105"/>
      <c r="BG126" s="105"/>
      <c r="BH126" s="105"/>
      <c r="BI126" s="105"/>
      <c r="BJ126" s="105"/>
      <c r="BK126" s="105"/>
      <c r="BL126" s="105"/>
    </row>
    <row r="127" spans="1:64" hidden="1">
      <c r="A127" s="350"/>
      <c r="B127" s="350"/>
      <c r="C127" s="350"/>
      <c r="D127" s="350"/>
      <c r="E127" s="350"/>
      <c r="F127" s="350"/>
      <c r="G127" s="350"/>
      <c r="H127" s="350"/>
      <c r="I127" s="350"/>
      <c r="J127" s="350"/>
      <c r="K127" s="350"/>
      <c r="L127" s="350"/>
      <c r="M127" s="350"/>
      <c r="N127" s="350"/>
      <c r="O127" s="350"/>
      <c r="P127" s="350"/>
      <c r="Q127" s="350"/>
      <c r="R127" s="350"/>
      <c r="S127" s="350"/>
      <c r="T127" s="350"/>
      <c r="U127" s="350"/>
      <c r="V127" s="350"/>
      <c r="W127" s="350"/>
      <c r="X127" s="350"/>
      <c r="Y127" s="350"/>
      <c r="Z127" s="350"/>
      <c r="AA127" s="350"/>
      <c r="AB127" s="350"/>
      <c r="AC127" s="350"/>
      <c r="AD127" s="350"/>
      <c r="AE127" s="350"/>
      <c r="AF127" s="350"/>
      <c r="AG127" s="350"/>
      <c r="AH127" s="350"/>
      <c r="AI127" s="350"/>
      <c r="AJ127" s="350"/>
      <c r="AK127" s="350"/>
      <c r="AL127" s="350"/>
      <c r="AM127" s="350"/>
      <c r="AN127" s="350"/>
      <c r="AO127" s="350"/>
      <c r="AP127" s="350"/>
      <c r="AQ127" s="350"/>
      <c r="AR127" s="131"/>
      <c r="AS127" s="131"/>
      <c r="AT127" s="131"/>
      <c r="AU127" s="131"/>
      <c r="AV127" s="131"/>
      <c r="AW127" s="131"/>
      <c r="AX127" s="208"/>
      <c r="AY127" s="398"/>
      <c r="AZ127" s="131"/>
      <c r="BA127" s="131"/>
      <c r="BB127" s="131"/>
      <c r="BC127" s="104"/>
      <c r="BD127" s="104"/>
      <c r="BE127" s="104"/>
      <c r="BF127" s="105"/>
      <c r="BG127" s="105"/>
      <c r="BH127" s="105"/>
      <c r="BI127" s="105"/>
      <c r="BJ127" s="105"/>
      <c r="BK127" s="105"/>
      <c r="BL127" s="105"/>
    </row>
    <row r="128" spans="1:64" hidden="1">
      <c r="A128" s="350"/>
      <c r="B128" s="350"/>
      <c r="C128" s="350"/>
      <c r="D128" s="350"/>
      <c r="E128" s="350"/>
      <c r="F128" s="350"/>
      <c r="G128" s="350"/>
      <c r="H128" s="350"/>
      <c r="I128" s="350"/>
      <c r="J128" s="350"/>
      <c r="K128" s="350"/>
      <c r="L128" s="350"/>
      <c r="M128" s="350"/>
      <c r="N128" s="350"/>
      <c r="O128" s="350"/>
      <c r="P128" s="350"/>
      <c r="Q128" s="350"/>
      <c r="R128" s="350"/>
      <c r="S128" s="350"/>
      <c r="T128" s="350"/>
      <c r="U128" s="350"/>
      <c r="V128" s="350"/>
      <c r="W128" s="350"/>
      <c r="X128" s="350"/>
      <c r="Y128" s="350"/>
      <c r="Z128" s="350"/>
      <c r="AA128" s="350"/>
      <c r="AB128" s="350"/>
      <c r="AC128" s="350"/>
      <c r="AD128" s="350"/>
      <c r="AE128" s="350"/>
      <c r="AF128" s="350"/>
      <c r="AG128" s="350"/>
      <c r="AH128" s="350"/>
      <c r="AI128" s="350"/>
      <c r="AJ128" s="350"/>
      <c r="AK128" s="350"/>
      <c r="AL128" s="350"/>
      <c r="AM128" s="350"/>
      <c r="AN128" s="350"/>
      <c r="AO128" s="350"/>
      <c r="AP128" s="350"/>
      <c r="AQ128" s="350"/>
      <c r="AR128" s="131"/>
      <c r="AS128" s="131"/>
      <c r="AT128" s="131"/>
      <c r="AU128" s="131"/>
      <c r="AV128" s="131"/>
      <c r="AW128" s="131"/>
      <c r="AX128" s="131"/>
      <c r="AY128" s="131"/>
      <c r="AZ128" s="131"/>
      <c r="BA128" s="131"/>
      <c r="BB128" s="131"/>
      <c r="BC128" s="104"/>
      <c r="BD128" s="104"/>
      <c r="BE128" s="104"/>
      <c r="BF128" s="105"/>
      <c r="BG128" s="105"/>
      <c r="BH128" s="105"/>
      <c r="BI128" s="105"/>
      <c r="BJ128" s="105"/>
      <c r="BK128" s="105"/>
      <c r="BL128" s="105"/>
    </row>
    <row r="129" spans="1:64" hidden="1">
      <c r="A129" s="350"/>
      <c r="B129" s="350"/>
      <c r="C129" s="350"/>
      <c r="D129" s="350"/>
      <c r="E129" s="350"/>
      <c r="F129" s="350"/>
      <c r="G129" s="350"/>
      <c r="H129" s="350"/>
      <c r="I129" s="350"/>
      <c r="J129" s="350"/>
      <c r="K129" s="350"/>
      <c r="L129" s="350"/>
      <c r="M129" s="350"/>
      <c r="N129" s="350"/>
      <c r="O129" s="350"/>
      <c r="P129" s="350"/>
      <c r="Q129" s="350"/>
      <c r="R129" s="350"/>
      <c r="S129" s="350"/>
      <c r="T129" s="350"/>
      <c r="U129" s="350"/>
      <c r="V129" s="350"/>
      <c r="W129" s="350"/>
      <c r="X129" s="350"/>
      <c r="Y129" s="350"/>
      <c r="Z129" s="350"/>
      <c r="AA129" s="350"/>
      <c r="AB129" s="350"/>
      <c r="AC129" s="350"/>
      <c r="AD129" s="350"/>
      <c r="AE129" s="350"/>
      <c r="AF129" s="350"/>
      <c r="AG129" s="350"/>
      <c r="AH129" s="350"/>
      <c r="AI129" s="350"/>
      <c r="AJ129" s="350"/>
      <c r="AK129" s="350"/>
      <c r="AL129" s="350"/>
      <c r="AM129" s="350"/>
      <c r="AN129" s="350"/>
      <c r="AO129" s="350"/>
      <c r="AP129" s="350"/>
      <c r="AQ129" s="350"/>
      <c r="AR129" s="131"/>
      <c r="AS129" s="131"/>
      <c r="AT129" s="131"/>
      <c r="AU129" s="131"/>
      <c r="AV129" s="131"/>
      <c r="AW129" s="131"/>
      <c r="AX129" s="208"/>
      <c r="AY129" s="188"/>
      <c r="AZ129" s="188"/>
      <c r="BA129" s="131"/>
      <c r="BB129" s="131"/>
      <c r="BC129" s="104"/>
      <c r="BD129" s="104"/>
      <c r="BE129" s="104"/>
      <c r="BF129" s="105"/>
      <c r="BG129" s="105"/>
      <c r="BH129" s="105"/>
      <c r="BI129" s="105"/>
      <c r="BJ129" s="105"/>
      <c r="BK129" s="105"/>
      <c r="BL129" s="105"/>
    </row>
    <row r="130" spans="1:64" hidden="1">
      <c r="A130" s="350"/>
      <c r="B130" s="350"/>
      <c r="C130" s="350"/>
      <c r="D130" s="350"/>
      <c r="E130" s="350"/>
      <c r="F130" s="350"/>
      <c r="G130" s="350"/>
      <c r="H130" s="350"/>
      <c r="I130" s="350"/>
      <c r="J130" s="350"/>
      <c r="K130" s="350"/>
      <c r="L130" s="350"/>
      <c r="M130" s="350"/>
      <c r="N130" s="350"/>
      <c r="O130" s="350"/>
      <c r="P130" s="350"/>
      <c r="Q130" s="350"/>
      <c r="R130" s="350"/>
      <c r="S130" s="350"/>
      <c r="T130" s="350"/>
      <c r="U130" s="350"/>
      <c r="V130" s="350"/>
      <c r="W130" s="350"/>
      <c r="X130" s="350"/>
      <c r="Y130" s="350"/>
      <c r="Z130" s="350"/>
      <c r="AA130" s="350"/>
      <c r="AB130" s="350"/>
      <c r="AC130" s="350"/>
      <c r="AD130" s="350"/>
      <c r="AE130" s="350"/>
      <c r="AF130" s="350"/>
      <c r="AG130" s="350"/>
      <c r="AH130" s="350"/>
      <c r="AI130" s="350"/>
      <c r="AJ130" s="350"/>
      <c r="AK130" s="350"/>
      <c r="AL130" s="350"/>
      <c r="AM130" s="350"/>
      <c r="AN130" s="350"/>
      <c r="AO130" s="350"/>
      <c r="AP130" s="350"/>
      <c r="AQ130" s="350"/>
      <c r="AR130" s="131"/>
      <c r="AS130" s="131"/>
      <c r="AT130" s="131"/>
      <c r="AU130" s="131"/>
      <c r="AV130" s="131"/>
      <c r="AW130" s="131"/>
      <c r="AX130" s="131"/>
      <c r="AY130" s="131"/>
      <c r="AZ130" s="131"/>
      <c r="BA130" s="131"/>
      <c r="BB130" s="131"/>
      <c r="BC130" s="104"/>
      <c r="BD130" s="104"/>
      <c r="BE130" s="104"/>
      <c r="BF130" s="105"/>
      <c r="BG130" s="105"/>
      <c r="BH130" s="105"/>
      <c r="BI130" s="105"/>
      <c r="BJ130" s="105"/>
      <c r="BK130" s="105"/>
      <c r="BL130" s="105"/>
    </row>
    <row r="131" spans="1:64" hidden="1">
      <c r="A131" s="350"/>
      <c r="B131" s="350"/>
      <c r="C131" s="350"/>
      <c r="D131" s="350"/>
      <c r="E131" s="350"/>
      <c r="F131" s="350"/>
      <c r="G131" s="350"/>
      <c r="H131" s="350"/>
      <c r="I131" s="350"/>
      <c r="J131" s="350"/>
      <c r="K131" s="350"/>
      <c r="L131" s="350"/>
      <c r="M131" s="350"/>
      <c r="N131" s="350"/>
      <c r="O131" s="350"/>
      <c r="P131" s="350"/>
      <c r="Q131" s="350"/>
      <c r="R131" s="350"/>
      <c r="S131" s="350"/>
      <c r="T131" s="350"/>
      <c r="U131" s="350"/>
      <c r="V131" s="350"/>
      <c r="W131" s="350"/>
      <c r="X131" s="350"/>
      <c r="Y131" s="350"/>
      <c r="Z131" s="350"/>
      <c r="AA131" s="350"/>
      <c r="AB131" s="350"/>
      <c r="AC131" s="350"/>
      <c r="AD131" s="350"/>
      <c r="AE131" s="350"/>
      <c r="AF131" s="350"/>
      <c r="AG131" s="350"/>
      <c r="AH131" s="350"/>
      <c r="AI131" s="350"/>
      <c r="AJ131" s="350"/>
      <c r="AK131" s="350"/>
      <c r="AL131" s="350"/>
      <c r="AM131" s="350"/>
      <c r="AN131" s="350"/>
      <c r="AO131" s="350"/>
      <c r="AP131" s="350"/>
      <c r="AQ131" s="350"/>
      <c r="AR131" s="131"/>
      <c r="AS131" s="131"/>
      <c r="AT131" s="131"/>
      <c r="AU131" s="131"/>
      <c r="AV131" s="131"/>
      <c r="AW131" s="131"/>
      <c r="AX131" s="131"/>
      <c r="AY131" s="131"/>
      <c r="AZ131" s="131"/>
      <c r="BA131" s="131"/>
      <c r="BB131" s="131"/>
      <c r="BC131" s="104"/>
      <c r="BD131" s="104"/>
      <c r="BE131" s="104"/>
      <c r="BF131" s="105"/>
      <c r="BG131" s="105"/>
      <c r="BH131" s="105"/>
      <c r="BI131" s="105"/>
      <c r="BJ131" s="105"/>
      <c r="BK131" s="105"/>
      <c r="BL131" s="105"/>
    </row>
    <row r="132" spans="1:64" hidden="1">
      <c r="A132" s="350"/>
      <c r="B132" s="350"/>
      <c r="C132" s="350"/>
      <c r="D132" s="350"/>
      <c r="E132" s="350"/>
      <c r="F132" s="350"/>
      <c r="G132" s="350"/>
      <c r="H132" s="350"/>
      <c r="I132" s="350"/>
      <c r="J132" s="350"/>
      <c r="K132" s="350"/>
      <c r="L132" s="350"/>
      <c r="M132" s="350"/>
      <c r="N132" s="350"/>
      <c r="O132" s="350"/>
      <c r="P132" s="350"/>
      <c r="Q132" s="350"/>
      <c r="R132" s="350"/>
      <c r="S132" s="350"/>
      <c r="T132" s="350"/>
      <c r="U132" s="350"/>
      <c r="V132" s="350"/>
      <c r="W132" s="350"/>
      <c r="X132" s="350"/>
      <c r="Y132" s="350"/>
      <c r="Z132" s="350"/>
      <c r="AA132" s="350"/>
      <c r="AB132" s="350"/>
      <c r="AC132" s="350"/>
      <c r="AD132" s="350"/>
      <c r="AE132" s="350"/>
      <c r="AF132" s="350"/>
      <c r="AG132" s="350"/>
      <c r="AH132" s="350"/>
      <c r="AI132" s="350"/>
      <c r="AJ132" s="350"/>
      <c r="AK132" s="350"/>
      <c r="AL132" s="350"/>
      <c r="AM132" s="350"/>
      <c r="AN132" s="350"/>
      <c r="AO132" s="350"/>
      <c r="AP132" s="350"/>
      <c r="AQ132" s="350"/>
      <c r="AR132" s="131"/>
      <c r="AS132" s="131"/>
      <c r="AT132" s="131"/>
      <c r="AU132" s="131"/>
      <c r="AV132" s="131"/>
      <c r="AW132" s="131"/>
      <c r="AX132" s="131"/>
      <c r="AY132" s="131"/>
      <c r="AZ132" s="131"/>
      <c r="BA132" s="131"/>
      <c r="BB132" s="131"/>
      <c r="BC132" s="104"/>
      <c r="BD132" s="104"/>
      <c r="BE132" s="104"/>
      <c r="BF132" s="105"/>
      <c r="BG132" s="105"/>
      <c r="BH132" s="105"/>
      <c r="BI132" s="105"/>
      <c r="BJ132" s="105"/>
      <c r="BK132" s="105"/>
      <c r="BL132" s="105"/>
    </row>
    <row r="133" spans="1:64" hidden="1">
      <c r="A133" s="350"/>
      <c r="B133" s="350"/>
      <c r="C133" s="350"/>
      <c r="D133" s="350"/>
      <c r="E133" s="350"/>
      <c r="F133" s="350"/>
      <c r="G133" s="350"/>
      <c r="H133" s="350"/>
      <c r="I133" s="350"/>
      <c r="J133" s="350"/>
      <c r="K133" s="350"/>
      <c r="L133" s="350"/>
      <c r="M133" s="350"/>
      <c r="N133" s="350"/>
      <c r="O133" s="350"/>
      <c r="P133" s="350"/>
      <c r="Q133" s="350"/>
      <c r="R133" s="350"/>
      <c r="S133" s="350"/>
      <c r="T133" s="350"/>
      <c r="U133" s="350"/>
      <c r="V133" s="350"/>
      <c r="W133" s="350"/>
      <c r="X133" s="350"/>
      <c r="Y133" s="350"/>
      <c r="Z133" s="350"/>
      <c r="AA133" s="350"/>
      <c r="AB133" s="350"/>
      <c r="AC133" s="350"/>
      <c r="AD133" s="350"/>
      <c r="AE133" s="350"/>
      <c r="AF133" s="350"/>
      <c r="AG133" s="350"/>
      <c r="AH133" s="350"/>
      <c r="AI133" s="350"/>
      <c r="AJ133" s="350"/>
      <c r="AK133" s="350"/>
      <c r="AL133" s="350"/>
      <c r="AM133" s="350"/>
      <c r="AN133" s="350"/>
      <c r="AO133" s="350"/>
      <c r="AP133" s="350"/>
      <c r="AQ133" s="350"/>
      <c r="AR133" s="131"/>
      <c r="AS133" s="131"/>
      <c r="AT133" s="131"/>
      <c r="AU133" s="131"/>
      <c r="AV133" s="131"/>
      <c r="AW133" s="238"/>
      <c r="AX133" s="131"/>
      <c r="AY133" s="131"/>
      <c r="AZ133" s="131"/>
      <c r="BA133" s="131"/>
      <c r="BB133" s="131"/>
      <c r="BC133" s="104"/>
      <c r="BD133" s="104"/>
      <c r="BE133" s="104"/>
      <c r="BF133" s="105"/>
      <c r="BG133" s="105"/>
      <c r="BH133" s="105"/>
      <c r="BI133" s="105"/>
      <c r="BJ133" s="105"/>
      <c r="BK133" s="105"/>
      <c r="BL133" s="105"/>
    </row>
    <row r="134" spans="1:64" hidden="1">
      <c r="A134" s="350"/>
      <c r="B134" s="350"/>
      <c r="C134" s="350"/>
      <c r="D134" s="350"/>
      <c r="E134" s="350"/>
      <c r="F134" s="350"/>
      <c r="G134" s="350"/>
      <c r="H134" s="350"/>
      <c r="I134" s="350"/>
      <c r="J134" s="350"/>
      <c r="K134" s="350"/>
      <c r="L134" s="350"/>
      <c r="M134" s="350"/>
      <c r="N134" s="350"/>
      <c r="O134" s="350"/>
      <c r="P134" s="350"/>
      <c r="Q134" s="350"/>
      <c r="R134" s="350"/>
      <c r="S134" s="350"/>
      <c r="T134" s="350"/>
      <c r="U134" s="350"/>
      <c r="V134" s="350"/>
      <c r="W134" s="350"/>
      <c r="X134" s="350"/>
      <c r="Y134" s="350"/>
      <c r="Z134" s="350"/>
      <c r="AA134" s="350"/>
      <c r="AB134" s="350"/>
      <c r="AC134" s="350"/>
      <c r="AD134" s="350"/>
      <c r="AE134" s="350"/>
      <c r="AF134" s="350"/>
      <c r="AG134" s="350"/>
      <c r="AH134" s="350"/>
      <c r="AI134" s="350"/>
      <c r="AJ134" s="350"/>
      <c r="AK134" s="350"/>
      <c r="AL134" s="350"/>
      <c r="AM134" s="350"/>
      <c r="AN134" s="350"/>
      <c r="AO134" s="350"/>
      <c r="AP134" s="350"/>
      <c r="AQ134" s="350"/>
      <c r="AR134" s="131"/>
      <c r="AS134" s="131"/>
      <c r="AT134" s="131"/>
      <c r="AU134" s="131"/>
      <c r="AV134" s="131"/>
      <c r="AW134" s="240"/>
      <c r="AX134" s="131"/>
      <c r="AY134" s="131"/>
      <c r="AZ134" s="131"/>
      <c r="BA134" s="131"/>
      <c r="BB134" s="131"/>
      <c r="BC134" s="104"/>
      <c r="BD134" s="104"/>
      <c r="BE134" s="104"/>
      <c r="BF134" s="105"/>
      <c r="BG134" s="105"/>
      <c r="BH134" s="105"/>
      <c r="BI134" s="105"/>
      <c r="BJ134" s="105"/>
      <c r="BK134" s="105"/>
      <c r="BL134" s="105"/>
    </row>
    <row r="135" spans="1:64" hidden="1">
      <c r="A135" s="350"/>
      <c r="B135" s="350"/>
      <c r="C135" s="350"/>
      <c r="D135" s="350"/>
      <c r="E135" s="350"/>
      <c r="F135" s="350"/>
      <c r="G135" s="350"/>
      <c r="H135" s="350"/>
      <c r="I135" s="350"/>
      <c r="J135" s="350"/>
      <c r="K135" s="350"/>
      <c r="L135" s="350"/>
      <c r="M135" s="350"/>
      <c r="N135" s="350"/>
      <c r="O135" s="350"/>
      <c r="P135" s="350"/>
      <c r="Q135" s="350"/>
      <c r="R135" s="350"/>
      <c r="S135" s="350"/>
      <c r="T135" s="350"/>
      <c r="U135" s="350"/>
      <c r="V135" s="350"/>
      <c r="W135" s="350"/>
      <c r="X135" s="350"/>
      <c r="Y135" s="350"/>
      <c r="Z135" s="350"/>
      <c r="AA135" s="350"/>
      <c r="AB135" s="350"/>
      <c r="AC135" s="350"/>
      <c r="AD135" s="350"/>
      <c r="AE135" s="350"/>
      <c r="AF135" s="350"/>
      <c r="AG135" s="350"/>
      <c r="AH135" s="350"/>
      <c r="AI135" s="350"/>
      <c r="AJ135" s="350"/>
      <c r="AK135" s="350"/>
      <c r="AL135" s="350"/>
      <c r="AM135" s="350"/>
      <c r="AN135" s="350"/>
      <c r="AO135" s="350"/>
      <c r="AP135" s="350"/>
      <c r="AQ135" s="350"/>
      <c r="AR135" s="131"/>
      <c r="AS135" s="131"/>
      <c r="AT135" s="131"/>
      <c r="AU135" s="131"/>
      <c r="AV135" s="131"/>
      <c r="AW135" s="399"/>
      <c r="AX135" s="131"/>
      <c r="AY135" s="131"/>
      <c r="AZ135" s="131"/>
      <c r="BA135" s="131"/>
      <c r="BB135" s="131"/>
      <c r="BC135" s="104"/>
      <c r="BD135" s="104"/>
      <c r="BE135" s="104"/>
      <c r="BF135" s="105"/>
      <c r="BG135" s="105"/>
      <c r="BH135" s="105"/>
      <c r="BI135" s="105"/>
      <c r="BJ135" s="105"/>
      <c r="BK135" s="105"/>
      <c r="BL135" s="105"/>
    </row>
    <row r="136" spans="1:64" hidden="1">
      <c r="A136" s="350"/>
      <c r="B136" s="350"/>
      <c r="C136" s="350"/>
      <c r="D136" s="350"/>
      <c r="E136" s="350"/>
      <c r="F136" s="350"/>
      <c r="G136" s="350"/>
      <c r="H136" s="350"/>
      <c r="I136" s="350"/>
      <c r="J136" s="350"/>
      <c r="K136" s="350"/>
      <c r="L136" s="350"/>
      <c r="M136" s="350"/>
      <c r="N136" s="350"/>
      <c r="O136" s="350"/>
      <c r="P136" s="350"/>
      <c r="Q136" s="350"/>
      <c r="R136" s="350"/>
      <c r="S136" s="350"/>
      <c r="T136" s="350"/>
      <c r="U136" s="350"/>
      <c r="V136" s="350"/>
      <c r="W136" s="350"/>
      <c r="X136" s="350"/>
      <c r="Y136" s="350"/>
      <c r="Z136" s="350"/>
      <c r="AA136" s="350"/>
      <c r="AB136" s="350"/>
      <c r="AC136" s="350"/>
      <c r="AD136" s="350"/>
      <c r="AE136" s="350"/>
      <c r="AF136" s="350"/>
      <c r="AG136" s="350"/>
      <c r="AH136" s="350"/>
      <c r="AI136" s="350"/>
      <c r="AJ136" s="350"/>
      <c r="AK136" s="350"/>
      <c r="AL136" s="350"/>
      <c r="AM136" s="350"/>
      <c r="AN136" s="350"/>
      <c r="AO136" s="350"/>
      <c r="AP136" s="350"/>
      <c r="AQ136" s="350"/>
      <c r="AR136" s="131"/>
      <c r="AS136" s="131"/>
      <c r="AT136" s="131"/>
      <c r="AU136" s="131"/>
      <c r="AV136" s="131"/>
      <c r="AW136" s="400"/>
      <c r="AX136" s="131"/>
      <c r="AY136" s="131"/>
      <c r="AZ136" s="131"/>
      <c r="BA136" s="131"/>
      <c r="BB136" s="131"/>
      <c r="BC136" s="104"/>
      <c r="BD136" s="104"/>
      <c r="BE136" s="104"/>
      <c r="BF136" s="105"/>
      <c r="BG136" s="105"/>
      <c r="BH136" s="105"/>
      <c r="BI136" s="105"/>
      <c r="BJ136" s="105"/>
      <c r="BK136" s="105"/>
      <c r="BL136" s="105"/>
    </row>
    <row r="137" spans="1:64" hidden="1">
      <c r="A137" s="350"/>
      <c r="B137" s="350"/>
      <c r="C137" s="350"/>
      <c r="D137" s="350"/>
      <c r="E137" s="350"/>
      <c r="F137" s="350"/>
      <c r="G137" s="350"/>
      <c r="H137" s="350"/>
      <c r="I137" s="350"/>
      <c r="J137" s="350"/>
      <c r="K137" s="350"/>
      <c r="L137" s="350"/>
      <c r="M137" s="350"/>
      <c r="N137" s="350"/>
      <c r="O137" s="350"/>
      <c r="P137" s="350"/>
      <c r="Q137" s="350"/>
      <c r="R137" s="350"/>
      <c r="S137" s="350"/>
      <c r="T137" s="350"/>
      <c r="U137" s="350"/>
      <c r="V137" s="350"/>
      <c r="W137" s="350"/>
      <c r="X137" s="350"/>
      <c r="Y137" s="350"/>
      <c r="Z137" s="350"/>
      <c r="AA137" s="350"/>
      <c r="AB137" s="350"/>
      <c r="AC137" s="350"/>
      <c r="AD137" s="350"/>
      <c r="AE137" s="350"/>
      <c r="AF137" s="350"/>
      <c r="AG137" s="350"/>
      <c r="AH137" s="350"/>
      <c r="AI137" s="350"/>
      <c r="AJ137" s="350"/>
      <c r="AK137" s="350"/>
      <c r="AL137" s="350"/>
      <c r="AM137" s="350"/>
      <c r="AN137" s="350"/>
      <c r="AO137" s="350"/>
      <c r="AP137" s="350"/>
      <c r="AQ137" s="350"/>
      <c r="AR137" s="131"/>
      <c r="AS137" s="131"/>
      <c r="AT137" s="131"/>
      <c r="AU137" s="131"/>
      <c r="AV137" s="131"/>
      <c r="AW137" s="400"/>
      <c r="AX137" s="131"/>
      <c r="AY137" s="131"/>
      <c r="AZ137" s="131"/>
      <c r="BA137" s="131"/>
      <c r="BB137" s="131"/>
      <c r="BC137" s="104"/>
      <c r="BD137" s="104"/>
      <c r="BE137" s="104"/>
      <c r="BF137" s="105"/>
      <c r="BG137" s="105"/>
      <c r="BH137" s="105"/>
      <c r="BI137" s="105"/>
      <c r="BJ137" s="105"/>
      <c r="BK137" s="105"/>
      <c r="BL137" s="105"/>
    </row>
    <row r="138" spans="1:64" hidden="1">
      <c r="A138" s="350"/>
      <c r="B138" s="350"/>
      <c r="C138" s="350"/>
      <c r="D138" s="350"/>
      <c r="E138" s="350"/>
      <c r="F138" s="350"/>
      <c r="G138" s="350"/>
      <c r="H138" s="350"/>
      <c r="I138" s="350"/>
      <c r="J138" s="350"/>
      <c r="K138" s="350"/>
      <c r="L138" s="350"/>
      <c r="M138" s="350"/>
      <c r="N138" s="350"/>
      <c r="O138" s="350"/>
      <c r="P138" s="350"/>
      <c r="Q138" s="350"/>
      <c r="R138" s="350"/>
      <c r="S138" s="350"/>
      <c r="T138" s="350"/>
      <c r="U138" s="350"/>
      <c r="V138" s="350"/>
      <c r="W138" s="350"/>
      <c r="X138" s="350"/>
      <c r="Y138" s="350"/>
      <c r="Z138" s="350"/>
      <c r="AA138" s="350"/>
      <c r="AB138" s="350"/>
      <c r="AC138" s="350"/>
      <c r="AD138" s="350"/>
      <c r="AE138" s="350"/>
      <c r="AF138" s="350"/>
      <c r="AG138" s="350"/>
      <c r="AH138" s="350"/>
      <c r="AI138" s="350"/>
      <c r="AJ138" s="350"/>
      <c r="AK138" s="350"/>
      <c r="AL138" s="350"/>
      <c r="AM138" s="350"/>
      <c r="AN138" s="350"/>
      <c r="AO138" s="350"/>
      <c r="AP138" s="350"/>
      <c r="AQ138" s="350"/>
      <c r="AR138" s="131"/>
      <c r="AS138" s="131"/>
      <c r="AT138" s="131"/>
      <c r="AU138" s="131"/>
      <c r="AV138" s="131"/>
      <c r="AW138" s="131"/>
      <c r="AX138" s="131"/>
      <c r="AY138" s="131"/>
      <c r="AZ138" s="131"/>
      <c r="BA138" s="131"/>
      <c r="BB138" s="131"/>
      <c r="BC138" s="104"/>
      <c r="BD138" s="104"/>
      <c r="BE138" s="104"/>
      <c r="BF138" s="105"/>
      <c r="BG138" s="105"/>
      <c r="BH138" s="105"/>
      <c r="BI138" s="105"/>
      <c r="BJ138" s="105"/>
      <c r="BK138" s="105"/>
      <c r="BL138" s="105"/>
    </row>
    <row r="139" spans="1:64" hidden="1">
      <c r="A139" s="350"/>
      <c r="B139" s="350"/>
      <c r="C139" s="350"/>
      <c r="D139" s="350"/>
      <c r="E139" s="350"/>
      <c r="F139" s="350"/>
      <c r="G139" s="350"/>
      <c r="H139" s="350"/>
      <c r="I139" s="350"/>
      <c r="J139" s="350"/>
      <c r="K139" s="350"/>
      <c r="L139" s="350"/>
      <c r="M139" s="350"/>
      <c r="N139" s="350"/>
      <c r="O139" s="350"/>
      <c r="P139" s="350"/>
      <c r="Q139" s="350"/>
      <c r="R139" s="350"/>
      <c r="S139" s="350"/>
      <c r="T139" s="350"/>
      <c r="U139" s="350"/>
      <c r="V139" s="350"/>
      <c r="W139" s="350"/>
      <c r="X139" s="350"/>
      <c r="Y139" s="350"/>
      <c r="Z139" s="350"/>
      <c r="AA139" s="350"/>
      <c r="AB139" s="350"/>
      <c r="AC139" s="350"/>
      <c r="AD139" s="350"/>
      <c r="AE139" s="350"/>
      <c r="AF139" s="350"/>
      <c r="AG139" s="350"/>
      <c r="AH139" s="350"/>
      <c r="AI139" s="350"/>
      <c r="AJ139" s="350"/>
      <c r="AK139" s="350"/>
      <c r="AL139" s="350"/>
      <c r="AM139" s="350"/>
      <c r="AN139" s="350"/>
      <c r="AO139" s="350"/>
      <c r="AP139" s="350"/>
      <c r="AQ139" s="350"/>
      <c r="AR139" s="131"/>
      <c r="AS139" s="131"/>
      <c r="AT139" s="131"/>
      <c r="AU139" s="131"/>
      <c r="AV139" s="131"/>
      <c r="AW139" s="131"/>
      <c r="AX139" s="131"/>
      <c r="AY139" s="131"/>
      <c r="AZ139" s="131"/>
      <c r="BA139" s="131"/>
      <c r="BB139" s="131"/>
      <c r="BC139" s="104"/>
      <c r="BD139" s="104"/>
      <c r="BE139" s="104"/>
      <c r="BF139" s="105"/>
      <c r="BG139" s="105"/>
      <c r="BH139" s="105"/>
      <c r="BI139" s="105"/>
      <c r="BJ139" s="105"/>
      <c r="BK139" s="105"/>
      <c r="BL139" s="105"/>
    </row>
    <row r="140" spans="1:64" hidden="1">
      <c r="A140" s="350"/>
      <c r="B140" s="350"/>
      <c r="C140" s="350"/>
      <c r="D140" s="350"/>
      <c r="E140" s="350"/>
      <c r="F140" s="350"/>
      <c r="G140" s="350"/>
      <c r="H140" s="350"/>
      <c r="I140" s="350"/>
      <c r="J140" s="350"/>
      <c r="K140" s="350"/>
      <c r="L140" s="350"/>
      <c r="M140" s="350"/>
      <c r="N140" s="350"/>
      <c r="O140" s="350"/>
      <c r="P140" s="350"/>
      <c r="Q140" s="350"/>
      <c r="R140" s="350"/>
      <c r="S140" s="350"/>
      <c r="T140" s="350"/>
      <c r="U140" s="350"/>
      <c r="V140" s="350"/>
      <c r="W140" s="350"/>
      <c r="X140" s="350"/>
      <c r="Y140" s="350"/>
      <c r="Z140" s="350"/>
      <c r="AA140" s="350"/>
      <c r="AB140" s="350"/>
      <c r="AC140" s="350"/>
      <c r="AD140" s="350"/>
      <c r="AE140" s="350"/>
      <c r="AF140" s="350"/>
      <c r="AG140" s="350"/>
      <c r="AH140" s="350"/>
      <c r="AI140" s="350"/>
      <c r="AJ140" s="350"/>
      <c r="AK140" s="350"/>
      <c r="AL140" s="350"/>
      <c r="AM140" s="350"/>
      <c r="AN140" s="350"/>
      <c r="AO140" s="350"/>
      <c r="AP140" s="350"/>
      <c r="AQ140" s="350"/>
      <c r="AR140" s="131"/>
      <c r="AS140" s="131"/>
      <c r="AT140" s="131"/>
      <c r="AU140" s="131"/>
      <c r="AV140" s="131"/>
      <c r="AW140" s="131"/>
      <c r="AX140" s="131"/>
      <c r="AY140" s="131"/>
      <c r="AZ140" s="131"/>
      <c r="BA140" s="131"/>
      <c r="BB140" s="131"/>
      <c r="BC140" s="104"/>
      <c r="BD140" s="104"/>
      <c r="BE140" s="104"/>
      <c r="BF140" s="105"/>
      <c r="BG140" s="105"/>
      <c r="BH140" s="105"/>
      <c r="BI140" s="105"/>
      <c r="BJ140" s="105"/>
      <c r="BK140" s="105"/>
      <c r="BL140" s="105"/>
    </row>
    <row r="141" spans="1:64" hidden="1">
      <c r="A141" s="350"/>
      <c r="B141" s="350"/>
      <c r="C141" s="350"/>
      <c r="D141" s="350"/>
      <c r="E141" s="350"/>
      <c r="F141" s="350"/>
      <c r="G141" s="350"/>
      <c r="H141" s="350"/>
      <c r="I141" s="350"/>
      <c r="J141" s="350"/>
      <c r="K141" s="350"/>
      <c r="L141" s="350"/>
      <c r="M141" s="350"/>
      <c r="N141" s="350"/>
      <c r="O141" s="350"/>
      <c r="P141" s="350"/>
      <c r="Q141" s="350"/>
      <c r="R141" s="350"/>
      <c r="S141" s="350"/>
      <c r="T141" s="350"/>
      <c r="U141" s="350"/>
      <c r="V141" s="350"/>
      <c r="W141" s="350"/>
      <c r="X141" s="350"/>
      <c r="Y141" s="350"/>
      <c r="Z141" s="350"/>
      <c r="AA141" s="350"/>
      <c r="AB141" s="350"/>
      <c r="AC141" s="350"/>
      <c r="AD141" s="350"/>
      <c r="AE141" s="350"/>
      <c r="AF141" s="350"/>
      <c r="AG141" s="350"/>
      <c r="AH141" s="350"/>
      <c r="AI141" s="350"/>
      <c r="AJ141" s="350"/>
      <c r="AK141" s="350"/>
      <c r="AL141" s="350"/>
      <c r="AM141" s="350"/>
      <c r="AN141" s="350"/>
      <c r="AO141" s="350"/>
      <c r="AP141" s="350"/>
      <c r="AQ141" s="350"/>
      <c r="AR141" s="131"/>
      <c r="AS141" s="131"/>
      <c r="AT141" s="396"/>
      <c r="AU141" s="396"/>
      <c r="AV141" s="396"/>
      <c r="AW141" s="159"/>
      <c r="AX141" s="393"/>
      <c r="AY141" s="393"/>
      <c r="AZ141" s="389"/>
      <c r="BA141" s="393"/>
      <c r="BB141" s="131"/>
      <c r="BC141" s="104"/>
      <c r="BD141" s="104"/>
      <c r="BE141" s="107"/>
      <c r="BF141" s="105"/>
      <c r="BG141" s="105"/>
      <c r="BH141" s="105"/>
      <c r="BI141" s="105"/>
      <c r="BJ141" s="105"/>
      <c r="BK141" s="105"/>
      <c r="BL141" s="105"/>
    </row>
    <row r="142" spans="1:64" hidden="1">
      <c r="A142" s="350"/>
      <c r="B142" s="350"/>
      <c r="C142" s="350"/>
      <c r="D142" s="350"/>
      <c r="E142" s="350"/>
      <c r="F142" s="350"/>
      <c r="G142" s="350"/>
      <c r="H142" s="350"/>
      <c r="I142" s="350"/>
      <c r="J142" s="350"/>
      <c r="K142" s="350"/>
      <c r="L142" s="350"/>
      <c r="M142" s="350"/>
      <c r="N142" s="350"/>
      <c r="O142" s="350"/>
      <c r="P142" s="350"/>
      <c r="Q142" s="350"/>
      <c r="R142" s="350"/>
      <c r="S142" s="350"/>
      <c r="T142" s="350"/>
      <c r="U142" s="350"/>
      <c r="V142" s="350"/>
      <c r="W142" s="350"/>
      <c r="X142" s="350"/>
      <c r="Y142" s="350"/>
      <c r="Z142" s="350"/>
      <c r="AA142" s="350"/>
      <c r="AB142" s="350"/>
      <c r="AC142" s="350"/>
      <c r="AD142" s="350"/>
      <c r="AE142" s="350"/>
      <c r="AF142" s="350"/>
      <c r="AG142" s="350"/>
      <c r="AH142" s="350"/>
      <c r="AI142" s="350"/>
      <c r="AJ142" s="350"/>
      <c r="AK142" s="350"/>
      <c r="AL142" s="350"/>
      <c r="AM142" s="350"/>
      <c r="AN142" s="350"/>
      <c r="AO142" s="350"/>
      <c r="AP142" s="350"/>
      <c r="AQ142" s="350"/>
      <c r="AR142" s="131"/>
      <c r="AS142" s="131"/>
      <c r="AT142" s="401"/>
      <c r="AU142" s="401"/>
      <c r="AV142" s="401"/>
      <c r="AW142" s="401"/>
      <c r="AX142" s="401"/>
      <c r="AY142" s="401"/>
      <c r="AZ142" s="389"/>
      <c r="BA142" s="393"/>
      <c r="BB142" s="393"/>
      <c r="BC142" s="107"/>
      <c r="BD142" s="107"/>
      <c r="BE142" s="107"/>
      <c r="BF142" s="105"/>
      <c r="BG142" s="105"/>
      <c r="BH142" s="105"/>
      <c r="BI142" s="105"/>
      <c r="BJ142" s="105"/>
      <c r="BK142" s="105"/>
      <c r="BL142" s="105"/>
    </row>
    <row r="143" spans="1:64" hidden="1">
      <c r="A143" s="350"/>
      <c r="B143" s="350"/>
      <c r="C143" s="350"/>
      <c r="D143" s="350"/>
      <c r="E143" s="350"/>
      <c r="F143" s="350"/>
      <c r="G143" s="350"/>
      <c r="H143" s="350"/>
      <c r="I143" s="350"/>
      <c r="J143" s="350"/>
      <c r="K143" s="350"/>
      <c r="L143" s="350"/>
      <c r="M143" s="350"/>
      <c r="N143" s="350"/>
      <c r="O143" s="350"/>
      <c r="P143" s="350"/>
      <c r="Q143" s="350"/>
      <c r="R143" s="350"/>
      <c r="S143" s="350"/>
      <c r="T143" s="350"/>
      <c r="U143" s="350"/>
      <c r="V143" s="350"/>
      <c r="W143" s="350"/>
      <c r="X143" s="350"/>
      <c r="Y143" s="350"/>
      <c r="Z143" s="350"/>
      <c r="AA143" s="350"/>
      <c r="AB143" s="350"/>
      <c r="AC143" s="350"/>
      <c r="AD143" s="350"/>
      <c r="AE143" s="350"/>
      <c r="AF143" s="350"/>
      <c r="AG143" s="350"/>
      <c r="AH143" s="350"/>
      <c r="AI143" s="350"/>
      <c r="AJ143" s="350"/>
      <c r="AK143" s="350"/>
      <c r="AL143" s="350"/>
      <c r="AM143" s="350"/>
      <c r="AN143" s="350"/>
      <c r="AO143" s="350"/>
      <c r="AP143" s="350"/>
      <c r="AQ143" s="350"/>
      <c r="AR143" s="131"/>
      <c r="AS143" s="131"/>
      <c r="AT143" s="400"/>
      <c r="AU143" s="400"/>
      <c r="AV143" s="400"/>
      <c r="AW143" s="131"/>
      <c r="AX143" s="400"/>
      <c r="AY143" s="393"/>
      <c r="AZ143" s="393"/>
      <c r="BA143" s="393"/>
      <c r="BB143" s="393"/>
      <c r="BC143" s="108"/>
      <c r="BD143" s="104"/>
      <c r="BE143" s="108"/>
      <c r="BF143" s="105"/>
      <c r="BG143" s="105"/>
      <c r="BH143" s="105"/>
      <c r="BI143" s="105"/>
      <c r="BJ143" s="105"/>
      <c r="BK143" s="105"/>
      <c r="BL143" s="105"/>
    </row>
    <row r="144" spans="1:64" hidden="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73"/>
      <c r="AS144" s="173"/>
      <c r="AT144" s="173"/>
      <c r="AU144" s="173"/>
      <c r="AV144" s="173"/>
      <c r="AW144" s="173"/>
      <c r="AX144" s="173"/>
      <c r="AY144" s="173"/>
      <c r="AZ144" s="173"/>
      <c r="BA144" s="173"/>
      <c r="BB144" s="173"/>
      <c r="BC144" s="105"/>
      <c r="BD144" s="105"/>
      <c r="BE144" s="105"/>
      <c r="BF144" s="105"/>
      <c r="BG144" s="105"/>
      <c r="BH144" s="105"/>
      <c r="BI144" s="105"/>
      <c r="BJ144" s="105"/>
      <c r="BK144" s="105"/>
      <c r="BL144" s="105"/>
    </row>
    <row r="145" spans="1:64" hidden="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73"/>
      <c r="AS145" s="173"/>
      <c r="AT145" s="173"/>
      <c r="AU145" s="173"/>
      <c r="AV145" s="173"/>
      <c r="AW145" s="173"/>
      <c r="AX145" s="173"/>
      <c r="AY145" s="173"/>
      <c r="AZ145" s="173"/>
      <c r="BA145" s="173"/>
      <c r="BB145" s="173"/>
      <c r="BC145" s="105"/>
      <c r="BD145" s="105"/>
      <c r="BE145" s="105"/>
      <c r="BF145" s="105"/>
      <c r="BG145" s="105"/>
      <c r="BH145" s="105"/>
      <c r="BI145" s="105"/>
      <c r="BJ145" s="105"/>
      <c r="BK145" s="105"/>
      <c r="BL145" s="105"/>
    </row>
    <row r="146" spans="1:64" hidden="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row>
    <row r="147" spans="1:64" hidden="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row>
    <row r="148" spans="1:64" hidden="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row>
    <row r="149" spans="1:64" hidden="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row>
    <row r="150" spans="1:64" hidden="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row>
    <row r="151" spans="1:64" hidden="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row>
    <row r="152" spans="1:64" hidden="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row>
    <row r="153" spans="1:64" hidden="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row>
    <row r="154" spans="1:64" hidden="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row>
    <row r="155" spans="1:64" hidden="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row>
    <row r="156" spans="1:64" hidden="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row>
    <row r="157" spans="1:64" hidden="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row>
    <row r="158" spans="1:64" hidden="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row>
    <row r="159" spans="1:64" hidden="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row>
    <row r="160" spans="1:64" hidden="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row>
    <row r="161" spans="1:78" hidden="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row>
    <row r="162" spans="1:78" hidden="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row>
    <row r="163" spans="1:78" hidden="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row>
    <row r="164" spans="1:78" hidden="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row>
    <row r="165" spans="1:78" hidden="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row>
    <row r="166" spans="1:78" hidden="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row>
    <row r="167" spans="1:78" hidden="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row>
    <row r="168" spans="1:78" hidden="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row>
    <row r="169" spans="1:78" hidden="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row>
    <row r="170" spans="1:78" hidden="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row>
  </sheetData>
  <sheetProtection algorithmName="SHA-512" hashValue="0xrPpMrIWFxXwyffG6047POxtRcFfPdyaDwmSVRRynA6jzoQ+MeVuWtvEe0Vd3+cXzF0n6UNVVzN8vb7WK/hrA==" saltValue="dfaxzMJvOmiJkV4lkSQ8LQ==" spinCount="100000" sheet="1" formatColumns="0" formatRows="0" selectLockedCells="1"/>
  <protectedRanges>
    <protectedRange sqref="AS66" name="Range6"/>
    <protectedRange sqref="D82:H82 D83:G83" name="Range4"/>
    <protectedRange sqref="AT24" name="Range1"/>
    <protectedRange sqref="AS27" name="Range2"/>
    <protectedRange sqref="AS28" name="Range3"/>
    <protectedRange sqref="AI66:AQ66 T66:AA66 N66:O66 L66:L68" name="Range5"/>
    <protectedRange sqref="AB66:AH66 AG67:AH69" name="Range5_1"/>
  </protectedRanges>
  <customSheetViews>
    <customSheetView guid="{DDA22D69-94B5-45BC-9EE2-6055A845129B}" scale="112" hiddenRows="1" hiddenColumns="1" topLeftCell="A68">
      <selection activeCell="N78" sqref="N78"/>
      <pageMargins left="1.1023622047244095" right="0.78740157480314965" top="0.15748031496062992" bottom="0.27559055118110237" header="0.31496062992125984" footer="0.31496062992125984"/>
      <pageSetup paperSize="9" scale="72" orientation="portrait" r:id="rId1"/>
    </customSheetView>
    <customSheetView guid="{1B7577DB-E3C4-4E68-B7CF-8F86FF7C5A82}" scale="112" hiddenRows="1" hiddenColumns="1" topLeftCell="A59">
      <selection activeCell="N77" sqref="N77"/>
      <pageMargins left="1.1023622047244095" right="0.78740157480314965" top="0.15748031496062992" bottom="0.27559055118110237" header="0.31496062992125984" footer="0.31496062992125984"/>
      <pageSetup paperSize="9" scale="72" orientation="portrait" r:id="rId2"/>
    </customSheetView>
    <customSheetView guid="{E7B1C62B-1F1D-4A62-BD87-EE62D3A36B6C}" scale="112" hiddenRows="1" hiddenColumns="1" topLeftCell="A55">
      <selection activeCell="N78" sqref="N78"/>
      <pageMargins left="1.1023622047244095" right="0.78740157480314965" top="0.15748031496062992" bottom="0.27559055118110237" header="0.31496062992125984" footer="0.31496062992125984"/>
      <pageSetup paperSize="9" scale="72" orientation="portrait" r:id="rId3"/>
    </customSheetView>
  </customSheetViews>
  <mergeCells count="252">
    <mergeCell ref="J78:K78"/>
    <mergeCell ref="C56:I56"/>
    <mergeCell ref="J42:K42"/>
    <mergeCell ref="L57:M57"/>
    <mergeCell ref="L58:M58"/>
    <mergeCell ref="P58:T59"/>
    <mergeCell ref="U58:U59"/>
    <mergeCell ref="D12:H12"/>
    <mergeCell ref="D39:I39"/>
    <mergeCell ref="L39:M39"/>
    <mergeCell ref="C41:I41"/>
    <mergeCell ref="D61:H61"/>
    <mergeCell ref="P61:Q61"/>
    <mergeCell ref="R61:S61"/>
    <mergeCell ref="F66:I66"/>
    <mergeCell ref="C65:K65"/>
    <mergeCell ref="C72:H72"/>
    <mergeCell ref="D28:H28"/>
    <mergeCell ref="L28:M28"/>
    <mergeCell ref="D27:H27"/>
    <mergeCell ref="L27:M27"/>
    <mergeCell ref="L34:M34"/>
    <mergeCell ref="L37:M37"/>
    <mergeCell ref="D38:I38"/>
    <mergeCell ref="D31:I31"/>
    <mergeCell ref="D33:I33"/>
    <mergeCell ref="D32:I32"/>
    <mergeCell ref="D34:I34"/>
    <mergeCell ref="D37:I37"/>
    <mergeCell ref="L29:M29"/>
    <mergeCell ref="L30:M30"/>
    <mergeCell ref="L31:M31"/>
    <mergeCell ref="L32:M32"/>
    <mergeCell ref="L33:M33"/>
    <mergeCell ref="D29:I29"/>
    <mergeCell ref="D30:I30"/>
    <mergeCell ref="D35:H35"/>
    <mergeCell ref="D36:H36"/>
    <mergeCell ref="L35:M35"/>
    <mergeCell ref="L36:M36"/>
    <mergeCell ref="C9:K9"/>
    <mergeCell ref="C14:K14"/>
    <mergeCell ref="L14:M14"/>
    <mergeCell ref="L22:M24"/>
    <mergeCell ref="D22:H22"/>
    <mergeCell ref="I22:J22"/>
    <mergeCell ref="D23:H23"/>
    <mergeCell ref="I23:J23"/>
    <mergeCell ref="I24:J24"/>
    <mergeCell ref="D24:H24"/>
    <mergeCell ref="K22:K24"/>
    <mergeCell ref="C13:K13"/>
    <mergeCell ref="L13:M13"/>
    <mergeCell ref="D11:H11"/>
    <mergeCell ref="D10:H10"/>
    <mergeCell ref="C7:J7"/>
    <mergeCell ref="I8:J8"/>
    <mergeCell ref="C8:H8"/>
    <mergeCell ref="B2:E2"/>
    <mergeCell ref="F2:K2"/>
    <mergeCell ref="L2:M2"/>
    <mergeCell ref="AR2:AS2"/>
    <mergeCell ref="B3:D3"/>
    <mergeCell ref="F3:K3"/>
    <mergeCell ref="L3:M3"/>
    <mergeCell ref="O3:Q4"/>
    <mergeCell ref="R3:S4"/>
    <mergeCell ref="B4:D4"/>
    <mergeCell ref="E4:G4"/>
    <mergeCell ref="I4:M4"/>
    <mergeCell ref="B5:D5"/>
    <mergeCell ref="E5:G5"/>
    <mergeCell ref="I5:M5"/>
    <mergeCell ref="B6:D6"/>
    <mergeCell ref="E6:G6"/>
    <mergeCell ref="I6:J6"/>
    <mergeCell ref="L6:M6"/>
    <mergeCell ref="AB6:AG8"/>
    <mergeCell ref="BU10:BW10"/>
    <mergeCell ref="O6:T8"/>
    <mergeCell ref="O11:Q11"/>
    <mergeCell ref="BU11:BW11"/>
    <mergeCell ref="O12:Q12"/>
    <mergeCell ref="BU12:BW12"/>
    <mergeCell ref="BU6:BZ6"/>
    <mergeCell ref="L7:M7"/>
    <mergeCell ref="AR7:AS10"/>
    <mergeCell ref="L8:M8"/>
    <mergeCell ref="L9:M9"/>
    <mergeCell ref="O9:T9"/>
    <mergeCell ref="O10:Q10"/>
    <mergeCell ref="L11:M11"/>
    <mergeCell ref="L10:M10"/>
    <mergeCell ref="L12:M12"/>
    <mergeCell ref="AB9:AG9"/>
    <mergeCell ref="AB10:AD10"/>
    <mergeCell ref="AB11:AD11"/>
    <mergeCell ref="AB12:AD12"/>
    <mergeCell ref="BU14:BW14"/>
    <mergeCell ref="O15:Q15"/>
    <mergeCell ref="BU15:BW15"/>
    <mergeCell ref="O16:Q16"/>
    <mergeCell ref="AW16:AW17"/>
    <mergeCell ref="BU16:BW16"/>
    <mergeCell ref="U15:Y16"/>
    <mergeCell ref="D16:H16"/>
    <mergeCell ref="D17:H17"/>
    <mergeCell ref="C15:K15"/>
    <mergeCell ref="L15:M15"/>
    <mergeCell ref="O14:Q14"/>
    <mergeCell ref="AB14:AD14"/>
    <mergeCell ref="AB15:AD15"/>
    <mergeCell ref="AB16:AD16"/>
    <mergeCell ref="AB17:AD17"/>
    <mergeCell ref="BT24:BY24"/>
    <mergeCell ref="BT25:BY25"/>
    <mergeCell ref="C26:I26"/>
    <mergeCell ref="BT26:BY26"/>
    <mergeCell ref="O17:Q17"/>
    <mergeCell ref="BU17:BW17"/>
    <mergeCell ref="AR20:AT20"/>
    <mergeCell ref="D18:H18"/>
    <mergeCell ref="L19:M19"/>
    <mergeCell ref="C19:J19"/>
    <mergeCell ref="C20:J20"/>
    <mergeCell ref="L20:M20"/>
    <mergeCell ref="C21:J21"/>
    <mergeCell ref="L21:M21"/>
    <mergeCell ref="C25:K25"/>
    <mergeCell ref="L25:M25"/>
    <mergeCell ref="AV23:AX23"/>
    <mergeCell ref="O24:O26"/>
    <mergeCell ref="P24:T26"/>
    <mergeCell ref="L26:M26"/>
    <mergeCell ref="BT41:BV41"/>
    <mergeCell ref="C42:I42"/>
    <mergeCell ref="D43:H43"/>
    <mergeCell ref="D44:H44"/>
    <mergeCell ref="D45:H45"/>
    <mergeCell ref="L41:M41"/>
    <mergeCell ref="L38:M38"/>
    <mergeCell ref="C40:I40"/>
    <mergeCell ref="L40:M40"/>
    <mergeCell ref="BT40:BV40"/>
    <mergeCell ref="J40:K40"/>
    <mergeCell ref="J41:K41"/>
    <mergeCell ref="AD58:AF58"/>
    <mergeCell ref="AG58:AH58"/>
    <mergeCell ref="AB59:AH60"/>
    <mergeCell ref="D52:H52"/>
    <mergeCell ref="D53:H53"/>
    <mergeCell ref="R60:S60"/>
    <mergeCell ref="AG55:AH55"/>
    <mergeCell ref="AB56:AF57"/>
    <mergeCell ref="AG56:AH57"/>
    <mergeCell ref="L59:M59"/>
    <mergeCell ref="L60:M60"/>
    <mergeCell ref="C59:K59"/>
    <mergeCell ref="C60:K60"/>
    <mergeCell ref="C54:I54"/>
    <mergeCell ref="C55:I55"/>
    <mergeCell ref="D58:I58"/>
    <mergeCell ref="C57:I57"/>
    <mergeCell ref="L42:M56"/>
    <mergeCell ref="D46:H46"/>
    <mergeCell ref="D47:H47"/>
    <mergeCell ref="D48:H48"/>
    <mergeCell ref="D49:H49"/>
    <mergeCell ref="D50:H50"/>
    <mergeCell ref="D51:H51"/>
    <mergeCell ref="AB61:AF61"/>
    <mergeCell ref="AG61:AH61"/>
    <mergeCell ref="P62:Q62"/>
    <mergeCell ref="R62:S62"/>
    <mergeCell ref="AB62:AF62"/>
    <mergeCell ref="AG62:AH62"/>
    <mergeCell ref="L61:M61"/>
    <mergeCell ref="L62:M62"/>
    <mergeCell ref="D62:H62"/>
    <mergeCell ref="I61:K64"/>
    <mergeCell ref="P64:Q64"/>
    <mergeCell ref="R64:S64"/>
    <mergeCell ref="P63:Q63"/>
    <mergeCell ref="R63:S63"/>
    <mergeCell ref="AG63:AH63"/>
    <mergeCell ref="D63:H63"/>
    <mergeCell ref="D64:H64"/>
    <mergeCell ref="AB66:AF66"/>
    <mergeCell ref="AG66:AH66"/>
    <mergeCell ref="AB65:AF65"/>
    <mergeCell ref="AG65:AH65"/>
    <mergeCell ref="P65:T65"/>
    <mergeCell ref="P66:T66"/>
    <mergeCell ref="L63:M63"/>
    <mergeCell ref="L64:M64"/>
    <mergeCell ref="L65:M65"/>
    <mergeCell ref="L66:M66"/>
    <mergeCell ref="AB68:AF68"/>
    <mergeCell ref="AG68:AH68"/>
    <mergeCell ref="C67:H67"/>
    <mergeCell ref="AB67:AF67"/>
    <mergeCell ref="AG67:AH67"/>
    <mergeCell ref="P67:T67"/>
    <mergeCell ref="P68:T68"/>
    <mergeCell ref="C70:G70"/>
    <mergeCell ref="AB70:AF70"/>
    <mergeCell ref="AG70:AH70"/>
    <mergeCell ref="AB69:AF69"/>
    <mergeCell ref="AG69:AH69"/>
    <mergeCell ref="P69:T69"/>
    <mergeCell ref="P70:T70"/>
    <mergeCell ref="L67:M67"/>
    <mergeCell ref="L68:M68"/>
    <mergeCell ref="L69:M69"/>
    <mergeCell ref="L70:M70"/>
    <mergeCell ref="C69:K69"/>
    <mergeCell ref="H70:K70"/>
    <mergeCell ref="AB72:AF72"/>
    <mergeCell ref="AG72:AH72"/>
    <mergeCell ref="AB71:AF71"/>
    <mergeCell ref="AG71:AH71"/>
    <mergeCell ref="P71:T71"/>
    <mergeCell ref="P72:T72"/>
    <mergeCell ref="L71:M71"/>
    <mergeCell ref="C71:G71"/>
    <mergeCell ref="H71:K71"/>
    <mergeCell ref="L72:M72"/>
    <mergeCell ref="I72:K72"/>
    <mergeCell ref="AV93:AX93"/>
    <mergeCell ref="AV94:AX94"/>
    <mergeCell ref="AU110:AY110"/>
    <mergeCell ref="J83:M83"/>
    <mergeCell ref="K85:M85"/>
    <mergeCell ref="B86:G86"/>
    <mergeCell ref="H86:M86"/>
    <mergeCell ref="AB73:AF73"/>
    <mergeCell ref="AG73:AH73"/>
    <mergeCell ref="P74:S74"/>
    <mergeCell ref="AB74:AF74"/>
    <mergeCell ref="AG74:AH74"/>
    <mergeCell ref="P73:T73"/>
    <mergeCell ref="AU89:AX89"/>
    <mergeCell ref="AU91:AX91"/>
    <mergeCell ref="I80:K80"/>
    <mergeCell ref="F79:G79"/>
    <mergeCell ref="I79:K79"/>
    <mergeCell ref="L79:M79"/>
    <mergeCell ref="L73:M78"/>
    <mergeCell ref="I73:K74"/>
    <mergeCell ref="J75:K75"/>
    <mergeCell ref="J76:K76"/>
    <mergeCell ref="J77:K77"/>
  </mergeCells>
  <pageMargins left="1.1023622047244095" right="0.78740157480314965" top="0.15748031496062992" bottom="0.27559055118110237" header="0.31496062992125984" footer="0.31496062992125984"/>
  <pageSetup paperSize="9" scale="72" orientation="portrait" r:id="rId4"/>
  <ignoredErrors>
    <ignoredError sqref="U72 C37 L65" formula="1"/>
    <ignoredError sqref="AF15" unlockedFormula="1"/>
  </ignoredErrors>
  <drawing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EA256"/>
  <sheetViews>
    <sheetView topLeftCell="A62" workbookViewId="0">
      <selection activeCell="T20" sqref="T20"/>
    </sheetView>
  </sheetViews>
  <sheetFormatPr defaultColWidth="0" defaultRowHeight="15" zeroHeight="1"/>
  <cols>
    <col min="1" max="1" width="3.140625" customWidth="1"/>
    <col min="2" max="2" width="1.7109375" customWidth="1"/>
    <col min="3" max="3" width="4.42578125" customWidth="1"/>
    <col min="4" max="4" width="4" customWidth="1"/>
    <col min="5" max="5" width="3.7109375" customWidth="1"/>
    <col min="6" max="6" width="8.140625" customWidth="1"/>
    <col min="7" max="7" width="9.140625" customWidth="1"/>
    <col min="8" max="8" width="23" customWidth="1"/>
    <col min="9" max="9" width="9.140625" customWidth="1"/>
    <col min="10" max="10" width="8.42578125" customWidth="1"/>
    <col min="11" max="11" width="13.42578125" customWidth="1"/>
    <col min="12" max="12" width="6.7109375" customWidth="1"/>
    <col min="13" max="13" width="11.28515625" customWidth="1"/>
    <col min="14" max="14" width="8.42578125" customWidth="1"/>
    <col min="15" max="15" width="10.85546875" customWidth="1"/>
    <col min="16" max="16" width="4.140625" customWidth="1"/>
    <col min="17" max="17" width="11.85546875" customWidth="1"/>
    <col min="18" max="23" width="9.140625" customWidth="1"/>
    <col min="24" max="16384" width="9.140625" hidden="1"/>
  </cols>
  <sheetData>
    <row r="1" spans="1:131" ht="12.75" customHeight="1">
      <c r="A1" s="345"/>
      <c r="B1" s="345"/>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c r="AE1" s="345"/>
      <c r="AF1" s="345"/>
      <c r="AG1" s="345"/>
      <c r="AH1" s="345"/>
      <c r="AI1" s="345"/>
      <c r="AJ1" s="345"/>
      <c r="AK1" s="345"/>
      <c r="AL1" s="345"/>
      <c r="AM1" s="345"/>
      <c r="AN1" s="345"/>
      <c r="AO1" s="345"/>
      <c r="AP1" s="345"/>
      <c r="AQ1" s="345"/>
      <c r="AR1" s="345"/>
      <c r="AS1" s="345"/>
      <c r="AT1" s="345"/>
      <c r="AU1" s="345"/>
      <c r="AV1" s="345"/>
      <c r="AW1" s="345"/>
      <c r="AX1" s="345"/>
      <c r="AY1" s="345"/>
      <c r="AZ1" s="345"/>
      <c r="BA1" s="345"/>
      <c r="BB1" s="345"/>
      <c r="BC1" s="345"/>
      <c r="BD1" s="345"/>
      <c r="BE1" s="345"/>
      <c r="BF1" s="345"/>
      <c r="BG1" s="345"/>
      <c r="BH1" s="345"/>
      <c r="BI1" s="345"/>
      <c r="BJ1" s="345"/>
      <c r="BK1" s="345"/>
      <c r="BL1" s="345"/>
      <c r="BM1" s="345"/>
      <c r="BN1" s="345"/>
      <c r="BO1" s="345"/>
      <c r="BP1" s="345"/>
      <c r="BQ1" s="345"/>
      <c r="BR1" s="345"/>
      <c r="BS1" s="345"/>
      <c r="BT1" s="345"/>
      <c r="BU1" s="345"/>
      <c r="BV1" s="345"/>
      <c r="BW1" s="345"/>
      <c r="BX1" s="345"/>
      <c r="BY1" s="345"/>
      <c r="BZ1" s="345"/>
      <c r="CA1" s="345"/>
      <c r="CB1" s="345"/>
      <c r="CC1" s="345"/>
      <c r="CD1" s="345"/>
      <c r="CE1" s="345"/>
      <c r="CF1" s="345"/>
      <c r="CG1" s="345"/>
      <c r="CH1" s="345"/>
      <c r="CI1" s="345"/>
      <c r="CJ1" s="345"/>
      <c r="CK1" s="345"/>
      <c r="CL1" s="345"/>
      <c r="CM1" s="345"/>
      <c r="CN1" s="345"/>
      <c r="CO1" s="345"/>
      <c r="CP1" s="345"/>
      <c r="CQ1" s="345"/>
      <c r="CR1" s="345"/>
      <c r="CS1" s="345"/>
      <c r="CT1" s="345"/>
      <c r="CU1" s="345"/>
      <c r="CV1" s="345"/>
      <c r="CW1" s="345"/>
      <c r="CX1" s="345"/>
      <c r="CY1" s="345"/>
      <c r="CZ1" s="345"/>
      <c r="DA1" s="345"/>
      <c r="DB1" s="345"/>
      <c r="DC1" s="345"/>
      <c r="DD1" s="345"/>
      <c r="DE1" s="345"/>
      <c r="DF1" s="345"/>
      <c r="DG1" s="345"/>
      <c r="DH1" s="345"/>
      <c r="DI1" s="345"/>
      <c r="DJ1" s="345"/>
      <c r="DK1" s="345"/>
      <c r="DL1" s="345"/>
      <c r="DM1" s="345"/>
      <c r="DN1" s="345"/>
      <c r="DO1" s="345"/>
      <c r="DP1" s="345"/>
      <c r="DQ1" s="345"/>
      <c r="DR1" s="345"/>
      <c r="DS1" s="345"/>
      <c r="DT1" s="345"/>
      <c r="DU1" s="345"/>
      <c r="DV1" s="345"/>
      <c r="DW1" s="345"/>
      <c r="DX1" s="345"/>
      <c r="DY1" s="345"/>
      <c r="DZ1" s="345"/>
      <c r="EA1" s="345"/>
    </row>
    <row r="2" spans="1:131" ht="7.5" customHeight="1" thickBot="1">
      <c r="A2" s="345"/>
      <c r="B2" s="345"/>
      <c r="C2" s="345"/>
      <c r="D2" s="345"/>
      <c r="E2" s="345"/>
      <c r="F2" s="345"/>
      <c r="G2" s="345"/>
      <c r="H2" s="345"/>
      <c r="I2" s="345"/>
      <c r="J2" s="345"/>
      <c r="K2" s="345"/>
      <c r="L2" s="345"/>
      <c r="M2" s="345"/>
      <c r="N2" s="345"/>
      <c r="O2" s="345"/>
      <c r="P2" s="345"/>
      <c r="Q2" s="345"/>
      <c r="R2" s="345"/>
      <c r="S2" s="345"/>
      <c r="T2" s="345"/>
      <c r="U2" s="345"/>
      <c r="V2" s="345"/>
      <c r="W2" s="345"/>
      <c r="X2" s="345"/>
      <c r="Y2" s="345"/>
      <c r="Z2" s="345"/>
      <c r="AA2" s="345"/>
      <c r="AB2" s="345"/>
      <c r="AC2" s="345"/>
      <c r="AD2" s="345"/>
      <c r="AE2" s="345"/>
      <c r="AF2" s="345"/>
      <c r="AG2" s="345"/>
      <c r="AH2" s="345"/>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c r="BH2" s="345"/>
      <c r="BI2" s="345"/>
      <c r="BJ2" s="345"/>
      <c r="BK2" s="345"/>
      <c r="BL2" s="345"/>
      <c r="BM2" s="345"/>
      <c r="BN2" s="345"/>
      <c r="BO2" s="345"/>
      <c r="BP2" s="345"/>
      <c r="BQ2" s="345"/>
      <c r="BR2" s="345"/>
      <c r="BS2" s="345"/>
      <c r="BT2" s="345"/>
      <c r="BU2" s="345"/>
      <c r="BV2" s="345"/>
      <c r="BW2" s="345"/>
      <c r="BX2" s="345"/>
      <c r="BY2" s="345"/>
      <c r="BZ2" s="345"/>
      <c r="CA2" s="345"/>
      <c r="CB2" s="345"/>
      <c r="CC2" s="345"/>
      <c r="CD2" s="345"/>
      <c r="CE2" s="345"/>
      <c r="CF2" s="345"/>
      <c r="CG2" s="345"/>
      <c r="CH2" s="345"/>
      <c r="CI2" s="345"/>
      <c r="CJ2" s="345"/>
      <c r="CK2" s="345"/>
      <c r="CL2" s="345"/>
      <c r="CM2" s="345"/>
      <c r="CN2" s="345"/>
      <c r="CO2" s="345"/>
      <c r="CP2" s="345"/>
      <c r="CQ2" s="345"/>
      <c r="CR2" s="345"/>
      <c r="CS2" s="345"/>
      <c r="CT2" s="345"/>
      <c r="CU2" s="345"/>
      <c r="CV2" s="345"/>
      <c r="CW2" s="345"/>
      <c r="CX2" s="345"/>
      <c r="CY2" s="345"/>
      <c r="CZ2" s="345"/>
      <c r="DA2" s="345"/>
      <c r="DB2" s="345"/>
      <c r="DC2" s="345"/>
      <c r="DD2" s="345"/>
      <c r="DE2" s="345"/>
      <c r="DF2" s="345"/>
      <c r="DG2" s="345"/>
      <c r="DH2" s="345"/>
      <c r="DI2" s="345"/>
      <c r="DJ2" s="345"/>
      <c r="DK2" s="345"/>
      <c r="DL2" s="345"/>
      <c r="DM2" s="345"/>
      <c r="DN2" s="345"/>
      <c r="DO2" s="345"/>
      <c r="DP2" s="345"/>
      <c r="DQ2" s="345"/>
      <c r="DR2" s="345"/>
      <c r="DS2" s="345"/>
      <c r="DT2" s="345"/>
      <c r="DU2" s="345"/>
      <c r="DV2" s="345"/>
      <c r="DW2" s="345"/>
      <c r="DX2" s="345"/>
      <c r="DY2" s="345"/>
      <c r="DZ2" s="345"/>
      <c r="EA2" s="345"/>
    </row>
    <row r="3" spans="1:131" ht="21" customHeight="1" thickTop="1">
      <c r="A3" s="345"/>
      <c r="B3" s="345"/>
      <c r="C3" s="2446"/>
      <c r="D3" s="6115" t="s">
        <v>291</v>
      </c>
      <c r="E3" s="6116"/>
      <c r="F3" s="6116"/>
      <c r="G3" s="6116"/>
      <c r="H3" s="6116"/>
      <c r="I3" s="6116"/>
      <c r="J3" s="6116"/>
      <c r="K3" s="6116"/>
      <c r="L3" s="6116"/>
      <c r="M3" s="6116"/>
      <c r="N3" s="6116"/>
      <c r="O3" s="6116"/>
      <c r="P3" s="6116"/>
      <c r="Q3" s="6117"/>
      <c r="R3" s="345"/>
      <c r="S3" s="345"/>
      <c r="T3" s="345"/>
      <c r="U3" s="345"/>
      <c r="V3" s="345"/>
      <c r="W3" s="345"/>
      <c r="X3" s="345"/>
      <c r="Y3" s="345"/>
      <c r="Z3" s="345"/>
      <c r="AA3" s="345"/>
      <c r="AB3" s="345"/>
      <c r="AC3" s="345"/>
      <c r="AD3" s="345"/>
      <c r="AE3" s="345"/>
      <c r="AF3" s="345"/>
      <c r="AG3" s="345"/>
      <c r="AH3" s="345"/>
      <c r="AI3" s="345"/>
      <c r="AJ3" s="345"/>
      <c r="AK3" s="345"/>
      <c r="AL3" s="345"/>
      <c r="AM3" s="345"/>
      <c r="AN3" s="345"/>
      <c r="AO3" s="345"/>
      <c r="AP3" s="345"/>
      <c r="AQ3" s="345"/>
      <c r="AR3" s="345"/>
      <c r="AS3" s="345"/>
      <c r="AT3" s="345"/>
      <c r="AU3" s="345"/>
      <c r="AV3" s="345"/>
      <c r="AW3" s="345"/>
      <c r="AX3" s="345"/>
      <c r="AY3" s="345"/>
      <c r="AZ3" s="345"/>
      <c r="BA3" s="345"/>
      <c r="BB3" s="345"/>
      <c r="BC3" s="345"/>
      <c r="BD3" s="345"/>
      <c r="BE3" s="345"/>
      <c r="BF3" s="345"/>
      <c r="BG3" s="345"/>
      <c r="BH3" s="345"/>
      <c r="BI3" s="345"/>
      <c r="BJ3" s="345"/>
      <c r="BK3" s="345"/>
      <c r="BL3" s="345"/>
      <c r="BM3" s="345"/>
      <c r="BN3" s="345"/>
      <c r="BO3" s="345"/>
      <c r="BP3" s="345"/>
      <c r="BQ3" s="345"/>
      <c r="BR3" s="345"/>
      <c r="BS3" s="345"/>
      <c r="BT3" s="345"/>
      <c r="BU3" s="345"/>
      <c r="BV3" s="345"/>
      <c r="BW3" s="345"/>
      <c r="BX3" s="345"/>
      <c r="BY3" s="345"/>
      <c r="BZ3" s="345"/>
      <c r="CA3" s="345"/>
      <c r="CB3" s="345"/>
      <c r="CC3" s="345"/>
      <c r="CD3" s="345"/>
      <c r="CE3" s="345"/>
      <c r="CF3" s="345"/>
      <c r="CG3" s="345"/>
      <c r="CH3" s="345"/>
      <c r="CI3" s="345"/>
      <c r="CJ3" s="345"/>
      <c r="CK3" s="345"/>
      <c r="CL3" s="345"/>
      <c r="CM3" s="345"/>
      <c r="CN3" s="345"/>
      <c r="CO3" s="345"/>
      <c r="CP3" s="345"/>
      <c r="CQ3" s="345"/>
      <c r="CR3" s="345"/>
      <c r="CS3" s="345"/>
      <c r="CT3" s="345"/>
      <c r="CU3" s="345"/>
      <c r="CV3" s="345"/>
      <c r="CW3" s="345"/>
      <c r="CX3" s="345"/>
      <c r="CY3" s="345"/>
      <c r="CZ3" s="345"/>
      <c r="DA3" s="345"/>
      <c r="DB3" s="345"/>
      <c r="DC3" s="345"/>
      <c r="DD3" s="345"/>
      <c r="DE3" s="345"/>
      <c r="DF3" s="345"/>
      <c r="DG3" s="345"/>
      <c r="DH3" s="345"/>
      <c r="DI3" s="345"/>
      <c r="DJ3" s="345"/>
      <c r="DK3" s="345"/>
      <c r="DL3" s="345"/>
      <c r="DM3" s="345"/>
      <c r="DN3" s="345"/>
      <c r="DO3" s="345"/>
      <c r="DP3" s="345"/>
      <c r="DQ3" s="345"/>
      <c r="DR3" s="345"/>
      <c r="DS3" s="345"/>
      <c r="DT3" s="345"/>
      <c r="DU3" s="345"/>
      <c r="DV3" s="345"/>
      <c r="DW3" s="345"/>
      <c r="DX3" s="345"/>
      <c r="DY3" s="345"/>
      <c r="DZ3" s="345"/>
      <c r="EA3" s="345"/>
    </row>
    <row r="4" spans="1:131">
      <c r="A4" s="345"/>
      <c r="B4" s="345"/>
      <c r="C4" s="2447"/>
      <c r="D4" s="6118" t="s">
        <v>292</v>
      </c>
      <c r="E4" s="6118"/>
      <c r="F4" s="6118"/>
      <c r="G4" s="6118"/>
      <c r="H4" s="6118"/>
      <c r="I4" s="6118"/>
      <c r="J4" s="6118"/>
      <c r="K4" s="6118"/>
      <c r="L4" s="6118"/>
      <c r="M4" s="6118"/>
      <c r="N4" s="6118"/>
      <c r="O4" s="6118"/>
      <c r="P4" s="6118"/>
      <c r="Q4" s="6119"/>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5"/>
      <c r="BD4" s="345"/>
      <c r="BE4" s="345"/>
      <c r="BF4" s="345"/>
      <c r="BG4" s="345"/>
      <c r="BH4" s="345"/>
      <c r="BI4" s="345"/>
      <c r="BJ4" s="345"/>
      <c r="BK4" s="345"/>
      <c r="BL4" s="345"/>
      <c r="BM4" s="345"/>
      <c r="BN4" s="345"/>
      <c r="BO4" s="345"/>
      <c r="BP4" s="345"/>
      <c r="BQ4" s="345"/>
      <c r="BR4" s="345"/>
      <c r="BS4" s="345"/>
      <c r="BT4" s="345"/>
      <c r="BU4" s="345"/>
      <c r="BV4" s="345"/>
      <c r="BW4" s="345"/>
      <c r="BX4" s="345"/>
      <c r="BY4" s="345"/>
      <c r="BZ4" s="345"/>
      <c r="CA4" s="345"/>
      <c r="CB4" s="345"/>
      <c r="CC4" s="345"/>
      <c r="CD4" s="345"/>
      <c r="CE4" s="345"/>
      <c r="CF4" s="345"/>
      <c r="CG4" s="345"/>
      <c r="CH4" s="345"/>
      <c r="CI4" s="345"/>
      <c r="CJ4" s="345"/>
      <c r="CK4" s="345"/>
      <c r="CL4" s="345"/>
      <c r="CM4" s="345"/>
      <c r="CN4" s="345"/>
      <c r="CO4" s="345"/>
      <c r="CP4" s="345"/>
      <c r="CQ4" s="345"/>
      <c r="CR4" s="345"/>
      <c r="CS4" s="345"/>
      <c r="CT4" s="345"/>
      <c r="CU4" s="345"/>
      <c r="CV4" s="345"/>
      <c r="CW4" s="345"/>
      <c r="CX4" s="345"/>
      <c r="CY4" s="345"/>
      <c r="CZ4" s="345"/>
      <c r="DA4" s="345"/>
      <c r="DB4" s="345"/>
      <c r="DC4" s="345"/>
      <c r="DD4" s="345"/>
      <c r="DE4" s="345"/>
      <c r="DF4" s="345"/>
      <c r="DG4" s="345"/>
      <c r="DH4" s="345"/>
      <c r="DI4" s="345"/>
      <c r="DJ4" s="345"/>
      <c r="DK4" s="345"/>
      <c r="DL4" s="345"/>
      <c r="DM4" s="345"/>
      <c r="DN4" s="345"/>
      <c r="DO4" s="345"/>
      <c r="DP4" s="345"/>
      <c r="DQ4" s="345"/>
      <c r="DR4" s="345"/>
      <c r="DS4" s="345"/>
      <c r="DT4" s="345"/>
      <c r="DU4" s="345"/>
      <c r="DV4" s="345"/>
      <c r="DW4" s="345"/>
      <c r="DX4" s="345"/>
      <c r="DY4" s="345"/>
      <c r="DZ4" s="345"/>
      <c r="EA4" s="345"/>
    </row>
    <row r="5" spans="1:131">
      <c r="A5" s="345"/>
      <c r="B5" s="345"/>
      <c r="C5" s="2447"/>
      <c r="D5" s="6120" t="s">
        <v>293</v>
      </c>
      <c r="E5" s="6120"/>
      <c r="F5" s="6120"/>
      <c r="G5" s="6120"/>
      <c r="H5" s="6120"/>
      <c r="I5" s="6120"/>
      <c r="J5" s="6120"/>
      <c r="K5" s="6120"/>
      <c r="L5" s="6120"/>
      <c r="M5" s="6120"/>
      <c r="N5" s="6120"/>
      <c r="O5" s="6120"/>
      <c r="P5" s="6120"/>
      <c r="Q5" s="6121"/>
      <c r="R5" s="345"/>
      <c r="S5" s="345"/>
      <c r="T5" s="345"/>
      <c r="U5" s="345"/>
      <c r="V5" s="345"/>
      <c r="W5" s="345"/>
      <c r="X5" s="345"/>
      <c r="Y5" s="345"/>
      <c r="Z5" s="345"/>
      <c r="AA5" s="345"/>
      <c r="AB5" s="345"/>
      <c r="AC5" s="345"/>
      <c r="AD5" s="345"/>
      <c r="AE5" s="345"/>
      <c r="AF5" s="345"/>
      <c r="AG5" s="345"/>
      <c r="AH5" s="345"/>
      <c r="AI5" s="345"/>
      <c r="AJ5" s="345"/>
      <c r="AK5" s="345"/>
      <c r="AL5" s="345"/>
      <c r="AM5" s="345"/>
      <c r="AN5" s="345"/>
      <c r="AO5" s="345"/>
      <c r="AP5" s="345"/>
      <c r="AQ5" s="345"/>
      <c r="AR5" s="345"/>
      <c r="AS5" s="345"/>
      <c r="AT5" s="345"/>
      <c r="AU5" s="345"/>
      <c r="AV5" s="345"/>
      <c r="AW5" s="345"/>
      <c r="AX5" s="345"/>
      <c r="AY5" s="345"/>
      <c r="AZ5" s="345"/>
      <c r="BA5" s="345"/>
      <c r="BB5" s="345"/>
      <c r="BC5" s="345"/>
      <c r="BD5" s="345"/>
      <c r="BE5" s="345"/>
      <c r="BF5" s="345"/>
      <c r="BG5" s="345"/>
      <c r="BH5" s="345"/>
      <c r="BI5" s="345"/>
      <c r="BJ5" s="345"/>
      <c r="BK5" s="345"/>
      <c r="BL5" s="345"/>
      <c r="BM5" s="345"/>
      <c r="BN5" s="345"/>
      <c r="BO5" s="345"/>
      <c r="BP5" s="345"/>
      <c r="BQ5" s="345"/>
      <c r="BR5" s="345"/>
      <c r="BS5" s="345"/>
      <c r="BT5" s="345"/>
      <c r="BU5" s="345"/>
      <c r="BV5" s="345"/>
      <c r="BW5" s="345"/>
      <c r="BX5" s="345"/>
      <c r="BY5" s="345"/>
      <c r="BZ5" s="345"/>
      <c r="CA5" s="345"/>
      <c r="CB5" s="345"/>
      <c r="CC5" s="345"/>
      <c r="CD5" s="345"/>
      <c r="CE5" s="345"/>
      <c r="CF5" s="345"/>
      <c r="CG5" s="345"/>
      <c r="CH5" s="345"/>
      <c r="CI5" s="345"/>
      <c r="CJ5" s="345"/>
      <c r="CK5" s="345"/>
      <c r="CL5" s="345"/>
      <c r="CM5" s="345"/>
      <c r="CN5" s="345"/>
      <c r="CO5" s="345"/>
      <c r="CP5" s="345"/>
      <c r="CQ5" s="345"/>
      <c r="CR5" s="345"/>
      <c r="CS5" s="345"/>
      <c r="CT5" s="345"/>
      <c r="CU5" s="345"/>
      <c r="CV5" s="345"/>
      <c r="CW5" s="345"/>
      <c r="CX5" s="345"/>
      <c r="CY5" s="345"/>
      <c r="CZ5" s="345"/>
      <c r="DA5" s="345"/>
      <c r="DB5" s="345"/>
      <c r="DC5" s="345"/>
      <c r="DD5" s="345"/>
      <c r="DE5" s="345"/>
      <c r="DF5" s="345"/>
      <c r="DG5" s="345"/>
      <c r="DH5" s="345"/>
      <c r="DI5" s="345"/>
      <c r="DJ5" s="345"/>
      <c r="DK5" s="345"/>
      <c r="DL5" s="345"/>
      <c r="DM5" s="345"/>
      <c r="DN5" s="345"/>
      <c r="DO5" s="345"/>
      <c r="DP5" s="345"/>
      <c r="DQ5" s="345"/>
      <c r="DR5" s="345"/>
      <c r="DS5" s="345"/>
      <c r="DT5" s="345"/>
      <c r="DU5" s="345"/>
      <c r="DV5" s="345"/>
      <c r="DW5" s="345"/>
      <c r="DX5" s="345"/>
      <c r="DY5" s="345"/>
      <c r="DZ5" s="345"/>
      <c r="EA5" s="345"/>
    </row>
    <row r="6" spans="1:131">
      <c r="A6" s="345"/>
      <c r="B6" s="345"/>
      <c r="C6" s="2447"/>
      <c r="D6" s="5884" t="s">
        <v>294</v>
      </c>
      <c r="E6" s="5826"/>
      <c r="F6" s="5826"/>
      <c r="G6" s="5826"/>
      <c r="H6" s="5826"/>
      <c r="I6" s="5826"/>
      <c r="J6" s="5826"/>
      <c r="K6" s="5826"/>
      <c r="L6" s="5884" t="s">
        <v>295</v>
      </c>
      <c r="M6" s="5826"/>
      <c r="N6" s="5826"/>
      <c r="O6" s="5826"/>
      <c r="P6" s="5826"/>
      <c r="Q6" s="6122"/>
      <c r="R6" s="345"/>
      <c r="S6" s="345"/>
      <c r="T6" s="345"/>
      <c r="U6" s="345"/>
      <c r="V6" s="345"/>
      <c r="W6" s="345"/>
      <c r="X6" s="345"/>
      <c r="Y6" s="345"/>
      <c r="Z6" s="345"/>
      <c r="AA6" s="345"/>
      <c r="AB6" s="345"/>
      <c r="AC6" s="345"/>
      <c r="AD6" s="345"/>
      <c r="AE6" s="345"/>
      <c r="AF6" s="345"/>
      <c r="AG6" s="345"/>
      <c r="AH6" s="345"/>
      <c r="AI6" s="345"/>
      <c r="AJ6" s="345"/>
      <c r="AK6" s="345"/>
      <c r="AL6" s="345"/>
      <c r="AM6" s="345"/>
      <c r="AN6" s="345"/>
      <c r="AO6" s="345"/>
      <c r="AP6" s="345"/>
      <c r="AQ6" s="345"/>
      <c r="AR6" s="345"/>
      <c r="AS6" s="345"/>
      <c r="AT6" s="345"/>
      <c r="AU6" s="345"/>
      <c r="AV6" s="345"/>
      <c r="AW6" s="345"/>
      <c r="AX6" s="345"/>
      <c r="AY6" s="345"/>
      <c r="AZ6" s="345"/>
      <c r="BA6" s="345"/>
      <c r="BB6" s="345"/>
      <c r="BC6" s="345"/>
      <c r="BD6" s="345"/>
      <c r="BE6" s="345"/>
      <c r="BF6" s="345"/>
      <c r="BG6" s="345"/>
      <c r="BH6" s="345"/>
      <c r="BI6" s="345"/>
      <c r="BJ6" s="345"/>
      <c r="BK6" s="345"/>
      <c r="BL6" s="345"/>
      <c r="BM6" s="345"/>
      <c r="BN6" s="345"/>
      <c r="BO6" s="345"/>
      <c r="BP6" s="345"/>
      <c r="BQ6" s="345"/>
      <c r="BR6" s="345"/>
      <c r="BS6" s="345"/>
      <c r="BT6" s="345"/>
      <c r="BU6" s="345"/>
      <c r="BV6" s="345"/>
      <c r="BW6" s="345"/>
      <c r="BX6" s="345"/>
      <c r="BY6" s="345"/>
      <c r="BZ6" s="345"/>
      <c r="CA6" s="345"/>
      <c r="CB6" s="345"/>
      <c r="CC6" s="345"/>
      <c r="CD6" s="345"/>
      <c r="CE6" s="345"/>
      <c r="CF6" s="345"/>
      <c r="CG6" s="345"/>
      <c r="CH6" s="345"/>
      <c r="CI6" s="345"/>
      <c r="CJ6" s="345"/>
      <c r="CK6" s="345"/>
      <c r="CL6" s="345"/>
      <c r="CM6" s="345"/>
      <c r="CN6" s="345"/>
      <c r="CO6" s="345"/>
      <c r="CP6" s="345"/>
      <c r="CQ6" s="345"/>
      <c r="CR6" s="345"/>
      <c r="CS6" s="345"/>
      <c r="CT6" s="345"/>
      <c r="CU6" s="345"/>
      <c r="CV6" s="345"/>
      <c r="CW6" s="345"/>
      <c r="CX6" s="345"/>
      <c r="CY6" s="345"/>
      <c r="CZ6" s="345"/>
      <c r="DA6" s="345"/>
      <c r="DB6" s="345"/>
      <c r="DC6" s="345"/>
      <c r="DD6" s="345"/>
      <c r="DE6" s="345"/>
      <c r="DF6" s="345"/>
      <c r="DG6" s="345"/>
      <c r="DH6" s="345"/>
      <c r="DI6" s="345"/>
      <c r="DJ6" s="345"/>
      <c r="DK6" s="345"/>
      <c r="DL6" s="345"/>
      <c r="DM6" s="345"/>
      <c r="DN6" s="345"/>
      <c r="DO6" s="345"/>
      <c r="DP6" s="345"/>
      <c r="DQ6" s="345"/>
      <c r="DR6" s="345"/>
      <c r="DS6" s="345"/>
      <c r="DT6" s="345"/>
      <c r="DU6" s="345"/>
      <c r="DV6" s="345"/>
      <c r="DW6" s="345"/>
      <c r="DX6" s="345"/>
      <c r="DY6" s="345"/>
      <c r="DZ6" s="345"/>
      <c r="EA6" s="345"/>
    </row>
    <row r="7" spans="1:131" ht="16.5">
      <c r="A7" s="345"/>
      <c r="B7" s="345"/>
      <c r="C7" s="2447"/>
      <c r="D7" s="6101" t="str">
        <f>CONCATENATE(Formula!FQ9, " ",'Data Sheet-II'!L22)</f>
        <v>Sri. G.Hadasa Rani</v>
      </c>
      <c r="E7" s="6101"/>
      <c r="F7" s="6101"/>
      <c r="G7" s="6101"/>
      <c r="H7" s="6101"/>
      <c r="I7" s="6101"/>
      <c r="J7" s="6101"/>
      <c r="K7" s="6101"/>
      <c r="L7" s="6102" t="str">
        <f>CONCATENATE(Formula!FQ8," ",'Data Sheet-II'!L8)</f>
        <v>Sri. B.Saidi Reddy</v>
      </c>
      <c r="M7" s="6101"/>
      <c r="N7" s="6101"/>
      <c r="O7" s="6101"/>
      <c r="P7" s="6101"/>
      <c r="Q7" s="6103"/>
      <c r="R7" s="345"/>
      <c r="S7" s="345"/>
      <c r="T7" s="345"/>
      <c r="U7" s="345"/>
      <c r="V7" s="345"/>
      <c r="W7" s="345"/>
      <c r="X7" s="345"/>
      <c r="Y7" s="345"/>
      <c r="Z7" s="345"/>
      <c r="AA7" s="345"/>
      <c r="AB7" s="345"/>
      <c r="AC7" s="345"/>
      <c r="AD7" s="345"/>
      <c r="AE7" s="345"/>
      <c r="AF7" s="345"/>
      <c r="AG7" s="345"/>
      <c r="AH7" s="345"/>
      <c r="AI7" s="345"/>
      <c r="AJ7" s="345"/>
      <c r="AK7" s="345"/>
      <c r="AL7" s="345"/>
      <c r="AM7" s="345"/>
      <c r="AN7" s="345"/>
      <c r="AO7" s="345"/>
      <c r="AP7" s="345"/>
      <c r="AQ7" s="345"/>
      <c r="AR7" s="345"/>
      <c r="AS7" s="345"/>
      <c r="AT7" s="345"/>
      <c r="AU7" s="345"/>
      <c r="AV7" s="345"/>
      <c r="AW7" s="345"/>
      <c r="AX7" s="345"/>
      <c r="AY7" s="345"/>
      <c r="AZ7" s="345"/>
      <c r="BA7" s="345"/>
      <c r="BB7" s="345"/>
      <c r="BC7" s="345"/>
      <c r="BD7" s="345"/>
      <c r="BE7" s="345"/>
      <c r="BF7" s="345"/>
      <c r="BG7" s="345"/>
      <c r="BH7" s="345"/>
      <c r="BI7" s="345"/>
      <c r="BJ7" s="345"/>
      <c r="BK7" s="345"/>
      <c r="BL7" s="345"/>
      <c r="BM7" s="345"/>
      <c r="BN7" s="345"/>
      <c r="BO7" s="345"/>
      <c r="BP7" s="345"/>
      <c r="BQ7" s="345"/>
      <c r="BR7" s="345"/>
      <c r="BS7" s="345"/>
      <c r="BT7" s="345"/>
      <c r="BU7" s="345"/>
      <c r="BV7" s="345"/>
      <c r="BW7" s="345"/>
      <c r="BX7" s="345"/>
      <c r="BY7" s="345"/>
      <c r="BZ7" s="345"/>
      <c r="CA7" s="345"/>
      <c r="CB7" s="345"/>
      <c r="CC7" s="345"/>
      <c r="CD7" s="345"/>
      <c r="CE7" s="345"/>
      <c r="CF7" s="345"/>
      <c r="CG7" s="345"/>
      <c r="CH7" s="345"/>
      <c r="CI7" s="345"/>
      <c r="CJ7" s="345"/>
      <c r="CK7" s="345"/>
      <c r="CL7" s="345"/>
      <c r="CM7" s="345"/>
      <c r="CN7" s="345"/>
      <c r="CO7" s="345"/>
      <c r="CP7" s="345"/>
      <c r="CQ7" s="345"/>
      <c r="CR7" s="345"/>
      <c r="CS7" s="345"/>
      <c r="CT7" s="345"/>
      <c r="CU7" s="345"/>
      <c r="CV7" s="345"/>
      <c r="CW7" s="345"/>
      <c r="CX7" s="345"/>
      <c r="CY7" s="345"/>
      <c r="CZ7" s="345"/>
      <c r="DA7" s="345"/>
      <c r="DB7" s="345"/>
      <c r="DC7" s="345"/>
      <c r="DD7" s="345"/>
      <c r="DE7" s="345"/>
      <c r="DF7" s="345"/>
      <c r="DG7" s="345"/>
      <c r="DH7" s="345"/>
      <c r="DI7" s="345"/>
      <c r="DJ7" s="345"/>
      <c r="DK7" s="345"/>
      <c r="DL7" s="345"/>
      <c r="DM7" s="345"/>
      <c r="DN7" s="345"/>
      <c r="DO7" s="345"/>
      <c r="DP7" s="345"/>
      <c r="DQ7" s="345"/>
      <c r="DR7" s="345"/>
      <c r="DS7" s="345"/>
      <c r="DT7" s="345"/>
      <c r="DU7" s="345"/>
      <c r="DV7" s="345"/>
      <c r="DW7" s="345"/>
      <c r="DX7" s="345"/>
      <c r="DY7" s="345"/>
      <c r="DZ7" s="345"/>
      <c r="EA7" s="345"/>
    </row>
    <row r="8" spans="1:131" ht="16.5">
      <c r="A8" s="345"/>
      <c r="B8" s="345"/>
      <c r="C8" s="1391"/>
      <c r="D8" s="6101" t="str">
        <f>CONCATENATE('Data Sheet-II'!L23)</f>
        <v>Principal</v>
      </c>
      <c r="E8" s="6101"/>
      <c r="F8" s="6101"/>
      <c r="G8" s="6101"/>
      <c r="H8" s="6101"/>
      <c r="I8" s="6101"/>
      <c r="J8" s="6101"/>
      <c r="K8" s="6101"/>
      <c r="L8" s="6101" t="str">
        <f>CONCATENATE('Data Sheet-II'!L9)</f>
        <v>Asst.Professor of Maths</v>
      </c>
      <c r="M8" s="6101"/>
      <c r="N8" s="6101"/>
      <c r="O8" s="6101"/>
      <c r="P8" s="6101"/>
      <c r="Q8" s="6103"/>
      <c r="R8" s="345"/>
      <c r="S8" s="345"/>
      <c r="T8" s="345"/>
      <c r="U8" s="345"/>
      <c r="V8" s="345"/>
      <c r="W8" s="345"/>
      <c r="X8" s="345"/>
      <c r="Y8" s="345"/>
      <c r="Z8" s="345"/>
      <c r="AA8" s="345"/>
      <c r="AB8" s="345"/>
      <c r="AC8" s="345"/>
      <c r="AD8" s="345"/>
      <c r="AE8" s="345"/>
      <c r="AF8" s="345"/>
      <c r="AG8" s="345"/>
      <c r="AH8" s="345"/>
      <c r="AI8" s="345"/>
      <c r="AJ8" s="345"/>
      <c r="AK8" s="345"/>
      <c r="AL8" s="345"/>
      <c r="AM8" s="345"/>
      <c r="AN8" s="345"/>
      <c r="AO8" s="345"/>
      <c r="AP8" s="345"/>
      <c r="AQ8" s="345"/>
      <c r="AR8" s="345"/>
      <c r="AS8" s="345"/>
      <c r="AT8" s="345"/>
      <c r="AU8" s="345"/>
      <c r="AV8" s="345"/>
      <c r="AW8" s="345"/>
      <c r="AX8" s="345"/>
      <c r="AY8" s="345"/>
      <c r="AZ8" s="345"/>
      <c r="BA8" s="345"/>
      <c r="BB8" s="345"/>
      <c r="BC8" s="345"/>
      <c r="BD8" s="345"/>
      <c r="BE8" s="345"/>
      <c r="BF8" s="345"/>
      <c r="BG8" s="345"/>
      <c r="BH8" s="345"/>
      <c r="BI8" s="345"/>
      <c r="BJ8" s="345"/>
      <c r="BK8" s="345"/>
      <c r="BL8" s="345"/>
      <c r="BM8" s="345"/>
      <c r="BN8" s="345"/>
      <c r="BO8" s="345"/>
      <c r="BP8" s="345"/>
      <c r="BQ8" s="345"/>
      <c r="BR8" s="345"/>
      <c r="BS8" s="345"/>
      <c r="BT8" s="345"/>
      <c r="BU8" s="345"/>
      <c r="BV8" s="345"/>
      <c r="BW8" s="345"/>
      <c r="BX8" s="345"/>
      <c r="BY8" s="345"/>
      <c r="BZ8" s="345"/>
      <c r="CA8" s="345"/>
      <c r="CB8" s="345"/>
      <c r="CC8" s="345"/>
      <c r="CD8" s="345"/>
      <c r="CE8" s="345"/>
      <c r="CF8" s="345"/>
      <c r="CG8" s="345"/>
      <c r="CH8" s="345"/>
      <c r="CI8" s="345"/>
      <c r="CJ8" s="345"/>
      <c r="CK8" s="345"/>
      <c r="CL8" s="345"/>
      <c r="CM8" s="345"/>
      <c r="CN8" s="345"/>
      <c r="CO8" s="345"/>
      <c r="CP8" s="345"/>
      <c r="CQ8" s="345"/>
      <c r="CR8" s="345"/>
      <c r="CS8" s="345"/>
      <c r="CT8" s="345"/>
      <c r="CU8" s="345"/>
      <c r="CV8" s="345"/>
      <c r="CW8" s="345"/>
      <c r="CX8" s="345"/>
      <c r="CY8" s="345"/>
      <c r="CZ8" s="345"/>
      <c r="DA8" s="345"/>
      <c r="DB8" s="345"/>
      <c r="DC8" s="345"/>
      <c r="DD8" s="345"/>
      <c r="DE8" s="345"/>
      <c r="DF8" s="345"/>
      <c r="DG8" s="345"/>
      <c r="DH8" s="345"/>
      <c r="DI8" s="345"/>
      <c r="DJ8" s="345"/>
      <c r="DK8" s="345"/>
      <c r="DL8" s="345"/>
      <c r="DM8" s="345"/>
      <c r="DN8" s="345"/>
      <c r="DO8" s="345"/>
      <c r="DP8" s="345"/>
      <c r="DQ8" s="345"/>
      <c r="DR8" s="345"/>
      <c r="DS8" s="345"/>
      <c r="DT8" s="345"/>
      <c r="DU8" s="345"/>
      <c r="DV8" s="345"/>
      <c r="DW8" s="345"/>
      <c r="DX8" s="345"/>
      <c r="DY8" s="345"/>
      <c r="DZ8" s="345"/>
      <c r="EA8" s="345"/>
    </row>
    <row r="9" spans="1:131" ht="16.5">
      <c r="A9" s="345"/>
      <c r="B9" s="345"/>
      <c r="C9" s="2447"/>
      <c r="D9" s="6101" t="str">
        <f>CONCATENATE('Data Sheet-II'!L31," ,",'Data Sheet-II'!L32)</f>
        <v>KRR Govt.Arts &amp; Science College(A) ,Kodad</v>
      </c>
      <c r="E9" s="6101"/>
      <c r="F9" s="6101"/>
      <c r="G9" s="6101"/>
      <c r="H9" s="6101"/>
      <c r="I9" s="6101"/>
      <c r="J9" s="6101"/>
      <c r="K9" s="6101"/>
      <c r="L9" s="6102" t="str">
        <f>CONCATENATE('Data Sheet-II'!L14," ",",",'Data Sheet-II'!L15)</f>
        <v>KRR Govt.Arts &amp; Science College(A) ,Kodad</v>
      </c>
      <c r="M9" s="6101"/>
      <c r="N9" s="6101"/>
      <c r="O9" s="6101"/>
      <c r="P9" s="6101"/>
      <c r="Q9" s="6103"/>
      <c r="R9" s="345"/>
      <c r="S9" s="345"/>
      <c r="T9" s="345"/>
      <c r="U9" s="345"/>
      <c r="V9" s="345"/>
      <c r="W9" s="345"/>
      <c r="X9" s="345"/>
      <c r="Y9" s="345"/>
      <c r="Z9" s="345"/>
      <c r="AA9" s="345"/>
      <c r="AB9" s="345"/>
      <c r="AC9" s="345"/>
      <c r="AD9" s="345"/>
      <c r="AE9" s="345"/>
      <c r="AF9" s="345"/>
      <c r="AG9" s="345"/>
      <c r="AH9" s="345"/>
      <c r="AI9" s="345"/>
      <c r="AJ9" s="345"/>
      <c r="AK9" s="345"/>
      <c r="AL9" s="345"/>
      <c r="AM9" s="345"/>
      <c r="AN9" s="345"/>
      <c r="AO9" s="345"/>
      <c r="AP9" s="345"/>
      <c r="AQ9" s="345"/>
      <c r="AR9" s="345"/>
      <c r="AS9" s="345"/>
      <c r="AT9" s="345"/>
      <c r="AU9" s="345"/>
      <c r="AV9" s="345"/>
      <c r="AW9" s="345"/>
      <c r="AX9" s="345"/>
      <c r="AY9" s="345"/>
      <c r="AZ9" s="345"/>
      <c r="BA9" s="345"/>
      <c r="BB9" s="345"/>
      <c r="BC9" s="345"/>
      <c r="BD9" s="345"/>
      <c r="BE9" s="345"/>
      <c r="BF9" s="345"/>
      <c r="BG9" s="345"/>
      <c r="BH9" s="345"/>
      <c r="BI9" s="345"/>
      <c r="BJ9" s="345"/>
      <c r="BK9" s="345"/>
      <c r="BL9" s="345"/>
      <c r="BM9" s="345"/>
      <c r="BN9" s="345"/>
      <c r="BO9" s="345"/>
      <c r="BP9" s="345"/>
      <c r="BQ9" s="345"/>
      <c r="BR9" s="345"/>
      <c r="BS9" s="345"/>
      <c r="BT9" s="345"/>
      <c r="BU9" s="345"/>
      <c r="BV9" s="345"/>
      <c r="BW9" s="345"/>
      <c r="BX9" s="345"/>
      <c r="BY9" s="345"/>
      <c r="BZ9" s="345"/>
      <c r="CA9" s="345"/>
      <c r="CB9" s="345"/>
      <c r="CC9" s="345"/>
      <c r="CD9" s="345"/>
      <c r="CE9" s="345"/>
      <c r="CF9" s="345"/>
      <c r="CG9" s="345"/>
      <c r="CH9" s="345"/>
      <c r="CI9" s="345"/>
      <c r="CJ9" s="345"/>
      <c r="CK9" s="345"/>
      <c r="CL9" s="345"/>
      <c r="CM9" s="345"/>
      <c r="CN9" s="345"/>
      <c r="CO9" s="345"/>
      <c r="CP9" s="345"/>
      <c r="CQ9" s="345"/>
      <c r="CR9" s="345"/>
      <c r="CS9" s="345"/>
      <c r="CT9" s="345"/>
      <c r="CU9" s="345"/>
      <c r="CV9" s="345"/>
      <c r="CW9" s="345"/>
      <c r="CX9" s="345"/>
      <c r="CY9" s="345"/>
      <c r="CZ9" s="345"/>
      <c r="DA9" s="345"/>
      <c r="DB9" s="345"/>
      <c r="DC9" s="345"/>
      <c r="DD9" s="345"/>
      <c r="DE9" s="345"/>
      <c r="DF9" s="345"/>
      <c r="DG9" s="345"/>
      <c r="DH9" s="345"/>
      <c r="DI9" s="345"/>
      <c r="DJ9" s="345"/>
      <c r="DK9" s="345"/>
      <c r="DL9" s="345"/>
      <c r="DM9" s="345"/>
      <c r="DN9" s="345"/>
      <c r="DO9" s="345"/>
      <c r="DP9" s="345"/>
      <c r="DQ9" s="345"/>
      <c r="DR9" s="345"/>
      <c r="DS9" s="345"/>
      <c r="DT9" s="345"/>
      <c r="DU9" s="345"/>
      <c r="DV9" s="345"/>
      <c r="DW9" s="345"/>
      <c r="DX9" s="345"/>
      <c r="DY9" s="345"/>
      <c r="DZ9" s="345"/>
      <c r="EA9" s="345"/>
    </row>
    <row r="10" spans="1:131" ht="16.5">
      <c r="A10" s="345"/>
      <c r="B10" s="345"/>
      <c r="C10" s="2447"/>
      <c r="D10" s="6101" t="str">
        <f>CONCATENATE('Data Sheet-II'!L33," ","(DIST)",",",'Data Sheet-II'!L34,"(STATE)")</f>
        <v>Suryapet (DIST),Telangana(STATE)</v>
      </c>
      <c r="E10" s="6101"/>
      <c r="F10" s="6101"/>
      <c r="G10" s="6101"/>
      <c r="H10" s="6101"/>
      <c r="I10" s="6101"/>
      <c r="J10" s="6101"/>
      <c r="K10" s="6101"/>
      <c r="L10" s="6102" t="str">
        <f>CONCATENATE('Data Sheet-II'!L16," ","(DIST)",",",'Data Sheet-II'!L17," ","(STATE)")</f>
        <v>Suryapet (DIST),Telangana (STATE)</v>
      </c>
      <c r="M10" s="6101"/>
      <c r="N10" s="6101"/>
      <c r="O10" s="6101"/>
      <c r="P10" s="6101"/>
      <c r="Q10" s="6103"/>
      <c r="R10" s="345"/>
      <c r="S10" s="345"/>
      <c r="T10" s="345"/>
      <c r="U10" s="345"/>
      <c r="V10" s="345"/>
      <c r="W10" s="345"/>
      <c r="X10" s="345"/>
      <c r="Y10" s="345"/>
      <c r="Z10" s="345"/>
      <c r="AA10" s="345"/>
      <c r="AB10" s="345"/>
      <c r="AC10" s="345"/>
      <c r="AD10" s="345"/>
      <c r="AE10" s="345"/>
      <c r="AF10" s="345"/>
      <c r="AG10" s="345"/>
      <c r="AH10" s="345"/>
      <c r="AI10" s="345"/>
      <c r="AJ10" s="345"/>
      <c r="AK10" s="345"/>
      <c r="AL10" s="345"/>
      <c r="AM10" s="345"/>
      <c r="AN10" s="345"/>
      <c r="AO10" s="345"/>
      <c r="AP10" s="345"/>
      <c r="AQ10" s="345"/>
      <c r="AR10" s="345"/>
      <c r="AS10" s="345"/>
      <c r="AT10" s="345"/>
      <c r="AU10" s="345"/>
      <c r="AV10" s="345"/>
      <c r="AW10" s="345"/>
      <c r="AX10" s="345"/>
      <c r="AY10" s="345"/>
      <c r="AZ10" s="345"/>
      <c r="BA10" s="345"/>
      <c r="BB10" s="345"/>
      <c r="BC10" s="345"/>
      <c r="BD10" s="345"/>
      <c r="BE10" s="345"/>
      <c r="BF10" s="345"/>
      <c r="BG10" s="345"/>
      <c r="BH10" s="345"/>
      <c r="BI10" s="345"/>
      <c r="BJ10" s="345"/>
      <c r="BK10" s="345"/>
      <c r="BL10" s="345"/>
      <c r="BM10" s="345"/>
      <c r="BN10" s="345"/>
      <c r="BO10" s="345"/>
      <c r="BP10" s="345"/>
      <c r="BQ10" s="345"/>
      <c r="BR10" s="345"/>
      <c r="BS10" s="345"/>
      <c r="BT10" s="345"/>
      <c r="BU10" s="345"/>
      <c r="BV10" s="345"/>
      <c r="BW10" s="345"/>
      <c r="BX10" s="345"/>
      <c r="BY10" s="345"/>
      <c r="BZ10" s="345"/>
      <c r="CA10" s="345"/>
      <c r="CB10" s="345"/>
      <c r="CC10" s="345"/>
      <c r="CD10" s="345"/>
      <c r="CE10" s="345"/>
      <c r="CF10" s="345"/>
      <c r="CG10" s="345"/>
      <c r="CH10" s="345"/>
      <c r="CI10" s="345"/>
      <c r="CJ10" s="345"/>
      <c r="CK10" s="345"/>
      <c r="CL10" s="345"/>
      <c r="CM10" s="345"/>
      <c r="CN10" s="345"/>
      <c r="CO10" s="345"/>
      <c r="CP10" s="345"/>
      <c r="CQ10" s="345"/>
      <c r="CR10" s="345"/>
      <c r="CS10" s="345"/>
      <c r="CT10" s="345"/>
      <c r="CU10" s="345"/>
      <c r="CV10" s="345"/>
      <c r="CW10" s="345"/>
      <c r="CX10" s="345"/>
      <c r="CY10" s="345"/>
      <c r="CZ10" s="345"/>
      <c r="DA10" s="345"/>
      <c r="DB10" s="345"/>
      <c r="DC10" s="345"/>
      <c r="DD10" s="345"/>
      <c r="DE10" s="345"/>
      <c r="DF10" s="345"/>
      <c r="DG10" s="345"/>
      <c r="DH10" s="345"/>
      <c r="DI10" s="345"/>
      <c r="DJ10" s="345"/>
      <c r="DK10" s="345"/>
      <c r="DL10" s="345"/>
      <c r="DM10" s="345"/>
      <c r="DN10" s="345"/>
      <c r="DO10" s="345"/>
      <c r="DP10" s="345"/>
      <c r="DQ10" s="345"/>
      <c r="DR10" s="345"/>
      <c r="DS10" s="345"/>
      <c r="DT10" s="345"/>
      <c r="DU10" s="345"/>
      <c r="DV10" s="345"/>
      <c r="DW10" s="345"/>
      <c r="DX10" s="345"/>
      <c r="DY10" s="345"/>
      <c r="DZ10" s="345"/>
      <c r="EA10" s="345"/>
    </row>
    <row r="11" spans="1:131">
      <c r="A11" s="345"/>
      <c r="B11" s="345"/>
      <c r="C11" s="2447"/>
      <c r="D11" s="6104" t="s">
        <v>296</v>
      </c>
      <c r="E11" s="6104"/>
      <c r="F11" s="6104"/>
      <c r="G11" s="6104"/>
      <c r="H11" s="6105" t="s">
        <v>297</v>
      </c>
      <c r="I11" s="6106"/>
      <c r="J11" s="6106"/>
      <c r="K11" s="6107"/>
      <c r="L11" s="6107" t="s">
        <v>298</v>
      </c>
      <c r="M11" s="6104"/>
      <c r="N11" s="6104"/>
      <c r="O11" s="6108" t="s">
        <v>299</v>
      </c>
      <c r="P11" s="6104"/>
      <c r="Q11" s="6109"/>
      <c r="R11" s="345"/>
      <c r="S11" s="345"/>
      <c r="T11" s="345"/>
      <c r="U11" s="345"/>
      <c r="V11" s="345"/>
      <c r="W11" s="345"/>
      <c r="X11" s="345"/>
      <c r="Y11" s="345"/>
      <c r="Z11" s="345"/>
      <c r="AA11" s="345"/>
      <c r="AB11" s="345"/>
      <c r="AC11" s="345"/>
      <c r="AD11" s="345"/>
      <c r="AE11" s="345"/>
      <c r="AF11" s="345"/>
      <c r="AG11" s="345"/>
      <c r="AH11" s="345"/>
      <c r="AI11" s="345"/>
      <c r="AJ11" s="345"/>
      <c r="AK11" s="345"/>
      <c r="AL11" s="345"/>
      <c r="AM11" s="345"/>
      <c r="AN11" s="345"/>
      <c r="AO11" s="345"/>
      <c r="AP11" s="345"/>
      <c r="AQ11" s="345"/>
      <c r="AR11" s="345"/>
      <c r="AS11" s="345"/>
      <c r="AT11" s="345"/>
      <c r="AU11" s="345"/>
      <c r="AV11" s="345"/>
      <c r="AW11" s="345"/>
      <c r="AX11" s="345"/>
      <c r="AY11" s="345"/>
      <c r="AZ11" s="345"/>
      <c r="BA11" s="345"/>
      <c r="BB11" s="345"/>
      <c r="BC11" s="345"/>
      <c r="BD11" s="345"/>
      <c r="BE11" s="345"/>
      <c r="BF11" s="345"/>
      <c r="BG11" s="345"/>
      <c r="BH11" s="345"/>
      <c r="BI11" s="345"/>
      <c r="BJ11" s="345"/>
      <c r="BK11" s="345"/>
      <c r="BL11" s="345"/>
      <c r="BM11" s="345"/>
      <c r="BN11" s="345"/>
      <c r="BO11" s="345"/>
      <c r="BP11" s="345"/>
      <c r="BQ11" s="345"/>
      <c r="BR11" s="345"/>
      <c r="BS11" s="345"/>
      <c r="BT11" s="345"/>
      <c r="BU11" s="345"/>
      <c r="BV11" s="345"/>
      <c r="BW11" s="345"/>
      <c r="BX11" s="345"/>
      <c r="BY11" s="345"/>
      <c r="BZ11" s="345"/>
      <c r="CA11" s="345"/>
      <c r="CB11" s="345"/>
      <c r="CC11" s="345"/>
      <c r="CD11" s="345"/>
      <c r="CE11" s="345"/>
      <c r="CF11" s="345"/>
      <c r="CG11" s="345"/>
      <c r="CH11" s="345"/>
      <c r="CI11" s="345"/>
      <c r="CJ11" s="345"/>
      <c r="CK11" s="345"/>
      <c r="CL11" s="345"/>
      <c r="CM11" s="345"/>
      <c r="CN11" s="345"/>
      <c r="CO11" s="345"/>
      <c r="CP11" s="345"/>
      <c r="CQ11" s="345"/>
      <c r="CR11" s="345"/>
      <c r="CS11" s="345"/>
      <c r="CT11" s="345"/>
      <c r="CU11" s="345"/>
      <c r="CV11" s="345"/>
      <c r="CW11" s="345"/>
      <c r="CX11" s="345"/>
      <c r="CY11" s="345"/>
      <c r="CZ11" s="345"/>
      <c r="DA11" s="345"/>
      <c r="DB11" s="345"/>
      <c r="DC11" s="345"/>
      <c r="DD11" s="345"/>
      <c r="DE11" s="345"/>
      <c r="DF11" s="345"/>
      <c r="DG11" s="345"/>
      <c r="DH11" s="345"/>
      <c r="DI11" s="345"/>
      <c r="DJ11" s="345"/>
      <c r="DK11" s="345"/>
      <c r="DL11" s="345"/>
      <c r="DM11" s="345"/>
      <c r="DN11" s="345"/>
      <c r="DO11" s="345"/>
      <c r="DP11" s="345"/>
      <c r="DQ11" s="345"/>
      <c r="DR11" s="345"/>
      <c r="DS11" s="345"/>
      <c r="DT11" s="345"/>
      <c r="DU11" s="345"/>
      <c r="DV11" s="345"/>
      <c r="DW11" s="345"/>
      <c r="DX11" s="345"/>
      <c r="DY11" s="345"/>
      <c r="DZ11" s="345"/>
      <c r="EA11" s="345"/>
    </row>
    <row r="12" spans="1:131">
      <c r="A12" s="345"/>
      <c r="B12" s="345"/>
      <c r="C12" s="2447"/>
      <c r="D12" s="6110" t="str">
        <f>CONCATENATE('Data Sheet-II'!L24)</f>
        <v>AAZZCC1235</v>
      </c>
      <c r="E12" s="6110"/>
      <c r="F12" s="6110"/>
      <c r="G12" s="6110"/>
      <c r="H12" s="6111" t="str">
        <f>CONCATENATE('Data Sheet-II'!L25)</f>
        <v>HYDG15207D</v>
      </c>
      <c r="I12" s="6110"/>
      <c r="J12" s="6110"/>
      <c r="K12" s="6112"/>
      <c r="L12" s="6113" t="str">
        <f>CONCATENATE('Data Sheet-II'!L11)</f>
        <v>BSEPP1245A</v>
      </c>
      <c r="M12" s="6110"/>
      <c r="N12" s="6110"/>
      <c r="O12" s="6111" t="str">
        <f>CONCATENATE('Data Sheet-II'!L10)</f>
        <v>2000083</v>
      </c>
      <c r="P12" s="6110"/>
      <c r="Q12" s="6114"/>
      <c r="R12" s="345"/>
      <c r="S12" s="345"/>
      <c r="T12" s="345"/>
      <c r="U12" s="345"/>
      <c r="V12" s="345"/>
      <c r="W12" s="345"/>
      <c r="X12" s="345"/>
      <c r="Y12" s="345"/>
      <c r="Z12" s="345"/>
      <c r="AA12" s="345"/>
      <c r="AB12" s="345"/>
      <c r="AC12" s="345"/>
      <c r="AD12" s="345"/>
      <c r="AE12" s="345"/>
      <c r="AF12" s="345"/>
      <c r="AG12" s="345"/>
      <c r="AH12" s="345"/>
      <c r="AI12" s="345"/>
      <c r="AJ12" s="345"/>
      <c r="AK12" s="345"/>
      <c r="AL12" s="345"/>
      <c r="AM12" s="345"/>
      <c r="AN12" s="345"/>
      <c r="AO12" s="345"/>
      <c r="AP12" s="345"/>
      <c r="AQ12" s="345"/>
      <c r="AR12" s="345"/>
      <c r="AS12" s="345"/>
      <c r="AT12" s="345"/>
      <c r="AU12" s="345"/>
      <c r="AV12" s="345"/>
      <c r="AW12" s="345"/>
      <c r="AX12" s="345"/>
      <c r="AY12" s="345"/>
      <c r="AZ12" s="345"/>
      <c r="BA12" s="345"/>
      <c r="BB12" s="345"/>
      <c r="BC12" s="345"/>
      <c r="BD12" s="345"/>
      <c r="BE12" s="345"/>
      <c r="BF12" s="345"/>
      <c r="BG12" s="345"/>
      <c r="BH12" s="345"/>
      <c r="BI12" s="345"/>
      <c r="BJ12" s="345"/>
      <c r="BK12" s="345"/>
      <c r="BL12" s="345"/>
      <c r="BM12" s="345"/>
      <c r="BN12" s="345"/>
      <c r="BO12" s="345"/>
      <c r="BP12" s="345"/>
      <c r="BQ12" s="345"/>
      <c r="BR12" s="345"/>
      <c r="BS12" s="345"/>
      <c r="BT12" s="345"/>
      <c r="BU12" s="345"/>
      <c r="BV12" s="345"/>
      <c r="BW12" s="345"/>
      <c r="BX12" s="345"/>
      <c r="BY12" s="345"/>
      <c r="BZ12" s="345"/>
      <c r="CA12" s="345"/>
      <c r="CB12" s="345"/>
      <c r="CC12" s="345"/>
      <c r="CD12" s="345"/>
      <c r="CE12" s="345"/>
      <c r="CF12" s="345"/>
      <c r="CG12" s="345"/>
      <c r="CH12" s="345"/>
      <c r="CI12" s="345"/>
      <c r="CJ12" s="345"/>
      <c r="CK12" s="345"/>
      <c r="CL12" s="345"/>
      <c r="CM12" s="345"/>
      <c r="CN12" s="345"/>
      <c r="CO12" s="345"/>
      <c r="CP12" s="345"/>
      <c r="CQ12" s="345"/>
      <c r="CR12" s="345"/>
      <c r="CS12" s="345"/>
      <c r="CT12" s="345"/>
      <c r="CU12" s="345"/>
      <c r="CV12" s="345"/>
      <c r="CW12" s="345"/>
      <c r="CX12" s="345"/>
      <c r="CY12" s="345"/>
      <c r="CZ12" s="345"/>
      <c r="DA12" s="345"/>
      <c r="DB12" s="345"/>
      <c r="DC12" s="345"/>
      <c r="DD12" s="345"/>
      <c r="DE12" s="345"/>
      <c r="DF12" s="345"/>
      <c r="DG12" s="345"/>
      <c r="DH12" s="345"/>
      <c r="DI12" s="345"/>
      <c r="DJ12" s="345"/>
      <c r="DK12" s="345"/>
      <c r="DL12" s="345"/>
      <c r="DM12" s="345"/>
      <c r="DN12" s="345"/>
      <c r="DO12" s="345"/>
      <c r="DP12" s="345"/>
      <c r="DQ12" s="345"/>
      <c r="DR12" s="345"/>
      <c r="DS12" s="345"/>
      <c r="DT12" s="345"/>
      <c r="DU12" s="345"/>
      <c r="DV12" s="345"/>
      <c r="DW12" s="345"/>
      <c r="DX12" s="345"/>
      <c r="DY12" s="345"/>
      <c r="DZ12" s="345"/>
      <c r="EA12" s="345"/>
    </row>
    <row r="13" spans="1:131">
      <c r="A13" s="345"/>
      <c r="B13" s="345"/>
      <c r="C13" s="2447"/>
      <c r="D13" s="5995" t="s">
        <v>300</v>
      </c>
      <c r="E13" s="5995"/>
      <c r="F13" s="5995"/>
      <c r="G13" s="5995"/>
      <c r="H13" s="5995"/>
      <c r="I13" s="5995"/>
      <c r="J13" s="5995"/>
      <c r="K13" s="5995"/>
      <c r="L13" s="5995"/>
      <c r="M13" s="5995"/>
      <c r="N13" s="5995"/>
      <c r="O13" s="5995"/>
      <c r="P13" s="5995"/>
      <c r="Q13" s="6064"/>
      <c r="R13" s="345"/>
      <c r="S13" s="345"/>
      <c r="T13" s="345"/>
      <c r="U13" s="345"/>
      <c r="V13" s="345"/>
      <c r="W13" s="345"/>
      <c r="X13" s="345"/>
      <c r="Y13" s="345"/>
      <c r="Z13" s="345"/>
      <c r="AA13" s="345"/>
      <c r="AB13" s="345"/>
      <c r="AC13" s="345"/>
      <c r="AD13" s="345"/>
      <c r="AE13" s="345"/>
      <c r="AF13" s="345"/>
      <c r="AG13" s="345"/>
      <c r="AH13" s="345"/>
      <c r="AI13" s="345"/>
      <c r="AJ13" s="345"/>
      <c r="AK13" s="345"/>
      <c r="AL13" s="345"/>
      <c r="AM13" s="345"/>
      <c r="AN13" s="345"/>
      <c r="AO13" s="345"/>
      <c r="AP13" s="345"/>
      <c r="AQ13" s="345"/>
      <c r="AR13" s="345"/>
      <c r="AS13" s="345"/>
      <c r="AT13" s="345"/>
      <c r="AU13" s="345"/>
      <c r="AV13" s="345"/>
      <c r="AW13" s="345"/>
      <c r="AX13" s="345"/>
      <c r="AY13" s="345"/>
      <c r="AZ13" s="345"/>
      <c r="BA13" s="345"/>
      <c r="BB13" s="345"/>
      <c r="BC13" s="345"/>
      <c r="BD13" s="345"/>
      <c r="BE13" s="345"/>
      <c r="BF13" s="345"/>
      <c r="BG13" s="345"/>
      <c r="BH13" s="345"/>
      <c r="BI13" s="345"/>
      <c r="BJ13" s="345"/>
      <c r="BK13" s="345"/>
      <c r="BL13" s="345"/>
      <c r="BM13" s="345"/>
      <c r="BN13" s="345"/>
      <c r="BO13" s="345"/>
      <c r="BP13" s="345"/>
      <c r="BQ13" s="345"/>
      <c r="BR13" s="345"/>
      <c r="BS13" s="345"/>
      <c r="BT13" s="345"/>
      <c r="BU13" s="345"/>
      <c r="BV13" s="345"/>
      <c r="BW13" s="345"/>
      <c r="BX13" s="345"/>
      <c r="BY13" s="345"/>
      <c r="BZ13" s="345"/>
      <c r="CA13" s="345"/>
      <c r="CB13" s="345"/>
      <c r="CC13" s="345"/>
      <c r="CD13" s="345"/>
      <c r="CE13" s="345"/>
      <c r="CF13" s="345"/>
      <c r="CG13" s="345"/>
      <c r="CH13" s="345"/>
      <c r="CI13" s="345"/>
      <c r="CJ13" s="345"/>
      <c r="CK13" s="345"/>
      <c r="CL13" s="345"/>
      <c r="CM13" s="345"/>
      <c r="CN13" s="345"/>
      <c r="CO13" s="345"/>
      <c r="CP13" s="345"/>
      <c r="CQ13" s="345"/>
      <c r="CR13" s="345"/>
      <c r="CS13" s="345"/>
      <c r="CT13" s="345"/>
      <c r="CU13" s="345"/>
      <c r="CV13" s="345"/>
      <c r="CW13" s="345"/>
      <c r="CX13" s="345"/>
      <c r="CY13" s="345"/>
      <c r="CZ13" s="345"/>
      <c r="DA13" s="345"/>
      <c r="DB13" s="345"/>
      <c r="DC13" s="345"/>
      <c r="DD13" s="345"/>
      <c r="DE13" s="345"/>
      <c r="DF13" s="345"/>
      <c r="DG13" s="345"/>
      <c r="DH13" s="345"/>
      <c r="DI13" s="345"/>
      <c r="DJ13" s="345"/>
      <c r="DK13" s="345"/>
      <c r="DL13" s="345"/>
      <c r="DM13" s="345"/>
      <c r="DN13" s="345"/>
      <c r="DO13" s="345"/>
      <c r="DP13" s="345"/>
      <c r="DQ13" s="345"/>
      <c r="DR13" s="345"/>
      <c r="DS13" s="345"/>
      <c r="DT13" s="345"/>
      <c r="DU13" s="345"/>
      <c r="DV13" s="345"/>
      <c r="DW13" s="345"/>
      <c r="DX13" s="345"/>
      <c r="DY13" s="345"/>
      <c r="DZ13" s="345"/>
      <c r="EA13" s="345"/>
    </row>
    <row r="14" spans="1:131">
      <c r="A14" s="345"/>
      <c r="B14" s="345"/>
      <c r="C14" s="2447"/>
      <c r="D14" s="5953" t="s">
        <v>301</v>
      </c>
      <c r="E14" s="5953"/>
      <c r="F14" s="5953"/>
      <c r="G14" s="5953"/>
      <c r="H14" s="6123" t="s">
        <v>302</v>
      </c>
      <c r="I14" s="6124"/>
      <c r="J14" s="2638" t="s">
        <v>303</v>
      </c>
      <c r="K14" s="2619"/>
      <c r="L14" s="6125" t="s">
        <v>304</v>
      </c>
      <c r="M14" s="6126"/>
      <c r="N14" s="6126"/>
      <c r="O14" s="6127"/>
      <c r="P14" s="6128" t="s">
        <v>305</v>
      </c>
      <c r="Q14" s="6129"/>
      <c r="R14" s="345"/>
      <c r="S14" s="345"/>
      <c r="T14" s="345"/>
      <c r="U14" s="345"/>
      <c r="V14" s="345"/>
      <c r="W14" s="345"/>
      <c r="X14" s="345"/>
      <c r="Y14" s="345"/>
      <c r="Z14" s="345"/>
      <c r="AA14" s="345"/>
      <c r="AB14" s="345"/>
      <c r="AC14" s="345"/>
      <c r="AD14" s="345"/>
      <c r="AE14" s="345"/>
      <c r="AF14" s="345"/>
      <c r="AG14" s="345"/>
      <c r="AH14" s="345"/>
      <c r="AI14" s="345"/>
      <c r="AJ14" s="345"/>
      <c r="AK14" s="345"/>
      <c r="AL14" s="345"/>
      <c r="AM14" s="345"/>
      <c r="AN14" s="345"/>
      <c r="AO14" s="345"/>
      <c r="AP14" s="345"/>
      <c r="AQ14" s="345"/>
      <c r="AR14" s="345"/>
      <c r="AS14" s="345"/>
      <c r="AT14" s="345"/>
      <c r="AU14" s="345"/>
      <c r="AV14" s="345"/>
      <c r="AW14" s="345"/>
      <c r="AX14" s="345"/>
      <c r="AY14" s="345"/>
      <c r="AZ14" s="345"/>
      <c r="BA14" s="345"/>
      <c r="BB14" s="345"/>
      <c r="BC14" s="345"/>
      <c r="BD14" s="345"/>
      <c r="BE14" s="345"/>
      <c r="BF14" s="345"/>
      <c r="BG14" s="345"/>
      <c r="BH14" s="345"/>
      <c r="BI14" s="345"/>
      <c r="BJ14" s="345"/>
      <c r="BK14" s="345"/>
      <c r="BL14" s="345"/>
      <c r="BM14" s="345"/>
      <c r="BN14" s="345"/>
      <c r="BO14" s="345"/>
      <c r="BP14" s="345"/>
      <c r="BQ14" s="345"/>
      <c r="BR14" s="345"/>
      <c r="BS14" s="345"/>
      <c r="BT14" s="345"/>
      <c r="BU14" s="345"/>
      <c r="BV14" s="345"/>
      <c r="BW14" s="345"/>
      <c r="BX14" s="345"/>
      <c r="BY14" s="345"/>
      <c r="BZ14" s="345"/>
      <c r="CA14" s="345"/>
      <c r="CB14" s="345"/>
      <c r="CC14" s="345"/>
      <c r="CD14" s="345"/>
      <c r="CE14" s="345"/>
      <c r="CF14" s="345"/>
      <c r="CG14" s="345"/>
      <c r="CH14" s="345"/>
      <c r="CI14" s="345"/>
      <c r="CJ14" s="345"/>
      <c r="CK14" s="345"/>
      <c r="CL14" s="345"/>
      <c r="CM14" s="345"/>
      <c r="CN14" s="345"/>
      <c r="CO14" s="345"/>
      <c r="CP14" s="345"/>
      <c r="CQ14" s="345"/>
      <c r="CR14" s="345"/>
      <c r="CS14" s="345"/>
      <c r="CT14" s="345"/>
      <c r="CU14" s="345"/>
      <c r="CV14" s="345"/>
      <c r="CW14" s="345"/>
      <c r="CX14" s="345"/>
      <c r="CY14" s="345"/>
      <c r="CZ14" s="345"/>
      <c r="DA14" s="345"/>
      <c r="DB14" s="345"/>
      <c r="DC14" s="345"/>
      <c r="DD14" s="345"/>
      <c r="DE14" s="345"/>
      <c r="DF14" s="345"/>
      <c r="DG14" s="345"/>
      <c r="DH14" s="345"/>
      <c r="DI14" s="345"/>
      <c r="DJ14" s="345"/>
      <c r="DK14" s="345"/>
      <c r="DL14" s="345"/>
      <c r="DM14" s="345"/>
      <c r="DN14" s="345"/>
      <c r="DO14" s="345"/>
      <c r="DP14" s="345"/>
      <c r="DQ14" s="345"/>
      <c r="DR14" s="345"/>
      <c r="DS14" s="345"/>
      <c r="DT14" s="345"/>
      <c r="DU14" s="345"/>
      <c r="DV14" s="345"/>
      <c r="DW14" s="345"/>
      <c r="DX14" s="345"/>
      <c r="DY14" s="345"/>
      <c r="DZ14" s="345"/>
      <c r="EA14" s="345"/>
    </row>
    <row r="15" spans="1:131" ht="18" customHeight="1">
      <c r="A15" s="345"/>
      <c r="B15" s="345"/>
      <c r="C15" s="2447"/>
      <c r="D15" s="6130" t="s">
        <v>306</v>
      </c>
      <c r="E15" s="6130"/>
      <c r="F15" s="6130"/>
      <c r="G15" s="6130"/>
      <c r="H15" s="6131"/>
      <c r="I15" s="6132"/>
      <c r="J15" s="2631">
        <v>0</v>
      </c>
      <c r="K15" s="2632"/>
      <c r="L15" s="6133" t="s">
        <v>307</v>
      </c>
      <c r="M15" s="6134"/>
      <c r="N15" s="6134" t="s">
        <v>308</v>
      </c>
      <c r="O15" s="6135"/>
      <c r="P15" s="6136" t="s">
        <v>309</v>
      </c>
      <c r="Q15" s="6016"/>
      <c r="R15" s="345"/>
      <c r="S15" s="345"/>
      <c r="T15" s="345"/>
      <c r="U15" s="345"/>
      <c r="V15" s="345"/>
      <c r="W15" s="345"/>
      <c r="X15" s="345"/>
      <c r="Y15" s="345"/>
      <c r="Z15" s="345"/>
      <c r="AA15" s="345"/>
      <c r="AB15" s="345"/>
      <c r="AC15" s="345"/>
      <c r="AD15" s="345"/>
      <c r="AE15" s="345"/>
      <c r="AF15" s="345"/>
      <c r="AG15" s="345"/>
      <c r="AH15" s="345"/>
      <c r="AI15" s="345"/>
      <c r="AJ15" s="345"/>
      <c r="AK15" s="345"/>
      <c r="AL15" s="345"/>
      <c r="AM15" s="345"/>
      <c r="AN15" s="345"/>
      <c r="AO15" s="345"/>
      <c r="AP15" s="345"/>
      <c r="AQ15" s="345"/>
      <c r="AR15" s="345"/>
      <c r="AS15" s="345"/>
      <c r="AT15" s="345"/>
      <c r="AU15" s="345"/>
      <c r="AV15" s="345"/>
      <c r="AW15" s="345"/>
      <c r="AX15" s="345"/>
      <c r="AY15" s="345"/>
      <c r="AZ15" s="345"/>
      <c r="BA15" s="345"/>
      <c r="BB15" s="345"/>
      <c r="BC15" s="345"/>
      <c r="BD15" s="345"/>
      <c r="BE15" s="345"/>
      <c r="BF15" s="345"/>
      <c r="BG15" s="345"/>
      <c r="BH15" s="345"/>
      <c r="BI15" s="345"/>
      <c r="BJ15" s="345"/>
      <c r="BK15" s="345"/>
      <c r="BL15" s="345"/>
      <c r="BM15" s="345"/>
      <c r="BN15" s="345"/>
      <c r="BO15" s="345"/>
      <c r="BP15" s="345"/>
      <c r="BQ15" s="345"/>
      <c r="BR15" s="345"/>
      <c r="BS15" s="345"/>
      <c r="BT15" s="345"/>
      <c r="BU15" s="345"/>
      <c r="BV15" s="345"/>
      <c r="BW15" s="345"/>
      <c r="BX15" s="345"/>
      <c r="BY15" s="345"/>
      <c r="BZ15" s="345"/>
      <c r="CA15" s="345"/>
      <c r="CB15" s="345"/>
      <c r="CC15" s="345"/>
      <c r="CD15" s="345"/>
      <c r="CE15" s="345"/>
      <c r="CF15" s="345"/>
      <c r="CG15" s="345"/>
      <c r="CH15" s="345"/>
      <c r="CI15" s="345"/>
      <c r="CJ15" s="345"/>
      <c r="CK15" s="345"/>
      <c r="CL15" s="345"/>
      <c r="CM15" s="345"/>
      <c r="CN15" s="345"/>
      <c r="CO15" s="345"/>
      <c r="CP15" s="345"/>
      <c r="CQ15" s="345"/>
      <c r="CR15" s="345"/>
      <c r="CS15" s="345"/>
      <c r="CT15" s="345"/>
      <c r="CU15" s="345"/>
      <c r="CV15" s="345"/>
      <c r="CW15" s="345"/>
      <c r="CX15" s="345"/>
      <c r="CY15" s="345"/>
      <c r="CZ15" s="345"/>
      <c r="DA15" s="345"/>
      <c r="DB15" s="345"/>
      <c r="DC15" s="345"/>
      <c r="DD15" s="345"/>
      <c r="DE15" s="345"/>
      <c r="DF15" s="345"/>
      <c r="DG15" s="345"/>
      <c r="DH15" s="345"/>
      <c r="DI15" s="345"/>
      <c r="DJ15" s="345"/>
      <c r="DK15" s="345"/>
      <c r="DL15" s="345"/>
      <c r="DM15" s="345"/>
      <c r="DN15" s="345"/>
      <c r="DO15" s="345"/>
      <c r="DP15" s="345"/>
      <c r="DQ15" s="345"/>
      <c r="DR15" s="345"/>
      <c r="DS15" s="345"/>
      <c r="DT15" s="345"/>
      <c r="DU15" s="345"/>
      <c r="DV15" s="345"/>
      <c r="DW15" s="345"/>
      <c r="DX15" s="345"/>
      <c r="DY15" s="345"/>
      <c r="DZ15" s="345"/>
      <c r="EA15" s="345"/>
    </row>
    <row r="16" spans="1:131" ht="18" customHeight="1">
      <c r="A16" s="345"/>
      <c r="B16" s="345"/>
      <c r="C16" s="2447"/>
      <c r="D16" s="6137" t="s">
        <v>310</v>
      </c>
      <c r="E16" s="6137"/>
      <c r="F16" s="6137"/>
      <c r="G16" s="6137"/>
      <c r="H16" s="6138"/>
      <c r="I16" s="6139"/>
      <c r="J16" s="2633">
        <v>0</v>
      </c>
      <c r="K16" s="2634"/>
      <c r="L16" s="6140" t="s">
        <v>1749</v>
      </c>
      <c r="M16" s="6141"/>
      <c r="N16" s="6146" t="s">
        <v>1750</v>
      </c>
      <c r="O16" s="6146"/>
      <c r="P16" s="6149" t="s">
        <v>1695</v>
      </c>
      <c r="Q16" s="6150"/>
      <c r="R16" s="345"/>
      <c r="S16" s="345"/>
      <c r="T16" s="345"/>
      <c r="U16" s="345"/>
      <c r="V16" s="345"/>
      <c r="W16" s="345"/>
      <c r="X16" s="345"/>
      <c r="Y16" s="345"/>
      <c r="Z16" s="345"/>
      <c r="AA16" s="345"/>
      <c r="AB16" s="345"/>
      <c r="AC16" s="345"/>
      <c r="AD16" s="345"/>
      <c r="AE16" s="345"/>
      <c r="AF16" s="345"/>
      <c r="AG16" s="345"/>
      <c r="AH16" s="345"/>
      <c r="AI16" s="345"/>
      <c r="AJ16" s="345"/>
      <c r="AK16" s="345"/>
      <c r="AL16" s="345"/>
      <c r="AM16" s="345"/>
      <c r="AN16" s="345"/>
      <c r="AO16" s="345"/>
      <c r="AP16" s="345"/>
      <c r="AQ16" s="345"/>
      <c r="AR16" s="345"/>
      <c r="AS16" s="345"/>
      <c r="AT16" s="345"/>
      <c r="AU16" s="345"/>
      <c r="AV16" s="345"/>
      <c r="AW16" s="345"/>
      <c r="AX16" s="345"/>
      <c r="AY16" s="345"/>
      <c r="AZ16" s="345"/>
      <c r="BA16" s="345"/>
      <c r="BB16" s="345"/>
      <c r="BC16" s="345"/>
      <c r="BD16" s="345"/>
      <c r="BE16" s="345"/>
      <c r="BF16" s="345"/>
      <c r="BG16" s="345"/>
      <c r="BH16" s="345"/>
      <c r="BI16" s="345"/>
      <c r="BJ16" s="345"/>
      <c r="BK16" s="345"/>
      <c r="BL16" s="345"/>
      <c r="BM16" s="345"/>
      <c r="BN16" s="345"/>
      <c r="BO16" s="345"/>
      <c r="BP16" s="345"/>
      <c r="BQ16" s="345"/>
      <c r="BR16" s="345"/>
      <c r="BS16" s="345"/>
      <c r="BT16" s="345"/>
      <c r="BU16" s="345"/>
      <c r="BV16" s="345"/>
      <c r="BW16" s="345"/>
      <c r="BX16" s="345"/>
      <c r="BY16" s="345"/>
      <c r="BZ16" s="345"/>
      <c r="CA16" s="345"/>
      <c r="CB16" s="345"/>
      <c r="CC16" s="345"/>
      <c r="CD16" s="345"/>
      <c r="CE16" s="345"/>
      <c r="CF16" s="345"/>
      <c r="CG16" s="345"/>
      <c r="CH16" s="345"/>
      <c r="CI16" s="345"/>
      <c r="CJ16" s="345"/>
      <c r="CK16" s="345"/>
      <c r="CL16" s="345"/>
      <c r="CM16" s="345"/>
      <c r="CN16" s="345"/>
      <c r="CO16" s="345"/>
      <c r="CP16" s="345"/>
      <c r="CQ16" s="345"/>
      <c r="CR16" s="345"/>
      <c r="CS16" s="345"/>
      <c r="CT16" s="345"/>
      <c r="CU16" s="345"/>
      <c r="CV16" s="345"/>
      <c r="CW16" s="345"/>
      <c r="CX16" s="345"/>
      <c r="CY16" s="345"/>
      <c r="CZ16" s="345"/>
      <c r="DA16" s="345"/>
      <c r="DB16" s="345"/>
      <c r="DC16" s="345"/>
      <c r="DD16" s="345"/>
      <c r="DE16" s="345"/>
      <c r="DF16" s="345"/>
      <c r="DG16" s="345"/>
      <c r="DH16" s="345"/>
      <c r="DI16" s="345"/>
      <c r="DJ16" s="345"/>
      <c r="DK16" s="345"/>
      <c r="DL16" s="345"/>
      <c r="DM16" s="345"/>
      <c r="DN16" s="345"/>
      <c r="DO16" s="345"/>
      <c r="DP16" s="345"/>
      <c r="DQ16" s="345"/>
      <c r="DR16" s="345"/>
      <c r="DS16" s="345"/>
      <c r="DT16" s="345"/>
      <c r="DU16" s="345"/>
      <c r="DV16" s="345"/>
      <c r="DW16" s="345"/>
      <c r="DX16" s="345"/>
      <c r="DY16" s="345"/>
      <c r="DZ16" s="345"/>
      <c r="EA16" s="345"/>
    </row>
    <row r="17" spans="1:131" ht="18" customHeight="1">
      <c r="A17" s="345"/>
      <c r="B17" s="345"/>
      <c r="C17" s="2447"/>
      <c r="D17" s="6137" t="s">
        <v>311</v>
      </c>
      <c r="E17" s="6137"/>
      <c r="F17" s="6137"/>
      <c r="G17" s="6137"/>
      <c r="H17" s="6138"/>
      <c r="I17" s="6139"/>
      <c r="J17" s="2633">
        <v>0</v>
      </c>
      <c r="K17" s="2634"/>
      <c r="L17" s="6142"/>
      <c r="M17" s="6143"/>
      <c r="N17" s="6147"/>
      <c r="O17" s="6147"/>
      <c r="P17" s="6151"/>
      <c r="Q17" s="6152"/>
      <c r="R17" s="345"/>
      <c r="S17" s="345"/>
      <c r="T17" s="345"/>
      <c r="U17" s="345"/>
      <c r="V17" s="345"/>
      <c r="W17" s="345"/>
      <c r="X17" s="345"/>
      <c r="Y17" s="345"/>
      <c r="Z17" s="345"/>
      <c r="AA17" s="345"/>
      <c r="AB17" s="345"/>
      <c r="AC17" s="345"/>
      <c r="AD17" s="345"/>
      <c r="AE17" s="345"/>
      <c r="AF17" s="345"/>
      <c r="AG17" s="345"/>
      <c r="AH17" s="345"/>
      <c r="AI17" s="345"/>
      <c r="AJ17" s="345"/>
      <c r="AK17" s="345"/>
      <c r="AL17" s="345"/>
      <c r="AM17" s="345"/>
      <c r="AN17" s="345"/>
      <c r="AO17" s="345"/>
      <c r="AP17" s="345"/>
      <c r="AQ17" s="345"/>
      <c r="AR17" s="345"/>
      <c r="AS17" s="345"/>
      <c r="AT17" s="345"/>
      <c r="AU17" s="345"/>
      <c r="AV17" s="345"/>
      <c r="AW17" s="345"/>
      <c r="AX17" s="345"/>
      <c r="AY17" s="345"/>
      <c r="AZ17" s="345"/>
      <c r="BA17" s="345"/>
      <c r="BB17" s="345"/>
      <c r="BC17" s="345"/>
      <c r="BD17" s="345"/>
      <c r="BE17" s="345"/>
      <c r="BF17" s="345"/>
      <c r="BG17" s="345"/>
      <c r="BH17" s="345"/>
      <c r="BI17" s="345"/>
      <c r="BJ17" s="345"/>
      <c r="BK17" s="345"/>
      <c r="BL17" s="345"/>
      <c r="BM17" s="345"/>
      <c r="BN17" s="345"/>
      <c r="BO17" s="345"/>
      <c r="BP17" s="345"/>
      <c r="BQ17" s="345"/>
      <c r="BR17" s="345"/>
      <c r="BS17" s="345"/>
      <c r="BT17" s="345"/>
      <c r="BU17" s="345"/>
      <c r="BV17" s="345"/>
      <c r="BW17" s="345"/>
      <c r="BX17" s="345"/>
      <c r="BY17" s="345"/>
      <c r="BZ17" s="345"/>
      <c r="CA17" s="345"/>
      <c r="CB17" s="345"/>
      <c r="CC17" s="345"/>
      <c r="CD17" s="345"/>
      <c r="CE17" s="345"/>
      <c r="CF17" s="345"/>
      <c r="CG17" s="345"/>
      <c r="CH17" s="345"/>
      <c r="CI17" s="345"/>
      <c r="CJ17" s="345"/>
      <c r="CK17" s="345"/>
      <c r="CL17" s="345"/>
      <c r="CM17" s="345"/>
      <c r="CN17" s="345"/>
      <c r="CO17" s="345"/>
      <c r="CP17" s="345"/>
      <c r="CQ17" s="345"/>
      <c r="CR17" s="345"/>
      <c r="CS17" s="345"/>
      <c r="CT17" s="345"/>
      <c r="CU17" s="345"/>
      <c r="CV17" s="345"/>
      <c r="CW17" s="345"/>
      <c r="CX17" s="345"/>
      <c r="CY17" s="345"/>
      <c r="CZ17" s="345"/>
      <c r="DA17" s="345"/>
      <c r="DB17" s="345"/>
      <c r="DC17" s="345"/>
      <c r="DD17" s="345"/>
      <c r="DE17" s="345"/>
      <c r="DF17" s="345"/>
      <c r="DG17" s="345"/>
      <c r="DH17" s="345"/>
      <c r="DI17" s="345"/>
      <c r="DJ17" s="345"/>
      <c r="DK17" s="345"/>
      <c r="DL17" s="345"/>
      <c r="DM17" s="345"/>
      <c r="DN17" s="345"/>
      <c r="DO17" s="345"/>
      <c r="DP17" s="345"/>
      <c r="DQ17" s="345"/>
      <c r="DR17" s="345"/>
      <c r="DS17" s="345"/>
      <c r="DT17" s="345"/>
      <c r="DU17" s="345"/>
      <c r="DV17" s="345"/>
      <c r="DW17" s="345"/>
      <c r="DX17" s="345"/>
      <c r="DY17" s="345"/>
      <c r="DZ17" s="345"/>
      <c r="EA17" s="345"/>
    </row>
    <row r="18" spans="1:131" ht="18" customHeight="1">
      <c r="A18" s="345"/>
      <c r="B18" s="345"/>
      <c r="C18" s="2447"/>
      <c r="D18" s="6155" t="s">
        <v>312</v>
      </c>
      <c r="E18" s="6155"/>
      <c r="F18" s="6155"/>
      <c r="G18" s="6155"/>
      <c r="H18" s="6156"/>
      <c r="I18" s="6157"/>
      <c r="J18" s="2635">
        <v>0</v>
      </c>
      <c r="K18" s="2636"/>
      <c r="L18" s="6144"/>
      <c r="M18" s="6145"/>
      <c r="N18" s="6148"/>
      <c r="O18" s="6148"/>
      <c r="P18" s="6153"/>
      <c r="Q18" s="6154"/>
      <c r="R18" s="345"/>
      <c r="S18" s="345"/>
      <c r="T18" s="345"/>
      <c r="U18" s="345"/>
      <c r="V18" s="345"/>
      <c r="W18" s="345"/>
      <c r="X18" s="345"/>
      <c r="Y18" s="345"/>
      <c r="Z18" s="345"/>
      <c r="AA18" s="345"/>
      <c r="AB18" s="345"/>
      <c r="AC18" s="345"/>
      <c r="AD18" s="345"/>
      <c r="AE18" s="345"/>
      <c r="AF18" s="345"/>
      <c r="AG18" s="345"/>
      <c r="AH18" s="345"/>
      <c r="AI18" s="345"/>
      <c r="AJ18" s="345"/>
      <c r="AK18" s="345"/>
      <c r="AL18" s="345"/>
      <c r="AM18" s="345"/>
      <c r="AN18" s="345"/>
      <c r="AO18" s="345"/>
      <c r="AP18" s="345"/>
      <c r="AQ18" s="345"/>
      <c r="AR18" s="345"/>
      <c r="AS18" s="345"/>
      <c r="AT18" s="345"/>
      <c r="AU18" s="345"/>
      <c r="AV18" s="345"/>
      <c r="AW18" s="345"/>
      <c r="AX18" s="345"/>
      <c r="AY18" s="345"/>
      <c r="AZ18" s="345"/>
      <c r="BA18" s="345"/>
      <c r="BB18" s="345"/>
      <c r="BC18" s="345"/>
      <c r="BD18" s="345"/>
      <c r="BE18" s="345"/>
      <c r="BF18" s="345"/>
      <c r="BG18" s="345"/>
      <c r="BH18" s="345"/>
      <c r="BI18" s="345"/>
      <c r="BJ18" s="345"/>
      <c r="BK18" s="345"/>
      <c r="BL18" s="345"/>
      <c r="BM18" s="345"/>
      <c r="BN18" s="345"/>
      <c r="BO18" s="345"/>
      <c r="BP18" s="345"/>
      <c r="BQ18" s="345"/>
      <c r="BR18" s="345"/>
      <c r="BS18" s="345"/>
      <c r="BT18" s="345"/>
      <c r="BU18" s="345"/>
      <c r="BV18" s="345"/>
      <c r="BW18" s="345"/>
      <c r="BX18" s="345"/>
      <c r="BY18" s="345"/>
      <c r="BZ18" s="345"/>
      <c r="CA18" s="345"/>
      <c r="CB18" s="345"/>
      <c r="CC18" s="345"/>
      <c r="CD18" s="345"/>
      <c r="CE18" s="345"/>
      <c r="CF18" s="345"/>
      <c r="CG18" s="345"/>
      <c r="CH18" s="345"/>
      <c r="CI18" s="345"/>
      <c r="CJ18" s="345"/>
      <c r="CK18" s="345"/>
      <c r="CL18" s="345"/>
      <c r="CM18" s="345"/>
      <c r="CN18" s="345"/>
      <c r="CO18" s="345"/>
      <c r="CP18" s="345"/>
      <c r="CQ18" s="345"/>
      <c r="CR18" s="345"/>
      <c r="CS18" s="345"/>
      <c r="CT18" s="345"/>
      <c r="CU18" s="345"/>
      <c r="CV18" s="345"/>
      <c r="CW18" s="345"/>
      <c r="CX18" s="345"/>
      <c r="CY18" s="345"/>
      <c r="CZ18" s="345"/>
      <c r="DA18" s="345"/>
      <c r="DB18" s="345"/>
      <c r="DC18" s="345"/>
      <c r="DD18" s="345"/>
      <c r="DE18" s="345"/>
      <c r="DF18" s="345"/>
      <c r="DG18" s="345"/>
      <c r="DH18" s="345"/>
      <c r="DI18" s="345"/>
      <c r="DJ18" s="345"/>
      <c r="DK18" s="345"/>
      <c r="DL18" s="345"/>
      <c r="DM18" s="345"/>
      <c r="DN18" s="345"/>
      <c r="DO18" s="345"/>
      <c r="DP18" s="345"/>
      <c r="DQ18" s="345"/>
      <c r="DR18" s="345"/>
      <c r="DS18" s="345"/>
      <c r="DT18" s="345"/>
      <c r="DU18" s="345"/>
      <c r="DV18" s="345"/>
      <c r="DW18" s="345"/>
      <c r="DX18" s="345"/>
      <c r="DY18" s="345"/>
      <c r="DZ18" s="345"/>
      <c r="EA18" s="345"/>
    </row>
    <row r="19" spans="1:131" ht="15.75">
      <c r="A19" s="345"/>
      <c r="B19" s="345"/>
      <c r="C19" s="2447"/>
      <c r="D19" s="6158" t="s">
        <v>313</v>
      </c>
      <c r="E19" s="6158"/>
      <c r="F19" s="6158"/>
      <c r="G19" s="6158"/>
      <c r="H19" s="6158"/>
      <c r="I19" s="6158"/>
      <c r="J19" s="6158"/>
      <c r="K19" s="6158"/>
      <c r="L19" s="6158"/>
      <c r="M19" s="6158"/>
      <c r="N19" s="6158"/>
      <c r="O19" s="6158"/>
      <c r="P19" s="6158"/>
      <c r="Q19" s="6159"/>
      <c r="R19" s="1827"/>
      <c r="S19" s="1827"/>
      <c r="T19" s="1827"/>
      <c r="U19" s="1827"/>
      <c r="V19" s="1827"/>
      <c r="W19" s="1827"/>
      <c r="X19" s="345"/>
      <c r="Y19" s="345"/>
      <c r="Z19" s="345"/>
      <c r="AA19" s="345"/>
      <c r="AB19" s="345"/>
      <c r="AC19" s="345"/>
      <c r="AD19" s="345"/>
      <c r="AE19" s="345"/>
      <c r="AF19" s="345"/>
      <c r="AG19" s="345"/>
      <c r="AH19" s="345"/>
      <c r="AI19" s="345"/>
      <c r="AJ19" s="345"/>
      <c r="AK19" s="345"/>
      <c r="AL19" s="345"/>
      <c r="AM19" s="345"/>
      <c r="AN19" s="345"/>
      <c r="AO19" s="345"/>
      <c r="AP19" s="345"/>
      <c r="AQ19" s="345"/>
      <c r="AR19" s="345"/>
      <c r="AS19" s="345"/>
      <c r="AT19" s="345"/>
      <c r="AU19" s="345"/>
      <c r="AV19" s="345"/>
      <c r="AW19" s="345"/>
      <c r="AX19" s="345"/>
      <c r="AY19" s="345"/>
      <c r="AZ19" s="345"/>
      <c r="BA19" s="345"/>
      <c r="BB19" s="345"/>
      <c r="BC19" s="345"/>
      <c r="BD19" s="345"/>
      <c r="BE19" s="345"/>
      <c r="BF19" s="345"/>
      <c r="BG19" s="345"/>
      <c r="BH19" s="345"/>
      <c r="BI19" s="345"/>
      <c r="BJ19" s="345"/>
      <c r="BK19" s="345"/>
      <c r="BL19" s="345"/>
      <c r="BM19" s="345"/>
      <c r="BN19" s="345"/>
      <c r="BO19" s="345"/>
      <c r="BP19" s="345"/>
      <c r="BQ19" s="345"/>
      <c r="BR19" s="345"/>
      <c r="BS19" s="345"/>
      <c r="BT19" s="345"/>
      <c r="BU19" s="345"/>
      <c r="BV19" s="345"/>
      <c r="BW19" s="345"/>
      <c r="BX19" s="345"/>
      <c r="BY19" s="345"/>
      <c r="BZ19" s="345"/>
      <c r="CA19" s="345"/>
      <c r="CB19" s="345"/>
      <c r="CC19" s="345"/>
      <c r="CD19" s="345"/>
      <c r="CE19" s="345"/>
      <c r="CF19" s="345"/>
      <c r="CG19" s="345"/>
      <c r="CH19" s="345"/>
      <c r="CI19" s="345"/>
      <c r="CJ19" s="345"/>
      <c r="CK19" s="345"/>
      <c r="CL19" s="345"/>
      <c r="CM19" s="345"/>
      <c r="CN19" s="345"/>
      <c r="CO19" s="345"/>
      <c r="CP19" s="345"/>
      <c r="CQ19" s="345"/>
      <c r="CR19" s="345"/>
      <c r="CS19" s="345"/>
      <c r="CT19" s="345"/>
      <c r="CU19" s="345"/>
      <c r="CV19" s="345"/>
      <c r="CW19" s="345"/>
      <c r="CX19" s="345"/>
      <c r="CY19" s="345"/>
      <c r="CZ19" s="345"/>
      <c r="DA19" s="345"/>
      <c r="DB19" s="345"/>
      <c r="DC19" s="345"/>
      <c r="DD19" s="345"/>
      <c r="DE19" s="345"/>
      <c r="DF19" s="345"/>
      <c r="DG19" s="345"/>
      <c r="DH19" s="345"/>
      <c r="DI19" s="345"/>
      <c r="DJ19" s="345"/>
      <c r="DK19" s="345"/>
      <c r="DL19" s="345"/>
      <c r="DM19" s="345"/>
      <c r="DN19" s="345"/>
      <c r="DO19" s="345"/>
      <c r="DP19" s="345"/>
      <c r="DQ19" s="345"/>
      <c r="DR19" s="345"/>
      <c r="DS19" s="345"/>
      <c r="DT19" s="345"/>
      <c r="DU19" s="345"/>
      <c r="DV19" s="345"/>
      <c r="DW19" s="345"/>
      <c r="DX19" s="345"/>
      <c r="DY19" s="345"/>
      <c r="DZ19" s="345"/>
      <c r="EA19" s="345"/>
    </row>
    <row r="20" spans="1:131" ht="18" customHeight="1">
      <c r="A20" s="345"/>
      <c r="B20" s="345"/>
      <c r="C20" s="2637"/>
      <c r="D20" s="2598" t="s">
        <v>1380</v>
      </c>
      <c r="E20" s="6161" t="s">
        <v>1483</v>
      </c>
      <c r="F20" s="6162"/>
      <c r="G20" s="6162"/>
      <c r="H20" s="6162"/>
      <c r="I20" s="6162"/>
      <c r="J20" s="6162"/>
      <c r="K20" s="6162"/>
      <c r="L20" s="6162"/>
      <c r="M20" s="6163"/>
      <c r="N20" s="2599" t="s">
        <v>1380</v>
      </c>
      <c r="O20" s="2451" t="s">
        <v>5</v>
      </c>
      <c r="P20" s="5821">
        <f>SUM(L21:M27)</f>
        <v>1503534</v>
      </c>
      <c r="Q20" s="6160"/>
      <c r="R20" s="1827"/>
      <c r="S20" s="1827"/>
      <c r="T20" s="1827"/>
      <c r="U20" s="1827"/>
      <c r="V20" s="1827"/>
      <c r="W20" s="1827"/>
      <c r="X20" s="345"/>
      <c r="Y20" s="345"/>
      <c r="Z20" s="345"/>
      <c r="AA20" s="345"/>
      <c r="AB20" s="345"/>
      <c r="AC20" s="345"/>
      <c r="AD20" s="345"/>
      <c r="AE20" s="345"/>
      <c r="AF20" s="345"/>
      <c r="AG20" s="345"/>
      <c r="AH20" s="345"/>
      <c r="AI20" s="345"/>
      <c r="AJ20" s="345"/>
      <c r="AK20" s="345"/>
      <c r="AL20" s="345"/>
      <c r="AM20" s="345"/>
      <c r="AN20" s="345"/>
      <c r="AO20" s="345"/>
      <c r="AP20" s="345"/>
      <c r="AQ20" s="345"/>
      <c r="AR20" s="345"/>
      <c r="AS20" s="345"/>
      <c r="AT20" s="345"/>
      <c r="AU20" s="345"/>
      <c r="AV20" s="345"/>
      <c r="AW20" s="345"/>
      <c r="AX20" s="345"/>
      <c r="AY20" s="345"/>
      <c r="AZ20" s="345"/>
      <c r="BA20" s="345"/>
      <c r="BB20" s="345"/>
      <c r="BC20" s="345"/>
      <c r="BD20" s="345"/>
      <c r="BE20" s="345"/>
      <c r="BF20" s="345"/>
      <c r="BG20" s="345"/>
      <c r="BH20" s="345"/>
      <c r="BI20" s="345"/>
      <c r="BJ20" s="345"/>
      <c r="BK20" s="345"/>
      <c r="BL20" s="345"/>
      <c r="BM20" s="345"/>
      <c r="BN20" s="345"/>
      <c r="BO20" s="345"/>
      <c r="BP20" s="345"/>
      <c r="BQ20" s="345"/>
      <c r="BR20" s="345"/>
      <c r="BS20" s="345"/>
      <c r="BT20" s="345"/>
      <c r="BU20" s="345"/>
      <c r="BV20" s="345"/>
      <c r="BW20" s="345"/>
      <c r="BX20" s="345"/>
      <c r="BY20" s="345"/>
      <c r="BZ20" s="345"/>
      <c r="CA20" s="345"/>
      <c r="CB20" s="345"/>
      <c r="CC20" s="345"/>
      <c r="CD20" s="345"/>
      <c r="CE20" s="345"/>
      <c r="CF20" s="345"/>
      <c r="CG20" s="345"/>
      <c r="CH20" s="345"/>
      <c r="CI20" s="345"/>
      <c r="CJ20" s="345"/>
      <c r="CK20" s="345"/>
      <c r="CL20" s="345"/>
      <c r="CM20" s="345"/>
      <c r="CN20" s="345"/>
      <c r="CO20" s="345"/>
      <c r="CP20" s="345"/>
      <c r="CQ20" s="345"/>
      <c r="CR20" s="345"/>
      <c r="CS20" s="345"/>
      <c r="CT20" s="345"/>
      <c r="CU20" s="345"/>
      <c r="CV20" s="345"/>
      <c r="CW20" s="345"/>
      <c r="CX20" s="345"/>
      <c r="CY20" s="345"/>
      <c r="CZ20" s="345"/>
      <c r="DA20" s="345"/>
      <c r="DB20" s="345"/>
      <c r="DC20" s="345"/>
      <c r="DD20" s="345"/>
      <c r="DE20" s="345"/>
      <c r="DF20" s="345"/>
      <c r="DG20" s="345"/>
      <c r="DH20" s="345"/>
      <c r="DI20" s="345"/>
      <c r="DJ20" s="345"/>
      <c r="DK20" s="345"/>
      <c r="DL20" s="345"/>
      <c r="DM20" s="345"/>
      <c r="DN20" s="345"/>
      <c r="DO20" s="345"/>
      <c r="DP20" s="345"/>
      <c r="DQ20" s="345"/>
      <c r="DR20" s="345"/>
      <c r="DS20" s="345"/>
      <c r="DT20" s="345"/>
      <c r="DU20" s="345"/>
      <c r="DV20" s="345"/>
      <c r="DW20" s="345"/>
      <c r="DX20" s="345"/>
      <c r="DY20" s="345"/>
      <c r="DZ20" s="345"/>
      <c r="EA20" s="345"/>
    </row>
    <row r="21" spans="1:131" ht="15.95" customHeight="1">
      <c r="A21" s="345"/>
      <c r="B21" s="345"/>
      <c r="C21" s="2447"/>
      <c r="D21" s="5887"/>
      <c r="E21" s="2478" t="s">
        <v>1</v>
      </c>
      <c r="F21" s="6164" t="s">
        <v>1465</v>
      </c>
      <c r="G21" s="6165"/>
      <c r="H21" s="6165"/>
      <c r="I21" s="6166"/>
      <c r="J21" s="2596" t="s">
        <v>1470</v>
      </c>
      <c r="K21" s="2451" t="s">
        <v>5</v>
      </c>
      <c r="L21" s="6036">
        <f>'Anexure-I'!M41</f>
        <v>1503534</v>
      </c>
      <c r="M21" s="6040"/>
      <c r="N21" s="6071"/>
      <c r="O21" s="6072"/>
      <c r="P21" s="6072"/>
      <c r="Q21" s="6073"/>
      <c r="R21" s="1827"/>
      <c r="S21" s="1827"/>
      <c r="T21" s="1827"/>
      <c r="U21" s="1827"/>
      <c r="V21" s="1827"/>
      <c r="W21" s="1827"/>
      <c r="X21" s="345"/>
      <c r="Y21" s="345"/>
      <c r="Z21" s="345"/>
      <c r="AA21" s="345"/>
      <c r="AB21" s="345"/>
      <c r="AC21" s="345"/>
      <c r="AD21" s="345"/>
      <c r="AE21" s="345"/>
      <c r="AF21" s="345"/>
      <c r="AG21" s="345"/>
      <c r="AH21" s="345"/>
      <c r="AI21" s="345"/>
      <c r="AJ21" s="345"/>
      <c r="AK21" s="345"/>
      <c r="AL21" s="345"/>
      <c r="AM21" s="345"/>
      <c r="AN21" s="345"/>
      <c r="AO21" s="345"/>
      <c r="AP21" s="345"/>
      <c r="AQ21" s="345"/>
      <c r="AR21" s="345"/>
      <c r="AS21" s="345"/>
      <c r="AT21" s="345"/>
      <c r="AU21" s="345"/>
      <c r="AV21" s="345"/>
      <c r="AW21" s="345"/>
      <c r="AX21" s="345"/>
      <c r="AY21" s="345"/>
      <c r="AZ21" s="345"/>
      <c r="BA21" s="345"/>
      <c r="BB21" s="345"/>
      <c r="BC21" s="345"/>
      <c r="BD21" s="345"/>
      <c r="BE21" s="345"/>
      <c r="BF21" s="345"/>
      <c r="BG21" s="345"/>
      <c r="BH21" s="345"/>
      <c r="BI21" s="345"/>
      <c r="BJ21" s="345"/>
      <c r="BK21" s="345"/>
      <c r="BL21" s="345"/>
      <c r="BM21" s="345"/>
      <c r="BN21" s="345"/>
      <c r="BO21" s="345"/>
      <c r="BP21" s="345"/>
      <c r="BQ21" s="345"/>
      <c r="BR21" s="345"/>
      <c r="BS21" s="345"/>
      <c r="BT21" s="345"/>
      <c r="BU21" s="345"/>
      <c r="BV21" s="345"/>
      <c r="BW21" s="345"/>
      <c r="BX21" s="345"/>
      <c r="BY21" s="345"/>
      <c r="BZ21" s="345"/>
      <c r="CA21" s="345"/>
      <c r="CB21" s="345"/>
      <c r="CC21" s="345"/>
      <c r="CD21" s="345"/>
      <c r="CE21" s="345"/>
      <c r="CF21" s="345"/>
      <c r="CG21" s="345"/>
      <c r="CH21" s="345"/>
      <c r="CI21" s="345"/>
      <c r="CJ21" s="345"/>
      <c r="CK21" s="345"/>
      <c r="CL21" s="345"/>
      <c r="CM21" s="345"/>
      <c r="CN21" s="345"/>
      <c r="CO21" s="345"/>
      <c r="CP21" s="345"/>
      <c r="CQ21" s="345"/>
      <c r="CR21" s="345"/>
      <c r="CS21" s="345"/>
      <c r="CT21" s="345"/>
      <c r="CU21" s="345"/>
      <c r="CV21" s="345"/>
      <c r="CW21" s="345"/>
      <c r="CX21" s="345"/>
      <c r="CY21" s="345"/>
      <c r="CZ21" s="345"/>
      <c r="DA21" s="345"/>
      <c r="DB21" s="345"/>
      <c r="DC21" s="345"/>
      <c r="DD21" s="345"/>
      <c r="DE21" s="345"/>
      <c r="DF21" s="345"/>
      <c r="DG21" s="345"/>
      <c r="DH21" s="345"/>
      <c r="DI21" s="345"/>
      <c r="DJ21" s="345"/>
      <c r="DK21" s="345"/>
      <c r="DL21" s="345"/>
      <c r="DM21" s="345"/>
      <c r="DN21" s="345"/>
      <c r="DO21" s="345"/>
      <c r="DP21" s="345"/>
      <c r="DQ21" s="345"/>
      <c r="DR21" s="345"/>
      <c r="DS21" s="345"/>
      <c r="DT21" s="345"/>
      <c r="DU21" s="345"/>
      <c r="DV21" s="345"/>
      <c r="DW21" s="345"/>
      <c r="DX21" s="345"/>
      <c r="DY21" s="345"/>
      <c r="DZ21" s="345"/>
      <c r="EA21" s="345"/>
    </row>
    <row r="22" spans="1:131" ht="15.95" customHeight="1">
      <c r="A22" s="345"/>
      <c r="B22" s="345"/>
      <c r="C22" s="2447"/>
      <c r="D22" s="6169"/>
      <c r="E22" s="2478" t="s">
        <v>2</v>
      </c>
      <c r="F22" s="6164" t="s">
        <v>961</v>
      </c>
      <c r="G22" s="6165"/>
      <c r="H22" s="6165"/>
      <c r="I22" s="6166"/>
      <c r="J22" s="2508" t="s">
        <v>1471</v>
      </c>
      <c r="K22" s="2451" t="s">
        <v>5</v>
      </c>
      <c r="L22" s="6167">
        <v>0</v>
      </c>
      <c r="M22" s="6168"/>
      <c r="N22" s="6074"/>
      <c r="O22" s="6075"/>
      <c r="P22" s="6075"/>
      <c r="Q22" s="6076"/>
      <c r="R22" s="1827"/>
      <c r="S22" s="1827"/>
      <c r="T22" s="1827"/>
      <c r="U22" s="1827"/>
      <c r="V22" s="1827"/>
      <c r="W22" s="1827"/>
      <c r="X22" s="345"/>
      <c r="Y22" s="345"/>
      <c r="Z22" s="345"/>
      <c r="AA22" s="345"/>
      <c r="AB22" s="345"/>
      <c r="AC22" s="345"/>
      <c r="AD22" s="345"/>
      <c r="AE22" s="345"/>
      <c r="AF22" s="345"/>
      <c r="AG22" s="345"/>
      <c r="AH22" s="345"/>
      <c r="AI22" s="345"/>
      <c r="AJ22" s="345"/>
      <c r="AK22" s="345"/>
      <c r="AL22" s="345"/>
      <c r="AM22" s="345"/>
      <c r="AN22" s="345"/>
      <c r="AO22" s="345"/>
      <c r="AP22" s="345"/>
      <c r="AQ22" s="345"/>
      <c r="AR22" s="345"/>
      <c r="AS22" s="345"/>
      <c r="AT22" s="345"/>
      <c r="AU22" s="345"/>
      <c r="AV22" s="345"/>
      <c r="AW22" s="345"/>
      <c r="AX22" s="345"/>
      <c r="AY22" s="345"/>
      <c r="AZ22" s="345"/>
      <c r="BA22" s="345"/>
      <c r="BB22" s="345"/>
      <c r="BC22" s="345"/>
      <c r="BD22" s="345"/>
      <c r="BE22" s="345"/>
      <c r="BF22" s="345"/>
      <c r="BG22" s="345"/>
      <c r="BH22" s="345"/>
      <c r="BI22" s="345"/>
      <c r="BJ22" s="345"/>
      <c r="BK22" s="345"/>
      <c r="BL22" s="345"/>
      <c r="BM22" s="345"/>
      <c r="BN22" s="345"/>
      <c r="BO22" s="345"/>
      <c r="BP22" s="345"/>
      <c r="BQ22" s="345"/>
      <c r="BR22" s="345"/>
      <c r="BS22" s="345"/>
      <c r="BT22" s="345"/>
      <c r="BU22" s="345"/>
      <c r="BV22" s="345"/>
      <c r="BW22" s="345"/>
      <c r="BX22" s="345"/>
      <c r="BY22" s="345"/>
      <c r="BZ22" s="345"/>
      <c r="CA22" s="345"/>
      <c r="CB22" s="345"/>
      <c r="CC22" s="345"/>
      <c r="CD22" s="345"/>
      <c r="CE22" s="345"/>
      <c r="CF22" s="345"/>
      <c r="CG22" s="345"/>
      <c r="CH22" s="345"/>
      <c r="CI22" s="345"/>
      <c r="CJ22" s="345"/>
      <c r="CK22" s="345"/>
      <c r="CL22" s="345"/>
      <c r="CM22" s="345"/>
      <c r="CN22" s="345"/>
      <c r="CO22" s="345"/>
      <c r="CP22" s="345"/>
      <c r="CQ22" s="345"/>
      <c r="CR22" s="345"/>
      <c r="CS22" s="345"/>
      <c r="CT22" s="345"/>
      <c r="CU22" s="345"/>
      <c r="CV22" s="345"/>
      <c r="CW22" s="345"/>
      <c r="CX22" s="345"/>
      <c r="CY22" s="345"/>
      <c r="CZ22" s="345"/>
      <c r="DA22" s="345"/>
      <c r="DB22" s="345"/>
      <c r="DC22" s="345"/>
      <c r="DD22" s="345"/>
      <c r="DE22" s="345"/>
      <c r="DF22" s="345"/>
      <c r="DG22" s="345"/>
      <c r="DH22" s="345"/>
      <c r="DI22" s="345"/>
      <c r="DJ22" s="345"/>
      <c r="DK22" s="345"/>
      <c r="DL22" s="345"/>
      <c r="DM22" s="345"/>
      <c r="DN22" s="345"/>
      <c r="DO22" s="345"/>
      <c r="DP22" s="345"/>
      <c r="DQ22" s="345"/>
      <c r="DR22" s="345"/>
      <c r="DS22" s="345"/>
      <c r="DT22" s="345"/>
      <c r="DU22" s="345"/>
      <c r="DV22" s="345"/>
      <c r="DW22" s="345"/>
      <c r="DX22" s="345"/>
      <c r="DY22" s="345"/>
      <c r="DZ22" s="345"/>
      <c r="EA22" s="345"/>
    </row>
    <row r="23" spans="1:131" ht="15.95" customHeight="1">
      <c r="A23" s="345"/>
      <c r="B23" s="345"/>
      <c r="C23" s="2447"/>
      <c r="D23" s="6169"/>
      <c r="E23" s="2478" t="s">
        <v>3</v>
      </c>
      <c r="F23" s="6164" t="s">
        <v>1467</v>
      </c>
      <c r="G23" s="6165"/>
      <c r="H23" s="6165"/>
      <c r="I23" s="6166"/>
      <c r="J23" s="2508" t="s">
        <v>1472</v>
      </c>
      <c r="K23" s="2451" t="s">
        <v>5</v>
      </c>
      <c r="L23" s="6167">
        <v>0</v>
      </c>
      <c r="M23" s="6168"/>
      <c r="N23" s="6074"/>
      <c r="O23" s="6075"/>
      <c r="P23" s="6075"/>
      <c r="Q23" s="6076"/>
      <c r="R23" s="1827"/>
      <c r="S23" s="1827"/>
      <c r="T23" s="1827"/>
      <c r="U23" s="1827"/>
      <c r="V23" s="1827"/>
      <c r="W23" s="1827"/>
      <c r="X23" s="345"/>
      <c r="Y23" s="345"/>
      <c r="Z23" s="345"/>
      <c r="AA23" s="345"/>
      <c r="AB23" s="345"/>
      <c r="AC23" s="345"/>
      <c r="AD23" s="345"/>
      <c r="AE23" s="345"/>
      <c r="AF23" s="345"/>
      <c r="AG23" s="345"/>
      <c r="AH23" s="345"/>
      <c r="AI23" s="345"/>
      <c r="AJ23" s="345"/>
      <c r="AK23" s="345"/>
      <c r="AL23" s="345"/>
      <c r="AM23" s="345"/>
      <c r="AN23" s="345"/>
      <c r="AO23" s="345"/>
      <c r="AP23" s="345"/>
      <c r="AQ23" s="345"/>
      <c r="AR23" s="345"/>
      <c r="AS23" s="345"/>
      <c r="AT23" s="345"/>
      <c r="AU23" s="345"/>
      <c r="AV23" s="345"/>
      <c r="AW23" s="345"/>
      <c r="AX23" s="345"/>
      <c r="AY23" s="345"/>
      <c r="AZ23" s="345"/>
      <c r="BA23" s="345"/>
      <c r="BB23" s="345"/>
      <c r="BC23" s="345"/>
      <c r="BD23" s="345"/>
      <c r="BE23" s="345"/>
      <c r="BF23" s="345"/>
      <c r="BG23" s="345"/>
      <c r="BH23" s="345"/>
      <c r="BI23" s="345"/>
      <c r="BJ23" s="345"/>
      <c r="BK23" s="345"/>
      <c r="BL23" s="345"/>
      <c r="BM23" s="345"/>
      <c r="BN23" s="345"/>
      <c r="BO23" s="345"/>
      <c r="BP23" s="345"/>
      <c r="BQ23" s="345"/>
      <c r="BR23" s="345"/>
      <c r="BS23" s="345"/>
      <c r="BT23" s="345"/>
      <c r="BU23" s="345"/>
      <c r="BV23" s="345"/>
      <c r="BW23" s="345"/>
      <c r="BX23" s="345"/>
      <c r="BY23" s="345"/>
      <c r="BZ23" s="345"/>
      <c r="CA23" s="345"/>
      <c r="CB23" s="345"/>
      <c r="CC23" s="345"/>
      <c r="CD23" s="345"/>
      <c r="CE23" s="345"/>
      <c r="CF23" s="345"/>
      <c r="CG23" s="345"/>
      <c r="CH23" s="345"/>
      <c r="CI23" s="345"/>
      <c r="CJ23" s="345"/>
      <c r="CK23" s="345"/>
      <c r="CL23" s="345"/>
      <c r="CM23" s="345"/>
      <c r="CN23" s="345"/>
      <c r="CO23" s="345"/>
      <c r="CP23" s="345"/>
      <c r="CQ23" s="345"/>
      <c r="CR23" s="345"/>
      <c r="CS23" s="345"/>
      <c r="CT23" s="345"/>
      <c r="CU23" s="345"/>
      <c r="CV23" s="345"/>
      <c r="CW23" s="345"/>
      <c r="CX23" s="345"/>
      <c r="CY23" s="345"/>
      <c r="CZ23" s="345"/>
      <c r="DA23" s="345"/>
      <c r="DB23" s="345"/>
      <c r="DC23" s="345"/>
      <c r="DD23" s="345"/>
      <c r="DE23" s="345"/>
      <c r="DF23" s="345"/>
      <c r="DG23" s="345"/>
      <c r="DH23" s="345"/>
      <c r="DI23" s="345"/>
      <c r="DJ23" s="345"/>
      <c r="DK23" s="345"/>
      <c r="DL23" s="345"/>
      <c r="DM23" s="345"/>
      <c r="DN23" s="345"/>
      <c r="DO23" s="345"/>
      <c r="DP23" s="345"/>
      <c r="DQ23" s="345"/>
      <c r="DR23" s="345"/>
      <c r="DS23" s="345"/>
      <c r="DT23" s="345"/>
      <c r="DU23" s="345"/>
      <c r="DV23" s="345"/>
      <c r="DW23" s="345"/>
      <c r="DX23" s="345"/>
      <c r="DY23" s="345"/>
      <c r="DZ23" s="345"/>
      <c r="EA23" s="345"/>
    </row>
    <row r="24" spans="1:131" ht="15.95" customHeight="1">
      <c r="A24" s="345"/>
      <c r="B24" s="345"/>
      <c r="C24" s="2447"/>
      <c r="D24" s="6169"/>
      <c r="E24" s="6181" t="s">
        <v>4</v>
      </c>
      <c r="F24" s="6171" t="s">
        <v>1468</v>
      </c>
      <c r="G24" s="6172"/>
      <c r="H24" s="6172"/>
      <c r="I24" s="6173"/>
      <c r="J24" s="5821" t="s">
        <v>1473</v>
      </c>
      <c r="K24" s="6025" t="s">
        <v>5</v>
      </c>
      <c r="L24" s="6177">
        <v>0</v>
      </c>
      <c r="M24" s="6178"/>
      <c r="N24" s="6074"/>
      <c r="O24" s="6075"/>
      <c r="P24" s="6075"/>
      <c r="Q24" s="6076"/>
      <c r="R24" s="1827"/>
      <c r="S24" s="1827"/>
      <c r="T24" s="1827"/>
      <c r="U24" s="1827"/>
      <c r="V24" s="1827"/>
      <c r="W24" s="1827"/>
      <c r="X24" s="345"/>
      <c r="Y24" s="345"/>
      <c r="Z24" s="345"/>
      <c r="AA24" s="345"/>
      <c r="AB24" s="345"/>
      <c r="AC24" s="345"/>
      <c r="AD24" s="345"/>
      <c r="AE24" s="345"/>
      <c r="AF24" s="345"/>
      <c r="AG24" s="345"/>
      <c r="AH24" s="345"/>
      <c r="AI24" s="345"/>
      <c r="AJ24" s="345"/>
      <c r="AK24" s="345"/>
      <c r="AL24" s="345"/>
      <c r="AM24" s="345"/>
      <c r="AN24" s="345"/>
      <c r="AO24" s="345"/>
      <c r="AP24" s="345"/>
      <c r="AQ24" s="345"/>
      <c r="AR24" s="345"/>
      <c r="AS24" s="345"/>
      <c r="AT24" s="345"/>
      <c r="AU24" s="345"/>
      <c r="AV24" s="345"/>
      <c r="AW24" s="345"/>
      <c r="AX24" s="345"/>
      <c r="AY24" s="345"/>
      <c r="AZ24" s="345"/>
      <c r="BA24" s="345"/>
      <c r="BB24" s="345"/>
      <c r="BC24" s="345"/>
      <c r="BD24" s="345"/>
      <c r="BE24" s="345"/>
      <c r="BF24" s="345"/>
      <c r="BG24" s="345"/>
      <c r="BH24" s="345"/>
      <c r="BI24" s="345"/>
      <c r="BJ24" s="345"/>
      <c r="BK24" s="345"/>
      <c r="BL24" s="345"/>
      <c r="BM24" s="345"/>
      <c r="BN24" s="345"/>
      <c r="BO24" s="345"/>
      <c r="BP24" s="345"/>
      <c r="BQ24" s="345"/>
      <c r="BR24" s="345"/>
      <c r="BS24" s="345"/>
      <c r="BT24" s="345"/>
      <c r="BU24" s="345"/>
      <c r="BV24" s="345"/>
      <c r="BW24" s="345"/>
      <c r="BX24" s="345"/>
      <c r="BY24" s="345"/>
      <c r="BZ24" s="345"/>
      <c r="CA24" s="345"/>
      <c r="CB24" s="345"/>
      <c r="CC24" s="345"/>
      <c r="CD24" s="345"/>
      <c r="CE24" s="345"/>
      <c r="CF24" s="345"/>
      <c r="CG24" s="345"/>
      <c r="CH24" s="345"/>
      <c r="CI24" s="345"/>
      <c r="CJ24" s="345"/>
      <c r="CK24" s="345"/>
      <c r="CL24" s="345"/>
      <c r="CM24" s="345"/>
      <c r="CN24" s="345"/>
      <c r="CO24" s="345"/>
      <c r="CP24" s="345"/>
      <c r="CQ24" s="345"/>
      <c r="CR24" s="345"/>
      <c r="CS24" s="345"/>
      <c r="CT24" s="345"/>
      <c r="CU24" s="345"/>
      <c r="CV24" s="345"/>
      <c r="CW24" s="345"/>
      <c r="CX24" s="345"/>
      <c r="CY24" s="345"/>
      <c r="CZ24" s="345"/>
      <c r="DA24" s="345"/>
      <c r="DB24" s="345"/>
      <c r="DC24" s="345"/>
      <c r="DD24" s="345"/>
      <c r="DE24" s="345"/>
      <c r="DF24" s="345"/>
      <c r="DG24" s="345"/>
      <c r="DH24" s="345"/>
      <c r="DI24" s="345"/>
      <c r="DJ24" s="345"/>
      <c r="DK24" s="345"/>
      <c r="DL24" s="345"/>
      <c r="DM24" s="345"/>
      <c r="DN24" s="345"/>
      <c r="DO24" s="345"/>
      <c r="DP24" s="345"/>
      <c r="DQ24" s="345"/>
      <c r="DR24" s="345"/>
      <c r="DS24" s="345"/>
      <c r="DT24" s="345"/>
      <c r="DU24" s="345"/>
      <c r="DV24" s="345"/>
      <c r="DW24" s="345"/>
      <c r="DX24" s="345"/>
      <c r="DY24" s="345"/>
      <c r="DZ24" s="345"/>
      <c r="EA24" s="345"/>
    </row>
    <row r="25" spans="1:131" ht="15.95" customHeight="1">
      <c r="A25" s="345"/>
      <c r="B25" s="345"/>
      <c r="C25" s="2447"/>
      <c r="D25" s="6169"/>
      <c r="E25" s="6181"/>
      <c r="F25" s="6174"/>
      <c r="G25" s="6175"/>
      <c r="H25" s="6175"/>
      <c r="I25" s="6176"/>
      <c r="J25" s="5821"/>
      <c r="K25" s="6025"/>
      <c r="L25" s="6179"/>
      <c r="M25" s="6180"/>
      <c r="N25" s="6074"/>
      <c r="O25" s="6075"/>
      <c r="P25" s="6075"/>
      <c r="Q25" s="6076"/>
      <c r="R25" s="1827"/>
      <c r="S25" s="1827"/>
      <c r="T25" s="1827"/>
      <c r="U25" s="1827"/>
      <c r="V25" s="1827"/>
      <c r="W25" s="1827"/>
      <c r="X25" s="345"/>
      <c r="Y25" s="345"/>
      <c r="Z25" s="345"/>
      <c r="AA25" s="345"/>
      <c r="AB25" s="345"/>
      <c r="AC25" s="345"/>
      <c r="AD25" s="345"/>
      <c r="AE25" s="345"/>
      <c r="AF25" s="345"/>
      <c r="AG25" s="345"/>
      <c r="AH25" s="345"/>
      <c r="AI25" s="345"/>
      <c r="AJ25" s="345"/>
      <c r="AK25" s="345"/>
      <c r="AL25" s="345"/>
      <c r="AM25" s="345"/>
      <c r="AN25" s="345"/>
      <c r="AO25" s="345"/>
      <c r="AP25" s="345"/>
      <c r="AQ25" s="345"/>
      <c r="AR25" s="345"/>
      <c r="AS25" s="345"/>
      <c r="AT25" s="345"/>
      <c r="AU25" s="345"/>
      <c r="AV25" s="345"/>
      <c r="AW25" s="345"/>
      <c r="AX25" s="345"/>
      <c r="AY25" s="345"/>
      <c r="AZ25" s="345"/>
      <c r="BA25" s="345"/>
      <c r="BB25" s="345"/>
      <c r="BC25" s="345"/>
      <c r="BD25" s="345"/>
      <c r="BE25" s="345"/>
      <c r="BF25" s="345"/>
      <c r="BG25" s="345"/>
      <c r="BH25" s="345"/>
      <c r="BI25" s="345"/>
      <c r="BJ25" s="345"/>
      <c r="BK25" s="345"/>
      <c r="BL25" s="345"/>
      <c r="BM25" s="345"/>
      <c r="BN25" s="345"/>
      <c r="BO25" s="345"/>
      <c r="BP25" s="345"/>
      <c r="BQ25" s="345"/>
      <c r="BR25" s="345"/>
      <c r="BS25" s="345"/>
      <c r="BT25" s="345"/>
      <c r="BU25" s="345"/>
      <c r="BV25" s="345"/>
      <c r="BW25" s="345"/>
      <c r="BX25" s="345"/>
      <c r="BY25" s="345"/>
      <c r="BZ25" s="345"/>
      <c r="CA25" s="345"/>
      <c r="CB25" s="345"/>
      <c r="CC25" s="345"/>
      <c r="CD25" s="345"/>
      <c r="CE25" s="345"/>
      <c r="CF25" s="345"/>
      <c r="CG25" s="345"/>
      <c r="CH25" s="345"/>
      <c r="CI25" s="345"/>
      <c r="CJ25" s="345"/>
      <c r="CK25" s="345"/>
      <c r="CL25" s="345"/>
      <c r="CM25" s="345"/>
      <c r="CN25" s="345"/>
      <c r="CO25" s="345"/>
      <c r="CP25" s="345"/>
      <c r="CQ25" s="345"/>
      <c r="CR25" s="345"/>
      <c r="CS25" s="345"/>
      <c r="CT25" s="345"/>
      <c r="CU25" s="345"/>
      <c r="CV25" s="345"/>
      <c r="CW25" s="345"/>
      <c r="CX25" s="345"/>
      <c r="CY25" s="345"/>
      <c r="CZ25" s="345"/>
      <c r="DA25" s="345"/>
      <c r="DB25" s="345"/>
      <c r="DC25" s="345"/>
      <c r="DD25" s="345"/>
      <c r="DE25" s="345"/>
      <c r="DF25" s="345"/>
      <c r="DG25" s="345"/>
      <c r="DH25" s="345"/>
      <c r="DI25" s="345"/>
      <c r="DJ25" s="345"/>
      <c r="DK25" s="345"/>
      <c r="DL25" s="345"/>
      <c r="DM25" s="345"/>
      <c r="DN25" s="345"/>
      <c r="DO25" s="345"/>
      <c r="DP25" s="345"/>
      <c r="DQ25" s="345"/>
      <c r="DR25" s="345"/>
      <c r="DS25" s="345"/>
      <c r="DT25" s="345"/>
      <c r="DU25" s="345"/>
      <c r="DV25" s="345"/>
      <c r="DW25" s="345"/>
      <c r="DX25" s="345"/>
      <c r="DY25" s="345"/>
      <c r="DZ25" s="345"/>
      <c r="EA25" s="345"/>
    </row>
    <row r="26" spans="1:131" ht="15.95" customHeight="1">
      <c r="A26" s="345"/>
      <c r="B26" s="345"/>
      <c r="C26" s="2447"/>
      <c r="D26" s="6169"/>
      <c r="E26" s="6181" t="s">
        <v>278</v>
      </c>
      <c r="F26" s="6171" t="s">
        <v>1469</v>
      </c>
      <c r="G26" s="6172"/>
      <c r="H26" s="6172"/>
      <c r="I26" s="6173"/>
      <c r="J26" s="5821" t="s">
        <v>1474</v>
      </c>
      <c r="K26" s="6025" t="s">
        <v>5</v>
      </c>
      <c r="L26" s="6177">
        <v>0</v>
      </c>
      <c r="M26" s="6178"/>
      <c r="N26" s="6074"/>
      <c r="O26" s="6075"/>
      <c r="P26" s="6075"/>
      <c r="Q26" s="6076"/>
      <c r="R26" s="1827"/>
      <c r="S26" s="1827"/>
      <c r="T26" s="1827"/>
      <c r="U26" s="1827"/>
      <c r="V26" s="1827"/>
      <c r="W26" s="1827"/>
      <c r="X26" s="345"/>
      <c r="Y26" s="345"/>
      <c r="Z26" s="345"/>
      <c r="AA26" s="345"/>
      <c r="AB26" s="345"/>
      <c r="AC26" s="345"/>
      <c r="AD26" s="345"/>
      <c r="AE26" s="345"/>
      <c r="AF26" s="345"/>
      <c r="AG26" s="345"/>
      <c r="AH26" s="345"/>
      <c r="AI26" s="345"/>
      <c r="AJ26" s="345"/>
      <c r="AK26" s="345"/>
      <c r="AL26" s="345"/>
      <c r="AM26" s="345"/>
      <c r="AN26" s="345"/>
      <c r="AO26" s="345"/>
      <c r="AP26" s="345"/>
      <c r="AQ26" s="345"/>
      <c r="AR26" s="345"/>
      <c r="AS26" s="345"/>
      <c r="AT26" s="345"/>
      <c r="AU26" s="345"/>
      <c r="AV26" s="345"/>
      <c r="AW26" s="345"/>
      <c r="AX26" s="345"/>
      <c r="AY26" s="345"/>
      <c r="AZ26" s="345"/>
      <c r="BA26" s="345"/>
      <c r="BB26" s="345"/>
      <c r="BC26" s="345"/>
      <c r="BD26" s="345"/>
      <c r="BE26" s="345"/>
      <c r="BF26" s="345"/>
      <c r="BG26" s="345"/>
      <c r="BH26" s="345"/>
      <c r="BI26" s="345"/>
      <c r="BJ26" s="345"/>
      <c r="BK26" s="345"/>
      <c r="BL26" s="345"/>
      <c r="BM26" s="345"/>
      <c r="BN26" s="345"/>
      <c r="BO26" s="345"/>
      <c r="BP26" s="345"/>
      <c r="BQ26" s="345"/>
      <c r="BR26" s="345"/>
      <c r="BS26" s="345"/>
      <c r="BT26" s="345"/>
      <c r="BU26" s="345"/>
      <c r="BV26" s="345"/>
      <c r="BW26" s="345"/>
      <c r="BX26" s="345"/>
      <c r="BY26" s="345"/>
      <c r="BZ26" s="345"/>
      <c r="CA26" s="345"/>
      <c r="CB26" s="345"/>
      <c r="CC26" s="345"/>
      <c r="CD26" s="345"/>
      <c r="CE26" s="345"/>
      <c r="CF26" s="345"/>
      <c r="CG26" s="345"/>
      <c r="CH26" s="345"/>
      <c r="CI26" s="345"/>
      <c r="CJ26" s="345"/>
      <c r="CK26" s="345"/>
      <c r="CL26" s="345"/>
      <c r="CM26" s="345"/>
      <c r="CN26" s="345"/>
      <c r="CO26" s="345"/>
      <c r="CP26" s="345"/>
      <c r="CQ26" s="345"/>
      <c r="CR26" s="345"/>
      <c r="CS26" s="345"/>
      <c r="CT26" s="345"/>
      <c r="CU26" s="345"/>
      <c r="CV26" s="345"/>
      <c r="CW26" s="345"/>
      <c r="CX26" s="345"/>
      <c r="CY26" s="345"/>
      <c r="CZ26" s="345"/>
      <c r="DA26" s="345"/>
      <c r="DB26" s="345"/>
      <c r="DC26" s="345"/>
      <c r="DD26" s="345"/>
      <c r="DE26" s="345"/>
      <c r="DF26" s="345"/>
      <c r="DG26" s="345"/>
      <c r="DH26" s="345"/>
      <c r="DI26" s="345"/>
      <c r="DJ26" s="345"/>
      <c r="DK26" s="345"/>
      <c r="DL26" s="345"/>
      <c r="DM26" s="345"/>
      <c r="DN26" s="345"/>
      <c r="DO26" s="345"/>
      <c r="DP26" s="345"/>
      <c r="DQ26" s="345"/>
      <c r="DR26" s="345"/>
      <c r="DS26" s="345"/>
      <c r="DT26" s="345"/>
      <c r="DU26" s="345"/>
      <c r="DV26" s="345"/>
      <c r="DW26" s="345"/>
      <c r="DX26" s="345"/>
      <c r="DY26" s="345"/>
      <c r="DZ26" s="345"/>
      <c r="EA26" s="345"/>
    </row>
    <row r="27" spans="1:131" ht="15.95" customHeight="1">
      <c r="A27" s="345"/>
      <c r="B27" s="345"/>
      <c r="C27" s="2447"/>
      <c r="D27" s="6170"/>
      <c r="E27" s="6181"/>
      <c r="F27" s="6174"/>
      <c r="G27" s="6175"/>
      <c r="H27" s="6175"/>
      <c r="I27" s="6176"/>
      <c r="J27" s="5821"/>
      <c r="K27" s="6025"/>
      <c r="L27" s="6179"/>
      <c r="M27" s="6180"/>
      <c r="N27" s="6077"/>
      <c r="O27" s="6078"/>
      <c r="P27" s="6078"/>
      <c r="Q27" s="6079"/>
      <c r="R27" s="1827"/>
      <c r="S27" s="1827"/>
      <c r="T27" s="1827"/>
      <c r="U27" s="1827"/>
      <c r="V27" s="1827"/>
      <c r="W27" s="1827"/>
      <c r="X27" s="345"/>
      <c r="Y27" s="345"/>
      <c r="Z27" s="345"/>
      <c r="AA27" s="345"/>
      <c r="AB27" s="345"/>
      <c r="AC27" s="345"/>
      <c r="AD27" s="345"/>
      <c r="AE27" s="345"/>
      <c r="AF27" s="345"/>
      <c r="AG27" s="345"/>
      <c r="AH27" s="345"/>
      <c r="AI27" s="345"/>
      <c r="AJ27" s="345"/>
      <c r="AK27" s="345"/>
      <c r="AL27" s="345"/>
      <c r="AM27" s="345"/>
      <c r="AN27" s="345"/>
      <c r="AO27" s="345"/>
      <c r="AP27" s="345"/>
      <c r="AQ27" s="345"/>
      <c r="AR27" s="345"/>
      <c r="AS27" s="345"/>
      <c r="AT27" s="345"/>
      <c r="AU27" s="345"/>
      <c r="AV27" s="345"/>
      <c r="AW27" s="345"/>
      <c r="AX27" s="345"/>
      <c r="AY27" s="345"/>
      <c r="AZ27" s="345"/>
      <c r="BA27" s="345"/>
      <c r="BB27" s="345"/>
      <c r="BC27" s="345"/>
      <c r="BD27" s="345"/>
      <c r="BE27" s="345"/>
      <c r="BF27" s="345"/>
      <c r="BG27" s="345"/>
      <c r="BH27" s="345"/>
      <c r="BI27" s="345"/>
      <c r="BJ27" s="345"/>
      <c r="BK27" s="345"/>
      <c r="BL27" s="345"/>
      <c r="BM27" s="345"/>
      <c r="BN27" s="345"/>
      <c r="BO27" s="345"/>
      <c r="BP27" s="345"/>
      <c r="BQ27" s="345"/>
      <c r="BR27" s="345"/>
      <c r="BS27" s="345"/>
      <c r="BT27" s="345"/>
      <c r="BU27" s="345"/>
      <c r="BV27" s="345"/>
      <c r="BW27" s="345"/>
      <c r="BX27" s="345"/>
      <c r="BY27" s="345"/>
      <c r="BZ27" s="345"/>
      <c r="CA27" s="345"/>
      <c r="CB27" s="345"/>
      <c r="CC27" s="345"/>
      <c r="CD27" s="345"/>
      <c r="CE27" s="345"/>
      <c r="CF27" s="345"/>
      <c r="CG27" s="345"/>
      <c r="CH27" s="345"/>
      <c r="CI27" s="345"/>
      <c r="CJ27" s="345"/>
      <c r="CK27" s="345"/>
      <c r="CL27" s="345"/>
      <c r="CM27" s="345"/>
      <c r="CN27" s="345"/>
      <c r="CO27" s="345"/>
      <c r="CP27" s="345"/>
      <c r="CQ27" s="345"/>
      <c r="CR27" s="345"/>
      <c r="CS27" s="345"/>
      <c r="CT27" s="345"/>
      <c r="CU27" s="345"/>
      <c r="CV27" s="345"/>
      <c r="CW27" s="345"/>
      <c r="CX27" s="345"/>
      <c r="CY27" s="345"/>
      <c r="CZ27" s="345"/>
      <c r="DA27" s="345"/>
      <c r="DB27" s="345"/>
      <c r="DC27" s="345"/>
      <c r="DD27" s="345"/>
      <c r="DE27" s="345"/>
      <c r="DF27" s="345"/>
      <c r="DG27" s="345"/>
      <c r="DH27" s="345"/>
      <c r="DI27" s="345"/>
      <c r="DJ27" s="345"/>
      <c r="DK27" s="345"/>
      <c r="DL27" s="345"/>
      <c r="DM27" s="345"/>
      <c r="DN27" s="345"/>
      <c r="DO27" s="345"/>
      <c r="DP27" s="345"/>
      <c r="DQ27" s="345"/>
      <c r="DR27" s="345"/>
      <c r="DS27" s="345"/>
      <c r="DT27" s="345"/>
      <c r="DU27" s="345"/>
      <c r="DV27" s="345"/>
      <c r="DW27" s="345"/>
      <c r="DX27" s="345"/>
      <c r="DY27" s="345"/>
      <c r="DZ27" s="345"/>
      <c r="EA27" s="345"/>
    </row>
    <row r="28" spans="1:131" ht="15.95" customHeight="1">
      <c r="A28" s="345"/>
      <c r="B28" s="345"/>
      <c r="C28" s="2447"/>
      <c r="D28" s="2598" t="s">
        <v>1475</v>
      </c>
      <c r="E28" s="2603"/>
      <c r="F28" s="6009" t="s">
        <v>1561</v>
      </c>
      <c r="G28" s="6009"/>
      <c r="H28" s="6009"/>
      <c r="I28" s="6009"/>
      <c r="J28" s="6009"/>
      <c r="K28" s="6009"/>
      <c r="L28" s="5953" t="s">
        <v>1560</v>
      </c>
      <c r="M28" s="6040"/>
      <c r="N28" s="2599" t="s">
        <v>1475</v>
      </c>
      <c r="O28" s="2513" t="s">
        <v>5</v>
      </c>
      <c r="P28" s="6036">
        <f>SUM(M29+M31)</f>
        <v>89334</v>
      </c>
      <c r="Q28" s="6037"/>
      <c r="R28" s="1827"/>
      <c r="S28" s="1827"/>
      <c r="T28" s="1827"/>
      <c r="U28" s="1827"/>
      <c r="V28" s="1827"/>
      <c r="W28" s="1827"/>
      <c r="X28" s="345"/>
      <c r="Y28" s="345"/>
      <c r="Z28" s="345"/>
      <c r="AA28" s="345"/>
      <c r="AB28" s="345"/>
      <c r="AC28" s="345"/>
      <c r="AD28" s="345"/>
      <c r="AE28" s="345"/>
      <c r="AF28" s="345"/>
      <c r="AG28" s="345"/>
      <c r="AH28" s="345"/>
      <c r="AI28" s="345"/>
      <c r="AJ28" s="345"/>
      <c r="AK28" s="345"/>
      <c r="AL28" s="345"/>
      <c r="AM28" s="345"/>
      <c r="AN28" s="345"/>
      <c r="AO28" s="345"/>
      <c r="AP28" s="345"/>
      <c r="AQ28" s="345"/>
      <c r="AR28" s="345"/>
      <c r="AS28" s="345"/>
      <c r="AT28" s="345"/>
      <c r="AU28" s="345"/>
      <c r="AV28" s="345"/>
      <c r="AW28" s="345"/>
      <c r="AX28" s="345"/>
      <c r="AY28" s="345"/>
      <c r="AZ28" s="345"/>
      <c r="BA28" s="345"/>
      <c r="BB28" s="345"/>
      <c r="BC28" s="345"/>
      <c r="BD28" s="345"/>
      <c r="BE28" s="345"/>
      <c r="BF28" s="345"/>
      <c r="BG28" s="345"/>
      <c r="BH28" s="345"/>
      <c r="BI28" s="345"/>
      <c r="BJ28" s="345"/>
      <c r="BK28" s="345"/>
      <c r="BL28" s="345"/>
      <c r="BM28" s="345"/>
      <c r="BN28" s="345"/>
      <c r="BO28" s="345"/>
      <c r="BP28" s="345"/>
      <c r="BQ28" s="345"/>
      <c r="BR28" s="345"/>
      <c r="BS28" s="345"/>
      <c r="BT28" s="345"/>
      <c r="BU28" s="345"/>
      <c r="BV28" s="345"/>
      <c r="BW28" s="345"/>
      <c r="BX28" s="345"/>
      <c r="BY28" s="345"/>
      <c r="BZ28" s="345"/>
      <c r="CA28" s="345"/>
      <c r="CB28" s="345"/>
      <c r="CC28" s="345"/>
      <c r="CD28" s="345"/>
      <c r="CE28" s="345"/>
      <c r="CF28" s="345"/>
      <c r="CG28" s="345"/>
      <c r="CH28" s="345"/>
      <c r="CI28" s="345"/>
      <c r="CJ28" s="345"/>
      <c r="CK28" s="345"/>
      <c r="CL28" s="345"/>
      <c r="CM28" s="345"/>
      <c r="CN28" s="345"/>
      <c r="CO28" s="345"/>
      <c r="CP28" s="345"/>
      <c r="CQ28" s="345"/>
      <c r="CR28" s="345"/>
      <c r="CS28" s="345"/>
      <c r="CT28" s="345"/>
      <c r="CU28" s="345"/>
      <c r="CV28" s="345"/>
      <c r="CW28" s="345"/>
      <c r="CX28" s="345"/>
      <c r="CY28" s="345"/>
      <c r="CZ28" s="345"/>
      <c r="DA28" s="345"/>
      <c r="DB28" s="345"/>
      <c r="DC28" s="345"/>
      <c r="DD28" s="345"/>
      <c r="DE28" s="345"/>
      <c r="DF28" s="345"/>
      <c r="DG28" s="345"/>
      <c r="DH28" s="345"/>
      <c r="DI28" s="345"/>
      <c r="DJ28" s="345"/>
      <c r="DK28" s="345"/>
      <c r="DL28" s="345"/>
      <c r="DM28" s="345"/>
      <c r="DN28" s="345"/>
      <c r="DO28" s="345"/>
      <c r="DP28" s="345"/>
      <c r="DQ28" s="345"/>
      <c r="DR28" s="345"/>
      <c r="DS28" s="345"/>
      <c r="DT28" s="345"/>
      <c r="DU28" s="345"/>
      <c r="DV28" s="345"/>
      <c r="DW28" s="345"/>
      <c r="DX28" s="345"/>
      <c r="DY28" s="345"/>
      <c r="DZ28" s="345"/>
      <c r="EA28" s="345"/>
    </row>
    <row r="29" spans="1:131" ht="18" customHeight="1">
      <c r="A29" s="345"/>
      <c r="B29" s="345"/>
      <c r="C29" s="2447"/>
      <c r="D29" s="6054"/>
      <c r="E29" s="6055"/>
      <c r="F29" s="6025" t="s">
        <v>1352</v>
      </c>
      <c r="G29" s="6089" t="s">
        <v>1476</v>
      </c>
      <c r="H29" s="6090"/>
      <c r="I29" s="6091"/>
      <c r="J29" s="6087"/>
      <c r="K29" s="6088"/>
      <c r="L29" s="6085" t="s">
        <v>5</v>
      </c>
      <c r="M29" s="6060">
        <f>'Old Tax Regime'!L11</f>
        <v>89334</v>
      </c>
      <c r="N29" s="6061"/>
      <c r="O29" s="6071"/>
      <c r="P29" s="6072"/>
      <c r="Q29" s="6073"/>
      <c r="R29" s="1827"/>
      <c r="S29" s="1827"/>
      <c r="T29" s="1827"/>
      <c r="U29" s="1827"/>
      <c r="V29" s="1827"/>
      <c r="W29" s="1827"/>
      <c r="X29" s="345"/>
      <c r="Y29" s="345"/>
      <c r="Z29" s="345"/>
      <c r="AA29" s="345"/>
      <c r="AB29" s="345"/>
      <c r="AC29" s="345"/>
      <c r="AD29" s="345"/>
      <c r="AE29" s="345"/>
      <c r="AF29" s="345"/>
      <c r="AG29" s="345"/>
      <c r="AH29" s="345"/>
      <c r="AI29" s="345"/>
      <c r="AJ29" s="345"/>
      <c r="AK29" s="345"/>
      <c r="AL29" s="345"/>
      <c r="AM29" s="345"/>
      <c r="AN29" s="345"/>
      <c r="AO29" s="345"/>
      <c r="AP29" s="345"/>
      <c r="AQ29" s="345"/>
      <c r="AR29" s="345"/>
      <c r="AS29" s="345"/>
      <c r="AT29" s="345"/>
      <c r="AU29" s="345"/>
      <c r="AV29" s="345"/>
      <c r="AW29" s="345"/>
      <c r="AX29" s="345"/>
      <c r="AY29" s="345"/>
      <c r="AZ29" s="345"/>
      <c r="BA29" s="345"/>
      <c r="BB29" s="345"/>
      <c r="BC29" s="345"/>
      <c r="BD29" s="345"/>
      <c r="BE29" s="345"/>
      <c r="BF29" s="345"/>
      <c r="BG29" s="345"/>
      <c r="BH29" s="345"/>
      <c r="BI29" s="345"/>
      <c r="BJ29" s="345"/>
      <c r="BK29" s="345"/>
      <c r="BL29" s="345"/>
      <c r="BM29" s="345"/>
      <c r="BN29" s="345"/>
      <c r="BO29" s="345"/>
      <c r="BP29" s="345"/>
      <c r="BQ29" s="345"/>
      <c r="BR29" s="345"/>
      <c r="BS29" s="345"/>
      <c r="BT29" s="345"/>
      <c r="BU29" s="345"/>
      <c r="BV29" s="345"/>
      <c r="BW29" s="345"/>
      <c r="BX29" s="345"/>
      <c r="BY29" s="345"/>
      <c r="BZ29" s="345"/>
      <c r="CA29" s="345"/>
      <c r="CB29" s="345"/>
      <c r="CC29" s="345"/>
      <c r="CD29" s="345"/>
      <c r="CE29" s="345"/>
      <c r="CF29" s="345"/>
      <c r="CG29" s="345"/>
      <c r="CH29" s="345"/>
      <c r="CI29" s="345"/>
      <c r="CJ29" s="345"/>
      <c r="CK29" s="345"/>
      <c r="CL29" s="345"/>
      <c r="CM29" s="345"/>
      <c r="CN29" s="345"/>
      <c r="CO29" s="345"/>
      <c r="CP29" s="345"/>
      <c r="CQ29" s="345"/>
      <c r="CR29" s="345"/>
      <c r="CS29" s="345"/>
      <c r="CT29" s="345"/>
      <c r="CU29" s="345"/>
      <c r="CV29" s="345"/>
      <c r="CW29" s="345"/>
      <c r="CX29" s="345"/>
      <c r="CY29" s="345"/>
      <c r="CZ29" s="345"/>
      <c r="DA29" s="345"/>
      <c r="DB29" s="345"/>
      <c r="DC29" s="345"/>
      <c r="DD29" s="345"/>
      <c r="DE29" s="345"/>
      <c r="DF29" s="345"/>
      <c r="DG29" s="345"/>
      <c r="DH29" s="345"/>
      <c r="DI29" s="345"/>
      <c r="DJ29" s="345"/>
      <c r="DK29" s="345"/>
      <c r="DL29" s="345"/>
      <c r="DM29" s="345"/>
      <c r="DN29" s="345"/>
      <c r="DO29" s="345"/>
      <c r="DP29" s="345"/>
      <c r="DQ29" s="345"/>
      <c r="DR29" s="345"/>
      <c r="DS29" s="345"/>
      <c r="DT29" s="345"/>
      <c r="DU29" s="345"/>
      <c r="DV29" s="345"/>
      <c r="DW29" s="345"/>
      <c r="DX29" s="345"/>
      <c r="DY29" s="345"/>
      <c r="DZ29" s="345"/>
      <c r="EA29" s="345"/>
    </row>
    <row r="30" spans="1:131" ht="18" customHeight="1">
      <c r="A30" s="345"/>
      <c r="B30" s="345"/>
      <c r="C30" s="2447"/>
      <c r="D30" s="6058"/>
      <c r="E30" s="6059"/>
      <c r="F30" s="6025"/>
      <c r="G30" s="6092"/>
      <c r="H30" s="6093"/>
      <c r="I30" s="6094"/>
      <c r="J30" s="5824"/>
      <c r="K30" s="5825"/>
      <c r="L30" s="6086"/>
      <c r="M30" s="6062"/>
      <c r="N30" s="6063"/>
      <c r="O30" s="6074"/>
      <c r="P30" s="6075"/>
      <c r="Q30" s="6076"/>
      <c r="R30" s="1827"/>
      <c r="S30" s="1827"/>
      <c r="T30" s="1827"/>
      <c r="U30" s="1827"/>
      <c r="V30" s="1827"/>
      <c r="W30" s="1827"/>
      <c r="X30" s="345"/>
      <c r="Y30" s="345"/>
      <c r="Z30" s="345"/>
      <c r="AA30" s="345"/>
      <c r="AB30" s="345"/>
      <c r="AC30" s="345"/>
      <c r="AD30" s="345"/>
      <c r="AE30" s="345"/>
      <c r="AF30" s="345"/>
      <c r="AG30" s="345"/>
      <c r="AH30" s="345"/>
      <c r="AI30" s="345"/>
      <c r="AJ30" s="345"/>
      <c r="AK30" s="345"/>
      <c r="AL30" s="345"/>
      <c r="AM30" s="345"/>
      <c r="AN30" s="345"/>
      <c r="AO30" s="345"/>
      <c r="AP30" s="345"/>
      <c r="AQ30" s="345"/>
      <c r="AR30" s="345"/>
      <c r="AS30" s="345"/>
      <c r="AT30" s="345"/>
      <c r="AU30" s="345"/>
      <c r="AV30" s="345"/>
      <c r="AW30" s="345"/>
      <c r="AX30" s="345"/>
      <c r="AY30" s="345"/>
      <c r="AZ30" s="345"/>
      <c r="BA30" s="345"/>
      <c r="BB30" s="345"/>
      <c r="BC30" s="345"/>
      <c r="BD30" s="345"/>
      <c r="BE30" s="345"/>
      <c r="BF30" s="345"/>
      <c r="BG30" s="345"/>
      <c r="BH30" s="345"/>
      <c r="BI30" s="345"/>
      <c r="BJ30" s="345"/>
      <c r="BK30" s="345"/>
      <c r="BL30" s="345"/>
      <c r="BM30" s="345"/>
      <c r="BN30" s="345"/>
      <c r="BO30" s="345"/>
      <c r="BP30" s="345"/>
      <c r="BQ30" s="345"/>
      <c r="BR30" s="345"/>
      <c r="BS30" s="345"/>
      <c r="BT30" s="345"/>
      <c r="BU30" s="345"/>
      <c r="BV30" s="345"/>
      <c r="BW30" s="345"/>
      <c r="BX30" s="345"/>
      <c r="BY30" s="345"/>
      <c r="BZ30" s="345"/>
      <c r="CA30" s="345"/>
      <c r="CB30" s="345"/>
      <c r="CC30" s="345"/>
      <c r="CD30" s="345"/>
      <c r="CE30" s="345"/>
      <c r="CF30" s="345"/>
      <c r="CG30" s="345"/>
      <c r="CH30" s="345"/>
      <c r="CI30" s="345"/>
      <c r="CJ30" s="345"/>
      <c r="CK30" s="345"/>
      <c r="CL30" s="345"/>
      <c r="CM30" s="345"/>
      <c r="CN30" s="345"/>
      <c r="CO30" s="345"/>
      <c r="CP30" s="345"/>
      <c r="CQ30" s="345"/>
      <c r="CR30" s="345"/>
      <c r="CS30" s="345"/>
      <c r="CT30" s="345"/>
      <c r="CU30" s="345"/>
      <c r="CV30" s="345"/>
      <c r="CW30" s="345"/>
      <c r="CX30" s="345"/>
      <c r="CY30" s="345"/>
      <c r="CZ30" s="345"/>
      <c r="DA30" s="345"/>
      <c r="DB30" s="345"/>
      <c r="DC30" s="345"/>
      <c r="DD30" s="345"/>
      <c r="DE30" s="345"/>
      <c r="DF30" s="345"/>
      <c r="DG30" s="345"/>
      <c r="DH30" s="345"/>
      <c r="DI30" s="345"/>
      <c r="DJ30" s="345"/>
      <c r="DK30" s="345"/>
      <c r="DL30" s="345"/>
      <c r="DM30" s="345"/>
      <c r="DN30" s="345"/>
      <c r="DO30" s="345"/>
      <c r="DP30" s="345"/>
      <c r="DQ30" s="345"/>
      <c r="DR30" s="345"/>
      <c r="DS30" s="345"/>
      <c r="DT30" s="345"/>
      <c r="DU30" s="345"/>
      <c r="DV30" s="345"/>
      <c r="DW30" s="345"/>
      <c r="DX30" s="345"/>
      <c r="DY30" s="345"/>
      <c r="DZ30" s="345"/>
      <c r="EA30" s="345"/>
    </row>
    <row r="31" spans="1:131" ht="28.5" customHeight="1">
      <c r="A31" s="345"/>
      <c r="B31" s="345"/>
      <c r="C31" s="2447"/>
      <c r="D31" s="6056"/>
      <c r="E31" s="6057"/>
      <c r="F31" s="2604" t="s">
        <v>1353</v>
      </c>
      <c r="G31" s="6095" t="s">
        <v>1557</v>
      </c>
      <c r="H31" s="6096"/>
      <c r="I31" s="6097"/>
      <c r="J31" s="6098"/>
      <c r="K31" s="6098"/>
      <c r="L31" s="2605" t="s">
        <v>5</v>
      </c>
      <c r="M31" s="6099">
        <f>'Old Tax Regime'!L13</f>
        <v>0</v>
      </c>
      <c r="N31" s="6100"/>
      <c r="O31" s="6077"/>
      <c r="P31" s="6078"/>
      <c r="Q31" s="6079"/>
      <c r="R31" s="1827"/>
      <c r="S31" s="1827"/>
      <c r="T31" s="1827"/>
      <c r="U31" s="1827"/>
      <c r="V31" s="1827"/>
      <c r="W31" s="1827"/>
      <c r="X31" s="345"/>
      <c r="Y31" s="345"/>
      <c r="Z31" s="345"/>
      <c r="AA31" s="345"/>
      <c r="AB31" s="345"/>
      <c r="AC31" s="345"/>
      <c r="AD31" s="345"/>
      <c r="AE31" s="345"/>
      <c r="AF31" s="345"/>
      <c r="AG31" s="345"/>
      <c r="AH31" s="345"/>
      <c r="AI31" s="345"/>
      <c r="AJ31" s="345"/>
      <c r="AK31" s="345"/>
      <c r="AL31" s="345"/>
      <c r="AM31" s="345"/>
      <c r="AN31" s="345"/>
      <c r="AO31" s="345"/>
      <c r="AP31" s="345"/>
      <c r="AQ31" s="345"/>
      <c r="AR31" s="345"/>
      <c r="AS31" s="345"/>
      <c r="AT31" s="345"/>
      <c r="AU31" s="345"/>
      <c r="AV31" s="345"/>
      <c r="AW31" s="345"/>
      <c r="AX31" s="345"/>
      <c r="AY31" s="345"/>
      <c r="AZ31" s="345"/>
      <c r="BA31" s="345"/>
      <c r="BB31" s="345"/>
      <c r="BC31" s="345"/>
      <c r="BD31" s="345"/>
      <c r="BE31" s="345"/>
      <c r="BF31" s="345"/>
      <c r="BG31" s="345"/>
      <c r="BH31" s="345"/>
      <c r="BI31" s="345"/>
      <c r="BJ31" s="345"/>
      <c r="BK31" s="345"/>
      <c r="BL31" s="345"/>
      <c r="BM31" s="345"/>
      <c r="BN31" s="345"/>
      <c r="BO31" s="345"/>
      <c r="BP31" s="345"/>
      <c r="BQ31" s="345"/>
      <c r="BR31" s="345"/>
      <c r="BS31" s="345"/>
      <c r="BT31" s="345"/>
      <c r="BU31" s="345"/>
      <c r="BV31" s="345"/>
      <c r="BW31" s="345"/>
      <c r="BX31" s="345"/>
      <c r="BY31" s="345"/>
      <c r="BZ31" s="345"/>
      <c r="CA31" s="345"/>
      <c r="CB31" s="345"/>
      <c r="CC31" s="345"/>
      <c r="CD31" s="345"/>
      <c r="CE31" s="345"/>
      <c r="CF31" s="345"/>
      <c r="CG31" s="345"/>
      <c r="CH31" s="345"/>
      <c r="CI31" s="345"/>
      <c r="CJ31" s="345"/>
      <c r="CK31" s="345"/>
      <c r="CL31" s="345"/>
      <c r="CM31" s="345"/>
      <c r="CN31" s="345"/>
      <c r="CO31" s="345"/>
      <c r="CP31" s="345"/>
      <c r="CQ31" s="345"/>
      <c r="CR31" s="345"/>
      <c r="CS31" s="345"/>
      <c r="CT31" s="345"/>
      <c r="CU31" s="345"/>
      <c r="CV31" s="345"/>
      <c r="CW31" s="345"/>
      <c r="CX31" s="345"/>
      <c r="CY31" s="345"/>
      <c r="CZ31" s="345"/>
      <c r="DA31" s="345"/>
      <c r="DB31" s="345"/>
      <c r="DC31" s="345"/>
      <c r="DD31" s="345"/>
      <c r="DE31" s="345"/>
      <c r="DF31" s="345"/>
      <c r="DG31" s="345"/>
      <c r="DH31" s="345"/>
      <c r="DI31" s="345"/>
      <c r="DJ31" s="345"/>
      <c r="DK31" s="345"/>
      <c r="DL31" s="345"/>
      <c r="DM31" s="345"/>
      <c r="DN31" s="345"/>
      <c r="DO31" s="345"/>
      <c r="DP31" s="345"/>
      <c r="DQ31" s="345"/>
      <c r="DR31" s="345"/>
      <c r="DS31" s="345"/>
      <c r="DT31" s="345"/>
      <c r="DU31" s="345"/>
      <c r="DV31" s="345"/>
      <c r="DW31" s="345"/>
      <c r="DX31" s="345"/>
      <c r="DY31" s="345"/>
      <c r="DZ31" s="345"/>
      <c r="EA31" s="345"/>
    </row>
    <row r="32" spans="1:131" ht="15.95" customHeight="1">
      <c r="A32" s="345"/>
      <c r="B32" s="345"/>
      <c r="C32" s="2447"/>
      <c r="D32" s="5884" t="s">
        <v>1477</v>
      </c>
      <c r="E32" s="5835"/>
      <c r="F32" s="6082" t="s">
        <v>1501</v>
      </c>
      <c r="G32" s="6083"/>
      <c r="H32" s="6083"/>
      <c r="I32" s="6083"/>
      <c r="J32" s="6083"/>
      <c r="K32" s="6083"/>
      <c r="L32" s="6083"/>
      <c r="M32" s="6084"/>
      <c r="N32" s="2452" t="s">
        <v>1477</v>
      </c>
      <c r="O32" s="2513" t="s">
        <v>5</v>
      </c>
      <c r="P32" s="6036">
        <f>SUM(P20-P28)</f>
        <v>1414200</v>
      </c>
      <c r="Q32" s="6037"/>
      <c r="R32" s="1827"/>
      <c r="S32" s="1827"/>
      <c r="T32" s="1827"/>
      <c r="U32" s="1827"/>
      <c r="V32" s="1827"/>
      <c r="W32" s="1827"/>
      <c r="X32" s="345"/>
      <c r="Y32" s="345"/>
      <c r="Z32" s="345"/>
      <c r="AA32" s="345"/>
      <c r="AB32" s="345"/>
      <c r="AC32" s="345"/>
      <c r="AD32" s="345"/>
      <c r="AE32" s="345"/>
      <c r="AF32" s="345"/>
      <c r="AG32" s="345"/>
      <c r="AH32" s="345"/>
      <c r="AI32" s="345"/>
      <c r="AJ32" s="345"/>
      <c r="AK32" s="345"/>
      <c r="AL32" s="345"/>
      <c r="AM32" s="345"/>
      <c r="AN32" s="345"/>
      <c r="AO32" s="345"/>
      <c r="AP32" s="345"/>
      <c r="AQ32" s="345"/>
      <c r="AR32" s="345"/>
      <c r="AS32" s="345"/>
      <c r="AT32" s="345"/>
      <c r="AU32" s="345"/>
      <c r="AV32" s="345"/>
      <c r="AW32" s="345"/>
      <c r="AX32" s="345"/>
      <c r="AY32" s="345"/>
      <c r="AZ32" s="345"/>
      <c r="BA32" s="345"/>
      <c r="BB32" s="345"/>
      <c r="BC32" s="345"/>
      <c r="BD32" s="345"/>
      <c r="BE32" s="345"/>
      <c r="BF32" s="345"/>
      <c r="BG32" s="345"/>
      <c r="BH32" s="345"/>
      <c r="BI32" s="345"/>
      <c r="BJ32" s="345"/>
      <c r="BK32" s="345"/>
      <c r="BL32" s="345"/>
      <c r="BM32" s="345"/>
      <c r="BN32" s="345"/>
      <c r="BO32" s="345"/>
      <c r="BP32" s="345"/>
      <c r="BQ32" s="345"/>
      <c r="BR32" s="345"/>
      <c r="BS32" s="345"/>
      <c r="BT32" s="345"/>
      <c r="BU32" s="345"/>
      <c r="BV32" s="345"/>
      <c r="BW32" s="345"/>
      <c r="BX32" s="345"/>
      <c r="BY32" s="345"/>
      <c r="BZ32" s="345"/>
      <c r="CA32" s="345"/>
      <c r="CB32" s="345"/>
      <c r="CC32" s="345"/>
      <c r="CD32" s="345"/>
      <c r="CE32" s="345"/>
      <c r="CF32" s="345"/>
      <c r="CG32" s="345"/>
      <c r="CH32" s="345"/>
      <c r="CI32" s="345"/>
      <c r="CJ32" s="345"/>
      <c r="CK32" s="345"/>
      <c r="CL32" s="345"/>
      <c r="CM32" s="345"/>
      <c r="CN32" s="345"/>
      <c r="CO32" s="345"/>
      <c r="CP32" s="345"/>
      <c r="CQ32" s="345"/>
      <c r="CR32" s="345"/>
      <c r="CS32" s="345"/>
      <c r="CT32" s="345"/>
      <c r="CU32" s="345"/>
      <c r="CV32" s="345"/>
      <c r="CW32" s="345"/>
      <c r="CX32" s="345"/>
      <c r="CY32" s="345"/>
      <c r="CZ32" s="345"/>
      <c r="DA32" s="345"/>
      <c r="DB32" s="345"/>
      <c r="DC32" s="345"/>
      <c r="DD32" s="345"/>
      <c r="DE32" s="345"/>
      <c r="DF32" s="345"/>
      <c r="DG32" s="345"/>
      <c r="DH32" s="345"/>
      <c r="DI32" s="345"/>
      <c r="DJ32" s="345"/>
      <c r="DK32" s="345"/>
      <c r="DL32" s="345"/>
      <c r="DM32" s="345"/>
      <c r="DN32" s="345"/>
      <c r="DO32" s="345"/>
      <c r="DP32" s="345"/>
      <c r="DQ32" s="345"/>
      <c r="DR32" s="345"/>
      <c r="DS32" s="345"/>
      <c r="DT32" s="345"/>
      <c r="DU32" s="345"/>
      <c r="DV32" s="345"/>
      <c r="DW32" s="345"/>
      <c r="DX32" s="345"/>
      <c r="DY32" s="345"/>
      <c r="DZ32" s="345"/>
      <c r="EA32" s="345"/>
    </row>
    <row r="33" spans="1:131" ht="15.95" customHeight="1">
      <c r="A33" s="345"/>
      <c r="B33" s="345"/>
      <c r="C33" s="2447"/>
      <c r="D33" s="5884" t="s">
        <v>1478</v>
      </c>
      <c r="E33" s="5826"/>
      <c r="F33" s="5927" t="s">
        <v>1562</v>
      </c>
      <c r="G33" s="5928"/>
      <c r="H33" s="5928"/>
      <c r="I33" s="5928"/>
      <c r="J33" s="5928"/>
      <c r="K33" s="5928"/>
      <c r="L33" s="5928"/>
      <c r="M33" s="5929"/>
      <c r="N33" s="2454" t="s">
        <v>1478</v>
      </c>
      <c r="O33" s="2513" t="s">
        <v>5</v>
      </c>
      <c r="P33" s="5905">
        <f>SUM(K34:M36)</f>
        <v>52400</v>
      </c>
      <c r="Q33" s="6064"/>
      <c r="R33" s="1827"/>
      <c r="S33" s="1827"/>
      <c r="T33" s="1827"/>
      <c r="U33" s="1827"/>
      <c r="V33" s="1827"/>
      <c r="W33" s="1827"/>
      <c r="X33" s="345"/>
      <c r="Y33" s="345"/>
      <c r="Z33" s="345"/>
      <c r="AA33" s="345"/>
      <c r="AB33" s="345"/>
      <c r="AC33" s="345"/>
      <c r="AD33" s="345"/>
      <c r="AE33" s="345"/>
      <c r="AF33" s="345"/>
      <c r="AG33" s="345"/>
      <c r="AH33" s="345"/>
      <c r="AI33" s="345"/>
      <c r="AJ33" s="345"/>
      <c r="AK33" s="345"/>
      <c r="AL33" s="345"/>
      <c r="AM33" s="345"/>
      <c r="AN33" s="345"/>
      <c r="AO33" s="345"/>
      <c r="AP33" s="345"/>
      <c r="AQ33" s="345"/>
      <c r="AR33" s="345"/>
      <c r="AS33" s="345"/>
      <c r="AT33" s="345"/>
      <c r="AU33" s="345"/>
      <c r="AV33" s="345"/>
      <c r="AW33" s="345"/>
      <c r="AX33" s="345"/>
      <c r="AY33" s="345"/>
      <c r="AZ33" s="345"/>
      <c r="BA33" s="345"/>
      <c r="BB33" s="345"/>
      <c r="BC33" s="345"/>
      <c r="BD33" s="345"/>
      <c r="BE33" s="345"/>
      <c r="BF33" s="345"/>
      <c r="BG33" s="345"/>
      <c r="BH33" s="345"/>
      <c r="BI33" s="345"/>
      <c r="BJ33" s="345"/>
      <c r="BK33" s="345"/>
      <c r="BL33" s="345"/>
      <c r="BM33" s="345"/>
      <c r="BN33" s="345"/>
      <c r="BO33" s="345"/>
      <c r="BP33" s="345"/>
      <c r="BQ33" s="345"/>
      <c r="BR33" s="345"/>
      <c r="BS33" s="345"/>
      <c r="BT33" s="345"/>
      <c r="BU33" s="345"/>
      <c r="BV33" s="345"/>
      <c r="BW33" s="345"/>
      <c r="BX33" s="345"/>
      <c r="BY33" s="345"/>
      <c r="BZ33" s="345"/>
      <c r="CA33" s="345"/>
      <c r="CB33" s="345"/>
      <c r="CC33" s="345"/>
      <c r="CD33" s="345"/>
      <c r="CE33" s="345"/>
      <c r="CF33" s="345"/>
      <c r="CG33" s="345"/>
      <c r="CH33" s="345"/>
      <c r="CI33" s="345"/>
      <c r="CJ33" s="345"/>
      <c r="CK33" s="345"/>
      <c r="CL33" s="345"/>
      <c r="CM33" s="345"/>
      <c r="CN33" s="345"/>
      <c r="CO33" s="345"/>
      <c r="CP33" s="345"/>
      <c r="CQ33" s="345"/>
      <c r="CR33" s="345"/>
      <c r="CS33" s="345"/>
      <c r="CT33" s="345"/>
      <c r="CU33" s="345"/>
      <c r="CV33" s="345"/>
      <c r="CW33" s="345"/>
      <c r="CX33" s="345"/>
      <c r="CY33" s="345"/>
      <c r="CZ33" s="345"/>
      <c r="DA33" s="345"/>
      <c r="DB33" s="345"/>
      <c r="DC33" s="345"/>
      <c r="DD33" s="345"/>
      <c r="DE33" s="345"/>
      <c r="DF33" s="345"/>
      <c r="DG33" s="345"/>
      <c r="DH33" s="345"/>
      <c r="DI33" s="345"/>
      <c r="DJ33" s="345"/>
      <c r="DK33" s="345"/>
      <c r="DL33" s="345"/>
      <c r="DM33" s="345"/>
      <c r="DN33" s="345"/>
      <c r="DO33" s="345"/>
      <c r="DP33" s="345"/>
      <c r="DQ33" s="345"/>
      <c r="DR33" s="345"/>
      <c r="DS33" s="345"/>
      <c r="DT33" s="345"/>
      <c r="DU33" s="345"/>
      <c r="DV33" s="345"/>
      <c r="DW33" s="345"/>
      <c r="DX33" s="345"/>
      <c r="DY33" s="345"/>
      <c r="DZ33" s="345"/>
      <c r="EA33" s="345"/>
    </row>
    <row r="34" spans="1:131" ht="15.95" customHeight="1">
      <c r="A34" s="345"/>
      <c r="B34" s="345"/>
      <c r="C34" s="2447"/>
      <c r="D34" s="5889"/>
      <c r="E34" s="6080"/>
      <c r="F34" s="2513" t="s">
        <v>1352</v>
      </c>
      <c r="G34" s="6043" t="s">
        <v>1484</v>
      </c>
      <c r="H34" s="6043"/>
      <c r="I34" s="2513" t="s">
        <v>1480</v>
      </c>
      <c r="J34" s="2513" t="s">
        <v>337</v>
      </c>
      <c r="K34" s="6027">
        <f>'Old Tax Regime'!K16</f>
        <v>50000</v>
      </c>
      <c r="L34" s="6027"/>
      <c r="M34" s="6027"/>
      <c r="N34" s="6065"/>
      <c r="O34" s="6065"/>
      <c r="P34" s="6065"/>
      <c r="Q34" s="6066"/>
      <c r="R34" s="1827"/>
      <c r="S34" s="1827"/>
      <c r="T34" s="1827"/>
      <c r="U34" s="1827"/>
      <c r="V34" s="1827"/>
      <c r="W34" s="1827"/>
      <c r="X34" s="345"/>
      <c r="Y34" s="345"/>
      <c r="Z34" s="345"/>
      <c r="AA34" s="345"/>
      <c r="AB34" s="345"/>
      <c r="AC34" s="345"/>
      <c r="AD34" s="345"/>
      <c r="AE34" s="345"/>
      <c r="AF34" s="345"/>
      <c r="AG34" s="345"/>
      <c r="AH34" s="345"/>
      <c r="AI34" s="345"/>
      <c r="AJ34" s="345"/>
      <c r="AK34" s="345"/>
      <c r="AL34" s="345"/>
      <c r="AM34" s="345"/>
      <c r="AN34" s="345"/>
      <c r="AO34" s="345"/>
      <c r="AP34" s="345"/>
      <c r="AQ34" s="345"/>
      <c r="AR34" s="345"/>
      <c r="AS34" s="345"/>
      <c r="AT34" s="345"/>
      <c r="AU34" s="345"/>
      <c r="AV34" s="345"/>
      <c r="AW34" s="345"/>
      <c r="AX34" s="345"/>
      <c r="AY34" s="345"/>
      <c r="AZ34" s="345"/>
      <c r="BA34" s="345"/>
      <c r="BB34" s="345"/>
      <c r="BC34" s="345"/>
      <c r="BD34" s="345"/>
      <c r="BE34" s="345"/>
      <c r="BF34" s="345"/>
      <c r="BG34" s="345"/>
      <c r="BH34" s="345"/>
      <c r="BI34" s="345"/>
      <c r="BJ34" s="345"/>
      <c r="BK34" s="345"/>
      <c r="BL34" s="345"/>
      <c r="BM34" s="345"/>
      <c r="BN34" s="345"/>
      <c r="BO34" s="345"/>
      <c r="BP34" s="345"/>
      <c r="BQ34" s="345"/>
      <c r="BR34" s="345"/>
      <c r="BS34" s="345"/>
      <c r="BT34" s="345"/>
      <c r="BU34" s="345"/>
      <c r="BV34" s="345"/>
      <c r="BW34" s="345"/>
      <c r="BX34" s="345"/>
      <c r="BY34" s="345"/>
      <c r="BZ34" s="345"/>
      <c r="CA34" s="345"/>
      <c r="CB34" s="345"/>
      <c r="CC34" s="345"/>
      <c r="CD34" s="345"/>
      <c r="CE34" s="345"/>
      <c r="CF34" s="345"/>
      <c r="CG34" s="345"/>
      <c r="CH34" s="345"/>
      <c r="CI34" s="345"/>
      <c r="CJ34" s="345"/>
      <c r="CK34" s="345"/>
      <c r="CL34" s="345"/>
      <c r="CM34" s="345"/>
      <c r="CN34" s="345"/>
      <c r="CO34" s="345"/>
      <c r="CP34" s="345"/>
      <c r="CQ34" s="345"/>
      <c r="CR34" s="345"/>
      <c r="CS34" s="345"/>
      <c r="CT34" s="345"/>
      <c r="CU34" s="345"/>
      <c r="CV34" s="345"/>
      <c r="CW34" s="345"/>
      <c r="CX34" s="345"/>
      <c r="CY34" s="345"/>
      <c r="CZ34" s="345"/>
      <c r="DA34" s="345"/>
      <c r="DB34" s="345"/>
      <c r="DC34" s="345"/>
      <c r="DD34" s="345"/>
      <c r="DE34" s="345"/>
      <c r="DF34" s="345"/>
      <c r="DG34" s="345"/>
      <c r="DH34" s="345"/>
      <c r="DI34" s="345"/>
      <c r="DJ34" s="345"/>
      <c r="DK34" s="345"/>
      <c r="DL34" s="345"/>
      <c r="DM34" s="345"/>
      <c r="DN34" s="345"/>
      <c r="DO34" s="345"/>
      <c r="DP34" s="345"/>
      <c r="DQ34" s="345"/>
      <c r="DR34" s="345"/>
      <c r="DS34" s="345"/>
      <c r="DT34" s="345"/>
      <c r="DU34" s="345"/>
      <c r="DV34" s="345"/>
      <c r="DW34" s="345"/>
      <c r="DX34" s="345"/>
      <c r="DY34" s="345"/>
      <c r="DZ34" s="345"/>
      <c r="EA34" s="345"/>
    </row>
    <row r="35" spans="1:131" ht="15.95" customHeight="1">
      <c r="A35" s="345"/>
      <c r="B35" s="345"/>
      <c r="C35" s="2447"/>
      <c r="D35" s="5859"/>
      <c r="E35" s="6081"/>
      <c r="F35" s="2513" t="s">
        <v>1353</v>
      </c>
      <c r="G35" s="6043" t="s">
        <v>1485</v>
      </c>
      <c r="H35" s="6043"/>
      <c r="I35" s="2513" t="s">
        <v>1481</v>
      </c>
      <c r="J35" s="2513" t="s">
        <v>337</v>
      </c>
      <c r="K35" s="6027">
        <f>'Old Tax Regime'!K17</f>
        <v>0</v>
      </c>
      <c r="L35" s="6027"/>
      <c r="M35" s="6027"/>
      <c r="N35" s="6067"/>
      <c r="O35" s="6067"/>
      <c r="P35" s="6067"/>
      <c r="Q35" s="6068"/>
      <c r="R35" s="1827"/>
      <c r="S35" s="1827"/>
      <c r="T35" s="1827"/>
      <c r="U35" s="1827"/>
      <c r="V35" s="1827"/>
      <c r="W35" s="1827"/>
      <c r="X35" s="345"/>
      <c r="Y35" s="345"/>
      <c r="Z35" s="345"/>
      <c r="AA35" s="345"/>
      <c r="AB35" s="345"/>
      <c r="AC35" s="345"/>
      <c r="AD35" s="345"/>
      <c r="AE35" s="345"/>
      <c r="AF35" s="345"/>
      <c r="AG35" s="345"/>
      <c r="AH35" s="345"/>
      <c r="AI35" s="345"/>
      <c r="AJ35" s="345"/>
      <c r="AK35" s="345"/>
      <c r="AL35" s="345"/>
      <c r="AM35" s="345"/>
      <c r="AN35" s="345"/>
      <c r="AO35" s="345"/>
      <c r="AP35" s="345"/>
      <c r="AQ35" s="345"/>
      <c r="AR35" s="345"/>
      <c r="AS35" s="345"/>
      <c r="AT35" s="345"/>
      <c r="AU35" s="345"/>
      <c r="AV35" s="345"/>
      <c r="AW35" s="345"/>
      <c r="AX35" s="345"/>
      <c r="AY35" s="345"/>
      <c r="AZ35" s="345"/>
      <c r="BA35" s="345"/>
      <c r="BB35" s="345"/>
      <c r="BC35" s="345"/>
      <c r="BD35" s="345"/>
      <c r="BE35" s="345"/>
      <c r="BF35" s="345"/>
      <c r="BG35" s="345"/>
      <c r="BH35" s="345"/>
      <c r="BI35" s="345"/>
      <c r="BJ35" s="345"/>
      <c r="BK35" s="345"/>
      <c r="BL35" s="345"/>
      <c r="BM35" s="345"/>
      <c r="BN35" s="345"/>
      <c r="BO35" s="345"/>
      <c r="BP35" s="345"/>
      <c r="BQ35" s="345"/>
      <c r="BR35" s="345"/>
      <c r="BS35" s="345"/>
      <c r="BT35" s="345"/>
      <c r="BU35" s="345"/>
      <c r="BV35" s="345"/>
      <c r="BW35" s="345"/>
      <c r="BX35" s="345"/>
      <c r="BY35" s="345"/>
      <c r="BZ35" s="345"/>
      <c r="CA35" s="345"/>
      <c r="CB35" s="345"/>
      <c r="CC35" s="345"/>
      <c r="CD35" s="345"/>
      <c r="CE35" s="345"/>
      <c r="CF35" s="345"/>
      <c r="CG35" s="345"/>
      <c r="CH35" s="345"/>
      <c r="CI35" s="345"/>
      <c r="CJ35" s="345"/>
      <c r="CK35" s="345"/>
      <c r="CL35" s="345"/>
      <c r="CM35" s="345"/>
      <c r="CN35" s="345"/>
      <c r="CO35" s="345"/>
      <c r="CP35" s="345"/>
      <c r="CQ35" s="345"/>
      <c r="CR35" s="345"/>
      <c r="CS35" s="345"/>
      <c r="CT35" s="345"/>
      <c r="CU35" s="345"/>
      <c r="CV35" s="345"/>
      <c r="CW35" s="345"/>
      <c r="CX35" s="345"/>
      <c r="CY35" s="345"/>
      <c r="CZ35" s="345"/>
      <c r="DA35" s="345"/>
      <c r="DB35" s="345"/>
      <c r="DC35" s="345"/>
      <c r="DD35" s="345"/>
      <c r="DE35" s="345"/>
      <c r="DF35" s="345"/>
      <c r="DG35" s="345"/>
      <c r="DH35" s="345"/>
      <c r="DI35" s="345"/>
      <c r="DJ35" s="345"/>
      <c r="DK35" s="345"/>
      <c r="DL35" s="345"/>
      <c r="DM35" s="345"/>
      <c r="DN35" s="345"/>
      <c r="DO35" s="345"/>
      <c r="DP35" s="345"/>
      <c r="DQ35" s="345"/>
      <c r="DR35" s="345"/>
      <c r="DS35" s="345"/>
      <c r="DT35" s="345"/>
      <c r="DU35" s="345"/>
      <c r="DV35" s="345"/>
      <c r="DW35" s="345"/>
      <c r="DX35" s="345"/>
      <c r="DY35" s="345"/>
      <c r="DZ35" s="345"/>
      <c r="EA35" s="345"/>
    </row>
    <row r="36" spans="1:131" ht="15.95" customHeight="1">
      <c r="A36" s="345"/>
      <c r="B36" s="345"/>
      <c r="C36" s="2447"/>
      <c r="D36" s="5867"/>
      <c r="E36" s="5864"/>
      <c r="F36" s="2513" t="s">
        <v>1479</v>
      </c>
      <c r="G36" s="6043" t="s">
        <v>1486</v>
      </c>
      <c r="H36" s="6043"/>
      <c r="I36" s="2513" t="s">
        <v>1482</v>
      </c>
      <c r="J36" s="2513" t="s">
        <v>337</v>
      </c>
      <c r="K36" s="6027">
        <f>'Old Tax Regime'!K18</f>
        <v>2400</v>
      </c>
      <c r="L36" s="6027"/>
      <c r="M36" s="6027"/>
      <c r="N36" s="6069"/>
      <c r="O36" s="6069"/>
      <c r="P36" s="6069"/>
      <c r="Q36" s="6070"/>
      <c r="R36" s="1827"/>
      <c r="S36" s="1827"/>
      <c r="T36" s="1827"/>
      <c r="U36" s="1827"/>
      <c r="V36" s="1827"/>
      <c r="W36" s="1827"/>
      <c r="X36" s="345"/>
      <c r="Y36" s="345"/>
      <c r="Z36" s="345"/>
      <c r="AA36" s="345"/>
      <c r="AB36" s="345"/>
      <c r="AC36" s="345"/>
      <c r="AD36" s="345"/>
      <c r="AE36" s="345"/>
      <c r="AF36" s="345"/>
      <c r="AG36" s="345"/>
      <c r="AH36" s="345"/>
      <c r="AI36" s="345"/>
      <c r="AJ36" s="345"/>
      <c r="AK36" s="345"/>
      <c r="AL36" s="345"/>
      <c r="AM36" s="345"/>
      <c r="AN36" s="345"/>
      <c r="AO36" s="345"/>
      <c r="AP36" s="345"/>
      <c r="AQ36" s="345"/>
      <c r="AR36" s="345"/>
      <c r="AS36" s="345"/>
      <c r="AT36" s="345"/>
      <c r="AU36" s="345"/>
      <c r="AV36" s="345"/>
      <c r="AW36" s="345"/>
      <c r="AX36" s="345"/>
      <c r="AY36" s="345"/>
      <c r="AZ36" s="345"/>
      <c r="BA36" s="345"/>
      <c r="BB36" s="345"/>
      <c r="BC36" s="345"/>
      <c r="BD36" s="345"/>
      <c r="BE36" s="345"/>
      <c r="BF36" s="345"/>
      <c r="BG36" s="345"/>
      <c r="BH36" s="345"/>
      <c r="BI36" s="345"/>
      <c r="BJ36" s="345"/>
      <c r="BK36" s="345"/>
      <c r="BL36" s="345"/>
      <c r="BM36" s="345"/>
      <c r="BN36" s="345"/>
      <c r="BO36" s="345"/>
      <c r="BP36" s="345"/>
      <c r="BQ36" s="345"/>
      <c r="BR36" s="345"/>
      <c r="BS36" s="345"/>
      <c r="BT36" s="345"/>
      <c r="BU36" s="345"/>
      <c r="BV36" s="345"/>
      <c r="BW36" s="345"/>
      <c r="BX36" s="345"/>
      <c r="BY36" s="345"/>
      <c r="BZ36" s="345"/>
      <c r="CA36" s="345"/>
      <c r="CB36" s="345"/>
      <c r="CC36" s="345"/>
      <c r="CD36" s="345"/>
      <c r="CE36" s="345"/>
      <c r="CF36" s="345"/>
      <c r="CG36" s="345"/>
      <c r="CH36" s="345"/>
      <c r="CI36" s="345"/>
      <c r="CJ36" s="345"/>
      <c r="CK36" s="345"/>
      <c r="CL36" s="345"/>
      <c r="CM36" s="345"/>
      <c r="CN36" s="345"/>
      <c r="CO36" s="345"/>
      <c r="CP36" s="345"/>
      <c r="CQ36" s="345"/>
      <c r="CR36" s="345"/>
      <c r="CS36" s="345"/>
      <c r="CT36" s="345"/>
      <c r="CU36" s="345"/>
      <c r="CV36" s="345"/>
      <c r="CW36" s="345"/>
      <c r="CX36" s="345"/>
      <c r="CY36" s="345"/>
      <c r="CZ36" s="345"/>
      <c r="DA36" s="345"/>
      <c r="DB36" s="345"/>
      <c r="DC36" s="345"/>
      <c r="DD36" s="345"/>
      <c r="DE36" s="345"/>
      <c r="DF36" s="345"/>
      <c r="DG36" s="345"/>
      <c r="DH36" s="345"/>
      <c r="DI36" s="345"/>
      <c r="DJ36" s="345"/>
      <c r="DK36" s="345"/>
      <c r="DL36" s="345"/>
      <c r="DM36" s="345"/>
      <c r="DN36" s="345"/>
      <c r="DO36" s="345"/>
      <c r="DP36" s="345"/>
      <c r="DQ36" s="345"/>
      <c r="DR36" s="345"/>
      <c r="DS36" s="345"/>
      <c r="DT36" s="345"/>
      <c r="DU36" s="345"/>
      <c r="DV36" s="345"/>
      <c r="DW36" s="345"/>
      <c r="DX36" s="345"/>
      <c r="DY36" s="345"/>
      <c r="DZ36" s="345"/>
      <c r="EA36" s="345"/>
    </row>
    <row r="37" spans="1:131" ht="15.95" customHeight="1">
      <c r="A37" s="345"/>
      <c r="B37" s="345"/>
      <c r="C37" s="2447"/>
      <c r="D37" s="6034" t="s">
        <v>1487</v>
      </c>
      <c r="E37" s="6035"/>
      <c r="F37" s="6034" t="s">
        <v>1488</v>
      </c>
      <c r="G37" s="6035"/>
      <c r="H37" s="6035"/>
      <c r="I37" s="6035"/>
      <c r="J37" s="6035"/>
      <c r="K37" s="6035"/>
      <c r="L37" s="6035"/>
      <c r="M37" s="6035"/>
      <c r="N37" s="2452" t="s">
        <v>1466</v>
      </c>
      <c r="O37" s="2513" t="s">
        <v>5</v>
      </c>
      <c r="P37" s="6036">
        <f>SUM(P32-P33)</f>
        <v>1361800</v>
      </c>
      <c r="Q37" s="6037"/>
      <c r="R37" s="1827"/>
      <c r="S37" s="1827"/>
      <c r="T37" s="1827"/>
      <c r="U37" s="1827"/>
      <c r="V37" s="1827"/>
      <c r="W37" s="1827"/>
      <c r="X37" s="345"/>
      <c r="Y37" s="345"/>
      <c r="Z37" s="345"/>
      <c r="AA37" s="345"/>
      <c r="AB37" s="345"/>
      <c r="AC37" s="345"/>
      <c r="AD37" s="345"/>
      <c r="AE37" s="345"/>
      <c r="AF37" s="345"/>
      <c r="AG37" s="345"/>
      <c r="AH37" s="345"/>
      <c r="AI37" s="345"/>
      <c r="AJ37" s="345"/>
      <c r="AK37" s="345"/>
      <c r="AL37" s="345"/>
      <c r="AM37" s="345"/>
      <c r="AN37" s="345"/>
      <c r="AO37" s="345"/>
      <c r="AP37" s="345"/>
      <c r="AQ37" s="345"/>
      <c r="AR37" s="345"/>
      <c r="AS37" s="345"/>
      <c r="AT37" s="345"/>
      <c r="AU37" s="345"/>
      <c r="AV37" s="345"/>
      <c r="AW37" s="345"/>
      <c r="AX37" s="345"/>
      <c r="AY37" s="345"/>
      <c r="AZ37" s="345"/>
      <c r="BA37" s="345"/>
      <c r="BB37" s="345"/>
      <c r="BC37" s="345"/>
      <c r="BD37" s="345"/>
      <c r="BE37" s="345"/>
      <c r="BF37" s="345"/>
      <c r="BG37" s="345"/>
      <c r="BH37" s="345"/>
      <c r="BI37" s="345"/>
      <c r="BJ37" s="345"/>
      <c r="BK37" s="345"/>
      <c r="BL37" s="345"/>
      <c r="BM37" s="345"/>
      <c r="BN37" s="345"/>
      <c r="BO37" s="345"/>
      <c r="BP37" s="345"/>
      <c r="BQ37" s="345"/>
      <c r="BR37" s="345"/>
      <c r="BS37" s="345"/>
      <c r="BT37" s="345"/>
      <c r="BU37" s="345"/>
      <c r="BV37" s="345"/>
      <c r="BW37" s="345"/>
      <c r="BX37" s="345"/>
      <c r="BY37" s="345"/>
      <c r="BZ37" s="345"/>
      <c r="CA37" s="345"/>
      <c r="CB37" s="345"/>
      <c r="CC37" s="345"/>
      <c r="CD37" s="345"/>
      <c r="CE37" s="345"/>
      <c r="CF37" s="345"/>
      <c r="CG37" s="345"/>
      <c r="CH37" s="345"/>
      <c r="CI37" s="345"/>
      <c r="CJ37" s="345"/>
      <c r="CK37" s="345"/>
      <c r="CL37" s="345"/>
      <c r="CM37" s="345"/>
      <c r="CN37" s="345"/>
      <c r="CO37" s="345"/>
      <c r="CP37" s="345"/>
      <c r="CQ37" s="345"/>
      <c r="CR37" s="345"/>
      <c r="CS37" s="345"/>
      <c r="CT37" s="345"/>
      <c r="CU37" s="345"/>
      <c r="CV37" s="345"/>
      <c r="CW37" s="345"/>
      <c r="CX37" s="345"/>
      <c r="CY37" s="345"/>
      <c r="CZ37" s="345"/>
      <c r="DA37" s="345"/>
      <c r="DB37" s="345"/>
      <c r="DC37" s="345"/>
      <c r="DD37" s="345"/>
      <c r="DE37" s="345"/>
      <c r="DF37" s="345"/>
      <c r="DG37" s="345"/>
      <c r="DH37" s="345"/>
      <c r="DI37" s="345"/>
      <c r="DJ37" s="345"/>
      <c r="DK37" s="345"/>
      <c r="DL37" s="345"/>
      <c r="DM37" s="345"/>
      <c r="DN37" s="345"/>
      <c r="DO37" s="345"/>
      <c r="DP37" s="345"/>
      <c r="DQ37" s="345"/>
      <c r="DR37" s="345"/>
      <c r="DS37" s="345"/>
      <c r="DT37" s="345"/>
      <c r="DU37" s="345"/>
      <c r="DV37" s="345"/>
      <c r="DW37" s="345"/>
      <c r="DX37" s="345"/>
      <c r="DY37" s="345"/>
      <c r="DZ37" s="345"/>
      <c r="EA37" s="345"/>
    </row>
    <row r="38" spans="1:131" ht="15.95" customHeight="1">
      <c r="A38" s="345"/>
      <c r="B38" s="345"/>
      <c r="C38" s="2447"/>
      <c r="D38" s="5884" t="s">
        <v>1558</v>
      </c>
      <c r="E38" s="5826"/>
      <c r="F38" s="6036" t="s">
        <v>1505</v>
      </c>
      <c r="G38" s="5953"/>
      <c r="H38" s="5953"/>
      <c r="I38" s="5953"/>
      <c r="J38" s="5953"/>
      <c r="K38" s="5953"/>
      <c r="L38" s="5953"/>
      <c r="M38" s="6040"/>
      <c r="N38" s="2599" t="s">
        <v>1489</v>
      </c>
      <c r="O38" s="2513" t="s">
        <v>5</v>
      </c>
      <c r="P38" s="6038">
        <f>'Old Tax Regime'!L20</f>
        <v>0</v>
      </c>
      <c r="Q38" s="6039"/>
      <c r="R38" s="1827"/>
      <c r="S38" s="1827"/>
      <c r="T38" s="1827"/>
      <c r="U38" s="1827"/>
      <c r="V38" s="1827"/>
      <c r="W38" s="1827"/>
      <c r="X38" s="345"/>
      <c r="Y38" s="345"/>
      <c r="Z38" s="345"/>
      <c r="AA38" s="345"/>
      <c r="AB38" s="345"/>
      <c r="AC38" s="345"/>
      <c r="AD38" s="345"/>
      <c r="AE38" s="345"/>
      <c r="AF38" s="345"/>
      <c r="AG38" s="345"/>
      <c r="AH38" s="345"/>
      <c r="AI38" s="345"/>
      <c r="AJ38" s="345"/>
      <c r="AK38" s="345"/>
      <c r="AL38" s="345"/>
      <c r="AM38" s="345"/>
      <c r="AN38" s="345"/>
      <c r="AO38" s="345"/>
      <c r="AP38" s="345"/>
      <c r="AQ38" s="345"/>
      <c r="AR38" s="345"/>
      <c r="AS38" s="345"/>
      <c r="AT38" s="345"/>
      <c r="AU38" s="345"/>
      <c r="AV38" s="345"/>
      <c r="AW38" s="345"/>
      <c r="AX38" s="345"/>
      <c r="AY38" s="345"/>
      <c r="AZ38" s="345"/>
      <c r="BA38" s="345"/>
      <c r="BB38" s="345"/>
      <c r="BC38" s="345"/>
      <c r="BD38" s="345"/>
      <c r="BE38" s="345"/>
      <c r="BF38" s="345"/>
      <c r="BG38" s="345"/>
      <c r="BH38" s="345"/>
      <c r="BI38" s="345"/>
      <c r="BJ38" s="345"/>
      <c r="BK38" s="345"/>
      <c r="BL38" s="345"/>
      <c r="BM38" s="345"/>
      <c r="BN38" s="345"/>
      <c r="BO38" s="345"/>
      <c r="BP38" s="345"/>
      <c r="BQ38" s="345"/>
      <c r="BR38" s="345"/>
      <c r="BS38" s="345"/>
      <c r="BT38" s="345"/>
      <c r="BU38" s="345"/>
      <c r="BV38" s="345"/>
      <c r="BW38" s="345"/>
      <c r="BX38" s="345"/>
      <c r="BY38" s="345"/>
      <c r="BZ38" s="345"/>
      <c r="CA38" s="345"/>
      <c r="CB38" s="345"/>
      <c r="CC38" s="345"/>
      <c r="CD38" s="345"/>
      <c r="CE38" s="345"/>
      <c r="CF38" s="345"/>
      <c r="CG38" s="345"/>
      <c r="CH38" s="345"/>
      <c r="CI38" s="345"/>
      <c r="CJ38" s="345"/>
      <c r="CK38" s="345"/>
      <c r="CL38" s="345"/>
      <c r="CM38" s="345"/>
      <c r="CN38" s="345"/>
      <c r="CO38" s="345"/>
      <c r="CP38" s="345"/>
      <c r="CQ38" s="345"/>
      <c r="CR38" s="345"/>
      <c r="CS38" s="345"/>
      <c r="CT38" s="345"/>
      <c r="CU38" s="345"/>
      <c r="CV38" s="345"/>
      <c r="CW38" s="345"/>
      <c r="CX38" s="345"/>
      <c r="CY38" s="345"/>
      <c r="CZ38" s="345"/>
      <c r="DA38" s="345"/>
      <c r="DB38" s="345"/>
      <c r="DC38" s="345"/>
      <c r="DD38" s="345"/>
      <c r="DE38" s="345"/>
      <c r="DF38" s="345"/>
      <c r="DG38" s="345"/>
      <c r="DH38" s="345"/>
      <c r="DI38" s="345"/>
      <c r="DJ38" s="345"/>
      <c r="DK38" s="345"/>
      <c r="DL38" s="345"/>
      <c r="DM38" s="345"/>
      <c r="DN38" s="345"/>
      <c r="DO38" s="345"/>
      <c r="DP38" s="345"/>
      <c r="DQ38" s="345"/>
      <c r="DR38" s="345"/>
      <c r="DS38" s="345"/>
      <c r="DT38" s="345"/>
      <c r="DU38" s="345"/>
      <c r="DV38" s="345"/>
      <c r="DW38" s="345"/>
      <c r="DX38" s="345"/>
      <c r="DY38" s="345"/>
      <c r="DZ38" s="345"/>
      <c r="EA38" s="345"/>
    </row>
    <row r="39" spans="1:131" ht="15.95" customHeight="1">
      <c r="A39" s="345"/>
      <c r="B39" s="345"/>
      <c r="C39" s="2447"/>
      <c r="D39" s="5884" t="s">
        <v>1563</v>
      </c>
      <c r="E39" s="5835"/>
      <c r="F39" s="6036" t="s">
        <v>1493</v>
      </c>
      <c r="G39" s="5953"/>
      <c r="H39" s="5953"/>
      <c r="I39" s="5953"/>
      <c r="J39" s="5953"/>
      <c r="K39" s="5953"/>
      <c r="L39" s="5953"/>
      <c r="M39" s="6040"/>
      <c r="N39" s="2599" t="s">
        <v>1490</v>
      </c>
      <c r="O39" s="2639" t="s">
        <v>5</v>
      </c>
      <c r="P39" s="6025">
        <f>SUM(L41:M43)</f>
        <v>258400</v>
      </c>
      <c r="Q39" s="6026"/>
      <c r="R39" s="1827"/>
      <c r="S39" s="1827"/>
      <c r="T39" s="1827"/>
      <c r="U39" s="1827"/>
      <c r="V39" s="1827"/>
      <c r="W39" s="1827"/>
      <c r="X39" s="345"/>
      <c r="Y39" s="345"/>
      <c r="Z39" s="345"/>
      <c r="AA39" s="345"/>
      <c r="AB39" s="345"/>
      <c r="AC39" s="345"/>
      <c r="AD39" s="345"/>
      <c r="AE39" s="345"/>
      <c r="AF39" s="345"/>
      <c r="AG39" s="345"/>
      <c r="AH39" s="345"/>
      <c r="AI39" s="345"/>
      <c r="AJ39" s="345"/>
      <c r="AK39" s="345"/>
      <c r="AL39" s="345"/>
      <c r="AM39" s="345"/>
      <c r="AN39" s="345"/>
      <c r="AO39" s="345"/>
      <c r="AP39" s="345"/>
      <c r="AQ39" s="345"/>
      <c r="AR39" s="345"/>
      <c r="AS39" s="345"/>
      <c r="AT39" s="345"/>
      <c r="AU39" s="345"/>
      <c r="AV39" s="345"/>
      <c r="AW39" s="345"/>
      <c r="AX39" s="345"/>
      <c r="AY39" s="345"/>
      <c r="AZ39" s="345"/>
      <c r="BA39" s="345"/>
      <c r="BB39" s="345"/>
      <c r="BC39" s="345"/>
      <c r="BD39" s="345"/>
      <c r="BE39" s="345"/>
      <c r="BF39" s="345"/>
      <c r="BG39" s="345"/>
      <c r="BH39" s="345"/>
      <c r="BI39" s="345"/>
      <c r="BJ39" s="345"/>
      <c r="BK39" s="345"/>
      <c r="BL39" s="345"/>
      <c r="BM39" s="345"/>
      <c r="BN39" s="345"/>
      <c r="BO39" s="345"/>
      <c r="BP39" s="345"/>
      <c r="BQ39" s="345"/>
      <c r="BR39" s="345"/>
      <c r="BS39" s="345"/>
      <c r="BT39" s="345"/>
      <c r="BU39" s="345"/>
      <c r="BV39" s="345"/>
      <c r="BW39" s="345"/>
      <c r="BX39" s="345"/>
      <c r="BY39" s="345"/>
      <c r="BZ39" s="345"/>
      <c r="CA39" s="345"/>
      <c r="CB39" s="345"/>
      <c r="CC39" s="345"/>
      <c r="CD39" s="345"/>
      <c r="CE39" s="345"/>
      <c r="CF39" s="345"/>
      <c r="CG39" s="345"/>
      <c r="CH39" s="345"/>
      <c r="CI39" s="345"/>
      <c r="CJ39" s="345"/>
      <c r="CK39" s="345"/>
      <c r="CL39" s="345"/>
      <c r="CM39" s="345"/>
      <c r="CN39" s="345"/>
      <c r="CO39" s="345"/>
      <c r="CP39" s="345"/>
      <c r="CQ39" s="345"/>
      <c r="CR39" s="345"/>
      <c r="CS39" s="345"/>
      <c r="CT39" s="345"/>
      <c r="CU39" s="345"/>
      <c r="CV39" s="345"/>
      <c r="CW39" s="345"/>
      <c r="CX39" s="345"/>
      <c r="CY39" s="345"/>
      <c r="CZ39" s="345"/>
      <c r="DA39" s="345"/>
      <c r="DB39" s="345"/>
      <c r="DC39" s="345"/>
      <c r="DD39" s="345"/>
      <c r="DE39" s="345"/>
      <c r="DF39" s="345"/>
      <c r="DG39" s="345"/>
      <c r="DH39" s="345"/>
      <c r="DI39" s="345"/>
      <c r="DJ39" s="345"/>
      <c r="DK39" s="345"/>
      <c r="DL39" s="345"/>
      <c r="DM39" s="345"/>
      <c r="DN39" s="345"/>
      <c r="DO39" s="345"/>
      <c r="DP39" s="345"/>
      <c r="DQ39" s="345"/>
      <c r="DR39" s="345"/>
      <c r="DS39" s="345"/>
      <c r="DT39" s="345"/>
      <c r="DU39" s="345"/>
      <c r="DV39" s="345"/>
      <c r="DW39" s="345"/>
      <c r="DX39" s="345"/>
      <c r="DY39" s="345"/>
      <c r="DZ39" s="345"/>
      <c r="EA39" s="345"/>
    </row>
    <row r="40" spans="1:131" ht="15.95" customHeight="1">
      <c r="A40" s="345"/>
      <c r="B40" s="345"/>
      <c r="C40" s="2447"/>
      <c r="D40" s="5828" t="s">
        <v>176</v>
      </c>
      <c r="E40" s="5828"/>
      <c r="F40" s="5888" t="s">
        <v>1491</v>
      </c>
      <c r="G40" s="5888"/>
      <c r="H40" s="5888"/>
      <c r="I40" s="5888"/>
      <c r="J40" s="5888"/>
      <c r="K40" s="5888"/>
      <c r="L40" s="6027" t="s">
        <v>1492</v>
      </c>
      <c r="M40" s="6027"/>
      <c r="N40" s="6028"/>
      <c r="O40" s="6029"/>
      <c r="P40" s="6029"/>
      <c r="Q40" s="6030"/>
      <c r="R40" s="1827"/>
      <c r="S40" s="1827"/>
      <c r="T40" s="1827"/>
      <c r="U40" s="1827"/>
      <c r="V40" s="1827"/>
      <c r="W40" s="1827"/>
      <c r="X40" s="345"/>
      <c r="Y40" s="345"/>
      <c r="Z40" s="345"/>
      <c r="AA40" s="345"/>
      <c r="AB40" s="345"/>
      <c r="AC40" s="345"/>
      <c r="AD40" s="345"/>
      <c r="AE40" s="345"/>
      <c r="AF40" s="345"/>
      <c r="AG40" s="345"/>
      <c r="AH40" s="345"/>
      <c r="AI40" s="345"/>
      <c r="AJ40" s="345"/>
      <c r="AK40" s="345"/>
      <c r="AL40" s="345"/>
      <c r="AM40" s="345"/>
      <c r="AN40" s="345"/>
      <c r="AO40" s="345"/>
      <c r="AP40" s="345"/>
      <c r="AQ40" s="345"/>
      <c r="AR40" s="345"/>
      <c r="AS40" s="345"/>
      <c r="AT40" s="345"/>
      <c r="AU40" s="345"/>
      <c r="AV40" s="345"/>
      <c r="AW40" s="345"/>
      <c r="AX40" s="345"/>
      <c r="AY40" s="345"/>
      <c r="AZ40" s="345"/>
      <c r="BA40" s="345"/>
      <c r="BB40" s="345"/>
      <c r="BC40" s="345"/>
      <c r="BD40" s="345"/>
      <c r="BE40" s="345"/>
      <c r="BF40" s="345"/>
      <c r="BG40" s="345"/>
      <c r="BH40" s="345"/>
      <c r="BI40" s="345"/>
      <c r="BJ40" s="345"/>
      <c r="BK40" s="345"/>
      <c r="BL40" s="345"/>
      <c r="BM40" s="345"/>
      <c r="BN40" s="345"/>
      <c r="BO40" s="345"/>
      <c r="BP40" s="345"/>
      <c r="BQ40" s="345"/>
      <c r="BR40" s="345"/>
      <c r="BS40" s="345"/>
      <c r="BT40" s="345"/>
      <c r="BU40" s="345"/>
      <c r="BV40" s="345"/>
      <c r="BW40" s="345"/>
      <c r="BX40" s="345"/>
      <c r="BY40" s="345"/>
      <c r="BZ40" s="345"/>
      <c r="CA40" s="345"/>
      <c r="CB40" s="345"/>
      <c r="CC40" s="345"/>
      <c r="CD40" s="345"/>
      <c r="CE40" s="345"/>
      <c r="CF40" s="345"/>
      <c r="CG40" s="345"/>
      <c r="CH40" s="345"/>
      <c r="CI40" s="345"/>
      <c r="CJ40" s="345"/>
      <c r="CK40" s="345"/>
      <c r="CL40" s="345"/>
      <c r="CM40" s="345"/>
      <c r="CN40" s="345"/>
      <c r="CO40" s="345"/>
      <c r="CP40" s="345"/>
      <c r="CQ40" s="345"/>
      <c r="CR40" s="345"/>
      <c r="CS40" s="345"/>
      <c r="CT40" s="345"/>
      <c r="CU40" s="345"/>
      <c r="CV40" s="345"/>
      <c r="CW40" s="345"/>
      <c r="CX40" s="345"/>
      <c r="CY40" s="345"/>
      <c r="CZ40" s="345"/>
      <c r="DA40" s="345"/>
      <c r="DB40" s="345"/>
      <c r="DC40" s="345"/>
      <c r="DD40" s="345"/>
      <c r="DE40" s="345"/>
      <c r="DF40" s="345"/>
      <c r="DG40" s="345"/>
      <c r="DH40" s="345"/>
      <c r="DI40" s="345"/>
      <c r="DJ40" s="345"/>
      <c r="DK40" s="345"/>
      <c r="DL40" s="345"/>
      <c r="DM40" s="345"/>
      <c r="DN40" s="345"/>
      <c r="DO40" s="345"/>
      <c r="DP40" s="345"/>
      <c r="DQ40" s="345"/>
      <c r="DR40" s="345"/>
      <c r="DS40" s="345"/>
      <c r="DT40" s="345"/>
      <c r="DU40" s="345"/>
      <c r="DV40" s="345"/>
      <c r="DW40" s="345"/>
      <c r="DX40" s="345"/>
      <c r="DY40" s="345"/>
      <c r="DZ40" s="345"/>
      <c r="EA40" s="345"/>
    </row>
    <row r="41" spans="1:131" ht="15.95" customHeight="1">
      <c r="A41" s="345"/>
      <c r="B41" s="345"/>
      <c r="C41" s="2447"/>
      <c r="D41" s="5821">
        <v>1</v>
      </c>
      <c r="E41" s="5821"/>
      <c r="F41" s="6043" t="str">
        <f>'Old Tax Regime'!D22</f>
        <v>Income from Profession</v>
      </c>
      <c r="G41" s="6043"/>
      <c r="H41" s="6043"/>
      <c r="I41" s="6043"/>
      <c r="J41" s="6043"/>
      <c r="K41" s="6043"/>
      <c r="L41" s="6041">
        <f>'Old Tax Regime'!I22</f>
        <v>258400</v>
      </c>
      <c r="M41" s="6042"/>
      <c r="N41" s="6031"/>
      <c r="O41" s="6032"/>
      <c r="P41" s="6032"/>
      <c r="Q41" s="6033"/>
      <c r="R41" s="1827"/>
      <c r="S41" s="1827"/>
      <c r="T41" s="1827"/>
      <c r="U41" s="1827"/>
      <c r="V41" s="1827"/>
      <c r="W41" s="1827"/>
      <c r="X41" s="345"/>
      <c r="Y41" s="345"/>
      <c r="Z41" s="345"/>
      <c r="AA41" s="345"/>
      <c r="AB41" s="345"/>
      <c r="AC41" s="345"/>
      <c r="AD41" s="345"/>
      <c r="AE41" s="345"/>
      <c r="AF41" s="345"/>
      <c r="AG41" s="345"/>
      <c r="AH41" s="345"/>
      <c r="AI41" s="345"/>
      <c r="AJ41" s="345"/>
      <c r="AK41" s="345"/>
      <c r="AL41" s="345"/>
      <c r="AM41" s="345"/>
      <c r="AN41" s="345"/>
      <c r="AO41" s="345"/>
      <c r="AP41" s="345"/>
      <c r="AQ41" s="345"/>
      <c r="AR41" s="345"/>
      <c r="AS41" s="345"/>
      <c r="AT41" s="345"/>
      <c r="AU41" s="345"/>
      <c r="AV41" s="345"/>
      <c r="AW41" s="345"/>
      <c r="AX41" s="345"/>
      <c r="AY41" s="345"/>
      <c r="AZ41" s="345"/>
      <c r="BA41" s="345"/>
      <c r="BB41" s="345"/>
      <c r="BC41" s="345"/>
      <c r="BD41" s="345"/>
      <c r="BE41" s="345"/>
      <c r="BF41" s="345"/>
      <c r="BG41" s="345"/>
      <c r="BH41" s="345"/>
      <c r="BI41" s="345"/>
      <c r="BJ41" s="345"/>
      <c r="BK41" s="345"/>
      <c r="BL41" s="345"/>
      <c r="BM41" s="345"/>
      <c r="BN41" s="345"/>
      <c r="BO41" s="345"/>
      <c r="BP41" s="345"/>
      <c r="BQ41" s="345"/>
      <c r="BR41" s="345"/>
      <c r="BS41" s="345"/>
      <c r="BT41" s="345"/>
      <c r="BU41" s="345"/>
      <c r="BV41" s="345"/>
      <c r="BW41" s="345"/>
      <c r="BX41" s="345"/>
      <c r="BY41" s="345"/>
      <c r="BZ41" s="345"/>
      <c r="CA41" s="345"/>
      <c r="CB41" s="345"/>
      <c r="CC41" s="345"/>
      <c r="CD41" s="345"/>
      <c r="CE41" s="345"/>
      <c r="CF41" s="345"/>
      <c r="CG41" s="345"/>
      <c r="CH41" s="345"/>
      <c r="CI41" s="345"/>
      <c r="CJ41" s="345"/>
      <c r="CK41" s="345"/>
      <c r="CL41" s="345"/>
      <c r="CM41" s="345"/>
      <c r="CN41" s="345"/>
      <c r="CO41" s="345"/>
      <c r="CP41" s="345"/>
      <c r="CQ41" s="345"/>
      <c r="CR41" s="345"/>
      <c r="CS41" s="345"/>
      <c r="CT41" s="345"/>
      <c r="CU41" s="345"/>
      <c r="CV41" s="345"/>
      <c r="CW41" s="345"/>
      <c r="CX41" s="345"/>
      <c r="CY41" s="345"/>
      <c r="CZ41" s="345"/>
      <c r="DA41" s="345"/>
      <c r="DB41" s="345"/>
      <c r="DC41" s="345"/>
      <c r="DD41" s="345"/>
      <c r="DE41" s="345"/>
      <c r="DF41" s="345"/>
      <c r="DG41" s="345"/>
      <c r="DH41" s="345"/>
      <c r="DI41" s="345"/>
      <c r="DJ41" s="345"/>
      <c r="DK41" s="345"/>
      <c r="DL41" s="345"/>
      <c r="DM41" s="345"/>
      <c r="DN41" s="345"/>
      <c r="DO41" s="345"/>
      <c r="DP41" s="345"/>
      <c r="DQ41" s="345"/>
      <c r="DR41" s="345"/>
      <c r="DS41" s="345"/>
      <c r="DT41" s="345"/>
      <c r="DU41" s="345"/>
      <c r="DV41" s="345"/>
      <c r="DW41" s="345"/>
      <c r="DX41" s="345"/>
      <c r="DY41" s="345"/>
      <c r="DZ41" s="345"/>
      <c r="EA41" s="345"/>
    </row>
    <row r="42" spans="1:131" ht="15.95" customHeight="1">
      <c r="A42" s="345"/>
      <c r="B42" s="345"/>
      <c r="C42" s="2447"/>
      <c r="D42" s="5821">
        <v>2</v>
      </c>
      <c r="E42" s="5821"/>
      <c r="F42" s="6043" t="str">
        <f>'Old Tax Regime'!D23</f>
        <v>Interest from Deposit (Bank/Post Office/Cooperative Society)</v>
      </c>
      <c r="G42" s="6043"/>
      <c r="H42" s="6043"/>
      <c r="I42" s="6043"/>
      <c r="J42" s="6043"/>
      <c r="K42" s="6043"/>
      <c r="L42" s="6041">
        <f>'Old Tax Regime'!I23</f>
        <v>0</v>
      </c>
      <c r="M42" s="6042"/>
      <c r="N42" s="6031"/>
      <c r="O42" s="6032"/>
      <c r="P42" s="6032"/>
      <c r="Q42" s="6033"/>
      <c r="R42" s="1827"/>
      <c r="S42" s="1827"/>
      <c r="T42" s="1827"/>
      <c r="U42" s="1827"/>
      <c r="V42" s="1827"/>
      <c r="W42" s="1827"/>
      <c r="X42" s="345"/>
      <c r="Y42" s="345"/>
      <c r="Z42" s="345"/>
      <c r="AA42" s="345"/>
      <c r="AB42" s="345"/>
      <c r="AC42" s="345"/>
      <c r="AD42" s="345"/>
      <c r="AE42" s="345"/>
      <c r="AF42" s="345"/>
      <c r="AG42" s="345"/>
      <c r="AH42" s="345"/>
      <c r="AI42" s="345"/>
      <c r="AJ42" s="345"/>
      <c r="AK42" s="345"/>
      <c r="AL42" s="345"/>
      <c r="AM42" s="345"/>
      <c r="AN42" s="345"/>
      <c r="AO42" s="345"/>
      <c r="AP42" s="345"/>
      <c r="AQ42" s="345"/>
      <c r="AR42" s="345"/>
      <c r="AS42" s="345"/>
      <c r="AT42" s="345"/>
      <c r="AU42" s="345"/>
      <c r="AV42" s="345"/>
      <c r="AW42" s="345"/>
      <c r="AX42" s="345"/>
      <c r="AY42" s="345"/>
      <c r="AZ42" s="345"/>
      <c r="BA42" s="345"/>
      <c r="BB42" s="345"/>
      <c r="BC42" s="345"/>
      <c r="BD42" s="345"/>
      <c r="BE42" s="345"/>
      <c r="BF42" s="345"/>
      <c r="BG42" s="345"/>
      <c r="BH42" s="345"/>
      <c r="BI42" s="345"/>
      <c r="BJ42" s="345"/>
      <c r="BK42" s="345"/>
      <c r="BL42" s="345"/>
      <c r="BM42" s="345"/>
      <c r="BN42" s="345"/>
      <c r="BO42" s="345"/>
      <c r="BP42" s="345"/>
      <c r="BQ42" s="345"/>
      <c r="BR42" s="345"/>
      <c r="BS42" s="345"/>
      <c r="BT42" s="345"/>
      <c r="BU42" s="345"/>
      <c r="BV42" s="345"/>
      <c r="BW42" s="345"/>
      <c r="BX42" s="345"/>
      <c r="BY42" s="345"/>
      <c r="BZ42" s="345"/>
      <c r="CA42" s="345"/>
      <c r="CB42" s="345"/>
      <c r="CC42" s="345"/>
      <c r="CD42" s="345"/>
      <c r="CE42" s="345"/>
      <c r="CF42" s="345"/>
      <c r="CG42" s="345"/>
      <c r="CH42" s="345"/>
      <c r="CI42" s="345"/>
      <c r="CJ42" s="345"/>
      <c r="CK42" s="345"/>
      <c r="CL42" s="345"/>
      <c r="CM42" s="345"/>
      <c r="CN42" s="345"/>
      <c r="CO42" s="345"/>
      <c r="CP42" s="345"/>
      <c r="CQ42" s="345"/>
      <c r="CR42" s="345"/>
      <c r="CS42" s="345"/>
      <c r="CT42" s="345"/>
      <c r="CU42" s="345"/>
      <c r="CV42" s="345"/>
      <c r="CW42" s="345"/>
      <c r="CX42" s="345"/>
      <c r="CY42" s="345"/>
      <c r="CZ42" s="345"/>
      <c r="DA42" s="345"/>
      <c r="DB42" s="345"/>
      <c r="DC42" s="345"/>
      <c r="DD42" s="345"/>
      <c r="DE42" s="345"/>
      <c r="DF42" s="345"/>
      <c r="DG42" s="345"/>
      <c r="DH42" s="345"/>
      <c r="DI42" s="345"/>
      <c r="DJ42" s="345"/>
      <c r="DK42" s="345"/>
      <c r="DL42" s="345"/>
      <c r="DM42" s="345"/>
      <c r="DN42" s="345"/>
      <c r="DO42" s="345"/>
      <c r="DP42" s="345"/>
      <c r="DQ42" s="345"/>
      <c r="DR42" s="345"/>
      <c r="DS42" s="345"/>
      <c r="DT42" s="345"/>
      <c r="DU42" s="345"/>
      <c r="DV42" s="345"/>
      <c r="DW42" s="345"/>
      <c r="DX42" s="345"/>
      <c r="DY42" s="345"/>
      <c r="DZ42" s="345"/>
      <c r="EA42" s="345"/>
    </row>
    <row r="43" spans="1:131" ht="15.95" customHeight="1">
      <c r="A43" s="345"/>
      <c r="B43" s="345"/>
      <c r="C43" s="2447"/>
      <c r="D43" s="5821">
        <v>3</v>
      </c>
      <c r="E43" s="5821"/>
      <c r="F43" s="6043" t="str">
        <f>'Old Tax Regime'!D24</f>
        <v>Interest from Income Tax Refund</v>
      </c>
      <c r="G43" s="6043"/>
      <c r="H43" s="6043"/>
      <c r="I43" s="6043"/>
      <c r="J43" s="6043"/>
      <c r="K43" s="6043"/>
      <c r="L43" s="6041">
        <f>'Old Tax Regime'!I24</f>
        <v>0</v>
      </c>
      <c r="M43" s="6042"/>
      <c r="N43" s="6031"/>
      <c r="O43" s="6032"/>
      <c r="P43" s="6032"/>
      <c r="Q43" s="6033"/>
      <c r="R43" s="1827"/>
      <c r="S43" s="1827"/>
      <c r="T43" s="1827"/>
      <c r="U43" s="1827"/>
      <c r="V43" s="1827"/>
      <c r="W43" s="1827"/>
      <c r="X43" s="345"/>
      <c r="Y43" s="345"/>
      <c r="Z43" s="345"/>
      <c r="AA43" s="345"/>
      <c r="AB43" s="345"/>
      <c r="AC43" s="345"/>
      <c r="AD43" s="345"/>
      <c r="AE43" s="345"/>
      <c r="AF43" s="345"/>
      <c r="AG43" s="345"/>
      <c r="AH43" s="345"/>
      <c r="AI43" s="345"/>
      <c r="AJ43" s="345"/>
      <c r="AK43" s="345"/>
      <c r="AL43" s="345"/>
      <c r="AM43" s="345"/>
      <c r="AN43" s="345"/>
      <c r="AO43" s="345"/>
      <c r="AP43" s="345"/>
      <c r="AQ43" s="345"/>
      <c r="AR43" s="345"/>
      <c r="AS43" s="345"/>
      <c r="AT43" s="345"/>
      <c r="AU43" s="345"/>
      <c r="AV43" s="345"/>
      <c r="AW43" s="345"/>
      <c r="AX43" s="345"/>
      <c r="AY43" s="345"/>
      <c r="AZ43" s="345"/>
      <c r="BA43" s="345"/>
      <c r="BB43" s="345"/>
      <c r="BC43" s="345"/>
      <c r="BD43" s="345"/>
      <c r="BE43" s="345"/>
      <c r="BF43" s="345"/>
      <c r="BG43" s="345"/>
      <c r="BH43" s="345"/>
      <c r="BI43" s="345"/>
      <c r="BJ43" s="345"/>
      <c r="BK43" s="345"/>
      <c r="BL43" s="345"/>
      <c r="BM43" s="345"/>
      <c r="BN43" s="345"/>
      <c r="BO43" s="345"/>
      <c r="BP43" s="345"/>
      <c r="BQ43" s="345"/>
      <c r="BR43" s="345"/>
      <c r="BS43" s="345"/>
      <c r="BT43" s="345"/>
      <c r="BU43" s="345"/>
      <c r="BV43" s="345"/>
      <c r="BW43" s="345"/>
      <c r="BX43" s="345"/>
      <c r="BY43" s="345"/>
      <c r="BZ43" s="345"/>
      <c r="CA43" s="345"/>
      <c r="CB43" s="345"/>
      <c r="CC43" s="345"/>
      <c r="CD43" s="345"/>
      <c r="CE43" s="345"/>
      <c r="CF43" s="345"/>
      <c r="CG43" s="345"/>
      <c r="CH43" s="345"/>
      <c r="CI43" s="345"/>
      <c r="CJ43" s="345"/>
      <c r="CK43" s="345"/>
      <c r="CL43" s="345"/>
      <c r="CM43" s="345"/>
      <c r="CN43" s="345"/>
      <c r="CO43" s="345"/>
      <c r="CP43" s="345"/>
      <c r="CQ43" s="345"/>
      <c r="CR43" s="345"/>
      <c r="CS43" s="345"/>
      <c r="CT43" s="345"/>
      <c r="CU43" s="345"/>
      <c r="CV43" s="345"/>
      <c r="CW43" s="345"/>
      <c r="CX43" s="345"/>
      <c r="CY43" s="345"/>
      <c r="CZ43" s="345"/>
      <c r="DA43" s="345"/>
      <c r="DB43" s="345"/>
      <c r="DC43" s="345"/>
      <c r="DD43" s="345"/>
      <c r="DE43" s="345"/>
      <c r="DF43" s="345"/>
      <c r="DG43" s="345"/>
      <c r="DH43" s="345"/>
      <c r="DI43" s="345"/>
      <c r="DJ43" s="345"/>
      <c r="DK43" s="345"/>
      <c r="DL43" s="345"/>
      <c r="DM43" s="345"/>
      <c r="DN43" s="345"/>
      <c r="DO43" s="345"/>
      <c r="DP43" s="345"/>
      <c r="DQ43" s="345"/>
      <c r="DR43" s="345"/>
      <c r="DS43" s="345"/>
      <c r="DT43" s="345"/>
      <c r="DU43" s="345"/>
      <c r="DV43" s="345"/>
      <c r="DW43" s="345"/>
      <c r="DX43" s="345"/>
      <c r="DY43" s="345"/>
      <c r="DZ43" s="345"/>
      <c r="EA43" s="345"/>
    </row>
    <row r="44" spans="1:131" ht="18" customHeight="1">
      <c r="A44" s="345"/>
      <c r="B44" s="345"/>
      <c r="C44" s="2447"/>
      <c r="D44" s="5828" t="s">
        <v>1495</v>
      </c>
      <c r="E44" s="5828"/>
      <c r="F44" s="5888" t="s">
        <v>1496</v>
      </c>
      <c r="G44" s="5888"/>
      <c r="H44" s="5888"/>
      <c r="I44" s="5888"/>
      <c r="J44" s="5888"/>
      <c r="K44" s="5888"/>
      <c r="L44" s="5888"/>
      <c r="M44" s="5888"/>
      <c r="N44" s="2453" t="s">
        <v>1495</v>
      </c>
      <c r="O44" s="2513" t="s">
        <v>5</v>
      </c>
      <c r="P44" s="6049">
        <f>SUM(P37:Q39)</f>
        <v>1620200</v>
      </c>
      <c r="Q44" s="6050"/>
      <c r="R44" s="1827"/>
      <c r="S44" s="1827"/>
      <c r="T44" s="1827"/>
      <c r="U44" s="1827"/>
      <c r="V44" s="1827"/>
      <c r="W44" s="1827"/>
      <c r="X44" s="345"/>
      <c r="Y44" s="345"/>
      <c r="Z44" s="345"/>
      <c r="AA44" s="345"/>
      <c r="AB44" s="345"/>
      <c r="AC44" s="345"/>
      <c r="AD44" s="345"/>
      <c r="AE44" s="345"/>
      <c r="AF44" s="345"/>
      <c r="AG44" s="345"/>
      <c r="AH44" s="345"/>
      <c r="AI44" s="345"/>
      <c r="AJ44" s="345"/>
      <c r="AK44" s="345"/>
      <c r="AL44" s="345"/>
      <c r="AM44" s="345"/>
      <c r="AN44" s="345"/>
      <c r="AO44" s="345"/>
      <c r="AP44" s="345"/>
      <c r="AQ44" s="345"/>
      <c r="AR44" s="345"/>
      <c r="AS44" s="345"/>
      <c r="AT44" s="345"/>
      <c r="AU44" s="345"/>
      <c r="AV44" s="345"/>
      <c r="AW44" s="345"/>
      <c r="AX44" s="345"/>
      <c r="AY44" s="345"/>
      <c r="AZ44" s="345"/>
      <c r="BA44" s="345"/>
      <c r="BB44" s="345"/>
      <c r="BC44" s="345"/>
      <c r="BD44" s="345"/>
      <c r="BE44" s="345"/>
      <c r="BF44" s="345"/>
      <c r="BG44" s="345"/>
      <c r="BH44" s="345"/>
      <c r="BI44" s="345"/>
      <c r="BJ44" s="345"/>
      <c r="BK44" s="345"/>
      <c r="BL44" s="345"/>
      <c r="BM44" s="345"/>
      <c r="BN44" s="345"/>
      <c r="BO44" s="345"/>
      <c r="BP44" s="345"/>
      <c r="BQ44" s="345"/>
      <c r="BR44" s="345"/>
      <c r="BS44" s="345"/>
      <c r="BT44" s="345"/>
      <c r="BU44" s="345"/>
      <c r="BV44" s="345"/>
      <c r="BW44" s="345"/>
      <c r="BX44" s="345"/>
      <c r="BY44" s="345"/>
      <c r="BZ44" s="345"/>
      <c r="CA44" s="345"/>
      <c r="CB44" s="345"/>
      <c r="CC44" s="345"/>
      <c r="CD44" s="345"/>
      <c r="CE44" s="345"/>
      <c r="CF44" s="345"/>
      <c r="CG44" s="345"/>
      <c r="CH44" s="345"/>
      <c r="CI44" s="345"/>
      <c r="CJ44" s="345"/>
      <c r="CK44" s="345"/>
      <c r="CL44" s="345"/>
      <c r="CM44" s="345"/>
      <c r="CN44" s="345"/>
      <c r="CO44" s="345"/>
      <c r="CP44" s="345"/>
      <c r="CQ44" s="345"/>
      <c r="CR44" s="345"/>
      <c r="CS44" s="345"/>
      <c r="CT44" s="345"/>
      <c r="CU44" s="345"/>
      <c r="CV44" s="345"/>
      <c r="CW44" s="345"/>
      <c r="CX44" s="345"/>
      <c r="CY44" s="345"/>
      <c r="CZ44" s="345"/>
      <c r="DA44" s="345"/>
      <c r="DB44" s="345"/>
      <c r="DC44" s="345"/>
      <c r="DD44" s="345"/>
      <c r="DE44" s="345"/>
      <c r="DF44" s="345"/>
      <c r="DG44" s="345"/>
      <c r="DH44" s="345"/>
      <c r="DI44" s="345"/>
      <c r="DJ44" s="345"/>
      <c r="DK44" s="345"/>
      <c r="DL44" s="345"/>
      <c r="DM44" s="345"/>
      <c r="DN44" s="345"/>
      <c r="DO44" s="345"/>
      <c r="DP44" s="345"/>
      <c r="DQ44" s="345"/>
      <c r="DR44" s="345"/>
      <c r="DS44" s="345"/>
      <c r="DT44" s="345"/>
      <c r="DU44" s="345"/>
      <c r="DV44" s="345"/>
      <c r="DW44" s="345"/>
      <c r="DX44" s="345"/>
      <c r="DY44" s="345"/>
      <c r="DZ44" s="345"/>
      <c r="EA44" s="345"/>
    </row>
    <row r="45" spans="1:131" ht="18" customHeight="1">
      <c r="A45" s="345"/>
      <c r="B45" s="345"/>
      <c r="C45" s="2447"/>
      <c r="D45" s="6054" t="s">
        <v>1497</v>
      </c>
      <c r="E45" s="6055"/>
      <c r="F45" s="5828" t="s">
        <v>314</v>
      </c>
      <c r="G45" s="5828"/>
      <c r="H45" s="5828"/>
      <c r="I45" s="5828"/>
      <c r="J45" s="5828"/>
      <c r="K45" s="5828"/>
      <c r="L45" s="5887"/>
      <c r="M45" s="5887"/>
      <c r="N45" s="6051"/>
      <c r="O45" s="6052"/>
      <c r="P45" s="6052"/>
      <c r="Q45" s="6053"/>
      <c r="R45" s="1827"/>
      <c r="S45" s="1827"/>
      <c r="T45" s="1827"/>
      <c r="U45" s="1827"/>
      <c r="V45" s="1827"/>
      <c r="W45" s="1827"/>
      <c r="X45" s="345"/>
      <c r="Y45" s="345"/>
      <c r="Z45" s="345"/>
      <c r="AA45" s="345"/>
      <c r="AB45" s="345"/>
      <c r="AC45" s="345"/>
      <c r="AD45" s="345"/>
      <c r="AE45" s="345"/>
      <c r="AF45" s="345"/>
      <c r="AG45" s="345"/>
      <c r="AH45" s="345"/>
      <c r="AI45" s="345"/>
      <c r="AJ45" s="345"/>
      <c r="AK45" s="345"/>
      <c r="AL45" s="345"/>
      <c r="AM45" s="345"/>
      <c r="AN45" s="345"/>
      <c r="AO45" s="345"/>
      <c r="AP45" s="345"/>
      <c r="AQ45" s="345"/>
      <c r="AR45" s="345"/>
      <c r="AS45" s="345"/>
      <c r="AT45" s="345"/>
      <c r="AU45" s="345"/>
      <c r="AV45" s="345"/>
      <c r="AW45" s="345"/>
      <c r="AX45" s="345"/>
      <c r="AY45" s="345"/>
      <c r="AZ45" s="345"/>
      <c r="BA45" s="345"/>
      <c r="BB45" s="345"/>
      <c r="BC45" s="345"/>
      <c r="BD45" s="345"/>
      <c r="BE45" s="345"/>
      <c r="BF45" s="345"/>
      <c r="BG45" s="345"/>
      <c r="BH45" s="345"/>
      <c r="BI45" s="345"/>
      <c r="BJ45" s="345"/>
      <c r="BK45" s="345"/>
      <c r="BL45" s="345"/>
      <c r="BM45" s="345"/>
      <c r="BN45" s="345"/>
      <c r="BO45" s="345"/>
      <c r="BP45" s="345"/>
      <c r="BQ45" s="345"/>
      <c r="BR45" s="345"/>
      <c r="BS45" s="345"/>
      <c r="BT45" s="345"/>
      <c r="BU45" s="345"/>
      <c r="BV45" s="345"/>
      <c r="BW45" s="345"/>
      <c r="BX45" s="345"/>
      <c r="BY45" s="345"/>
      <c r="BZ45" s="345"/>
      <c r="CA45" s="345"/>
      <c r="CB45" s="345"/>
      <c r="CC45" s="345"/>
      <c r="CD45" s="345"/>
      <c r="CE45" s="345"/>
      <c r="CF45" s="345"/>
      <c r="CG45" s="345"/>
      <c r="CH45" s="345"/>
      <c r="CI45" s="345"/>
      <c r="CJ45" s="345"/>
      <c r="CK45" s="345"/>
      <c r="CL45" s="345"/>
      <c r="CM45" s="345"/>
      <c r="CN45" s="345"/>
      <c r="CO45" s="345"/>
      <c r="CP45" s="345"/>
      <c r="CQ45" s="345"/>
      <c r="CR45" s="345"/>
      <c r="CS45" s="345"/>
      <c r="CT45" s="345"/>
      <c r="CU45" s="345"/>
      <c r="CV45" s="345"/>
      <c r="CW45" s="345"/>
      <c r="CX45" s="345"/>
      <c r="CY45" s="345"/>
      <c r="CZ45" s="345"/>
      <c r="DA45" s="345"/>
      <c r="DB45" s="345"/>
      <c r="DC45" s="345"/>
      <c r="DD45" s="345"/>
      <c r="DE45" s="345"/>
      <c r="DF45" s="345"/>
      <c r="DG45" s="345"/>
      <c r="DH45" s="345"/>
      <c r="DI45" s="345"/>
      <c r="DJ45" s="345"/>
      <c r="DK45" s="345"/>
      <c r="DL45" s="345"/>
      <c r="DM45" s="345"/>
      <c r="DN45" s="345"/>
      <c r="DO45" s="345"/>
      <c r="DP45" s="345"/>
      <c r="DQ45" s="345"/>
      <c r="DR45" s="345"/>
      <c r="DS45" s="345"/>
      <c r="DT45" s="345"/>
      <c r="DU45" s="345"/>
      <c r="DV45" s="345"/>
      <c r="DW45" s="345"/>
      <c r="DX45" s="345"/>
      <c r="DY45" s="345"/>
      <c r="DZ45" s="345"/>
      <c r="EA45" s="345"/>
    </row>
    <row r="46" spans="1:131" ht="15.95" customHeight="1">
      <c r="A46" s="345"/>
      <c r="B46" s="345"/>
      <c r="C46" s="2447"/>
      <c r="D46" s="6056"/>
      <c r="E46" s="6057"/>
      <c r="F46" s="5927" t="s">
        <v>316</v>
      </c>
      <c r="G46" s="5928"/>
      <c r="H46" s="5928"/>
      <c r="I46" s="5928"/>
      <c r="J46" s="5928"/>
      <c r="K46" s="5929"/>
      <c r="L46" s="5888" t="s">
        <v>317</v>
      </c>
      <c r="M46" s="5888"/>
      <c r="N46" s="5888" t="s">
        <v>318</v>
      </c>
      <c r="O46" s="5888"/>
      <c r="P46" s="5996"/>
      <c r="Q46" s="6044"/>
      <c r="R46" s="1827"/>
      <c r="S46" s="1827"/>
      <c r="T46" s="1827"/>
      <c r="U46" s="1827"/>
      <c r="V46" s="1827"/>
      <c r="W46" s="1827"/>
      <c r="X46" s="345"/>
      <c r="Y46" s="345"/>
      <c r="Z46" s="345"/>
      <c r="AA46" s="345"/>
      <c r="AB46" s="345"/>
      <c r="AC46" s="345"/>
      <c r="AD46" s="345"/>
      <c r="AE46" s="345"/>
      <c r="AF46" s="345"/>
      <c r="AG46" s="345"/>
      <c r="AH46" s="345"/>
      <c r="AI46" s="345"/>
      <c r="AJ46" s="345"/>
      <c r="AK46" s="345"/>
      <c r="AL46" s="345"/>
      <c r="AM46" s="345"/>
      <c r="AN46" s="345"/>
      <c r="AO46" s="345"/>
      <c r="AP46" s="345"/>
      <c r="AQ46" s="345"/>
      <c r="AR46" s="345"/>
      <c r="AS46" s="345"/>
      <c r="AT46" s="345"/>
      <c r="AU46" s="345"/>
      <c r="AV46" s="345"/>
      <c r="AW46" s="345"/>
      <c r="AX46" s="345"/>
      <c r="AY46" s="345"/>
      <c r="AZ46" s="345"/>
      <c r="BA46" s="345"/>
      <c r="BB46" s="345"/>
      <c r="BC46" s="345"/>
      <c r="BD46" s="345"/>
      <c r="BE46" s="345"/>
      <c r="BF46" s="345"/>
      <c r="BG46" s="345"/>
      <c r="BH46" s="345"/>
      <c r="BI46" s="345"/>
      <c r="BJ46" s="345"/>
      <c r="BK46" s="345"/>
      <c r="BL46" s="345"/>
      <c r="BM46" s="345"/>
      <c r="BN46" s="345"/>
      <c r="BO46" s="345"/>
      <c r="BP46" s="345"/>
      <c r="BQ46" s="345"/>
      <c r="BR46" s="345"/>
      <c r="BS46" s="345"/>
      <c r="BT46" s="345"/>
      <c r="BU46" s="345"/>
      <c r="BV46" s="345"/>
      <c r="BW46" s="345"/>
      <c r="BX46" s="345"/>
      <c r="BY46" s="345"/>
      <c r="BZ46" s="345"/>
      <c r="CA46" s="345"/>
      <c r="CB46" s="345"/>
      <c r="CC46" s="345"/>
      <c r="CD46" s="345"/>
      <c r="CE46" s="345"/>
      <c r="CF46" s="345"/>
      <c r="CG46" s="345"/>
      <c r="CH46" s="345"/>
      <c r="CI46" s="345"/>
      <c r="CJ46" s="345"/>
      <c r="CK46" s="345"/>
      <c r="CL46" s="345"/>
      <c r="CM46" s="345"/>
      <c r="CN46" s="345"/>
      <c r="CO46" s="345"/>
      <c r="CP46" s="345"/>
      <c r="CQ46" s="345"/>
      <c r="CR46" s="345"/>
      <c r="CS46" s="345"/>
      <c r="CT46" s="345"/>
      <c r="CU46" s="345"/>
      <c r="CV46" s="345"/>
      <c r="CW46" s="345"/>
      <c r="CX46" s="345"/>
      <c r="CY46" s="345"/>
      <c r="CZ46" s="345"/>
      <c r="DA46" s="345"/>
      <c r="DB46" s="345"/>
      <c r="DC46" s="345"/>
      <c r="DD46" s="345"/>
      <c r="DE46" s="345"/>
      <c r="DF46" s="345"/>
      <c r="DG46" s="345"/>
      <c r="DH46" s="345"/>
      <c r="DI46" s="345"/>
      <c r="DJ46" s="345"/>
      <c r="DK46" s="345"/>
      <c r="DL46" s="345"/>
      <c r="DM46" s="345"/>
      <c r="DN46" s="345"/>
      <c r="DO46" s="345"/>
      <c r="DP46" s="345"/>
      <c r="DQ46" s="345"/>
      <c r="DR46" s="345"/>
      <c r="DS46" s="345"/>
      <c r="DT46" s="345"/>
      <c r="DU46" s="345"/>
      <c r="DV46" s="345"/>
      <c r="DW46" s="345"/>
      <c r="DX46" s="345"/>
      <c r="DY46" s="345"/>
      <c r="DZ46" s="345"/>
      <c r="EA46" s="345"/>
    </row>
    <row r="47" spans="1:131" ht="15.95" customHeight="1">
      <c r="A47" s="345"/>
      <c r="B47" s="345"/>
      <c r="C47" s="2447"/>
      <c r="D47" s="6054"/>
      <c r="E47" s="6055"/>
      <c r="F47" s="2596" t="s">
        <v>319</v>
      </c>
      <c r="G47" s="6024" t="str">
        <f>'Old Tax Regime'!D43</f>
        <v>GPF</v>
      </c>
      <c r="H47" s="6024"/>
      <c r="I47" s="6024"/>
      <c r="J47" s="6024"/>
      <c r="K47" s="6024"/>
      <c r="L47" s="2620" t="s">
        <v>5</v>
      </c>
      <c r="M47" s="2606">
        <f>'Old Tax Regime'!K43</f>
        <v>72000</v>
      </c>
      <c r="N47" s="2620" t="s">
        <v>5</v>
      </c>
      <c r="O47" s="2513">
        <f>M47</f>
        <v>72000</v>
      </c>
      <c r="P47" s="6045"/>
      <c r="Q47" s="6046"/>
      <c r="R47" s="1827"/>
      <c r="S47" s="1827"/>
      <c r="T47" s="1827"/>
      <c r="U47" s="1827"/>
      <c r="V47" s="1827"/>
      <c r="W47" s="1827"/>
      <c r="X47" s="345"/>
      <c r="Y47" s="345"/>
      <c r="Z47" s="345"/>
      <c r="AA47" s="345"/>
      <c r="AB47" s="345"/>
      <c r="AC47" s="345"/>
      <c r="AD47" s="345"/>
      <c r="AE47" s="345"/>
      <c r="AF47" s="345"/>
      <c r="AG47" s="345"/>
      <c r="AH47" s="345"/>
      <c r="AI47" s="345"/>
      <c r="AJ47" s="345"/>
      <c r="AK47" s="345"/>
      <c r="AL47" s="345"/>
      <c r="AM47" s="345"/>
      <c r="AN47" s="345"/>
      <c r="AO47" s="345"/>
      <c r="AP47" s="345"/>
      <c r="AQ47" s="345"/>
      <c r="AR47" s="345"/>
      <c r="AS47" s="345"/>
      <c r="AT47" s="345"/>
      <c r="AU47" s="345"/>
      <c r="AV47" s="345"/>
      <c r="AW47" s="345"/>
      <c r="AX47" s="345"/>
      <c r="AY47" s="345"/>
      <c r="AZ47" s="345"/>
      <c r="BA47" s="345"/>
      <c r="BB47" s="345"/>
      <c r="BC47" s="345"/>
      <c r="BD47" s="345"/>
      <c r="BE47" s="345"/>
      <c r="BF47" s="345"/>
      <c r="BG47" s="345"/>
      <c r="BH47" s="345"/>
      <c r="BI47" s="345"/>
      <c r="BJ47" s="345"/>
      <c r="BK47" s="345"/>
      <c r="BL47" s="345"/>
      <c r="BM47" s="345"/>
      <c r="BN47" s="345"/>
      <c r="BO47" s="345"/>
      <c r="BP47" s="345"/>
      <c r="BQ47" s="345"/>
      <c r="BR47" s="345"/>
      <c r="BS47" s="345"/>
      <c r="BT47" s="345"/>
      <c r="BU47" s="345"/>
      <c r="BV47" s="345"/>
      <c r="BW47" s="345"/>
      <c r="BX47" s="345"/>
      <c r="BY47" s="345"/>
      <c r="BZ47" s="345"/>
      <c r="CA47" s="345"/>
      <c r="CB47" s="345"/>
      <c r="CC47" s="345"/>
      <c r="CD47" s="345"/>
      <c r="CE47" s="345"/>
      <c r="CF47" s="345"/>
      <c r="CG47" s="345"/>
      <c r="CH47" s="345"/>
      <c r="CI47" s="345"/>
      <c r="CJ47" s="345"/>
      <c r="CK47" s="345"/>
      <c r="CL47" s="345"/>
      <c r="CM47" s="345"/>
      <c r="CN47" s="345"/>
      <c r="CO47" s="345"/>
      <c r="CP47" s="345"/>
      <c r="CQ47" s="345"/>
      <c r="CR47" s="345"/>
      <c r="CS47" s="345"/>
      <c r="CT47" s="345"/>
      <c r="CU47" s="345"/>
      <c r="CV47" s="345"/>
      <c r="CW47" s="345"/>
      <c r="CX47" s="345"/>
      <c r="CY47" s="345"/>
      <c r="CZ47" s="345"/>
      <c r="DA47" s="345"/>
      <c r="DB47" s="345"/>
      <c r="DC47" s="345"/>
      <c r="DD47" s="345"/>
      <c r="DE47" s="345"/>
      <c r="DF47" s="345"/>
      <c r="DG47" s="345"/>
      <c r="DH47" s="345"/>
      <c r="DI47" s="345"/>
      <c r="DJ47" s="345"/>
      <c r="DK47" s="345"/>
      <c r="DL47" s="345"/>
      <c r="DM47" s="345"/>
      <c r="DN47" s="345"/>
      <c r="DO47" s="345"/>
      <c r="DP47" s="345"/>
      <c r="DQ47" s="345"/>
      <c r="DR47" s="345"/>
      <c r="DS47" s="345"/>
      <c r="DT47" s="345"/>
      <c r="DU47" s="345"/>
      <c r="DV47" s="345"/>
      <c r="DW47" s="345"/>
      <c r="DX47" s="345"/>
      <c r="DY47" s="345"/>
      <c r="DZ47" s="345"/>
      <c r="EA47" s="345"/>
    </row>
    <row r="48" spans="1:131" ht="15.95" customHeight="1">
      <c r="A48" s="345"/>
      <c r="B48" s="345"/>
      <c r="C48" s="2447"/>
      <c r="D48" s="6058"/>
      <c r="E48" s="6059"/>
      <c r="F48" s="2513" t="s">
        <v>319</v>
      </c>
      <c r="G48" s="6024" t="str">
        <f>'Old Tax Regime'!D44</f>
        <v>TSGLI</v>
      </c>
      <c r="H48" s="6024"/>
      <c r="I48" s="6024"/>
      <c r="J48" s="6024"/>
      <c r="K48" s="6024"/>
      <c r="L48" s="2620" t="s">
        <v>5</v>
      </c>
      <c r="M48" s="2606">
        <f>'Old Tax Regime'!K44</f>
        <v>60000</v>
      </c>
      <c r="N48" s="2620" t="s">
        <v>5</v>
      </c>
      <c r="O48" s="2605">
        <f t="shared" ref="O48:O49" si="0">M48</f>
        <v>60000</v>
      </c>
      <c r="P48" s="6045"/>
      <c r="Q48" s="6046"/>
      <c r="R48" s="1827"/>
      <c r="S48" s="1827"/>
      <c r="T48" s="1827"/>
      <c r="U48" s="1827"/>
      <c r="V48" s="1827"/>
      <c r="W48" s="1827"/>
      <c r="X48" s="345"/>
      <c r="Y48" s="345"/>
      <c r="Z48" s="345"/>
      <c r="AA48" s="345"/>
      <c r="AB48" s="345"/>
      <c r="AC48" s="345"/>
      <c r="AD48" s="345"/>
      <c r="AE48" s="345"/>
      <c r="AF48" s="345"/>
      <c r="AG48" s="345"/>
      <c r="AH48" s="345"/>
      <c r="AI48" s="345"/>
      <c r="AJ48" s="345"/>
      <c r="AK48" s="345"/>
      <c r="AL48" s="345"/>
      <c r="AM48" s="345"/>
      <c r="AN48" s="345"/>
      <c r="AO48" s="345"/>
      <c r="AP48" s="345"/>
      <c r="AQ48" s="345"/>
      <c r="AR48" s="345"/>
      <c r="AS48" s="345"/>
      <c r="AT48" s="345"/>
      <c r="AU48" s="345"/>
      <c r="AV48" s="345"/>
      <c r="AW48" s="345"/>
      <c r="AX48" s="345"/>
      <c r="AY48" s="345"/>
      <c r="AZ48" s="345"/>
      <c r="BA48" s="345"/>
      <c r="BB48" s="345"/>
      <c r="BC48" s="345"/>
      <c r="BD48" s="345"/>
      <c r="BE48" s="345"/>
      <c r="BF48" s="345"/>
      <c r="BG48" s="345"/>
      <c r="BH48" s="345"/>
      <c r="BI48" s="345"/>
      <c r="BJ48" s="345"/>
      <c r="BK48" s="345"/>
      <c r="BL48" s="345"/>
      <c r="BM48" s="345"/>
      <c r="BN48" s="345"/>
      <c r="BO48" s="345"/>
      <c r="BP48" s="345"/>
      <c r="BQ48" s="345"/>
      <c r="BR48" s="345"/>
      <c r="BS48" s="345"/>
      <c r="BT48" s="345"/>
      <c r="BU48" s="345"/>
      <c r="BV48" s="345"/>
      <c r="BW48" s="345"/>
      <c r="BX48" s="345"/>
      <c r="BY48" s="345"/>
      <c r="BZ48" s="345"/>
      <c r="CA48" s="345"/>
      <c r="CB48" s="345"/>
      <c r="CC48" s="345"/>
      <c r="CD48" s="345"/>
      <c r="CE48" s="345"/>
      <c r="CF48" s="345"/>
      <c r="CG48" s="345"/>
      <c r="CH48" s="345"/>
      <c r="CI48" s="345"/>
      <c r="CJ48" s="345"/>
      <c r="CK48" s="345"/>
      <c r="CL48" s="345"/>
      <c r="CM48" s="345"/>
      <c r="CN48" s="345"/>
      <c r="CO48" s="345"/>
      <c r="CP48" s="345"/>
      <c r="CQ48" s="345"/>
      <c r="CR48" s="345"/>
      <c r="CS48" s="345"/>
      <c r="CT48" s="345"/>
      <c r="CU48" s="345"/>
      <c r="CV48" s="345"/>
      <c r="CW48" s="345"/>
      <c r="CX48" s="345"/>
      <c r="CY48" s="345"/>
      <c r="CZ48" s="345"/>
      <c r="DA48" s="345"/>
      <c r="DB48" s="345"/>
      <c r="DC48" s="345"/>
      <c r="DD48" s="345"/>
      <c r="DE48" s="345"/>
      <c r="DF48" s="345"/>
      <c r="DG48" s="345"/>
      <c r="DH48" s="345"/>
      <c r="DI48" s="345"/>
      <c r="DJ48" s="345"/>
      <c r="DK48" s="345"/>
      <c r="DL48" s="345"/>
      <c r="DM48" s="345"/>
      <c r="DN48" s="345"/>
      <c r="DO48" s="345"/>
      <c r="DP48" s="345"/>
      <c r="DQ48" s="345"/>
      <c r="DR48" s="345"/>
      <c r="DS48" s="345"/>
      <c r="DT48" s="345"/>
      <c r="DU48" s="345"/>
      <c r="DV48" s="345"/>
      <c r="DW48" s="345"/>
      <c r="DX48" s="345"/>
      <c r="DY48" s="345"/>
      <c r="DZ48" s="345"/>
      <c r="EA48" s="345"/>
    </row>
    <row r="49" spans="1:131" ht="15.95" customHeight="1">
      <c r="A49" s="345"/>
      <c r="B49" s="345"/>
      <c r="C49" s="2447"/>
      <c r="D49" s="6058"/>
      <c r="E49" s="6059"/>
      <c r="F49" s="2513" t="s">
        <v>319</v>
      </c>
      <c r="G49" s="6024" t="str">
        <f>'Old Tax Regime'!D45</f>
        <v>GIS</v>
      </c>
      <c r="H49" s="6024"/>
      <c r="I49" s="6024"/>
      <c r="J49" s="6024"/>
      <c r="K49" s="6024"/>
      <c r="L49" s="2620" t="s">
        <v>5</v>
      </c>
      <c r="M49" s="2606">
        <f>'Old Tax Regime'!K45</f>
        <v>1440</v>
      </c>
      <c r="N49" s="2620" t="s">
        <v>5</v>
      </c>
      <c r="O49" s="2605">
        <f t="shared" si="0"/>
        <v>1440</v>
      </c>
      <c r="P49" s="6045"/>
      <c r="Q49" s="6046"/>
      <c r="R49" s="1827"/>
      <c r="S49" s="1827"/>
      <c r="T49" s="1827"/>
      <c r="U49" s="1827"/>
      <c r="V49" s="1827"/>
      <c r="W49" s="1827"/>
      <c r="X49" s="345"/>
      <c r="Y49" s="345"/>
      <c r="Z49" s="345"/>
      <c r="AA49" s="345"/>
      <c r="AB49" s="345"/>
      <c r="AC49" s="345"/>
      <c r="AD49" s="345"/>
      <c r="AE49" s="345"/>
      <c r="AF49" s="345"/>
      <c r="AG49" s="345"/>
      <c r="AH49" s="345"/>
      <c r="AI49" s="345"/>
      <c r="AJ49" s="345"/>
      <c r="AK49" s="345"/>
      <c r="AL49" s="345"/>
      <c r="AM49" s="345"/>
      <c r="AN49" s="345"/>
      <c r="AO49" s="345"/>
      <c r="AP49" s="345"/>
      <c r="AQ49" s="345"/>
      <c r="AR49" s="345"/>
      <c r="AS49" s="345"/>
      <c r="AT49" s="345"/>
      <c r="AU49" s="345"/>
      <c r="AV49" s="345"/>
      <c r="AW49" s="345"/>
      <c r="AX49" s="345"/>
      <c r="AY49" s="345"/>
      <c r="AZ49" s="345"/>
      <c r="BA49" s="345"/>
      <c r="BB49" s="345"/>
      <c r="BC49" s="345"/>
      <c r="BD49" s="345"/>
      <c r="BE49" s="345"/>
      <c r="BF49" s="345"/>
      <c r="BG49" s="345"/>
      <c r="BH49" s="345"/>
      <c r="BI49" s="345"/>
      <c r="BJ49" s="345"/>
      <c r="BK49" s="345"/>
      <c r="BL49" s="345"/>
      <c r="BM49" s="345"/>
      <c r="BN49" s="345"/>
      <c r="BO49" s="345"/>
      <c r="BP49" s="345"/>
      <c r="BQ49" s="345"/>
      <c r="BR49" s="345"/>
      <c r="BS49" s="345"/>
      <c r="BT49" s="345"/>
      <c r="BU49" s="345"/>
      <c r="BV49" s="345"/>
      <c r="BW49" s="345"/>
      <c r="BX49" s="345"/>
      <c r="BY49" s="345"/>
      <c r="BZ49" s="345"/>
      <c r="CA49" s="345"/>
      <c r="CB49" s="345"/>
      <c r="CC49" s="345"/>
      <c r="CD49" s="345"/>
      <c r="CE49" s="345"/>
      <c r="CF49" s="345"/>
      <c r="CG49" s="345"/>
      <c r="CH49" s="345"/>
      <c r="CI49" s="345"/>
      <c r="CJ49" s="345"/>
      <c r="CK49" s="345"/>
      <c r="CL49" s="345"/>
      <c r="CM49" s="345"/>
      <c r="CN49" s="345"/>
      <c r="CO49" s="345"/>
      <c r="CP49" s="345"/>
      <c r="CQ49" s="345"/>
      <c r="CR49" s="345"/>
      <c r="CS49" s="345"/>
      <c r="CT49" s="345"/>
      <c r="CU49" s="345"/>
      <c r="CV49" s="345"/>
      <c r="CW49" s="345"/>
      <c r="CX49" s="345"/>
      <c r="CY49" s="345"/>
      <c r="CZ49" s="345"/>
      <c r="DA49" s="345"/>
      <c r="DB49" s="345"/>
      <c r="DC49" s="345"/>
      <c r="DD49" s="345"/>
      <c r="DE49" s="345"/>
      <c r="DF49" s="345"/>
      <c r="DG49" s="345"/>
      <c r="DH49" s="345"/>
      <c r="DI49" s="345"/>
      <c r="DJ49" s="345"/>
      <c r="DK49" s="345"/>
      <c r="DL49" s="345"/>
      <c r="DM49" s="345"/>
      <c r="DN49" s="345"/>
      <c r="DO49" s="345"/>
      <c r="DP49" s="345"/>
      <c r="DQ49" s="345"/>
      <c r="DR49" s="345"/>
      <c r="DS49" s="345"/>
      <c r="DT49" s="345"/>
      <c r="DU49" s="345"/>
      <c r="DV49" s="345"/>
      <c r="DW49" s="345"/>
      <c r="DX49" s="345"/>
      <c r="DY49" s="345"/>
      <c r="DZ49" s="345"/>
      <c r="EA49" s="345"/>
    </row>
    <row r="50" spans="1:131" ht="15.95" customHeight="1">
      <c r="A50" s="345"/>
      <c r="B50" s="345"/>
      <c r="C50" s="2447"/>
      <c r="D50" s="6058"/>
      <c r="E50" s="6059"/>
      <c r="F50" s="2513" t="str">
        <f>Formula!MJ16</f>
        <v>80C</v>
      </c>
      <c r="G50" s="6024" t="str">
        <f>'Old Tax Regime'!D46</f>
        <v>Tuition Fee for Children</v>
      </c>
      <c r="H50" s="6024"/>
      <c r="I50" s="6024"/>
      <c r="J50" s="6024"/>
      <c r="K50" s="6024"/>
      <c r="L50" s="2620" t="s">
        <v>5</v>
      </c>
      <c r="M50" s="2606">
        <f>'Data Sheet-III '!O7</f>
        <v>0</v>
      </c>
      <c r="N50" s="2620" t="s">
        <v>5</v>
      </c>
      <c r="O50" s="2621">
        <f>IF(M50&gt;150000,150000,M50)</f>
        <v>0</v>
      </c>
      <c r="P50" s="6045"/>
      <c r="Q50" s="6046"/>
      <c r="R50" s="1827"/>
      <c r="S50" s="1827"/>
      <c r="T50" s="1827"/>
      <c r="U50" s="1827"/>
      <c r="V50" s="1827"/>
      <c r="W50" s="1827"/>
      <c r="X50" s="345"/>
      <c r="Y50" s="345"/>
      <c r="Z50" s="345"/>
      <c r="AA50" s="345"/>
      <c r="AB50" s="345"/>
      <c r="AC50" s="345"/>
      <c r="AD50" s="345"/>
      <c r="AE50" s="345"/>
      <c r="AF50" s="345"/>
      <c r="AG50" s="345"/>
      <c r="AH50" s="345"/>
      <c r="AI50" s="345"/>
      <c r="AJ50" s="345"/>
      <c r="AK50" s="345"/>
      <c r="AL50" s="345"/>
      <c r="AM50" s="345"/>
      <c r="AN50" s="345"/>
      <c r="AO50" s="345"/>
      <c r="AP50" s="345"/>
      <c r="AQ50" s="345"/>
      <c r="AR50" s="345"/>
      <c r="AS50" s="345"/>
      <c r="AT50" s="345"/>
      <c r="AU50" s="345"/>
      <c r="AV50" s="345"/>
      <c r="AW50" s="345"/>
      <c r="AX50" s="345"/>
      <c r="AY50" s="345"/>
      <c r="AZ50" s="345"/>
      <c r="BA50" s="345"/>
      <c r="BB50" s="345"/>
      <c r="BC50" s="345"/>
      <c r="BD50" s="345"/>
      <c r="BE50" s="345"/>
      <c r="BF50" s="345"/>
      <c r="BG50" s="345"/>
      <c r="BH50" s="345"/>
      <c r="BI50" s="345"/>
      <c r="BJ50" s="345"/>
      <c r="BK50" s="345"/>
      <c r="BL50" s="345"/>
      <c r="BM50" s="345"/>
      <c r="BN50" s="345"/>
      <c r="BO50" s="345"/>
      <c r="BP50" s="345"/>
      <c r="BQ50" s="345"/>
      <c r="BR50" s="345"/>
      <c r="BS50" s="345"/>
      <c r="BT50" s="345"/>
      <c r="BU50" s="345"/>
      <c r="BV50" s="345"/>
      <c r="BW50" s="345"/>
      <c r="BX50" s="345"/>
      <c r="BY50" s="345"/>
      <c r="BZ50" s="345"/>
      <c r="CA50" s="345"/>
      <c r="CB50" s="345"/>
      <c r="CC50" s="345"/>
      <c r="CD50" s="345"/>
      <c r="CE50" s="345"/>
      <c r="CF50" s="345"/>
      <c r="CG50" s="345"/>
      <c r="CH50" s="345"/>
      <c r="CI50" s="345"/>
      <c r="CJ50" s="345"/>
      <c r="CK50" s="345"/>
      <c r="CL50" s="345"/>
      <c r="CM50" s="345"/>
      <c r="CN50" s="345"/>
      <c r="CO50" s="345"/>
      <c r="CP50" s="345"/>
      <c r="CQ50" s="345"/>
      <c r="CR50" s="345"/>
      <c r="CS50" s="345"/>
      <c r="CT50" s="345"/>
      <c r="CU50" s="345"/>
      <c r="CV50" s="345"/>
      <c r="CW50" s="345"/>
      <c r="CX50" s="345"/>
      <c r="CY50" s="345"/>
      <c r="CZ50" s="345"/>
      <c r="DA50" s="345"/>
      <c r="DB50" s="345"/>
      <c r="DC50" s="345"/>
      <c r="DD50" s="345"/>
      <c r="DE50" s="345"/>
      <c r="DF50" s="345"/>
      <c r="DG50" s="345"/>
      <c r="DH50" s="345"/>
      <c r="DI50" s="345"/>
      <c r="DJ50" s="345"/>
      <c r="DK50" s="345"/>
      <c r="DL50" s="345"/>
      <c r="DM50" s="345"/>
      <c r="DN50" s="345"/>
      <c r="DO50" s="345"/>
      <c r="DP50" s="345"/>
      <c r="DQ50" s="345"/>
      <c r="DR50" s="345"/>
      <c r="DS50" s="345"/>
      <c r="DT50" s="345"/>
      <c r="DU50" s="345"/>
      <c r="DV50" s="345"/>
      <c r="DW50" s="345"/>
      <c r="DX50" s="345"/>
      <c r="DY50" s="345"/>
      <c r="DZ50" s="345"/>
      <c r="EA50" s="345"/>
    </row>
    <row r="51" spans="1:131" ht="15.95" customHeight="1">
      <c r="A51" s="345"/>
      <c r="B51" s="345"/>
      <c r="C51" s="2447"/>
      <c r="D51" s="6058"/>
      <c r="E51" s="6059"/>
      <c r="F51" s="2513" t="str">
        <f>Formula!MJ17</f>
        <v>80C</v>
      </c>
      <c r="G51" s="6024" t="str">
        <f>'Old Tax Regime'!D47</f>
        <v>Principle Amount of Home Loan installments</v>
      </c>
      <c r="H51" s="6024"/>
      <c r="I51" s="6024"/>
      <c r="J51" s="6024"/>
      <c r="K51" s="6024"/>
      <c r="L51" s="2620" t="s">
        <v>5</v>
      </c>
      <c r="M51" s="2606">
        <f>'Data Sheet-III '!O8</f>
        <v>0</v>
      </c>
      <c r="N51" s="2620" t="s">
        <v>5</v>
      </c>
      <c r="O51" s="2621">
        <f t="shared" ref="O51:O57" si="1">IF(M51&gt;150000,150000,M51)</f>
        <v>0</v>
      </c>
      <c r="P51" s="6045"/>
      <c r="Q51" s="6046"/>
      <c r="R51" s="1827"/>
      <c r="S51" s="1827"/>
      <c r="T51" s="1827"/>
      <c r="U51" s="1827"/>
      <c r="V51" s="1827"/>
      <c r="W51" s="1827"/>
      <c r="X51" s="345"/>
      <c r="Y51" s="345"/>
      <c r="Z51" s="345"/>
      <c r="AA51" s="345"/>
      <c r="AB51" s="345"/>
      <c r="AC51" s="345"/>
      <c r="AD51" s="345"/>
      <c r="AE51" s="345"/>
      <c r="AF51" s="345"/>
      <c r="AG51" s="345"/>
      <c r="AH51" s="345"/>
      <c r="AI51" s="345"/>
      <c r="AJ51" s="345"/>
      <c r="AK51" s="345"/>
      <c r="AL51" s="345"/>
      <c r="AM51" s="345"/>
      <c r="AN51" s="345"/>
      <c r="AO51" s="345"/>
      <c r="AP51" s="345"/>
      <c r="AQ51" s="345"/>
      <c r="AR51" s="345"/>
      <c r="AS51" s="345"/>
      <c r="AT51" s="345"/>
      <c r="AU51" s="345"/>
      <c r="AV51" s="345"/>
      <c r="AW51" s="345"/>
      <c r="AX51" s="345"/>
      <c r="AY51" s="345"/>
      <c r="AZ51" s="345"/>
      <c r="BA51" s="345"/>
      <c r="BB51" s="345"/>
      <c r="BC51" s="345"/>
      <c r="BD51" s="345"/>
      <c r="BE51" s="345"/>
      <c r="BF51" s="345"/>
      <c r="BG51" s="345"/>
      <c r="BH51" s="345"/>
      <c r="BI51" s="345"/>
      <c r="BJ51" s="345"/>
      <c r="BK51" s="345"/>
      <c r="BL51" s="345"/>
      <c r="BM51" s="345"/>
      <c r="BN51" s="345"/>
      <c r="BO51" s="345"/>
      <c r="BP51" s="345"/>
      <c r="BQ51" s="345"/>
      <c r="BR51" s="345"/>
      <c r="BS51" s="345"/>
      <c r="BT51" s="345"/>
      <c r="BU51" s="345"/>
      <c r="BV51" s="345"/>
      <c r="BW51" s="345"/>
      <c r="BX51" s="345"/>
      <c r="BY51" s="345"/>
      <c r="BZ51" s="345"/>
      <c r="CA51" s="345"/>
      <c r="CB51" s="345"/>
      <c r="CC51" s="345"/>
      <c r="CD51" s="345"/>
      <c r="CE51" s="345"/>
      <c r="CF51" s="345"/>
      <c r="CG51" s="345"/>
      <c r="CH51" s="345"/>
      <c r="CI51" s="345"/>
      <c r="CJ51" s="345"/>
      <c r="CK51" s="345"/>
      <c r="CL51" s="345"/>
      <c r="CM51" s="345"/>
      <c r="CN51" s="345"/>
      <c r="CO51" s="345"/>
      <c r="CP51" s="345"/>
      <c r="CQ51" s="345"/>
      <c r="CR51" s="345"/>
      <c r="CS51" s="345"/>
      <c r="CT51" s="345"/>
      <c r="CU51" s="345"/>
      <c r="CV51" s="345"/>
      <c r="CW51" s="345"/>
      <c r="CX51" s="345"/>
      <c r="CY51" s="345"/>
      <c r="CZ51" s="345"/>
      <c r="DA51" s="345"/>
      <c r="DB51" s="345"/>
      <c r="DC51" s="345"/>
      <c r="DD51" s="345"/>
      <c r="DE51" s="345"/>
      <c r="DF51" s="345"/>
      <c r="DG51" s="345"/>
      <c r="DH51" s="345"/>
      <c r="DI51" s="345"/>
      <c r="DJ51" s="345"/>
      <c r="DK51" s="345"/>
      <c r="DL51" s="345"/>
      <c r="DM51" s="345"/>
      <c r="DN51" s="345"/>
      <c r="DO51" s="345"/>
      <c r="DP51" s="345"/>
      <c r="DQ51" s="345"/>
      <c r="DR51" s="345"/>
      <c r="DS51" s="345"/>
      <c r="DT51" s="345"/>
      <c r="DU51" s="345"/>
      <c r="DV51" s="345"/>
      <c r="DW51" s="345"/>
      <c r="DX51" s="345"/>
      <c r="DY51" s="345"/>
      <c r="DZ51" s="345"/>
      <c r="EA51" s="345"/>
    </row>
    <row r="52" spans="1:131" ht="15.95" customHeight="1">
      <c r="A52" s="345"/>
      <c r="B52" s="345"/>
      <c r="C52" s="2447"/>
      <c r="D52" s="6058"/>
      <c r="E52" s="6059"/>
      <c r="F52" s="2513" t="str">
        <f>Formula!MJ18</f>
        <v>80C</v>
      </c>
      <c r="G52" s="6024" t="str">
        <f>'Old Tax Regime'!D48</f>
        <v>LIC Policies premium - Yearly</v>
      </c>
      <c r="H52" s="6024"/>
      <c r="I52" s="6024"/>
      <c r="J52" s="6024"/>
      <c r="K52" s="6024"/>
      <c r="L52" s="2620" t="s">
        <v>5</v>
      </c>
      <c r="M52" s="2606">
        <f>'Data Sheet-III '!O9</f>
        <v>0</v>
      </c>
      <c r="N52" s="2620" t="s">
        <v>5</v>
      </c>
      <c r="O52" s="2621">
        <f t="shared" si="1"/>
        <v>0</v>
      </c>
      <c r="P52" s="6045"/>
      <c r="Q52" s="6046"/>
      <c r="R52" s="1827"/>
      <c r="S52" s="1827"/>
      <c r="T52" s="1827"/>
      <c r="U52" s="1827"/>
      <c r="V52" s="1827"/>
      <c r="W52" s="1827"/>
      <c r="X52" s="345"/>
      <c r="Y52" s="345"/>
      <c r="Z52" s="345"/>
      <c r="AA52" s="345"/>
      <c r="AB52" s="345"/>
      <c r="AC52" s="345"/>
      <c r="AD52" s="345"/>
      <c r="AE52" s="345"/>
      <c r="AF52" s="345"/>
      <c r="AG52" s="345"/>
      <c r="AH52" s="345"/>
      <c r="AI52" s="345"/>
      <c r="AJ52" s="345"/>
      <c r="AK52" s="345"/>
      <c r="AL52" s="345"/>
      <c r="AM52" s="345"/>
      <c r="AN52" s="345"/>
      <c r="AO52" s="345"/>
      <c r="AP52" s="345"/>
      <c r="AQ52" s="345"/>
      <c r="AR52" s="345"/>
      <c r="AS52" s="345"/>
      <c r="AT52" s="345"/>
      <c r="AU52" s="345"/>
      <c r="AV52" s="345"/>
      <c r="AW52" s="345"/>
      <c r="AX52" s="345"/>
      <c r="AY52" s="345"/>
      <c r="AZ52" s="345"/>
      <c r="BA52" s="345"/>
      <c r="BB52" s="345"/>
      <c r="BC52" s="345"/>
      <c r="BD52" s="345"/>
      <c r="BE52" s="345"/>
      <c r="BF52" s="345"/>
      <c r="BG52" s="345"/>
      <c r="BH52" s="345"/>
      <c r="BI52" s="345"/>
      <c r="BJ52" s="345"/>
      <c r="BK52" s="345"/>
      <c r="BL52" s="345"/>
      <c r="BM52" s="345"/>
      <c r="BN52" s="345"/>
      <c r="BO52" s="345"/>
      <c r="BP52" s="345"/>
      <c r="BQ52" s="345"/>
      <c r="BR52" s="345"/>
      <c r="BS52" s="345"/>
      <c r="BT52" s="345"/>
      <c r="BU52" s="345"/>
      <c r="BV52" s="345"/>
      <c r="BW52" s="345"/>
      <c r="BX52" s="345"/>
      <c r="BY52" s="345"/>
      <c r="BZ52" s="345"/>
      <c r="CA52" s="345"/>
      <c r="CB52" s="345"/>
      <c r="CC52" s="345"/>
      <c r="CD52" s="345"/>
      <c r="CE52" s="345"/>
      <c r="CF52" s="345"/>
      <c r="CG52" s="345"/>
      <c r="CH52" s="345"/>
      <c r="CI52" s="345"/>
      <c r="CJ52" s="345"/>
      <c r="CK52" s="345"/>
      <c r="CL52" s="345"/>
      <c r="CM52" s="345"/>
      <c r="CN52" s="345"/>
      <c r="CO52" s="345"/>
      <c r="CP52" s="345"/>
      <c r="CQ52" s="345"/>
      <c r="CR52" s="345"/>
      <c r="CS52" s="345"/>
      <c r="CT52" s="345"/>
      <c r="CU52" s="345"/>
      <c r="CV52" s="345"/>
      <c r="CW52" s="345"/>
      <c r="CX52" s="345"/>
      <c r="CY52" s="345"/>
      <c r="CZ52" s="345"/>
      <c r="DA52" s="345"/>
      <c r="DB52" s="345"/>
      <c r="DC52" s="345"/>
      <c r="DD52" s="345"/>
      <c r="DE52" s="345"/>
      <c r="DF52" s="345"/>
      <c r="DG52" s="345"/>
      <c r="DH52" s="345"/>
      <c r="DI52" s="345"/>
      <c r="DJ52" s="345"/>
      <c r="DK52" s="345"/>
      <c r="DL52" s="345"/>
      <c r="DM52" s="345"/>
      <c r="DN52" s="345"/>
      <c r="DO52" s="345"/>
      <c r="DP52" s="345"/>
      <c r="DQ52" s="345"/>
      <c r="DR52" s="345"/>
      <c r="DS52" s="345"/>
      <c r="DT52" s="345"/>
      <c r="DU52" s="345"/>
      <c r="DV52" s="345"/>
      <c r="DW52" s="345"/>
      <c r="DX52" s="345"/>
      <c r="DY52" s="345"/>
      <c r="DZ52" s="345"/>
      <c r="EA52" s="345"/>
    </row>
    <row r="53" spans="1:131" ht="15.95" customHeight="1">
      <c r="A53" s="345"/>
      <c r="B53" s="345"/>
      <c r="C53" s="2447"/>
      <c r="D53" s="6058"/>
      <c r="E53" s="6059"/>
      <c r="F53" s="2513" t="str">
        <f>Formula!MJ19</f>
        <v>80C</v>
      </c>
      <c r="G53" s="6024" t="str">
        <f>'Old Tax Regime'!D49</f>
        <v>SBI  Life Insurance</v>
      </c>
      <c r="H53" s="6024"/>
      <c r="I53" s="6024"/>
      <c r="J53" s="6024"/>
      <c r="K53" s="6024"/>
      <c r="L53" s="2620" t="s">
        <v>5</v>
      </c>
      <c r="M53" s="2606">
        <f>'Data Sheet-III '!O10</f>
        <v>0</v>
      </c>
      <c r="N53" s="2620" t="s">
        <v>5</v>
      </c>
      <c r="O53" s="2621">
        <f t="shared" si="1"/>
        <v>0</v>
      </c>
      <c r="P53" s="6045"/>
      <c r="Q53" s="6046"/>
      <c r="R53" s="1827"/>
      <c r="S53" s="1827"/>
      <c r="T53" s="1827"/>
      <c r="U53" s="1827"/>
      <c r="V53" s="1827"/>
      <c r="W53" s="1827"/>
      <c r="X53" s="345"/>
      <c r="Y53" s="345"/>
      <c r="Z53" s="345"/>
      <c r="AA53" s="345"/>
      <c r="AB53" s="345"/>
      <c r="AC53" s="345"/>
      <c r="AD53" s="345"/>
      <c r="AE53" s="345"/>
      <c r="AF53" s="345"/>
      <c r="AG53" s="345"/>
      <c r="AH53" s="345"/>
      <c r="AI53" s="345"/>
      <c r="AJ53" s="345"/>
      <c r="AK53" s="345"/>
      <c r="AL53" s="345"/>
      <c r="AM53" s="345"/>
      <c r="AN53" s="345"/>
      <c r="AO53" s="345"/>
      <c r="AP53" s="345"/>
      <c r="AQ53" s="345"/>
      <c r="AR53" s="345"/>
      <c r="AS53" s="345"/>
      <c r="AT53" s="345"/>
      <c r="AU53" s="345"/>
      <c r="AV53" s="345"/>
      <c r="AW53" s="345"/>
      <c r="AX53" s="345"/>
      <c r="AY53" s="345"/>
      <c r="AZ53" s="345"/>
      <c r="BA53" s="345"/>
      <c r="BB53" s="345"/>
      <c r="BC53" s="345"/>
      <c r="BD53" s="345"/>
      <c r="BE53" s="345"/>
      <c r="BF53" s="345"/>
      <c r="BG53" s="345"/>
      <c r="BH53" s="345"/>
      <c r="BI53" s="345"/>
      <c r="BJ53" s="345"/>
      <c r="BK53" s="345"/>
      <c r="BL53" s="345"/>
      <c r="BM53" s="345"/>
      <c r="BN53" s="345"/>
      <c r="BO53" s="345"/>
      <c r="BP53" s="345"/>
      <c r="BQ53" s="345"/>
      <c r="BR53" s="345"/>
      <c r="BS53" s="345"/>
      <c r="BT53" s="345"/>
      <c r="BU53" s="345"/>
      <c r="BV53" s="345"/>
      <c r="BW53" s="345"/>
      <c r="BX53" s="345"/>
      <c r="BY53" s="345"/>
      <c r="BZ53" s="345"/>
      <c r="CA53" s="345"/>
      <c r="CB53" s="345"/>
      <c r="CC53" s="345"/>
      <c r="CD53" s="345"/>
      <c r="CE53" s="345"/>
      <c r="CF53" s="345"/>
      <c r="CG53" s="345"/>
      <c r="CH53" s="345"/>
      <c r="CI53" s="345"/>
      <c r="CJ53" s="345"/>
      <c r="CK53" s="345"/>
      <c r="CL53" s="345"/>
      <c r="CM53" s="345"/>
      <c r="CN53" s="345"/>
      <c r="CO53" s="345"/>
      <c r="CP53" s="345"/>
      <c r="CQ53" s="345"/>
      <c r="CR53" s="345"/>
      <c r="CS53" s="345"/>
      <c r="CT53" s="345"/>
      <c r="CU53" s="345"/>
      <c r="CV53" s="345"/>
      <c r="CW53" s="345"/>
      <c r="CX53" s="345"/>
      <c r="CY53" s="345"/>
      <c r="CZ53" s="345"/>
      <c r="DA53" s="345"/>
      <c r="DB53" s="345"/>
      <c r="DC53" s="345"/>
      <c r="DD53" s="345"/>
      <c r="DE53" s="345"/>
      <c r="DF53" s="345"/>
      <c r="DG53" s="345"/>
      <c r="DH53" s="345"/>
      <c r="DI53" s="345"/>
      <c r="DJ53" s="345"/>
      <c r="DK53" s="345"/>
      <c r="DL53" s="345"/>
      <c r="DM53" s="345"/>
      <c r="DN53" s="345"/>
      <c r="DO53" s="345"/>
      <c r="DP53" s="345"/>
      <c r="DQ53" s="345"/>
      <c r="DR53" s="345"/>
      <c r="DS53" s="345"/>
      <c r="DT53" s="345"/>
      <c r="DU53" s="345"/>
      <c r="DV53" s="345"/>
      <c r="DW53" s="345"/>
      <c r="DX53" s="345"/>
      <c r="DY53" s="345"/>
      <c r="DZ53" s="345"/>
      <c r="EA53" s="345"/>
    </row>
    <row r="54" spans="1:131" ht="15.95" customHeight="1">
      <c r="A54" s="345"/>
      <c r="B54" s="345"/>
      <c r="C54" s="2447"/>
      <c r="D54" s="6058"/>
      <c r="E54" s="6059"/>
      <c r="F54" s="2513" t="str">
        <f>Formula!MJ20</f>
        <v>80C</v>
      </c>
      <c r="G54" s="6024" t="str">
        <f>'Old Tax Regime'!D50</f>
        <v>Public Provident Fund</v>
      </c>
      <c r="H54" s="6024"/>
      <c r="I54" s="6024"/>
      <c r="J54" s="6024"/>
      <c r="K54" s="6024"/>
      <c r="L54" s="2620" t="s">
        <v>5</v>
      </c>
      <c r="M54" s="2606">
        <f>'Data Sheet-III '!O11</f>
        <v>0</v>
      </c>
      <c r="N54" s="2620" t="s">
        <v>5</v>
      </c>
      <c r="O54" s="2621">
        <f t="shared" si="1"/>
        <v>0</v>
      </c>
      <c r="P54" s="6045"/>
      <c r="Q54" s="6046"/>
      <c r="R54" s="1827"/>
      <c r="S54" s="1827"/>
      <c r="T54" s="1827"/>
      <c r="U54" s="1827"/>
      <c r="V54" s="1827"/>
      <c r="W54" s="1827"/>
      <c r="X54" s="345"/>
      <c r="Y54" s="345"/>
      <c r="Z54" s="345"/>
      <c r="AA54" s="345"/>
      <c r="AB54" s="345"/>
      <c r="AC54" s="345"/>
      <c r="AD54" s="345"/>
      <c r="AE54" s="345"/>
      <c r="AF54" s="345"/>
      <c r="AG54" s="345"/>
      <c r="AH54" s="345"/>
      <c r="AI54" s="345"/>
      <c r="AJ54" s="345"/>
      <c r="AK54" s="345"/>
      <c r="AL54" s="345"/>
      <c r="AM54" s="345"/>
      <c r="AN54" s="345"/>
      <c r="AO54" s="345"/>
      <c r="AP54" s="345"/>
      <c r="AQ54" s="345"/>
      <c r="AR54" s="345"/>
      <c r="AS54" s="345"/>
      <c r="AT54" s="345"/>
      <c r="AU54" s="345"/>
      <c r="AV54" s="345"/>
      <c r="AW54" s="345"/>
      <c r="AX54" s="345"/>
      <c r="AY54" s="345"/>
      <c r="AZ54" s="345"/>
      <c r="BA54" s="345"/>
      <c r="BB54" s="345"/>
      <c r="BC54" s="345"/>
      <c r="BD54" s="345"/>
      <c r="BE54" s="345"/>
      <c r="BF54" s="345"/>
      <c r="BG54" s="345"/>
      <c r="BH54" s="345"/>
      <c r="BI54" s="345"/>
      <c r="BJ54" s="345"/>
      <c r="BK54" s="345"/>
      <c r="BL54" s="345"/>
      <c r="BM54" s="345"/>
      <c r="BN54" s="345"/>
      <c r="BO54" s="345"/>
      <c r="BP54" s="345"/>
      <c r="BQ54" s="345"/>
      <c r="BR54" s="345"/>
      <c r="BS54" s="345"/>
      <c r="BT54" s="345"/>
      <c r="BU54" s="345"/>
      <c r="BV54" s="345"/>
      <c r="BW54" s="345"/>
      <c r="BX54" s="345"/>
      <c r="BY54" s="345"/>
      <c r="BZ54" s="345"/>
      <c r="CA54" s="345"/>
      <c r="CB54" s="345"/>
      <c r="CC54" s="345"/>
      <c r="CD54" s="345"/>
      <c r="CE54" s="345"/>
      <c r="CF54" s="345"/>
      <c r="CG54" s="345"/>
      <c r="CH54" s="345"/>
      <c r="CI54" s="345"/>
      <c r="CJ54" s="345"/>
      <c r="CK54" s="345"/>
      <c r="CL54" s="345"/>
      <c r="CM54" s="345"/>
      <c r="CN54" s="345"/>
      <c r="CO54" s="345"/>
      <c r="CP54" s="345"/>
      <c r="CQ54" s="345"/>
      <c r="CR54" s="345"/>
      <c r="CS54" s="345"/>
      <c r="CT54" s="345"/>
      <c r="CU54" s="345"/>
      <c r="CV54" s="345"/>
      <c r="CW54" s="345"/>
      <c r="CX54" s="345"/>
      <c r="CY54" s="345"/>
      <c r="CZ54" s="345"/>
      <c r="DA54" s="345"/>
      <c r="DB54" s="345"/>
      <c r="DC54" s="345"/>
      <c r="DD54" s="345"/>
      <c r="DE54" s="345"/>
      <c r="DF54" s="345"/>
      <c r="DG54" s="345"/>
      <c r="DH54" s="345"/>
      <c r="DI54" s="345"/>
      <c r="DJ54" s="345"/>
      <c r="DK54" s="345"/>
      <c r="DL54" s="345"/>
      <c r="DM54" s="345"/>
      <c r="DN54" s="345"/>
      <c r="DO54" s="345"/>
      <c r="DP54" s="345"/>
      <c r="DQ54" s="345"/>
      <c r="DR54" s="345"/>
      <c r="DS54" s="345"/>
      <c r="DT54" s="345"/>
      <c r="DU54" s="345"/>
      <c r="DV54" s="345"/>
      <c r="DW54" s="345"/>
      <c r="DX54" s="345"/>
      <c r="DY54" s="345"/>
      <c r="DZ54" s="345"/>
      <c r="EA54" s="345"/>
    </row>
    <row r="55" spans="1:131" ht="15.95" customHeight="1">
      <c r="A55" s="345"/>
      <c r="B55" s="345"/>
      <c r="C55" s="2447"/>
      <c r="D55" s="6058"/>
      <c r="E55" s="6059"/>
      <c r="F55" s="2513" t="str">
        <f>Formula!MJ21</f>
        <v>80C</v>
      </c>
      <c r="G55" s="6024" t="str">
        <f>'Old Tax Regime'!D51</f>
        <v>HDFC Life Insurance</v>
      </c>
      <c r="H55" s="6024"/>
      <c r="I55" s="6024"/>
      <c r="J55" s="6024"/>
      <c r="K55" s="6024"/>
      <c r="L55" s="2620" t="s">
        <v>5</v>
      </c>
      <c r="M55" s="2606">
        <f>'Data Sheet-III '!O12</f>
        <v>0</v>
      </c>
      <c r="N55" s="2620" t="s">
        <v>5</v>
      </c>
      <c r="O55" s="2621">
        <f t="shared" si="1"/>
        <v>0</v>
      </c>
      <c r="P55" s="6045"/>
      <c r="Q55" s="6046"/>
      <c r="R55" s="1827"/>
      <c r="S55" s="1827"/>
      <c r="T55" s="1827"/>
      <c r="U55" s="1827"/>
      <c r="V55" s="1827"/>
      <c r="W55" s="1827"/>
      <c r="X55" s="345"/>
      <c r="Y55" s="345"/>
      <c r="Z55" s="345"/>
      <c r="AA55" s="345"/>
      <c r="AB55" s="345"/>
      <c r="AC55" s="345"/>
      <c r="AD55" s="345"/>
      <c r="AE55" s="345"/>
      <c r="AF55" s="345"/>
      <c r="AG55" s="345"/>
      <c r="AH55" s="345"/>
      <c r="AI55" s="345"/>
      <c r="AJ55" s="345"/>
      <c r="AK55" s="345"/>
      <c r="AL55" s="345"/>
      <c r="AM55" s="345"/>
      <c r="AN55" s="345"/>
      <c r="AO55" s="345"/>
      <c r="AP55" s="345"/>
      <c r="AQ55" s="345"/>
      <c r="AR55" s="345"/>
      <c r="AS55" s="345"/>
      <c r="AT55" s="345"/>
      <c r="AU55" s="345"/>
      <c r="AV55" s="345"/>
      <c r="AW55" s="345"/>
      <c r="AX55" s="345"/>
      <c r="AY55" s="345"/>
      <c r="AZ55" s="345"/>
      <c r="BA55" s="345"/>
      <c r="BB55" s="345"/>
      <c r="BC55" s="345"/>
      <c r="BD55" s="345"/>
      <c r="BE55" s="345"/>
      <c r="BF55" s="345"/>
      <c r="BG55" s="345"/>
      <c r="BH55" s="345"/>
      <c r="BI55" s="345"/>
      <c r="BJ55" s="345"/>
      <c r="BK55" s="345"/>
      <c r="BL55" s="345"/>
      <c r="BM55" s="345"/>
      <c r="BN55" s="345"/>
      <c r="BO55" s="345"/>
      <c r="BP55" s="345"/>
      <c r="BQ55" s="345"/>
      <c r="BR55" s="345"/>
      <c r="BS55" s="345"/>
      <c r="BT55" s="345"/>
      <c r="BU55" s="345"/>
      <c r="BV55" s="345"/>
      <c r="BW55" s="345"/>
      <c r="BX55" s="345"/>
      <c r="BY55" s="345"/>
      <c r="BZ55" s="345"/>
      <c r="CA55" s="345"/>
      <c r="CB55" s="345"/>
      <c r="CC55" s="345"/>
      <c r="CD55" s="345"/>
      <c r="CE55" s="345"/>
      <c r="CF55" s="345"/>
      <c r="CG55" s="345"/>
      <c r="CH55" s="345"/>
      <c r="CI55" s="345"/>
      <c r="CJ55" s="345"/>
      <c r="CK55" s="345"/>
      <c r="CL55" s="345"/>
      <c r="CM55" s="345"/>
      <c r="CN55" s="345"/>
      <c r="CO55" s="345"/>
      <c r="CP55" s="345"/>
      <c r="CQ55" s="345"/>
      <c r="CR55" s="345"/>
      <c r="CS55" s="345"/>
      <c r="CT55" s="345"/>
      <c r="CU55" s="345"/>
      <c r="CV55" s="345"/>
      <c r="CW55" s="345"/>
      <c r="CX55" s="345"/>
      <c r="CY55" s="345"/>
      <c r="CZ55" s="345"/>
      <c r="DA55" s="345"/>
      <c r="DB55" s="345"/>
      <c r="DC55" s="345"/>
      <c r="DD55" s="345"/>
      <c r="DE55" s="345"/>
      <c r="DF55" s="345"/>
      <c r="DG55" s="345"/>
      <c r="DH55" s="345"/>
      <c r="DI55" s="345"/>
      <c r="DJ55" s="345"/>
      <c r="DK55" s="345"/>
      <c r="DL55" s="345"/>
      <c r="DM55" s="345"/>
      <c r="DN55" s="345"/>
      <c r="DO55" s="345"/>
      <c r="DP55" s="345"/>
      <c r="DQ55" s="345"/>
      <c r="DR55" s="345"/>
      <c r="DS55" s="345"/>
      <c r="DT55" s="345"/>
      <c r="DU55" s="345"/>
      <c r="DV55" s="345"/>
      <c r="DW55" s="345"/>
      <c r="DX55" s="345"/>
      <c r="DY55" s="345"/>
      <c r="DZ55" s="345"/>
      <c r="EA55" s="345"/>
    </row>
    <row r="56" spans="1:131" ht="15.95" customHeight="1">
      <c r="A56" s="345"/>
      <c r="B56" s="345"/>
      <c r="C56" s="2447"/>
      <c r="D56" s="6058"/>
      <c r="E56" s="6059"/>
      <c r="F56" s="2513" t="str">
        <f>Formula!MJ22</f>
        <v>80C</v>
      </c>
      <c r="G56" s="6024" t="str">
        <f>'Old Tax Regime'!D52</f>
        <v>Max NewYark Life Insurance</v>
      </c>
      <c r="H56" s="6024"/>
      <c r="I56" s="6024"/>
      <c r="J56" s="6024"/>
      <c r="K56" s="6024"/>
      <c r="L56" s="2620" t="s">
        <v>5</v>
      </c>
      <c r="M56" s="2606">
        <f>'Data Sheet-III '!O13</f>
        <v>0</v>
      </c>
      <c r="N56" s="2620" t="s">
        <v>5</v>
      </c>
      <c r="O56" s="2621">
        <f t="shared" si="1"/>
        <v>0</v>
      </c>
      <c r="P56" s="6045"/>
      <c r="Q56" s="6046"/>
      <c r="R56" s="1827"/>
      <c r="S56" s="1827"/>
      <c r="T56" s="1827"/>
      <c r="U56" s="1827"/>
      <c r="V56" s="1827"/>
      <c r="W56" s="1827"/>
      <c r="X56" s="345"/>
      <c r="Y56" s="345"/>
      <c r="Z56" s="345"/>
      <c r="AA56" s="345"/>
      <c r="AB56" s="345"/>
      <c r="AC56" s="345"/>
      <c r="AD56" s="345"/>
      <c r="AE56" s="345"/>
      <c r="AF56" s="345"/>
      <c r="AG56" s="345"/>
      <c r="AH56" s="345"/>
      <c r="AI56" s="345"/>
      <c r="AJ56" s="345"/>
      <c r="AK56" s="345"/>
      <c r="AL56" s="345"/>
      <c r="AM56" s="345"/>
      <c r="AN56" s="345"/>
      <c r="AO56" s="345"/>
      <c r="AP56" s="345"/>
      <c r="AQ56" s="345"/>
      <c r="AR56" s="345"/>
      <c r="AS56" s="345"/>
      <c r="AT56" s="345"/>
      <c r="AU56" s="345"/>
      <c r="AV56" s="345"/>
      <c r="AW56" s="345"/>
      <c r="AX56" s="345"/>
      <c r="AY56" s="345"/>
      <c r="AZ56" s="345"/>
      <c r="BA56" s="345"/>
      <c r="BB56" s="345"/>
      <c r="BC56" s="345"/>
      <c r="BD56" s="345"/>
      <c r="BE56" s="345"/>
      <c r="BF56" s="345"/>
      <c r="BG56" s="345"/>
      <c r="BH56" s="345"/>
      <c r="BI56" s="345"/>
      <c r="BJ56" s="345"/>
      <c r="BK56" s="345"/>
      <c r="BL56" s="345"/>
      <c r="BM56" s="345"/>
      <c r="BN56" s="345"/>
      <c r="BO56" s="345"/>
      <c r="BP56" s="345"/>
      <c r="BQ56" s="345"/>
      <c r="BR56" s="345"/>
      <c r="BS56" s="345"/>
      <c r="BT56" s="345"/>
      <c r="BU56" s="345"/>
      <c r="BV56" s="345"/>
      <c r="BW56" s="345"/>
      <c r="BX56" s="345"/>
      <c r="BY56" s="345"/>
      <c r="BZ56" s="345"/>
      <c r="CA56" s="345"/>
      <c r="CB56" s="345"/>
      <c r="CC56" s="345"/>
      <c r="CD56" s="345"/>
      <c r="CE56" s="345"/>
      <c r="CF56" s="345"/>
      <c r="CG56" s="345"/>
      <c r="CH56" s="345"/>
      <c r="CI56" s="345"/>
      <c r="CJ56" s="345"/>
      <c r="CK56" s="345"/>
      <c r="CL56" s="345"/>
      <c r="CM56" s="345"/>
      <c r="CN56" s="345"/>
      <c r="CO56" s="345"/>
      <c r="CP56" s="345"/>
      <c r="CQ56" s="345"/>
      <c r="CR56" s="345"/>
      <c r="CS56" s="345"/>
      <c r="CT56" s="345"/>
      <c r="CU56" s="345"/>
      <c r="CV56" s="345"/>
      <c r="CW56" s="345"/>
      <c r="CX56" s="345"/>
      <c r="CY56" s="345"/>
      <c r="CZ56" s="345"/>
      <c r="DA56" s="345"/>
      <c r="DB56" s="345"/>
      <c r="DC56" s="345"/>
      <c r="DD56" s="345"/>
      <c r="DE56" s="345"/>
      <c r="DF56" s="345"/>
      <c r="DG56" s="345"/>
      <c r="DH56" s="345"/>
      <c r="DI56" s="345"/>
      <c r="DJ56" s="345"/>
      <c r="DK56" s="345"/>
      <c r="DL56" s="345"/>
      <c r="DM56" s="345"/>
      <c r="DN56" s="345"/>
      <c r="DO56" s="345"/>
      <c r="DP56" s="345"/>
      <c r="DQ56" s="345"/>
      <c r="DR56" s="345"/>
      <c r="DS56" s="345"/>
      <c r="DT56" s="345"/>
      <c r="DU56" s="345"/>
      <c r="DV56" s="345"/>
      <c r="DW56" s="345"/>
      <c r="DX56" s="345"/>
      <c r="DY56" s="345"/>
      <c r="DZ56" s="345"/>
      <c r="EA56" s="345"/>
    </row>
    <row r="57" spans="1:131" ht="15.95" customHeight="1">
      <c r="A57" s="345"/>
      <c r="B57" s="345"/>
      <c r="C57" s="2447"/>
      <c r="D57" s="6058"/>
      <c r="E57" s="6059"/>
      <c r="F57" s="2513" t="str">
        <f>Formula!MJ23</f>
        <v>80C</v>
      </c>
      <c r="G57" s="6024" t="str">
        <f>'Old Tax Regime'!D53</f>
        <v>ICICI Life Insurance</v>
      </c>
      <c r="H57" s="6024"/>
      <c r="I57" s="6024"/>
      <c r="J57" s="6024"/>
      <c r="K57" s="6024"/>
      <c r="L57" s="2620" t="s">
        <v>5</v>
      </c>
      <c r="M57" s="2606">
        <f>'Data Sheet-III '!O14</f>
        <v>0</v>
      </c>
      <c r="N57" s="2620" t="s">
        <v>5</v>
      </c>
      <c r="O57" s="2621">
        <f t="shared" si="1"/>
        <v>0</v>
      </c>
      <c r="P57" s="6045"/>
      <c r="Q57" s="6046"/>
      <c r="R57" s="1827"/>
      <c r="S57" s="1827"/>
      <c r="T57" s="1827"/>
      <c r="U57" s="1827"/>
      <c r="V57" s="1827"/>
      <c r="W57" s="1827"/>
      <c r="X57" s="345"/>
      <c r="Y57" s="345"/>
      <c r="Z57" s="345"/>
      <c r="AA57" s="345"/>
      <c r="AB57" s="345"/>
      <c r="AC57" s="345"/>
      <c r="AD57" s="345"/>
      <c r="AE57" s="345"/>
      <c r="AF57" s="345"/>
      <c r="AG57" s="345"/>
      <c r="AH57" s="345"/>
      <c r="AI57" s="345"/>
      <c r="AJ57" s="345"/>
      <c r="AK57" s="345"/>
      <c r="AL57" s="345"/>
      <c r="AM57" s="345"/>
      <c r="AN57" s="345"/>
      <c r="AO57" s="345"/>
      <c r="AP57" s="345"/>
      <c r="AQ57" s="345"/>
      <c r="AR57" s="345"/>
      <c r="AS57" s="345"/>
      <c r="AT57" s="345"/>
      <c r="AU57" s="345"/>
      <c r="AV57" s="345"/>
      <c r="AW57" s="345"/>
      <c r="AX57" s="345"/>
      <c r="AY57" s="345"/>
      <c r="AZ57" s="345"/>
      <c r="BA57" s="345"/>
      <c r="BB57" s="345"/>
      <c r="BC57" s="345"/>
      <c r="BD57" s="345"/>
      <c r="BE57" s="345"/>
      <c r="BF57" s="345"/>
      <c r="BG57" s="345"/>
      <c r="BH57" s="345"/>
      <c r="BI57" s="345"/>
      <c r="BJ57" s="345"/>
      <c r="BK57" s="345"/>
      <c r="BL57" s="345"/>
      <c r="BM57" s="345"/>
      <c r="BN57" s="345"/>
      <c r="BO57" s="345"/>
      <c r="BP57" s="345"/>
      <c r="BQ57" s="345"/>
      <c r="BR57" s="345"/>
      <c r="BS57" s="345"/>
      <c r="BT57" s="345"/>
      <c r="BU57" s="345"/>
      <c r="BV57" s="345"/>
      <c r="BW57" s="345"/>
      <c r="BX57" s="345"/>
      <c r="BY57" s="345"/>
      <c r="BZ57" s="345"/>
      <c r="CA57" s="345"/>
      <c r="CB57" s="345"/>
      <c r="CC57" s="345"/>
      <c r="CD57" s="345"/>
      <c r="CE57" s="345"/>
      <c r="CF57" s="345"/>
      <c r="CG57" s="345"/>
      <c r="CH57" s="345"/>
      <c r="CI57" s="345"/>
      <c r="CJ57" s="345"/>
      <c r="CK57" s="345"/>
      <c r="CL57" s="345"/>
      <c r="CM57" s="345"/>
      <c r="CN57" s="345"/>
      <c r="CO57" s="345"/>
      <c r="CP57" s="345"/>
      <c r="CQ57" s="345"/>
      <c r="CR57" s="345"/>
      <c r="CS57" s="345"/>
      <c r="CT57" s="345"/>
      <c r="CU57" s="345"/>
      <c r="CV57" s="345"/>
      <c r="CW57" s="345"/>
      <c r="CX57" s="345"/>
      <c r="CY57" s="345"/>
      <c r="CZ57" s="345"/>
      <c r="DA57" s="345"/>
      <c r="DB57" s="345"/>
      <c r="DC57" s="345"/>
      <c r="DD57" s="345"/>
      <c r="DE57" s="345"/>
      <c r="DF57" s="345"/>
      <c r="DG57" s="345"/>
      <c r="DH57" s="345"/>
      <c r="DI57" s="345"/>
      <c r="DJ57" s="345"/>
      <c r="DK57" s="345"/>
      <c r="DL57" s="345"/>
      <c r="DM57" s="345"/>
      <c r="DN57" s="345"/>
      <c r="DO57" s="345"/>
      <c r="DP57" s="345"/>
      <c r="DQ57" s="345"/>
      <c r="DR57" s="345"/>
      <c r="DS57" s="345"/>
      <c r="DT57" s="345"/>
      <c r="DU57" s="345"/>
      <c r="DV57" s="345"/>
      <c r="DW57" s="345"/>
      <c r="DX57" s="345"/>
      <c r="DY57" s="345"/>
      <c r="DZ57" s="345"/>
      <c r="EA57" s="345"/>
    </row>
    <row r="58" spans="1:131" ht="15.95" customHeight="1">
      <c r="A58" s="345"/>
      <c r="B58" s="345"/>
      <c r="C58" s="2447"/>
      <c r="D58" s="6056"/>
      <c r="E58" s="6057"/>
      <c r="F58" s="6192" t="s">
        <v>199</v>
      </c>
      <c r="G58" s="6193"/>
      <c r="H58" s="6193"/>
      <c r="I58" s="6193"/>
      <c r="J58" s="6193"/>
      <c r="K58" s="6194"/>
      <c r="L58" s="2620" t="s">
        <v>5</v>
      </c>
      <c r="M58" s="2606">
        <f>SUM(M47:M57)</f>
        <v>133440</v>
      </c>
      <c r="N58" s="2620" t="s">
        <v>5</v>
      </c>
      <c r="O58" s="2606">
        <f>SUM(O47:O57)</f>
        <v>133440</v>
      </c>
      <c r="P58" s="6045"/>
      <c r="Q58" s="6046"/>
      <c r="R58" s="1827"/>
      <c r="S58" s="1827"/>
      <c r="T58" s="1827"/>
      <c r="U58" s="1827"/>
      <c r="V58" s="1827"/>
      <c r="W58" s="1827"/>
      <c r="X58" s="345"/>
      <c r="Y58" s="345"/>
      <c r="Z58" s="345"/>
      <c r="AA58" s="345"/>
      <c r="AB58" s="345"/>
      <c r="AC58" s="345"/>
      <c r="AD58" s="345"/>
      <c r="AE58" s="345"/>
      <c r="AF58" s="345"/>
      <c r="AG58" s="345"/>
      <c r="AH58" s="345"/>
      <c r="AI58" s="345"/>
      <c r="AJ58" s="345"/>
      <c r="AK58" s="345"/>
      <c r="AL58" s="345"/>
      <c r="AM58" s="345"/>
      <c r="AN58" s="345"/>
      <c r="AO58" s="345"/>
      <c r="AP58" s="345"/>
      <c r="AQ58" s="345"/>
      <c r="AR58" s="345"/>
      <c r="AS58" s="345"/>
      <c r="AT58" s="345"/>
      <c r="AU58" s="345"/>
      <c r="AV58" s="345"/>
      <c r="AW58" s="345"/>
      <c r="AX58" s="345"/>
      <c r="AY58" s="345"/>
      <c r="AZ58" s="345"/>
      <c r="BA58" s="345"/>
      <c r="BB58" s="345"/>
      <c r="BC58" s="345"/>
      <c r="BD58" s="345"/>
      <c r="BE58" s="345"/>
      <c r="BF58" s="345"/>
      <c r="BG58" s="345"/>
      <c r="BH58" s="345"/>
      <c r="BI58" s="345"/>
      <c r="BJ58" s="345"/>
      <c r="BK58" s="345"/>
      <c r="BL58" s="345"/>
      <c r="BM58" s="345"/>
      <c r="BN58" s="345"/>
      <c r="BO58" s="345"/>
      <c r="BP58" s="345"/>
      <c r="BQ58" s="345"/>
      <c r="BR58" s="345"/>
      <c r="BS58" s="345"/>
      <c r="BT58" s="345"/>
      <c r="BU58" s="345"/>
      <c r="BV58" s="345"/>
      <c r="BW58" s="345"/>
      <c r="BX58" s="345"/>
      <c r="BY58" s="345"/>
      <c r="BZ58" s="345"/>
      <c r="CA58" s="345"/>
      <c r="CB58" s="345"/>
      <c r="CC58" s="345"/>
      <c r="CD58" s="345"/>
      <c r="CE58" s="345"/>
      <c r="CF58" s="345"/>
      <c r="CG58" s="345"/>
      <c r="CH58" s="345"/>
      <c r="CI58" s="345"/>
      <c r="CJ58" s="345"/>
      <c r="CK58" s="345"/>
      <c r="CL58" s="345"/>
      <c r="CM58" s="345"/>
      <c r="CN58" s="345"/>
      <c r="CO58" s="345"/>
      <c r="CP58" s="345"/>
      <c r="CQ58" s="345"/>
      <c r="CR58" s="345"/>
      <c r="CS58" s="345"/>
      <c r="CT58" s="345"/>
      <c r="CU58" s="345"/>
      <c r="CV58" s="345"/>
      <c r="CW58" s="345"/>
      <c r="CX58" s="345"/>
      <c r="CY58" s="345"/>
      <c r="CZ58" s="345"/>
      <c r="DA58" s="345"/>
      <c r="DB58" s="345"/>
      <c r="DC58" s="345"/>
      <c r="DD58" s="345"/>
      <c r="DE58" s="345"/>
      <c r="DF58" s="345"/>
      <c r="DG58" s="345"/>
      <c r="DH58" s="345"/>
      <c r="DI58" s="345"/>
      <c r="DJ58" s="345"/>
      <c r="DK58" s="345"/>
      <c r="DL58" s="345"/>
      <c r="DM58" s="345"/>
      <c r="DN58" s="345"/>
      <c r="DO58" s="345"/>
      <c r="DP58" s="345"/>
      <c r="DQ58" s="345"/>
      <c r="DR58" s="345"/>
      <c r="DS58" s="345"/>
      <c r="DT58" s="345"/>
      <c r="DU58" s="345"/>
      <c r="DV58" s="345"/>
      <c r="DW58" s="345"/>
      <c r="DX58" s="345"/>
      <c r="DY58" s="345"/>
      <c r="DZ58" s="345"/>
      <c r="EA58" s="345"/>
    </row>
    <row r="59" spans="1:131" ht="15.95" customHeight="1">
      <c r="A59" s="345"/>
      <c r="B59" s="345"/>
      <c r="C59" s="2447"/>
      <c r="D59" s="6054"/>
      <c r="E59" s="6055"/>
      <c r="F59" s="6185" t="str">
        <f>'Old Tax Regime'!C55</f>
        <v xml:space="preserve">Savings U/S 80C </v>
      </c>
      <c r="G59" s="6186"/>
      <c r="H59" s="6186"/>
      <c r="I59" s="6186"/>
      <c r="J59" s="6186"/>
      <c r="K59" s="6187"/>
      <c r="L59" s="6195"/>
      <c r="M59" s="6196"/>
      <c r="N59" s="2620" t="s">
        <v>5</v>
      </c>
      <c r="O59" s="2513">
        <f>'Old Tax Regime'!K55</f>
        <v>133440</v>
      </c>
      <c r="P59" s="6045"/>
      <c r="Q59" s="6046"/>
      <c r="R59" s="1827"/>
      <c r="S59" s="1827"/>
      <c r="T59" s="1827"/>
      <c r="U59" s="1827"/>
      <c r="V59" s="1827"/>
      <c r="W59" s="1827"/>
      <c r="X59" s="345"/>
      <c r="Y59" s="345"/>
      <c r="Z59" s="345"/>
      <c r="AA59" s="345"/>
      <c r="AB59" s="345"/>
      <c r="AC59" s="345"/>
      <c r="AD59" s="345"/>
      <c r="AE59" s="345"/>
      <c r="AF59" s="345"/>
      <c r="AG59" s="345"/>
      <c r="AH59" s="345"/>
      <c r="AI59" s="345"/>
      <c r="AJ59" s="345"/>
      <c r="AK59" s="345"/>
      <c r="AL59" s="345"/>
      <c r="AM59" s="345"/>
      <c r="AN59" s="345"/>
      <c r="AO59" s="345"/>
      <c r="AP59" s="345"/>
      <c r="AQ59" s="345"/>
      <c r="AR59" s="345"/>
      <c r="AS59" s="345"/>
      <c r="AT59" s="345"/>
      <c r="AU59" s="345"/>
      <c r="AV59" s="345"/>
      <c r="AW59" s="345"/>
      <c r="AX59" s="345"/>
      <c r="AY59" s="345"/>
      <c r="AZ59" s="345"/>
      <c r="BA59" s="345"/>
      <c r="BB59" s="345"/>
      <c r="BC59" s="345"/>
      <c r="BD59" s="345"/>
      <c r="BE59" s="345"/>
      <c r="BF59" s="345"/>
      <c r="BG59" s="345"/>
      <c r="BH59" s="345"/>
      <c r="BI59" s="345"/>
      <c r="BJ59" s="345"/>
      <c r="BK59" s="345"/>
      <c r="BL59" s="345"/>
      <c r="BM59" s="345"/>
      <c r="BN59" s="345"/>
      <c r="BO59" s="345"/>
      <c r="BP59" s="345"/>
      <c r="BQ59" s="345"/>
      <c r="BR59" s="345"/>
      <c r="BS59" s="345"/>
      <c r="BT59" s="345"/>
      <c r="BU59" s="345"/>
      <c r="BV59" s="345"/>
      <c r="BW59" s="345"/>
      <c r="BX59" s="345"/>
      <c r="BY59" s="345"/>
      <c r="BZ59" s="345"/>
      <c r="CA59" s="345"/>
      <c r="CB59" s="345"/>
      <c r="CC59" s="345"/>
      <c r="CD59" s="345"/>
      <c r="CE59" s="345"/>
      <c r="CF59" s="345"/>
      <c r="CG59" s="345"/>
      <c r="CH59" s="345"/>
      <c r="CI59" s="345"/>
      <c r="CJ59" s="345"/>
      <c r="CK59" s="345"/>
      <c r="CL59" s="345"/>
      <c r="CM59" s="345"/>
      <c r="CN59" s="345"/>
      <c r="CO59" s="345"/>
      <c r="CP59" s="345"/>
      <c r="CQ59" s="345"/>
      <c r="CR59" s="345"/>
      <c r="CS59" s="345"/>
      <c r="CT59" s="345"/>
      <c r="CU59" s="345"/>
      <c r="CV59" s="345"/>
      <c r="CW59" s="345"/>
      <c r="CX59" s="345"/>
      <c r="CY59" s="345"/>
      <c r="CZ59" s="345"/>
      <c r="DA59" s="345"/>
      <c r="DB59" s="345"/>
      <c r="DC59" s="345"/>
      <c r="DD59" s="345"/>
      <c r="DE59" s="345"/>
      <c r="DF59" s="345"/>
      <c r="DG59" s="345"/>
      <c r="DH59" s="345"/>
      <c r="DI59" s="345"/>
      <c r="DJ59" s="345"/>
      <c r="DK59" s="345"/>
      <c r="DL59" s="345"/>
      <c r="DM59" s="345"/>
      <c r="DN59" s="345"/>
      <c r="DO59" s="345"/>
      <c r="DP59" s="345"/>
      <c r="DQ59" s="345"/>
      <c r="DR59" s="345"/>
      <c r="DS59" s="345"/>
      <c r="DT59" s="345"/>
      <c r="DU59" s="345"/>
      <c r="DV59" s="345"/>
      <c r="DW59" s="345"/>
      <c r="DX59" s="345"/>
      <c r="DY59" s="345"/>
      <c r="DZ59" s="345"/>
      <c r="EA59" s="345"/>
    </row>
    <row r="60" spans="1:131" ht="15.95" customHeight="1">
      <c r="A60" s="345"/>
      <c r="B60" s="345"/>
      <c r="C60" s="2447"/>
      <c r="D60" s="6056"/>
      <c r="E60" s="6057"/>
      <c r="F60" s="6185" t="str">
        <f>'Old Tax Regime'!C56</f>
        <v/>
      </c>
      <c r="G60" s="6186"/>
      <c r="H60" s="6186"/>
      <c r="I60" s="6186"/>
      <c r="J60" s="6186"/>
      <c r="K60" s="6187"/>
      <c r="L60" s="6197"/>
      <c r="M60" s="6198"/>
      <c r="N60" s="2620" t="s">
        <v>5</v>
      </c>
      <c r="O60" s="2622">
        <f>'Old Tax Regime'!K56</f>
        <v>0</v>
      </c>
      <c r="P60" s="6047"/>
      <c r="Q60" s="6048"/>
      <c r="R60" s="1827"/>
      <c r="S60" s="1827"/>
      <c r="T60" s="1827"/>
      <c r="U60" s="1827"/>
      <c r="V60" s="1827"/>
      <c r="W60" s="1827"/>
      <c r="X60" s="345"/>
      <c r="Y60" s="345"/>
      <c r="Z60" s="345"/>
      <c r="AA60" s="345"/>
      <c r="AB60" s="345"/>
      <c r="AC60" s="345"/>
      <c r="AD60" s="345"/>
      <c r="AE60" s="345"/>
      <c r="AF60" s="345"/>
      <c r="AG60" s="345"/>
      <c r="AH60" s="345"/>
      <c r="AI60" s="345"/>
      <c r="AJ60" s="345"/>
      <c r="AK60" s="345"/>
      <c r="AL60" s="345"/>
      <c r="AM60" s="345"/>
      <c r="AN60" s="345"/>
      <c r="AO60" s="345"/>
      <c r="AP60" s="345"/>
      <c r="AQ60" s="345"/>
      <c r="AR60" s="345"/>
      <c r="AS60" s="345"/>
      <c r="AT60" s="345"/>
      <c r="AU60" s="345"/>
      <c r="AV60" s="345"/>
      <c r="AW60" s="345"/>
      <c r="AX60" s="345"/>
      <c r="AY60" s="345"/>
      <c r="AZ60" s="345"/>
      <c r="BA60" s="345"/>
      <c r="BB60" s="345"/>
      <c r="BC60" s="345"/>
      <c r="BD60" s="345"/>
      <c r="BE60" s="345"/>
      <c r="BF60" s="345"/>
      <c r="BG60" s="345"/>
      <c r="BH60" s="345"/>
      <c r="BI60" s="345"/>
      <c r="BJ60" s="345"/>
      <c r="BK60" s="345"/>
      <c r="BL60" s="345"/>
      <c r="BM60" s="345"/>
      <c r="BN60" s="345"/>
      <c r="BO60" s="345"/>
      <c r="BP60" s="345"/>
      <c r="BQ60" s="345"/>
      <c r="BR60" s="345"/>
      <c r="BS60" s="345"/>
      <c r="BT60" s="345"/>
      <c r="BU60" s="345"/>
      <c r="BV60" s="345"/>
      <c r="BW60" s="345"/>
      <c r="BX60" s="345"/>
      <c r="BY60" s="345"/>
      <c r="BZ60" s="345"/>
      <c r="CA60" s="345"/>
      <c r="CB60" s="345"/>
      <c r="CC60" s="345"/>
      <c r="CD60" s="345"/>
      <c r="CE60" s="345"/>
      <c r="CF60" s="345"/>
      <c r="CG60" s="345"/>
      <c r="CH60" s="345"/>
      <c r="CI60" s="345"/>
      <c r="CJ60" s="345"/>
      <c r="CK60" s="345"/>
      <c r="CL60" s="345"/>
      <c r="CM60" s="345"/>
      <c r="CN60" s="345"/>
      <c r="CO60" s="345"/>
      <c r="CP60" s="345"/>
      <c r="CQ60" s="345"/>
      <c r="CR60" s="345"/>
      <c r="CS60" s="345"/>
      <c r="CT60" s="345"/>
      <c r="CU60" s="345"/>
      <c r="CV60" s="345"/>
      <c r="CW60" s="345"/>
      <c r="CX60" s="345"/>
      <c r="CY60" s="345"/>
      <c r="CZ60" s="345"/>
      <c r="DA60" s="345"/>
      <c r="DB60" s="345"/>
      <c r="DC60" s="345"/>
      <c r="DD60" s="345"/>
      <c r="DE60" s="345"/>
      <c r="DF60" s="345"/>
      <c r="DG60" s="345"/>
      <c r="DH60" s="345"/>
      <c r="DI60" s="345"/>
      <c r="DJ60" s="345"/>
      <c r="DK60" s="345"/>
      <c r="DL60" s="345"/>
      <c r="DM60" s="345"/>
      <c r="DN60" s="345"/>
      <c r="DO60" s="345"/>
      <c r="DP60" s="345"/>
      <c r="DQ60" s="345"/>
      <c r="DR60" s="345"/>
      <c r="DS60" s="345"/>
      <c r="DT60" s="345"/>
      <c r="DU60" s="345"/>
      <c r="DV60" s="345"/>
      <c r="DW60" s="345"/>
      <c r="DX60" s="345"/>
      <c r="DY60" s="345"/>
      <c r="DZ60" s="345"/>
      <c r="EA60" s="345"/>
    </row>
    <row r="61" spans="1:131" ht="15.95" customHeight="1">
      <c r="A61" s="345"/>
      <c r="B61" s="345"/>
      <c r="C61" s="2447"/>
      <c r="D61" s="5884" t="s">
        <v>1508</v>
      </c>
      <c r="E61" s="5835"/>
      <c r="F61" s="6188" t="str">
        <f>'Old Tax Regime'!C57</f>
        <v>Total Savings U/S 80C( Limited  to  One Lakh Fifty Thousand)</v>
      </c>
      <c r="G61" s="6189"/>
      <c r="H61" s="6189"/>
      <c r="I61" s="6189"/>
      <c r="J61" s="6189"/>
      <c r="K61" s="6190"/>
      <c r="L61" s="6199"/>
      <c r="M61" s="6200"/>
      <c r="N61" s="2620" t="s">
        <v>5</v>
      </c>
      <c r="O61" s="2640">
        <f>SUM(O59+O60)</f>
        <v>133440</v>
      </c>
      <c r="P61" s="2600" t="s">
        <v>5</v>
      </c>
      <c r="Q61" s="2641">
        <f>O61</f>
        <v>133440</v>
      </c>
      <c r="R61" s="1827"/>
      <c r="S61" s="1827"/>
      <c r="T61" s="1827"/>
      <c r="U61" s="1827"/>
      <c r="V61" s="1827"/>
      <c r="W61" s="1827"/>
      <c r="X61" s="345"/>
      <c r="Y61" s="345"/>
      <c r="Z61" s="345"/>
      <c r="AA61" s="345"/>
      <c r="AB61" s="345"/>
      <c r="AC61" s="345"/>
      <c r="AD61" s="345"/>
      <c r="AE61" s="345"/>
      <c r="AF61" s="345"/>
      <c r="AG61" s="345"/>
      <c r="AH61" s="345"/>
      <c r="AI61" s="345"/>
      <c r="AJ61" s="345"/>
      <c r="AK61" s="345"/>
      <c r="AL61" s="345"/>
      <c r="AM61" s="345"/>
      <c r="AN61" s="345"/>
      <c r="AO61" s="345"/>
      <c r="AP61" s="345"/>
      <c r="AQ61" s="345"/>
      <c r="AR61" s="345"/>
      <c r="AS61" s="345"/>
      <c r="AT61" s="345"/>
      <c r="AU61" s="345"/>
      <c r="AV61" s="345"/>
      <c r="AW61" s="345"/>
      <c r="AX61" s="345"/>
      <c r="AY61" s="345"/>
      <c r="AZ61" s="345"/>
      <c r="BA61" s="345"/>
      <c r="BB61" s="345"/>
      <c r="BC61" s="345"/>
      <c r="BD61" s="345"/>
      <c r="BE61" s="345"/>
      <c r="BF61" s="345"/>
      <c r="BG61" s="345"/>
      <c r="BH61" s="345"/>
      <c r="BI61" s="345"/>
      <c r="BJ61" s="345"/>
      <c r="BK61" s="345"/>
      <c r="BL61" s="345"/>
      <c r="BM61" s="345"/>
      <c r="BN61" s="345"/>
      <c r="BO61" s="345"/>
      <c r="BP61" s="345"/>
      <c r="BQ61" s="345"/>
      <c r="BR61" s="345"/>
      <c r="BS61" s="345"/>
      <c r="BT61" s="345"/>
      <c r="BU61" s="345"/>
      <c r="BV61" s="345"/>
      <c r="BW61" s="345"/>
      <c r="BX61" s="345"/>
      <c r="BY61" s="345"/>
      <c r="BZ61" s="345"/>
      <c r="CA61" s="345"/>
      <c r="CB61" s="345"/>
      <c r="CC61" s="345"/>
      <c r="CD61" s="345"/>
      <c r="CE61" s="345"/>
      <c r="CF61" s="345"/>
      <c r="CG61" s="345"/>
      <c r="CH61" s="345"/>
      <c r="CI61" s="345"/>
      <c r="CJ61" s="345"/>
      <c r="CK61" s="345"/>
      <c r="CL61" s="345"/>
      <c r="CM61" s="345"/>
      <c r="CN61" s="345"/>
      <c r="CO61" s="345"/>
      <c r="CP61" s="345"/>
      <c r="CQ61" s="345"/>
      <c r="CR61" s="345"/>
      <c r="CS61" s="345"/>
      <c r="CT61" s="345"/>
      <c r="CU61" s="345"/>
      <c r="CV61" s="345"/>
      <c r="CW61" s="345"/>
      <c r="CX61" s="345"/>
      <c r="CY61" s="345"/>
      <c r="CZ61" s="345"/>
      <c r="DA61" s="345"/>
      <c r="DB61" s="345"/>
      <c r="DC61" s="345"/>
      <c r="DD61" s="345"/>
      <c r="DE61" s="345"/>
      <c r="DF61" s="345"/>
      <c r="DG61" s="345"/>
      <c r="DH61" s="345"/>
      <c r="DI61" s="345"/>
      <c r="DJ61" s="345"/>
      <c r="DK61" s="345"/>
      <c r="DL61" s="345"/>
      <c r="DM61" s="345"/>
      <c r="DN61" s="345"/>
      <c r="DO61" s="345"/>
      <c r="DP61" s="345"/>
      <c r="DQ61" s="345"/>
      <c r="DR61" s="345"/>
      <c r="DS61" s="345"/>
      <c r="DT61" s="345"/>
      <c r="DU61" s="345"/>
      <c r="DV61" s="345"/>
      <c r="DW61" s="345"/>
      <c r="DX61" s="345"/>
      <c r="DY61" s="345"/>
      <c r="DZ61" s="345"/>
      <c r="EA61" s="345"/>
    </row>
    <row r="62" spans="1:131" ht="15.95" customHeight="1">
      <c r="A62" s="345"/>
      <c r="B62" s="345"/>
      <c r="C62" s="2447"/>
      <c r="D62" s="5884" t="s">
        <v>1509</v>
      </c>
      <c r="E62" s="5835"/>
      <c r="F62" s="2645" t="str">
        <f>Formula!MJ24</f>
        <v>80CCD(1B)</v>
      </c>
      <c r="G62" s="6191" t="str">
        <f>Formula!MK24</f>
        <v xml:space="preserve">Contribution to National Pension Scheme (NPS) of Central Government </v>
      </c>
      <c r="H62" s="6191"/>
      <c r="I62" s="6191"/>
      <c r="J62" s="6191"/>
      <c r="K62" s="6191"/>
      <c r="L62" s="2623" t="s">
        <v>5</v>
      </c>
      <c r="M62" s="2513" t="str">
        <f>IF('Old Tax Regime'!K58&gt;0,'Old Tax Regime'!K58,"")</f>
        <v/>
      </c>
      <c r="N62" s="2620" t="s">
        <v>5</v>
      </c>
      <c r="O62" s="2513">
        <f>'Old Tax Regime'!L58</f>
        <v>0</v>
      </c>
      <c r="P62" s="2601" t="s">
        <v>5</v>
      </c>
      <c r="Q62" s="2642">
        <f>O62</f>
        <v>0</v>
      </c>
      <c r="R62" s="1827"/>
      <c r="S62" s="1827"/>
      <c r="T62" s="1827"/>
      <c r="U62" s="1827"/>
      <c r="V62" s="1827"/>
      <c r="W62" s="1827"/>
      <c r="X62" s="345"/>
      <c r="Y62" s="345"/>
      <c r="Z62" s="345"/>
      <c r="AA62" s="345"/>
      <c r="AB62" s="345"/>
      <c r="AC62" s="345"/>
      <c r="AD62" s="345"/>
      <c r="AE62" s="345"/>
      <c r="AF62" s="345"/>
      <c r="AG62" s="345"/>
      <c r="AH62" s="345"/>
      <c r="AI62" s="345"/>
      <c r="AJ62" s="345"/>
      <c r="AK62" s="345"/>
      <c r="AL62" s="345"/>
      <c r="AM62" s="345"/>
      <c r="AN62" s="345"/>
      <c r="AO62" s="345"/>
      <c r="AP62" s="345"/>
      <c r="AQ62" s="345"/>
      <c r="AR62" s="345"/>
      <c r="AS62" s="345"/>
      <c r="AT62" s="345"/>
      <c r="AU62" s="345"/>
      <c r="AV62" s="345"/>
      <c r="AW62" s="345"/>
      <c r="AX62" s="345"/>
      <c r="AY62" s="345"/>
      <c r="AZ62" s="345"/>
      <c r="BA62" s="345"/>
      <c r="BB62" s="345"/>
      <c r="BC62" s="345"/>
      <c r="BD62" s="345"/>
      <c r="BE62" s="345"/>
      <c r="BF62" s="345"/>
      <c r="BG62" s="345"/>
      <c r="BH62" s="345"/>
      <c r="BI62" s="345"/>
      <c r="BJ62" s="345"/>
      <c r="BK62" s="345"/>
      <c r="BL62" s="345"/>
      <c r="BM62" s="345"/>
      <c r="BN62" s="345"/>
      <c r="BO62" s="345"/>
      <c r="BP62" s="345"/>
      <c r="BQ62" s="345"/>
      <c r="BR62" s="345"/>
      <c r="BS62" s="345"/>
      <c r="BT62" s="345"/>
      <c r="BU62" s="345"/>
      <c r="BV62" s="345"/>
      <c r="BW62" s="345"/>
      <c r="BX62" s="345"/>
      <c r="BY62" s="345"/>
      <c r="BZ62" s="345"/>
      <c r="CA62" s="345"/>
      <c r="CB62" s="345"/>
      <c r="CC62" s="345"/>
      <c r="CD62" s="345"/>
      <c r="CE62" s="345"/>
      <c r="CF62" s="345"/>
      <c r="CG62" s="345"/>
      <c r="CH62" s="345"/>
      <c r="CI62" s="345"/>
      <c r="CJ62" s="345"/>
      <c r="CK62" s="345"/>
      <c r="CL62" s="345"/>
      <c r="CM62" s="345"/>
      <c r="CN62" s="345"/>
      <c r="CO62" s="345"/>
      <c r="CP62" s="345"/>
      <c r="CQ62" s="345"/>
      <c r="CR62" s="345"/>
      <c r="CS62" s="345"/>
      <c r="CT62" s="345"/>
      <c r="CU62" s="345"/>
      <c r="CV62" s="345"/>
      <c r="CW62" s="345"/>
      <c r="CX62" s="345"/>
      <c r="CY62" s="345"/>
      <c r="CZ62" s="345"/>
      <c r="DA62" s="345"/>
      <c r="DB62" s="345"/>
      <c r="DC62" s="345"/>
      <c r="DD62" s="345"/>
      <c r="DE62" s="345"/>
      <c r="DF62" s="345"/>
      <c r="DG62" s="345"/>
      <c r="DH62" s="345"/>
      <c r="DI62" s="345"/>
      <c r="DJ62" s="345"/>
      <c r="DK62" s="345"/>
      <c r="DL62" s="345"/>
      <c r="DM62" s="345"/>
      <c r="DN62" s="345"/>
      <c r="DO62" s="345"/>
      <c r="DP62" s="345"/>
      <c r="DQ62" s="345"/>
      <c r="DR62" s="345"/>
      <c r="DS62" s="345"/>
      <c r="DT62" s="345"/>
      <c r="DU62" s="345"/>
      <c r="DV62" s="345"/>
      <c r="DW62" s="345"/>
      <c r="DX62" s="345"/>
      <c r="DY62" s="345"/>
      <c r="DZ62" s="345"/>
      <c r="EA62" s="345"/>
    </row>
    <row r="63" spans="1:131" ht="15.95" customHeight="1">
      <c r="A63" s="345"/>
      <c r="B63" s="345"/>
      <c r="C63" s="2447"/>
      <c r="D63" s="5884" t="s">
        <v>1511</v>
      </c>
      <c r="E63" s="5835"/>
      <c r="F63" s="2624" t="s">
        <v>322</v>
      </c>
      <c r="G63" s="2625"/>
      <c r="H63" s="2625"/>
      <c r="I63" s="2625"/>
      <c r="J63" s="2625"/>
      <c r="K63" s="2626"/>
      <c r="L63" s="6182"/>
      <c r="M63" s="6183"/>
      <c r="N63" s="6182"/>
      <c r="O63" s="6183"/>
      <c r="P63" s="5889"/>
      <c r="Q63" s="6014"/>
      <c r="R63" s="1827"/>
      <c r="S63" s="1827"/>
      <c r="T63" s="1827"/>
      <c r="U63" s="1827"/>
      <c r="V63" s="1827"/>
      <c r="W63" s="1827"/>
      <c r="X63" s="345"/>
      <c r="Y63" s="345"/>
      <c r="Z63" s="345"/>
      <c r="AA63" s="345"/>
      <c r="AB63" s="345"/>
      <c r="AC63" s="345"/>
      <c r="AD63" s="345"/>
      <c r="AE63" s="345"/>
      <c r="AF63" s="345"/>
      <c r="AG63" s="345"/>
      <c r="AH63" s="345"/>
      <c r="AI63" s="345"/>
      <c r="AJ63" s="345"/>
      <c r="AK63" s="345"/>
      <c r="AL63" s="345"/>
      <c r="AM63" s="345"/>
      <c r="AN63" s="345"/>
      <c r="AO63" s="345"/>
      <c r="AP63" s="345"/>
      <c r="AQ63" s="345"/>
      <c r="AR63" s="345"/>
      <c r="AS63" s="345"/>
      <c r="AT63" s="345"/>
      <c r="AU63" s="345"/>
      <c r="AV63" s="345"/>
      <c r="AW63" s="345"/>
      <c r="AX63" s="345"/>
      <c r="AY63" s="345"/>
      <c r="AZ63" s="345"/>
      <c r="BA63" s="345"/>
      <c r="BB63" s="345"/>
      <c r="BC63" s="345"/>
      <c r="BD63" s="345"/>
      <c r="BE63" s="345"/>
      <c r="BF63" s="345"/>
      <c r="BG63" s="345"/>
      <c r="BH63" s="345"/>
      <c r="BI63" s="345"/>
      <c r="BJ63" s="345"/>
      <c r="BK63" s="345"/>
      <c r="BL63" s="345"/>
      <c r="BM63" s="345"/>
      <c r="BN63" s="345"/>
      <c r="BO63" s="345"/>
      <c r="BP63" s="345"/>
      <c r="BQ63" s="345"/>
      <c r="BR63" s="345"/>
      <c r="BS63" s="345"/>
      <c r="BT63" s="345"/>
      <c r="BU63" s="345"/>
      <c r="BV63" s="345"/>
      <c r="BW63" s="345"/>
      <c r="BX63" s="345"/>
      <c r="BY63" s="345"/>
      <c r="BZ63" s="345"/>
      <c r="CA63" s="345"/>
      <c r="CB63" s="345"/>
      <c r="CC63" s="345"/>
      <c r="CD63" s="345"/>
      <c r="CE63" s="345"/>
      <c r="CF63" s="345"/>
      <c r="CG63" s="345"/>
      <c r="CH63" s="345"/>
      <c r="CI63" s="345"/>
      <c r="CJ63" s="345"/>
      <c r="CK63" s="345"/>
      <c r="CL63" s="345"/>
      <c r="CM63" s="345"/>
      <c r="CN63" s="345"/>
      <c r="CO63" s="345"/>
      <c r="CP63" s="345"/>
      <c r="CQ63" s="345"/>
      <c r="CR63" s="345"/>
      <c r="CS63" s="345"/>
      <c r="CT63" s="345"/>
      <c r="CU63" s="345"/>
      <c r="CV63" s="345"/>
      <c r="CW63" s="345"/>
      <c r="CX63" s="345"/>
      <c r="CY63" s="345"/>
      <c r="CZ63" s="345"/>
      <c r="DA63" s="345"/>
      <c r="DB63" s="345"/>
      <c r="DC63" s="345"/>
      <c r="DD63" s="345"/>
      <c r="DE63" s="345"/>
      <c r="DF63" s="345"/>
      <c r="DG63" s="345"/>
      <c r="DH63" s="345"/>
      <c r="DI63" s="345"/>
      <c r="DJ63" s="345"/>
      <c r="DK63" s="345"/>
      <c r="DL63" s="345"/>
      <c r="DM63" s="345"/>
      <c r="DN63" s="345"/>
      <c r="DO63" s="345"/>
      <c r="DP63" s="345"/>
      <c r="DQ63" s="345"/>
      <c r="DR63" s="345"/>
      <c r="DS63" s="345"/>
      <c r="DT63" s="345"/>
      <c r="DU63" s="345"/>
      <c r="DV63" s="345"/>
      <c r="DW63" s="345"/>
      <c r="DX63" s="345"/>
      <c r="DY63" s="345"/>
      <c r="DZ63" s="345"/>
      <c r="EA63" s="345"/>
    </row>
    <row r="64" spans="1:131" ht="15.95" customHeight="1">
      <c r="A64" s="345"/>
      <c r="B64" s="345"/>
      <c r="C64" s="2447"/>
      <c r="D64" s="5828"/>
      <c r="E64" s="5828"/>
      <c r="F64" s="2629" t="str">
        <f>'Old Tax Regime'!C27</f>
        <v>80G</v>
      </c>
      <c r="G64" s="5832" t="str">
        <f>'Old Tax Regime'!D27</f>
        <v>E.W.F &amp; S.W.F &amp; CMRF&amp;WMF</v>
      </c>
      <c r="H64" s="5832"/>
      <c r="I64" s="5832"/>
      <c r="J64" s="5832"/>
      <c r="K64" s="5832"/>
      <c r="L64" s="2623" t="s">
        <v>5</v>
      </c>
      <c r="M64" s="2508">
        <f>'Old Tax Regime'!K27</f>
        <v>550</v>
      </c>
      <c r="N64" s="2627" t="s">
        <v>5</v>
      </c>
      <c r="O64" s="2508">
        <f>'Old Tax Regime'!L27</f>
        <v>550</v>
      </c>
      <c r="P64" s="5859"/>
      <c r="Q64" s="6015"/>
      <c r="R64" s="1827"/>
      <c r="S64" s="1827"/>
      <c r="T64" s="1827"/>
      <c r="U64" s="1827"/>
      <c r="V64" s="1827"/>
      <c r="W64" s="1827"/>
      <c r="X64" s="345"/>
      <c r="Y64" s="345"/>
      <c r="Z64" s="345"/>
      <c r="AA64" s="345"/>
      <c r="AB64" s="345"/>
      <c r="AC64" s="345"/>
      <c r="AD64" s="345"/>
      <c r="AE64" s="345"/>
      <c r="AF64" s="345"/>
      <c r="AG64" s="345"/>
      <c r="AH64" s="345"/>
      <c r="AI64" s="345"/>
      <c r="AJ64" s="345"/>
      <c r="AK64" s="345"/>
      <c r="AL64" s="345"/>
      <c r="AM64" s="345"/>
      <c r="AN64" s="345"/>
      <c r="AO64" s="345"/>
      <c r="AP64" s="345"/>
      <c r="AQ64" s="345"/>
      <c r="AR64" s="345"/>
      <c r="AS64" s="345"/>
      <c r="AT64" s="345"/>
      <c r="AU64" s="345"/>
      <c r="AV64" s="345"/>
      <c r="AW64" s="345"/>
      <c r="AX64" s="345"/>
      <c r="AY64" s="345"/>
      <c r="AZ64" s="345"/>
      <c r="BA64" s="345"/>
      <c r="BB64" s="345"/>
      <c r="BC64" s="345"/>
      <c r="BD64" s="345"/>
      <c r="BE64" s="345"/>
      <c r="BF64" s="345"/>
      <c r="BG64" s="345"/>
      <c r="BH64" s="345"/>
      <c r="BI64" s="345"/>
      <c r="BJ64" s="345"/>
      <c r="BK64" s="345"/>
      <c r="BL64" s="345"/>
      <c r="BM64" s="345"/>
      <c r="BN64" s="345"/>
      <c r="BO64" s="345"/>
      <c r="BP64" s="345"/>
      <c r="BQ64" s="345"/>
      <c r="BR64" s="345"/>
      <c r="BS64" s="345"/>
      <c r="BT64" s="345"/>
      <c r="BU64" s="345"/>
      <c r="BV64" s="345"/>
      <c r="BW64" s="345"/>
      <c r="BX64" s="345"/>
      <c r="BY64" s="345"/>
      <c r="BZ64" s="345"/>
      <c r="CA64" s="345"/>
      <c r="CB64" s="345"/>
      <c r="CC64" s="345"/>
      <c r="CD64" s="345"/>
      <c r="CE64" s="345"/>
      <c r="CF64" s="345"/>
      <c r="CG64" s="345"/>
      <c r="CH64" s="345"/>
      <c r="CI64" s="345"/>
      <c r="CJ64" s="345"/>
      <c r="CK64" s="345"/>
      <c r="CL64" s="345"/>
      <c r="CM64" s="345"/>
      <c r="CN64" s="345"/>
      <c r="CO64" s="345"/>
      <c r="CP64" s="345"/>
      <c r="CQ64" s="345"/>
      <c r="CR64" s="345"/>
      <c r="CS64" s="345"/>
      <c r="CT64" s="345"/>
      <c r="CU64" s="345"/>
      <c r="CV64" s="345"/>
      <c r="CW64" s="345"/>
      <c r="CX64" s="345"/>
      <c r="CY64" s="345"/>
      <c r="CZ64" s="345"/>
      <c r="DA64" s="345"/>
      <c r="DB64" s="345"/>
      <c r="DC64" s="345"/>
      <c r="DD64" s="345"/>
      <c r="DE64" s="345"/>
      <c r="DF64" s="345"/>
      <c r="DG64" s="345"/>
      <c r="DH64" s="345"/>
      <c r="DI64" s="345"/>
      <c r="DJ64" s="345"/>
      <c r="DK64" s="345"/>
      <c r="DL64" s="345"/>
      <c r="DM64" s="345"/>
      <c r="DN64" s="345"/>
      <c r="DO64" s="345"/>
      <c r="DP64" s="345"/>
      <c r="DQ64" s="345"/>
      <c r="DR64" s="345"/>
      <c r="DS64" s="345"/>
      <c r="DT64" s="345"/>
      <c r="DU64" s="345"/>
      <c r="DV64" s="345"/>
      <c r="DW64" s="345"/>
      <c r="DX64" s="345"/>
      <c r="DY64" s="345"/>
      <c r="DZ64" s="345"/>
      <c r="EA64" s="345"/>
    </row>
    <row r="65" spans="1:131" ht="15.95" customHeight="1">
      <c r="A65" s="345"/>
      <c r="B65" s="345"/>
      <c r="C65" s="2447"/>
      <c r="D65" s="5828"/>
      <c r="E65" s="5828"/>
      <c r="F65" s="2629" t="str">
        <f>'Old Tax Regime'!C28</f>
        <v>80EE</v>
      </c>
      <c r="G65" s="5832" t="str">
        <f>'Old Tax Regime'!D28</f>
        <v xml:space="preserve"> Interest on loan taken for residential house property</v>
      </c>
      <c r="H65" s="5832"/>
      <c r="I65" s="5832"/>
      <c r="J65" s="5832"/>
      <c r="K65" s="5832"/>
      <c r="L65" s="2623" t="s">
        <v>5</v>
      </c>
      <c r="M65" s="2508">
        <f>'Old Tax Regime'!K28</f>
        <v>0</v>
      </c>
      <c r="N65" s="2627" t="s">
        <v>5</v>
      </c>
      <c r="O65" s="2508">
        <f>'Old Tax Regime'!L28</f>
        <v>0</v>
      </c>
      <c r="P65" s="5859"/>
      <c r="Q65" s="6015"/>
      <c r="R65" s="1827"/>
      <c r="S65" s="1827"/>
      <c r="T65" s="1827"/>
      <c r="U65" s="1827"/>
      <c r="V65" s="1827"/>
      <c r="W65" s="1827"/>
      <c r="X65" s="345"/>
      <c r="Y65" s="345"/>
      <c r="Z65" s="345"/>
      <c r="AA65" s="345"/>
      <c r="AB65" s="345"/>
      <c r="AC65" s="345"/>
      <c r="AD65" s="345"/>
      <c r="AE65" s="345"/>
      <c r="AF65" s="345"/>
      <c r="AG65" s="345"/>
      <c r="AH65" s="345"/>
      <c r="AI65" s="345"/>
      <c r="AJ65" s="345"/>
      <c r="AK65" s="345"/>
      <c r="AL65" s="345"/>
      <c r="AM65" s="345"/>
      <c r="AN65" s="345"/>
      <c r="AO65" s="345"/>
      <c r="AP65" s="345"/>
      <c r="AQ65" s="345"/>
      <c r="AR65" s="345"/>
      <c r="AS65" s="345"/>
      <c r="AT65" s="345"/>
      <c r="AU65" s="345"/>
      <c r="AV65" s="345"/>
      <c r="AW65" s="345"/>
      <c r="AX65" s="345"/>
      <c r="AY65" s="345"/>
      <c r="AZ65" s="345"/>
      <c r="BA65" s="345"/>
      <c r="BB65" s="345"/>
      <c r="BC65" s="345"/>
      <c r="BD65" s="345"/>
      <c r="BE65" s="345"/>
      <c r="BF65" s="345"/>
      <c r="BG65" s="345"/>
      <c r="BH65" s="345"/>
      <c r="BI65" s="345"/>
      <c r="BJ65" s="345"/>
      <c r="BK65" s="345"/>
      <c r="BL65" s="345"/>
      <c r="BM65" s="345"/>
      <c r="BN65" s="345"/>
      <c r="BO65" s="345"/>
      <c r="BP65" s="345"/>
      <c r="BQ65" s="345"/>
      <c r="BR65" s="345"/>
      <c r="BS65" s="345"/>
      <c r="BT65" s="345"/>
      <c r="BU65" s="345"/>
      <c r="BV65" s="345"/>
      <c r="BW65" s="345"/>
      <c r="BX65" s="345"/>
      <c r="BY65" s="345"/>
      <c r="BZ65" s="345"/>
      <c r="CA65" s="345"/>
      <c r="CB65" s="345"/>
      <c r="CC65" s="345"/>
      <c r="CD65" s="345"/>
      <c r="CE65" s="345"/>
      <c r="CF65" s="345"/>
      <c r="CG65" s="345"/>
      <c r="CH65" s="345"/>
      <c r="CI65" s="345"/>
      <c r="CJ65" s="345"/>
      <c r="CK65" s="345"/>
      <c r="CL65" s="345"/>
      <c r="CM65" s="345"/>
      <c r="CN65" s="345"/>
      <c r="CO65" s="345"/>
      <c r="CP65" s="345"/>
      <c r="CQ65" s="345"/>
      <c r="CR65" s="345"/>
      <c r="CS65" s="345"/>
      <c r="CT65" s="345"/>
      <c r="CU65" s="345"/>
      <c r="CV65" s="345"/>
      <c r="CW65" s="345"/>
      <c r="CX65" s="345"/>
      <c r="CY65" s="345"/>
      <c r="CZ65" s="345"/>
      <c r="DA65" s="345"/>
      <c r="DB65" s="345"/>
      <c r="DC65" s="345"/>
      <c r="DD65" s="345"/>
      <c r="DE65" s="345"/>
      <c r="DF65" s="345"/>
      <c r="DG65" s="345"/>
      <c r="DH65" s="345"/>
      <c r="DI65" s="345"/>
      <c r="DJ65" s="345"/>
      <c r="DK65" s="345"/>
      <c r="DL65" s="345"/>
      <c r="DM65" s="345"/>
      <c r="DN65" s="345"/>
      <c r="DO65" s="345"/>
      <c r="DP65" s="345"/>
      <c r="DQ65" s="345"/>
      <c r="DR65" s="345"/>
      <c r="DS65" s="345"/>
      <c r="DT65" s="345"/>
      <c r="DU65" s="345"/>
      <c r="DV65" s="345"/>
      <c r="DW65" s="345"/>
      <c r="DX65" s="345"/>
      <c r="DY65" s="345"/>
      <c r="DZ65" s="345"/>
      <c r="EA65" s="345"/>
    </row>
    <row r="66" spans="1:131" ht="15.95" customHeight="1">
      <c r="A66" s="345"/>
      <c r="B66" s="345"/>
      <c r="C66" s="2447"/>
      <c r="D66" s="5828"/>
      <c r="E66" s="5828"/>
      <c r="F66" s="2629" t="str">
        <f>'Old Tax Regime'!C29</f>
        <v>80EEA</v>
      </c>
      <c r="G66" s="5832" t="str">
        <f>'Old Tax Regime'!D29</f>
        <v xml:space="preserve"> Deduction in respect of interest on loan taken for certain house property</v>
      </c>
      <c r="H66" s="5832"/>
      <c r="I66" s="5832"/>
      <c r="J66" s="5832"/>
      <c r="K66" s="5832"/>
      <c r="L66" s="2623" t="s">
        <v>5</v>
      </c>
      <c r="M66" s="2508">
        <f>'Old Tax Regime'!K29</f>
        <v>0</v>
      </c>
      <c r="N66" s="2627" t="s">
        <v>5</v>
      </c>
      <c r="O66" s="2508">
        <f>'Old Tax Regime'!L29</f>
        <v>0</v>
      </c>
      <c r="P66" s="5859"/>
      <c r="Q66" s="6015"/>
      <c r="R66" s="1827"/>
      <c r="S66" s="1827"/>
      <c r="T66" s="1827"/>
      <c r="U66" s="1827"/>
      <c r="V66" s="1827"/>
      <c r="W66" s="1827"/>
      <c r="X66" s="345"/>
      <c r="Y66" s="345"/>
      <c r="Z66" s="345"/>
      <c r="AA66" s="345"/>
      <c r="AB66" s="345"/>
      <c r="AC66" s="345"/>
      <c r="AD66" s="345"/>
      <c r="AE66" s="345"/>
      <c r="AF66" s="345"/>
      <c r="AG66" s="345"/>
      <c r="AH66" s="345"/>
      <c r="AI66" s="345"/>
      <c r="AJ66" s="345"/>
      <c r="AK66" s="345"/>
      <c r="AL66" s="345"/>
      <c r="AM66" s="345"/>
      <c r="AN66" s="345"/>
      <c r="AO66" s="345"/>
      <c r="AP66" s="345"/>
      <c r="AQ66" s="345"/>
      <c r="AR66" s="345"/>
      <c r="AS66" s="345"/>
      <c r="AT66" s="345"/>
      <c r="AU66" s="345"/>
      <c r="AV66" s="345"/>
      <c r="AW66" s="345"/>
      <c r="AX66" s="345"/>
      <c r="AY66" s="345"/>
      <c r="AZ66" s="345"/>
      <c r="BA66" s="345"/>
      <c r="BB66" s="345"/>
      <c r="BC66" s="345"/>
      <c r="BD66" s="345"/>
      <c r="BE66" s="345"/>
      <c r="BF66" s="345"/>
      <c r="BG66" s="345"/>
      <c r="BH66" s="345"/>
      <c r="BI66" s="345"/>
      <c r="BJ66" s="345"/>
      <c r="BK66" s="345"/>
      <c r="BL66" s="345"/>
      <c r="BM66" s="345"/>
      <c r="BN66" s="345"/>
      <c r="BO66" s="345"/>
      <c r="BP66" s="345"/>
      <c r="BQ66" s="345"/>
      <c r="BR66" s="345"/>
      <c r="BS66" s="345"/>
      <c r="BT66" s="345"/>
      <c r="BU66" s="345"/>
      <c r="BV66" s="345"/>
      <c r="BW66" s="345"/>
      <c r="BX66" s="345"/>
      <c r="BY66" s="345"/>
      <c r="BZ66" s="345"/>
      <c r="CA66" s="345"/>
      <c r="CB66" s="345"/>
      <c r="CC66" s="345"/>
      <c r="CD66" s="345"/>
      <c r="CE66" s="345"/>
      <c r="CF66" s="345"/>
      <c r="CG66" s="345"/>
      <c r="CH66" s="345"/>
      <c r="CI66" s="345"/>
      <c r="CJ66" s="345"/>
      <c r="CK66" s="345"/>
      <c r="CL66" s="345"/>
      <c r="CM66" s="345"/>
      <c r="CN66" s="345"/>
      <c r="CO66" s="345"/>
      <c r="CP66" s="345"/>
      <c r="CQ66" s="345"/>
      <c r="CR66" s="345"/>
      <c r="CS66" s="345"/>
      <c r="CT66" s="345"/>
      <c r="CU66" s="345"/>
      <c r="CV66" s="345"/>
      <c r="CW66" s="345"/>
      <c r="CX66" s="345"/>
      <c r="CY66" s="345"/>
      <c r="CZ66" s="345"/>
      <c r="DA66" s="345"/>
      <c r="DB66" s="345"/>
      <c r="DC66" s="345"/>
      <c r="DD66" s="345"/>
      <c r="DE66" s="345"/>
      <c r="DF66" s="345"/>
      <c r="DG66" s="345"/>
      <c r="DH66" s="345"/>
      <c r="DI66" s="345"/>
      <c r="DJ66" s="345"/>
      <c r="DK66" s="345"/>
      <c r="DL66" s="345"/>
      <c r="DM66" s="345"/>
      <c r="DN66" s="345"/>
      <c r="DO66" s="345"/>
      <c r="DP66" s="345"/>
      <c r="DQ66" s="345"/>
      <c r="DR66" s="345"/>
      <c r="DS66" s="345"/>
      <c r="DT66" s="345"/>
      <c r="DU66" s="345"/>
      <c r="DV66" s="345"/>
      <c r="DW66" s="345"/>
      <c r="DX66" s="345"/>
      <c r="DY66" s="345"/>
      <c r="DZ66" s="345"/>
      <c r="EA66" s="345"/>
    </row>
    <row r="67" spans="1:131" ht="15.95" customHeight="1">
      <c r="A67" s="345"/>
      <c r="B67" s="345"/>
      <c r="C67" s="2447"/>
      <c r="D67" s="5828"/>
      <c r="E67" s="5828"/>
      <c r="F67" s="2629" t="str">
        <f>'Old Tax Regime'!C30</f>
        <v>80E</v>
      </c>
      <c r="G67" s="5832" t="str">
        <f>'Old Tax Regime'!D30</f>
        <v xml:space="preserve">Interest  on loan taken for higher Educational </v>
      </c>
      <c r="H67" s="5832"/>
      <c r="I67" s="5832"/>
      <c r="J67" s="5832"/>
      <c r="K67" s="5832"/>
      <c r="L67" s="2623" t="s">
        <v>5</v>
      </c>
      <c r="M67" s="2508">
        <f>'Old Tax Regime'!K30</f>
        <v>0</v>
      </c>
      <c r="N67" s="2627" t="s">
        <v>5</v>
      </c>
      <c r="O67" s="2508">
        <f>'Old Tax Regime'!L30</f>
        <v>0</v>
      </c>
      <c r="P67" s="5859"/>
      <c r="Q67" s="6015"/>
      <c r="R67" s="1827"/>
      <c r="S67" s="1827"/>
      <c r="T67" s="1827"/>
      <c r="U67" s="1827"/>
      <c r="V67" s="1827"/>
      <c r="W67" s="1827"/>
      <c r="X67" s="345"/>
      <c r="Y67" s="345"/>
      <c r="Z67" s="345"/>
      <c r="AA67" s="345"/>
      <c r="AB67" s="345"/>
      <c r="AC67" s="345"/>
      <c r="AD67" s="345"/>
      <c r="AE67" s="345"/>
      <c r="AF67" s="345"/>
      <c r="AG67" s="345"/>
      <c r="AH67" s="345"/>
      <c r="AI67" s="345"/>
      <c r="AJ67" s="345"/>
      <c r="AK67" s="345"/>
      <c r="AL67" s="345"/>
      <c r="AM67" s="345"/>
      <c r="AN67" s="345"/>
      <c r="AO67" s="345"/>
      <c r="AP67" s="345"/>
      <c r="AQ67" s="345"/>
      <c r="AR67" s="345"/>
      <c r="AS67" s="345"/>
      <c r="AT67" s="345"/>
      <c r="AU67" s="345"/>
      <c r="AV67" s="345"/>
      <c r="AW67" s="345"/>
      <c r="AX67" s="345"/>
      <c r="AY67" s="345"/>
      <c r="AZ67" s="345"/>
      <c r="BA67" s="345"/>
      <c r="BB67" s="345"/>
      <c r="BC67" s="345"/>
      <c r="BD67" s="345"/>
      <c r="BE67" s="345"/>
      <c r="BF67" s="345"/>
      <c r="BG67" s="345"/>
      <c r="BH67" s="345"/>
      <c r="BI67" s="345"/>
      <c r="BJ67" s="345"/>
      <c r="BK67" s="345"/>
      <c r="BL67" s="345"/>
      <c r="BM67" s="345"/>
      <c r="BN67" s="345"/>
      <c r="BO67" s="345"/>
      <c r="BP67" s="345"/>
      <c r="BQ67" s="345"/>
      <c r="BR67" s="345"/>
      <c r="BS67" s="345"/>
      <c r="BT67" s="345"/>
      <c r="BU67" s="345"/>
      <c r="BV67" s="345"/>
      <c r="BW67" s="345"/>
      <c r="BX67" s="345"/>
      <c r="BY67" s="345"/>
      <c r="BZ67" s="345"/>
      <c r="CA67" s="345"/>
      <c r="CB67" s="345"/>
      <c r="CC67" s="345"/>
      <c r="CD67" s="345"/>
      <c r="CE67" s="345"/>
      <c r="CF67" s="345"/>
      <c r="CG67" s="345"/>
      <c r="CH67" s="345"/>
      <c r="CI67" s="345"/>
      <c r="CJ67" s="345"/>
      <c r="CK67" s="345"/>
      <c r="CL67" s="345"/>
      <c r="CM67" s="345"/>
      <c r="CN67" s="345"/>
      <c r="CO67" s="345"/>
      <c r="CP67" s="345"/>
      <c r="CQ67" s="345"/>
      <c r="CR67" s="345"/>
      <c r="CS67" s="345"/>
      <c r="CT67" s="345"/>
      <c r="CU67" s="345"/>
      <c r="CV67" s="345"/>
      <c r="CW67" s="345"/>
      <c r="CX67" s="345"/>
      <c r="CY67" s="345"/>
      <c r="CZ67" s="345"/>
      <c r="DA67" s="345"/>
      <c r="DB67" s="345"/>
      <c r="DC67" s="345"/>
      <c r="DD67" s="345"/>
      <c r="DE67" s="345"/>
      <c r="DF67" s="345"/>
      <c r="DG67" s="345"/>
      <c r="DH67" s="345"/>
      <c r="DI67" s="345"/>
      <c r="DJ67" s="345"/>
      <c r="DK67" s="345"/>
      <c r="DL67" s="345"/>
      <c r="DM67" s="345"/>
      <c r="DN67" s="345"/>
      <c r="DO67" s="345"/>
      <c r="DP67" s="345"/>
      <c r="DQ67" s="345"/>
      <c r="DR67" s="345"/>
      <c r="DS67" s="345"/>
      <c r="DT67" s="345"/>
      <c r="DU67" s="345"/>
      <c r="DV67" s="345"/>
      <c r="DW67" s="345"/>
      <c r="DX67" s="345"/>
      <c r="DY67" s="345"/>
      <c r="DZ67" s="345"/>
      <c r="EA67" s="345"/>
    </row>
    <row r="68" spans="1:131" ht="15.95" customHeight="1">
      <c r="A68" s="345"/>
      <c r="B68" s="345"/>
      <c r="C68" s="2447"/>
      <c r="D68" s="5828"/>
      <c r="E68" s="5828"/>
      <c r="F68" s="2629" t="str">
        <f>'Old Tax Regime'!C31</f>
        <v>80D</v>
      </c>
      <c r="G68" s="5832" t="str">
        <f>'Old Tax Regime'!D31</f>
        <v>Deduction in respect of Health insurance Premium</v>
      </c>
      <c r="H68" s="5832"/>
      <c r="I68" s="5832"/>
      <c r="J68" s="5832"/>
      <c r="K68" s="5832"/>
      <c r="L68" s="2623" t="s">
        <v>5</v>
      </c>
      <c r="M68" s="2508">
        <f>'Old Tax Regime'!K31</f>
        <v>0</v>
      </c>
      <c r="N68" s="2627" t="s">
        <v>5</v>
      </c>
      <c r="O68" s="2508">
        <f>'Old Tax Regime'!L31</f>
        <v>0</v>
      </c>
      <c r="P68" s="5859"/>
      <c r="Q68" s="6015"/>
      <c r="R68" s="1827"/>
      <c r="S68" s="1827"/>
      <c r="T68" s="1827"/>
      <c r="U68" s="1827"/>
      <c r="V68" s="1827"/>
      <c r="W68" s="1827"/>
      <c r="X68" s="345"/>
      <c r="Y68" s="345"/>
      <c r="Z68" s="345"/>
      <c r="AA68" s="345"/>
      <c r="AB68" s="345"/>
      <c r="AC68" s="345"/>
      <c r="AD68" s="345"/>
      <c r="AE68" s="345"/>
      <c r="AF68" s="345"/>
      <c r="AG68" s="345"/>
      <c r="AH68" s="345"/>
      <c r="AI68" s="345"/>
      <c r="AJ68" s="345"/>
      <c r="AK68" s="345"/>
      <c r="AL68" s="345"/>
      <c r="AM68" s="345"/>
      <c r="AN68" s="345"/>
      <c r="AO68" s="345"/>
      <c r="AP68" s="345"/>
      <c r="AQ68" s="345"/>
      <c r="AR68" s="345"/>
      <c r="AS68" s="345"/>
      <c r="AT68" s="345"/>
      <c r="AU68" s="345"/>
      <c r="AV68" s="345"/>
      <c r="AW68" s="345"/>
      <c r="AX68" s="345"/>
      <c r="AY68" s="345"/>
      <c r="AZ68" s="345"/>
      <c r="BA68" s="345"/>
      <c r="BB68" s="345"/>
      <c r="BC68" s="345"/>
      <c r="BD68" s="345"/>
      <c r="BE68" s="345"/>
      <c r="BF68" s="345"/>
      <c r="BG68" s="345"/>
      <c r="BH68" s="345"/>
      <c r="BI68" s="345"/>
      <c r="BJ68" s="345"/>
      <c r="BK68" s="345"/>
      <c r="BL68" s="345"/>
      <c r="BM68" s="345"/>
      <c r="BN68" s="345"/>
      <c r="BO68" s="345"/>
      <c r="BP68" s="345"/>
      <c r="BQ68" s="345"/>
      <c r="BR68" s="345"/>
      <c r="BS68" s="345"/>
      <c r="BT68" s="345"/>
      <c r="BU68" s="345"/>
      <c r="BV68" s="345"/>
      <c r="BW68" s="345"/>
      <c r="BX68" s="345"/>
      <c r="BY68" s="345"/>
      <c r="BZ68" s="345"/>
      <c r="CA68" s="345"/>
      <c r="CB68" s="345"/>
      <c r="CC68" s="345"/>
      <c r="CD68" s="345"/>
      <c r="CE68" s="345"/>
      <c r="CF68" s="345"/>
      <c r="CG68" s="345"/>
      <c r="CH68" s="345"/>
      <c r="CI68" s="345"/>
      <c r="CJ68" s="345"/>
      <c r="CK68" s="345"/>
      <c r="CL68" s="345"/>
      <c r="CM68" s="345"/>
      <c r="CN68" s="345"/>
      <c r="CO68" s="345"/>
      <c r="CP68" s="345"/>
      <c r="CQ68" s="345"/>
      <c r="CR68" s="345"/>
      <c r="CS68" s="345"/>
      <c r="CT68" s="345"/>
      <c r="CU68" s="345"/>
      <c r="CV68" s="345"/>
      <c r="CW68" s="345"/>
      <c r="CX68" s="345"/>
      <c r="CY68" s="345"/>
      <c r="CZ68" s="345"/>
      <c r="DA68" s="345"/>
      <c r="DB68" s="345"/>
      <c r="DC68" s="345"/>
      <c r="DD68" s="345"/>
      <c r="DE68" s="345"/>
      <c r="DF68" s="345"/>
      <c r="DG68" s="345"/>
      <c r="DH68" s="345"/>
      <c r="DI68" s="345"/>
      <c r="DJ68" s="345"/>
      <c r="DK68" s="345"/>
      <c r="DL68" s="345"/>
      <c r="DM68" s="345"/>
      <c r="DN68" s="345"/>
      <c r="DO68" s="345"/>
      <c r="DP68" s="345"/>
      <c r="DQ68" s="345"/>
      <c r="DR68" s="345"/>
      <c r="DS68" s="345"/>
      <c r="DT68" s="345"/>
      <c r="DU68" s="345"/>
      <c r="DV68" s="345"/>
      <c r="DW68" s="345"/>
      <c r="DX68" s="345"/>
      <c r="DY68" s="345"/>
      <c r="DZ68" s="345"/>
      <c r="EA68" s="345"/>
    </row>
    <row r="69" spans="1:131" ht="15.95" customHeight="1">
      <c r="A69" s="345"/>
      <c r="B69" s="345"/>
      <c r="C69" s="2447"/>
      <c r="D69" s="5828"/>
      <c r="E69" s="5828"/>
      <c r="F69" s="2629" t="str">
        <f>'Old Tax Regime'!C32</f>
        <v>80DD</v>
      </c>
      <c r="G69" s="5832" t="str">
        <f>'Old Tax Regime'!D32</f>
        <v>Maintance including medical treatment of a dependent who is a person with disability</v>
      </c>
      <c r="H69" s="5832"/>
      <c r="I69" s="5832"/>
      <c r="J69" s="5832"/>
      <c r="K69" s="5832"/>
      <c r="L69" s="2623" t="s">
        <v>5</v>
      </c>
      <c r="M69" s="2508">
        <f>'Old Tax Regime'!K32</f>
        <v>0</v>
      </c>
      <c r="N69" s="2627" t="s">
        <v>5</v>
      </c>
      <c r="O69" s="2508">
        <f>'Old Tax Regime'!L32</f>
        <v>0</v>
      </c>
      <c r="P69" s="5859"/>
      <c r="Q69" s="6015"/>
      <c r="R69" s="1827"/>
      <c r="S69" s="1827"/>
      <c r="T69" s="1827"/>
      <c r="U69" s="1827"/>
      <c r="V69" s="1827"/>
      <c r="W69" s="1827"/>
      <c r="X69" s="345"/>
      <c r="Y69" s="345"/>
      <c r="Z69" s="345"/>
      <c r="AA69" s="345"/>
      <c r="AB69" s="345"/>
      <c r="AC69" s="345"/>
      <c r="AD69" s="345"/>
      <c r="AE69" s="345"/>
      <c r="AF69" s="345"/>
      <c r="AG69" s="345"/>
      <c r="AH69" s="345"/>
      <c r="AI69" s="345"/>
      <c r="AJ69" s="345"/>
      <c r="AK69" s="345"/>
      <c r="AL69" s="345"/>
      <c r="AM69" s="345"/>
      <c r="AN69" s="345"/>
      <c r="AO69" s="345"/>
      <c r="AP69" s="345"/>
      <c r="AQ69" s="345"/>
      <c r="AR69" s="345"/>
      <c r="AS69" s="345"/>
      <c r="AT69" s="345"/>
      <c r="AU69" s="345"/>
      <c r="AV69" s="345"/>
      <c r="AW69" s="345"/>
      <c r="AX69" s="345"/>
      <c r="AY69" s="345"/>
      <c r="AZ69" s="345"/>
      <c r="BA69" s="345"/>
      <c r="BB69" s="345"/>
      <c r="BC69" s="345"/>
      <c r="BD69" s="345"/>
      <c r="BE69" s="345"/>
      <c r="BF69" s="345"/>
      <c r="BG69" s="345"/>
      <c r="BH69" s="345"/>
      <c r="BI69" s="345"/>
      <c r="BJ69" s="345"/>
      <c r="BK69" s="345"/>
      <c r="BL69" s="345"/>
      <c r="BM69" s="345"/>
      <c r="BN69" s="345"/>
      <c r="BO69" s="345"/>
      <c r="BP69" s="345"/>
      <c r="BQ69" s="345"/>
      <c r="BR69" s="345"/>
      <c r="BS69" s="345"/>
      <c r="BT69" s="345"/>
      <c r="BU69" s="345"/>
      <c r="BV69" s="345"/>
      <c r="BW69" s="345"/>
      <c r="BX69" s="345"/>
      <c r="BY69" s="345"/>
      <c r="BZ69" s="345"/>
      <c r="CA69" s="345"/>
      <c r="CB69" s="345"/>
      <c r="CC69" s="345"/>
      <c r="CD69" s="345"/>
      <c r="CE69" s="345"/>
      <c r="CF69" s="345"/>
      <c r="CG69" s="345"/>
      <c r="CH69" s="345"/>
      <c r="CI69" s="345"/>
      <c r="CJ69" s="345"/>
      <c r="CK69" s="345"/>
      <c r="CL69" s="345"/>
      <c r="CM69" s="345"/>
      <c r="CN69" s="345"/>
      <c r="CO69" s="345"/>
      <c r="CP69" s="345"/>
      <c r="CQ69" s="345"/>
      <c r="CR69" s="345"/>
      <c r="CS69" s="345"/>
      <c r="CT69" s="345"/>
      <c r="CU69" s="345"/>
      <c r="CV69" s="345"/>
      <c r="CW69" s="345"/>
      <c r="CX69" s="345"/>
      <c r="CY69" s="345"/>
      <c r="CZ69" s="345"/>
      <c r="DA69" s="345"/>
      <c r="DB69" s="345"/>
      <c r="DC69" s="345"/>
      <c r="DD69" s="345"/>
      <c r="DE69" s="345"/>
      <c r="DF69" s="345"/>
      <c r="DG69" s="345"/>
      <c r="DH69" s="345"/>
      <c r="DI69" s="345"/>
      <c r="DJ69" s="345"/>
      <c r="DK69" s="345"/>
      <c r="DL69" s="345"/>
      <c r="DM69" s="345"/>
      <c r="DN69" s="345"/>
      <c r="DO69" s="345"/>
      <c r="DP69" s="345"/>
      <c r="DQ69" s="345"/>
      <c r="DR69" s="345"/>
      <c r="DS69" s="345"/>
      <c r="DT69" s="345"/>
      <c r="DU69" s="345"/>
      <c r="DV69" s="345"/>
      <c r="DW69" s="345"/>
      <c r="DX69" s="345"/>
      <c r="DY69" s="345"/>
      <c r="DZ69" s="345"/>
      <c r="EA69" s="345"/>
    </row>
    <row r="70" spans="1:131" ht="15.95" customHeight="1">
      <c r="A70" s="345"/>
      <c r="B70" s="345"/>
      <c r="C70" s="2447"/>
      <c r="D70" s="5828"/>
      <c r="E70" s="5828"/>
      <c r="F70" s="2629" t="str">
        <f>'Old Tax Regime'!C33</f>
        <v>80U</v>
      </c>
      <c r="G70" s="5832" t="str">
        <f>'Old Tax Regime'!D33</f>
        <v>In Case of a Tax Payer  with disability</v>
      </c>
      <c r="H70" s="5832"/>
      <c r="I70" s="5832"/>
      <c r="J70" s="5832"/>
      <c r="K70" s="5832"/>
      <c r="L70" s="2623" t="s">
        <v>5</v>
      </c>
      <c r="M70" s="2508">
        <f>'Old Tax Regime'!K33</f>
        <v>0</v>
      </c>
      <c r="N70" s="2627" t="s">
        <v>5</v>
      </c>
      <c r="O70" s="2508">
        <f>'Old Tax Regime'!L33</f>
        <v>0</v>
      </c>
      <c r="P70" s="5859"/>
      <c r="Q70" s="6015"/>
      <c r="R70" s="1827"/>
      <c r="S70" s="1827"/>
      <c r="T70" s="1827"/>
      <c r="U70" s="1827"/>
      <c r="V70" s="1827"/>
      <c r="W70" s="1827"/>
      <c r="X70" s="345"/>
      <c r="Y70" s="345"/>
      <c r="Z70" s="345"/>
      <c r="AA70" s="345"/>
      <c r="AB70" s="345"/>
      <c r="AC70" s="345"/>
      <c r="AD70" s="345"/>
      <c r="AE70" s="345"/>
      <c r="AF70" s="345"/>
      <c r="AG70" s="345"/>
      <c r="AH70" s="345"/>
      <c r="AI70" s="345"/>
      <c r="AJ70" s="345"/>
      <c r="AK70" s="345"/>
      <c r="AL70" s="345"/>
      <c r="AM70" s="345"/>
      <c r="AN70" s="345"/>
      <c r="AO70" s="345"/>
      <c r="AP70" s="345"/>
      <c r="AQ70" s="345"/>
      <c r="AR70" s="345"/>
      <c r="AS70" s="345"/>
      <c r="AT70" s="345"/>
      <c r="AU70" s="345"/>
      <c r="AV70" s="345"/>
      <c r="AW70" s="345"/>
      <c r="AX70" s="345"/>
      <c r="AY70" s="345"/>
      <c r="AZ70" s="345"/>
      <c r="BA70" s="345"/>
      <c r="BB70" s="345"/>
      <c r="BC70" s="345"/>
      <c r="BD70" s="345"/>
      <c r="BE70" s="345"/>
      <c r="BF70" s="345"/>
      <c r="BG70" s="345"/>
      <c r="BH70" s="345"/>
      <c r="BI70" s="345"/>
      <c r="BJ70" s="345"/>
      <c r="BK70" s="345"/>
      <c r="BL70" s="345"/>
      <c r="BM70" s="345"/>
      <c r="BN70" s="345"/>
      <c r="BO70" s="345"/>
      <c r="BP70" s="345"/>
      <c r="BQ70" s="345"/>
      <c r="BR70" s="345"/>
      <c r="BS70" s="345"/>
      <c r="BT70" s="345"/>
      <c r="BU70" s="345"/>
      <c r="BV70" s="345"/>
      <c r="BW70" s="345"/>
      <c r="BX70" s="345"/>
      <c r="BY70" s="345"/>
      <c r="BZ70" s="345"/>
      <c r="CA70" s="345"/>
      <c r="CB70" s="345"/>
      <c r="CC70" s="345"/>
      <c r="CD70" s="345"/>
      <c r="CE70" s="345"/>
      <c r="CF70" s="345"/>
      <c r="CG70" s="345"/>
      <c r="CH70" s="345"/>
      <c r="CI70" s="345"/>
      <c r="CJ70" s="345"/>
      <c r="CK70" s="345"/>
      <c r="CL70" s="345"/>
      <c r="CM70" s="345"/>
      <c r="CN70" s="345"/>
      <c r="CO70" s="345"/>
      <c r="CP70" s="345"/>
      <c r="CQ70" s="345"/>
      <c r="CR70" s="345"/>
      <c r="CS70" s="345"/>
      <c r="CT70" s="345"/>
      <c r="CU70" s="345"/>
      <c r="CV70" s="345"/>
      <c r="CW70" s="345"/>
      <c r="CX70" s="345"/>
      <c r="CY70" s="345"/>
      <c r="CZ70" s="345"/>
      <c r="DA70" s="345"/>
      <c r="DB70" s="345"/>
      <c r="DC70" s="345"/>
      <c r="DD70" s="345"/>
      <c r="DE70" s="345"/>
      <c r="DF70" s="345"/>
      <c r="DG70" s="345"/>
      <c r="DH70" s="345"/>
      <c r="DI70" s="345"/>
      <c r="DJ70" s="345"/>
      <c r="DK70" s="345"/>
      <c r="DL70" s="345"/>
      <c r="DM70" s="345"/>
      <c r="DN70" s="345"/>
      <c r="DO70" s="345"/>
      <c r="DP70" s="345"/>
      <c r="DQ70" s="345"/>
      <c r="DR70" s="345"/>
      <c r="DS70" s="345"/>
      <c r="DT70" s="345"/>
      <c r="DU70" s="345"/>
      <c r="DV70" s="345"/>
      <c r="DW70" s="345"/>
      <c r="DX70" s="345"/>
      <c r="DY70" s="345"/>
      <c r="DZ70" s="345"/>
      <c r="EA70" s="345"/>
    </row>
    <row r="71" spans="1:131" ht="15.95" customHeight="1">
      <c r="A71" s="345"/>
      <c r="B71" s="345"/>
      <c r="C71" s="2447"/>
      <c r="D71" s="5828"/>
      <c r="E71" s="5828"/>
      <c r="F71" s="2629" t="str">
        <f>'Old Tax Regime'!C34</f>
        <v>80DDB</v>
      </c>
      <c r="G71" s="5832" t="str">
        <f>'Old Tax Regime'!D34</f>
        <v>Medical Expenses incurred for Medical treatment of Specified diseases or ailments</v>
      </c>
      <c r="H71" s="5832"/>
      <c r="I71" s="5832"/>
      <c r="J71" s="5832"/>
      <c r="K71" s="5832"/>
      <c r="L71" s="2623" t="s">
        <v>5</v>
      </c>
      <c r="M71" s="2508">
        <f>'Old Tax Regime'!K34</f>
        <v>0</v>
      </c>
      <c r="N71" s="2627" t="s">
        <v>5</v>
      </c>
      <c r="O71" s="2508">
        <f>'Old Tax Regime'!L34</f>
        <v>0</v>
      </c>
      <c r="P71" s="5859"/>
      <c r="Q71" s="6015"/>
      <c r="R71" s="1827"/>
      <c r="S71" s="1827"/>
      <c r="T71" s="1827"/>
      <c r="U71" s="1827"/>
      <c r="V71" s="1827"/>
      <c r="W71" s="1827"/>
      <c r="X71" s="345"/>
      <c r="Y71" s="345"/>
      <c r="Z71" s="345"/>
      <c r="AA71" s="345"/>
      <c r="AB71" s="345"/>
      <c r="AC71" s="345"/>
      <c r="AD71" s="345"/>
      <c r="AE71" s="345"/>
      <c r="AF71" s="345"/>
      <c r="AG71" s="345"/>
      <c r="AH71" s="345"/>
      <c r="AI71" s="345"/>
      <c r="AJ71" s="345"/>
      <c r="AK71" s="345"/>
      <c r="AL71" s="345"/>
      <c r="AM71" s="345"/>
      <c r="AN71" s="345"/>
      <c r="AO71" s="345"/>
      <c r="AP71" s="345"/>
      <c r="AQ71" s="345"/>
      <c r="AR71" s="345"/>
      <c r="AS71" s="345"/>
      <c r="AT71" s="345"/>
      <c r="AU71" s="345"/>
      <c r="AV71" s="345"/>
      <c r="AW71" s="345"/>
      <c r="AX71" s="345"/>
      <c r="AY71" s="345"/>
      <c r="AZ71" s="345"/>
      <c r="BA71" s="345"/>
      <c r="BB71" s="345"/>
      <c r="BC71" s="345"/>
      <c r="BD71" s="345"/>
      <c r="BE71" s="345"/>
      <c r="BF71" s="345"/>
      <c r="BG71" s="345"/>
      <c r="BH71" s="345"/>
      <c r="BI71" s="345"/>
      <c r="BJ71" s="345"/>
      <c r="BK71" s="345"/>
      <c r="BL71" s="345"/>
      <c r="BM71" s="345"/>
      <c r="BN71" s="345"/>
      <c r="BO71" s="345"/>
      <c r="BP71" s="345"/>
      <c r="BQ71" s="345"/>
      <c r="BR71" s="345"/>
      <c r="BS71" s="345"/>
      <c r="BT71" s="345"/>
      <c r="BU71" s="345"/>
      <c r="BV71" s="345"/>
      <c r="BW71" s="345"/>
      <c r="BX71" s="345"/>
      <c r="BY71" s="345"/>
      <c r="BZ71" s="345"/>
      <c r="CA71" s="345"/>
      <c r="CB71" s="345"/>
      <c r="CC71" s="345"/>
      <c r="CD71" s="345"/>
      <c r="CE71" s="345"/>
      <c r="CF71" s="345"/>
      <c r="CG71" s="345"/>
      <c r="CH71" s="345"/>
      <c r="CI71" s="345"/>
      <c r="CJ71" s="345"/>
      <c r="CK71" s="345"/>
      <c r="CL71" s="345"/>
      <c r="CM71" s="345"/>
      <c r="CN71" s="345"/>
      <c r="CO71" s="345"/>
      <c r="CP71" s="345"/>
      <c r="CQ71" s="345"/>
      <c r="CR71" s="345"/>
      <c r="CS71" s="345"/>
      <c r="CT71" s="345"/>
      <c r="CU71" s="345"/>
      <c r="CV71" s="345"/>
      <c r="CW71" s="345"/>
      <c r="CX71" s="345"/>
      <c r="CY71" s="345"/>
      <c r="CZ71" s="345"/>
      <c r="DA71" s="345"/>
      <c r="DB71" s="345"/>
      <c r="DC71" s="345"/>
      <c r="DD71" s="345"/>
      <c r="DE71" s="345"/>
      <c r="DF71" s="345"/>
      <c r="DG71" s="345"/>
      <c r="DH71" s="345"/>
      <c r="DI71" s="345"/>
      <c r="DJ71" s="345"/>
      <c r="DK71" s="345"/>
      <c r="DL71" s="345"/>
      <c r="DM71" s="345"/>
      <c r="DN71" s="345"/>
      <c r="DO71" s="345"/>
      <c r="DP71" s="345"/>
      <c r="DQ71" s="345"/>
      <c r="DR71" s="345"/>
      <c r="DS71" s="345"/>
      <c r="DT71" s="345"/>
      <c r="DU71" s="345"/>
      <c r="DV71" s="345"/>
      <c r="DW71" s="345"/>
      <c r="DX71" s="345"/>
      <c r="DY71" s="345"/>
      <c r="DZ71" s="345"/>
      <c r="EA71" s="345"/>
    </row>
    <row r="72" spans="1:131" ht="15.95" customHeight="1">
      <c r="A72" s="345"/>
      <c r="B72" s="345"/>
      <c r="C72" s="2447"/>
      <c r="D72" s="5828"/>
      <c r="E72" s="5828"/>
      <c r="F72" s="2629" t="str">
        <f>'Old Tax Regime'!C35</f>
        <v>80TTA</v>
      </c>
      <c r="G72" s="5832" t="str">
        <f>'Old Tax Regime'!D35</f>
        <v>Interest on deposit in saving Accounts</v>
      </c>
      <c r="H72" s="5832"/>
      <c r="I72" s="5832"/>
      <c r="J72" s="5832"/>
      <c r="K72" s="5832"/>
      <c r="L72" s="2623" t="s">
        <v>5</v>
      </c>
      <c r="M72" s="2508" t="str">
        <f>'Old Tax Regime'!K35</f>
        <v/>
      </c>
      <c r="N72" s="2623" t="s">
        <v>5</v>
      </c>
      <c r="O72" s="2508">
        <f>'Old Tax Regime'!L35</f>
        <v>0</v>
      </c>
      <c r="P72" s="5859"/>
      <c r="Q72" s="6015"/>
      <c r="R72" s="1827"/>
      <c r="S72" s="1827"/>
      <c r="T72" s="1827"/>
      <c r="U72" s="1827"/>
      <c r="V72" s="1827"/>
      <c r="W72" s="1827"/>
      <c r="X72" s="345"/>
      <c r="Y72" s="345"/>
      <c r="Z72" s="345"/>
      <c r="AA72" s="345"/>
      <c r="AB72" s="345"/>
      <c r="AC72" s="345"/>
      <c r="AD72" s="345"/>
      <c r="AE72" s="345"/>
      <c r="AF72" s="345"/>
      <c r="AG72" s="345"/>
      <c r="AH72" s="345"/>
      <c r="AI72" s="345"/>
      <c r="AJ72" s="345"/>
      <c r="AK72" s="345"/>
      <c r="AL72" s="345"/>
      <c r="AM72" s="345"/>
      <c r="AN72" s="345"/>
      <c r="AO72" s="345"/>
      <c r="AP72" s="345"/>
      <c r="AQ72" s="345"/>
      <c r="AR72" s="345"/>
      <c r="AS72" s="345"/>
      <c r="AT72" s="345"/>
      <c r="AU72" s="345"/>
      <c r="AV72" s="345"/>
      <c r="AW72" s="345"/>
      <c r="AX72" s="345"/>
      <c r="AY72" s="345"/>
      <c r="AZ72" s="345"/>
      <c r="BA72" s="345"/>
      <c r="BB72" s="345"/>
      <c r="BC72" s="345"/>
      <c r="BD72" s="345"/>
      <c r="BE72" s="345"/>
      <c r="BF72" s="345"/>
      <c r="BG72" s="345"/>
      <c r="BH72" s="345"/>
      <c r="BI72" s="345"/>
      <c r="BJ72" s="345"/>
      <c r="BK72" s="345"/>
      <c r="BL72" s="345"/>
      <c r="BM72" s="345"/>
      <c r="BN72" s="345"/>
      <c r="BO72" s="345"/>
      <c r="BP72" s="345"/>
      <c r="BQ72" s="345"/>
      <c r="BR72" s="345"/>
      <c r="BS72" s="345"/>
      <c r="BT72" s="345"/>
      <c r="BU72" s="345"/>
      <c r="BV72" s="345"/>
      <c r="BW72" s="345"/>
      <c r="BX72" s="345"/>
      <c r="BY72" s="345"/>
      <c r="BZ72" s="345"/>
      <c r="CA72" s="345"/>
      <c r="CB72" s="345"/>
      <c r="CC72" s="345"/>
      <c r="CD72" s="345"/>
      <c r="CE72" s="345"/>
      <c r="CF72" s="345"/>
      <c r="CG72" s="345"/>
      <c r="CH72" s="345"/>
      <c r="CI72" s="345"/>
      <c r="CJ72" s="345"/>
      <c r="CK72" s="345"/>
      <c r="CL72" s="345"/>
      <c r="CM72" s="345"/>
      <c r="CN72" s="345"/>
      <c r="CO72" s="345"/>
      <c r="CP72" s="345"/>
      <c r="CQ72" s="345"/>
      <c r="CR72" s="345"/>
      <c r="CS72" s="345"/>
      <c r="CT72" s="345"/>
      <c r="CU72" s="345"/>
      <c r="CV72" s="345"/>
      <c r="CW72" s="345"/>
      <c r="CX72" s="345"/>
      <c r="CY72" s="345"/>
      <c r="CZ72" s="345"/>
      <c r="DA72" s="345"/>
      <c r="DB72" s="345"/>
      <c r="DC72" s="345"/>
      <c r="DD72" s="345"/>
      <c r="DE72" s="345"/>
      <c r="DF72" s="345"/>
      <c r="DG72" s="345"/>
      <c r="DH72" s="345"/>
      <c r="DI72" s="345"/>
      <c r="DJ72" s="345"/>
      <c r="DK72" s="345"/>
      <c r="DL72" s="345"/>
      <c r="DM72" s="345"/>
      <c r="DN72" s="345"/>
      <c r="DO72" s="345"/>
      <c r="DP72" s="345"/>
      <c r="DQ72" s="345"/>
      <c r="DR72" s="345"/>
      <c r="DS72" s="345"/>
      <c r="DT72" s="345"/>
      <c r="DU72" s="345"/>
      <c r="DV72" s="345"/>
      <c r="DW72" s="345"/>
      <c r="DX72" s="345"/>
      <c r="DY72" s="345"/>
      <c r="DZ72" s="345"/>
      <c r="EA72" s="345"/>
    </row>
    <row r="73" spans="1:131" ht="15.95" customHeight="1">
      <c r="A73" s="345"/>
      <c r="B73" s="345"/>
      <c r="C73" s="2447"/>
      <c r="D73" s="5828"/>
      <c r="E73" s="5828"/>
      <c r="F73" s="2629" t="str">
        <f>'Old Tax Regime'!C36</f>
        <v>80EEB</v>
      </c>
      <c r="G73" s="5832" t="str">
        <f>'Old Tax Regime'!D36</f>
        <v>Deduction in respect of purchase of electric vehicle</v>
      </c>
      <c r="H73" s="5832"/>
      <c r="I73" s="5832"/>
      <c r="J73" s="5832"/>
      <c r="K73" s="5832"/>
      <c r="L73" s="2623" t="s">
        <v>5</v>
      </c>
      <c r="M73" s="2508" t="str">
        <f>'Old Tax Regime'!K36</f>
        <v/>
      </c>
      <c r="N73" s="2623" t="s">
        <v>5</v>
      </c>
      <c r="O73" s="2508">
        <f>'Old Tax Regime'!L36</f>
        <v>0</v>
      </c>
      <c r="P73" s="5859"/>
      <c r="Q73" s="6015"/>
      <c r="R73" s="1827"/>
      <c r="S73" s="1827"/>
      <c r="T73" s="1827"/>
      <c r="U73" s="1827"/>
      <c r="V73" s="1827"/>
      <c r="W73" s="1827"/>
      <c r="X73" s="345"/>
      <c r="Y73" s="345"/>
      <c r="Z73" s="345"/>
      <c r="AA73" s="345"/>
      <c r="AB73" s="345"/>
      <c r="AC73" s="345"/>
      <c r="AD73" s="345"/>
      <c r="AE73" s="345"/>
      <c r="AF73" s="345"/>
      <c r="AG73" s="345"/>
      <c r="AH73" s="345"/>
      <c r="AI73" s="345"/>
      <c r="AJ73" s="345"/>
      <c r="AK73" s="345"/>
      <c r="AL73" s="345"/>
      <c r="AM73" s="345"/>
      <c r="AN73" s="345"/>
      <c r="AO73" s="345"/>
      <c r="AP73" s="345"/>
      <c r="AQ73" s="345"/>
      <c r="AR73" s="345"/>
      <c r="AS73" s="345"/>
      <c r="AT73" s="345"/>
      <c r="AU73" s="345"/>
      <c r="AV73" s="345"/>
      <c r="AW73" s="345"/>
      <c r="AX73" s="345"/>
      <c r="AY73" s="345"/>
      <c r="AZ73" s="345"/>
      <c r="BA73" s="345"/>
      <c r="BB73" s="345"/>
      <c r="BC73" s="345"/>
      <c r="BD73" s="345"/>
      <c r="BE73" s="345"/>
      <c r="BF73" s="345"/>
      <c r="BG73" s="345"/>
      <c r="BH73" s="345"/>
      <c r="BI73" s="345"/>
      <c r="BJ73" s="345"/>
      <c r="BK73" s="345"/>
      <c r="BL73" s="345"/>
      <c r="BM73" s="345"/>
      <c r="BN73" s="345"/>
      <c r="BO73" s="345"/>
      <c r="BP73" s="345"/>
      <c r="BQ73" s="345"/>
      <c r="BR73" s="345"/>
      <c r="BS73" s="345"/>
      <c r="BT73" s="345"/>
      <c r="BU73" s="345"/>
      <c r="BV73" s="345"/>
      <c r="BW73" s="345"/>
      <c r="BX73" s="345"/>
      <c r="BY73" s="345"/>
      <c r="BZ73" s="345"/>
      <c r="CA73" s="345"/>
      <c r="CB73" s="345"/>
      <c r="CC73" s="345"/>
      <c r="CD73" s="345"/>
      <c r="CE73" s="345"/>
      <c r="CF73" s="345"/>
      <c r="CG73" s="345"/>
      <c r="CH73" s="345"/>
      <c r="CI73" s="345"/>
      <c r="CJ73" s="345"/>
      <c r="CK73" s="345"/>
      <c r="CL73" s="345"/>
      <c r="CM73" s="345"/>
      <c r="CN73" s="345"/>
      <c r="CO73" s="345"/>
      <c r="CP73" s="345"/>
      <c r="CQ73" s="345"/>
      <c r="CR73" s="345"/>
      <c r="CS73" s="345"/>
      <c r="CT73" s="345"/>
      <c r="CU73" s="345"/>
      <c r="CV73" s="345"/>
      <c r="CW73" s="345"/>
      <c r="CX73" s="345"/>
      <c r="CY73" s="345"/>
      <c r="CZ73" s="345"/>
      <c r="DA73" s="345"/>
      <c r="DB73" s="345"/>
      <c r="DC73" s="345"/>
      <c r="DD73" s="345"/>
      <c r="DE73" s="345"/>
      <c r="DF73" s="345"/>
      <c r="DG73" s="345"/>
      <c r="DH73" s="345"/>
      <c r="DI73" s="345"/>
      <c r="DJ73" s="345"/>
      <c r="DK73" s="345"/>
      <c r="DL73" s="345"/>
      <c r="DM73" s="345"/>
      <c r="DN73" s="345"/>
      <c r="DO73" s="345"/>
      <c r="DP73" s="345"/>
      <c r="DQ73" s="345"/>
      <c r="DR73" s="345"/>
      <c r="DS73" s="345"/>
      <c r="DT73" s="345"/>
      <c r="DU73" s="345"/>
      <c r="DV73" s="345"/>
      <c r="DW73" s="345"/>
      <c r="DX73" s="345"/>
      <c r="DY73" s="345"/>
      <c r="DZ73" s="345"/>
      <c r="EA73" s="345"/>
    </row>
    <row r="74" spans="1:131" ht="15.95" customHeight="1">
      <c r="A74" s="345"/>
      <c r="B74" s="345"/>
      <c r="C74" s="2447"/>
      <c r="D74" s="5828"/>
      <c r="E74" s="5828"/>
      <c r="F74" s="2629" t="str">
        <f>'Old Tax Regime'!C37</f>
        <v>80GGC</v>
      </c>
      <c r="G74" s="5832" t="str">
        <f>'Old Tax Regime'!D37</f>
        <v>100% Deduction of  Donation Amount to Political Party or Electrol Trusts</v>
      </c>
      <c r="H74" s="5832"/>
      <c r="I74" s="5832"/>
      <c r="J74" s="5832"/>
      <c r="K74" s="5832"/>
      <c r="L74" s="2623" t="s">
        <v>5</v>
      </c>
      <c r="M74" s="2508">
        <f>'Old Tax Regime'!K37</f>
        <v>0</v>
      </c>
      <c r="N74" s="2623" t="s">
        <v>5</v>
      </c>
      <c r="O74" s="2508">
        <f>'Old Tax Regime'!L37</f>
        <v>0</v>
      </c>
      <c r="P74" s="5859"/>
      <c r="Q74" s="6015"/>
      <c r="R74" s="1827"/>
      <c r="S74" s="1827"/>
      <c r="T74" s="1827"/>
      <c r="U74" s="1827"/>
      <c r="V74" s="1827"/>
      <c r="W74" s="1827"/>
      <c r="X74" s="345"/>
      <c r="Y74" s="345"/>
      <c r="Z74" s="345"/>
      <c r="AA74" s="345"/>
      <c r="AB74" s="345"/>
      <c r="AC74" s="345"/>
      <c r="AD74" s="345"/>
      <c r="AE74" s="345"/>
      <c r="AF74" s="345"/>
      <c r="AG74" s="345"/>
      <c r="AH74" s="345"/>
      <c r="AI74" s="345"/>
      <c r="AJ74" s="345"/>
      <c r="AK74" s="345"/>
      <c r="AL74" s="345"/>
      <c r="AM74" s="345"/>
      <c r="AN74" s="345"/>
      <c r="AO74" s="345"/>
      <c r="AP74" s="345"/>
      <c r="AQ74" s="345"/>
      <c r="AR74" s="345"/>
      <c r="AS74" s="345"/>
      <c r="AT74" s="345"/>
      <c r="AU74" s="345"/>
      <c r="AV74" s="345"/>
      <c r="AW74" s="345"/>
      <c r="AX74" s="345"/>
      <c r="AY74" s="345"/>
      <c r="AZ74" s="345"/>
      <c r="BA74" s="345"/>
      <c r="BB74" s="345"/>
      <c r="BC74" s="345"/>
      <c r="BD74" s="345"/>
      <c r="BE74" s="345"/>
      <c r="BF74" s="345"/>
      <c r="BG74" s="345"/>
      <c r="BH74" s="345"/>
      <c r="BI74" s="345"/>
      <c r="BJ74" s="345"/>
      <c r="BK74" s="345"/>
      <c r="BL74" s="345"/>
      <c r="BM74" s="345"/>
      <c r="BN74" s="345"/>
      <c r="BO74" s="345"/>
      <c r="BP74" s="345"/>
      <c r="BQ74" s="345"/>
      <c r="BR74" s="345"/>
      <c r="BS74" s="345"/>
      <c r="BT74" s="345"/>
      <c r="BU74" s="345"/>
      <c r="BV74" s="345"/>
      <c r="BW74" s="345"/>
      <c r="BX74" s="345"/>
      <c r="BY74" s="345"/>
      <c r="BZ74" s="345"/>
      <c r="CA74" s="345"/>
      <c r="CB74" s="345"/>
      <c r="CC74" s="345"/>
      <c r="CD74" s="345"/>
      <c r="CE74" s="345"/>
      <c r="CF74" s="345"/>
      <c r="CG74" s="345"/>
      <c r="CH74" s="345"/>
      <c r="CI74" s="345"/>
      <c r="CJ74" s="345"/>
      <c r="CK74" s="345"/>
      <c r="CL74" s="345"/>
      <c r="CM74" s="345"/>
      <c r="CN74" s="345"/>
      <c r="CO74" s="345"/>
      <c r="CP74" s="345"/>
      <c r="CQ74" s="345"/>
      <c r="CR74" s="345"/>
      <c r="CS74" s="345"/>
      <c r="CT74" s="345"/>
      <c r="CU74" s="345"/>
      <c r="CV74" s="345"/>
      <c r="CW74" s="345"/>
      <c r="CX74" s="345"/>
      <c r="CY74" s="345"/>
      <c r="CZ74" s="345"/>
      <c r="DA74" s="345"/>
      <c r="DB74" s="345"/>
      <c r="DC74" s="345"/>
      <c r="DD74" s="345"/>
      <c r="DE74" s="345"/>
      <c r="DF74" s="345"/>
      <c r="DG74" s="345"/>
      <c r="DH74" s="345"/>
      <c r="DI74" s="345"/>
      <c r="DJ74" s="345"/>
      <c r="DK74" s="345"/>
      <c r="DL74" s="345"/>
      <c r="DM74" s="345"/>
      <c r="DN74" s="345"/>
      <c r="DO74" s="345"/>
      <c r="DP74" s="345"/>
      <c r="DQ74" s="345"/>
      <c r="DR74" s="345"/>
      <c r="DS74" s="345"/>
      <c r="DT74" s="345"/>
      <c r="DU74" s="345"/>
      <c r="DV74" s="345"/>
      <c r="DW74" s="345"/>
      <c r="DX74" s="345"/>
      <c r="DY74" s="345"/>
      <c r="DZ74" s="345"/>
      <c r="EA74" s="345"/>
    </row>
    <row r="75" spans="1:131" ht="15.95" customHeight="1">
      <c r="A75" s="345"/>
      <c r="B75" s="345"/>
      <c r="C75" s="2447"/>
      <c r="D75" s="5828"/>
      <c r="E75" s="5828"/>
      <c r="F75" s="2629" t="str">
        <f>'Old Tax Regime'!C38</f>
        <v>80G</v>
      </c>
      <c r="G75" s="5832" t="str">
        <f>'Old Tax Regime'!D38</f>
        <v>Donation entitled for 50% Deduction Subjected to Qualifying Limit</v>
      </c>
      <c r="H75" s="5832"/>
      <c r="I75" s="5832"/>
      <c r="J75" s="5832"/>
      <c r="K75" s="5832"/>
      <c r="L75" s="2623" t="s">
        <v>5</v>
      </c>
      <c r="M75" s="2508" t="str">
        <f>'Old Tax Regime'!K38</f>
        <v/>
      </c>
      <c r="N75" s="2623" t="s">
        <v>5</v>
      </c>
      <c r="O75" s="2508">
        <f>'Old Tax Regime'!L38</f>
        <v>0</v>
      </c>
      <c r="P75" s="5859"/>
      <c r="Q75" s="6015"/>
      <c r="R75" s="1827"/>
      <c r="S75" s="1827"/>
      <c r="T75" s="1827"/>
      <c r="U75" s="1827"/>
      <c r="V75" s="1827"/>
      <c r="W75" s="1827"/>
      <c r="X75" s="345"/>
      <c r="Y75" s="345"/>
      <c r="Z75" s="345"/>
      <c r="AA75" s="345"/>
      <c r="AB75" s="345"/>
      <c r="AC75" s="345"/>
      <c r="AD75" s="345"/>
      <c r="AE75" s="345"/>
      <c r="AF75" s="345"/>
      <c r="AG75" s="345"/>
      <c r="AH75" s="345"/>
      <c r="AI75" s="345"/>
      <c r="AJ75" s="345"/>
      <c r="AK75" s="345"/>
      <c r="AL75" s="345"/>
      <c r="AM75" s="345"/>
      <c r="AN75" s="345"/>
      <c r="AO75" s="345"/>
      <c r="AP75" s="345"/>
      <c r="AQ75" s="345"/>
      <c r="AR75" s="345"/>
      <c r="AS75" s="345"/>
      <c r="AT75" s="345"/>
      <c r="AU75" s="345"/>
      <c r="AV75" s="345"/>
      <c r="AW75" s="345"/>
      <c r="AX75" s="345"/>
      <c r="AY75" s="345"/>
      <c r="AZ75" s="345"/>
      <c r="BA75" s="345"/>
      <c r="BB75" s="345"/>
      <c r="BC75" s="345"/>
      <c r="BD75" s="345"/>
      <c r="BE75" s="345"/>
      <c r="BF75" s="345"/>
      <c r="BG75" s="345"/>
      <c r="BH75" s="345"/>
      <c r="BI75" s="345"/>
      <c r="BJ75" s="345"/>
      <c r="BK75" s="345"/>
      <c r="BL75" s="345"/>
      <c r="BM75" s="345"/>
      <c r="BN75" s="345"/>
      <c r="BO75" s="345"/>
      <c r="BP75" s="345"/>
      <c r="BQ75" s="345"/>
      <c r="BR75" s="345"/>
      <c r="BS75" s="345"/>
      <c r="BT75" s="345"/>
      <c r="BU75" s="345"/>
      <c r="BV75" s="345"/>
      <c r="BW75" s="345"/>
      <c r="BX75" s="345"/>
      <c r="BY75" s="345"/>
      <c r="BZ75" s="345"/>
      <c r="CA75" s="345"/>
      <c r="CB75" s="345"/>
      <c r="CC75" s="345"/>
      <c r="CD75" s="345"/>
      <c r="CE75" s="345"/>
      <c r="CF75" s="345"/>
      <c r="CG75" s="345"/>
      <c r="CH75" s="345"/>
      <c r="CI75" s="345"/>
      <c r="CJ75" s="345"/>
      <c r="CK75" s="345"/>
      <c r="CL75" s="345"/>
      <c r="CM75" s="345"/>
      <c r="CN75" s="345"/>
      <c r="CO75" s="345"/>
      <c r="CP75" s="345"/>
      <c r="CQ75" s="345"/>
      <c r="CR75" s="345"/>
      <c r="CS75" s="345"/>
      <c r="CT75" s="345"/>
      <c r="CU75" s="345"/>
      <c r="CV75" s="345"/>
      <c r="CW75" s="345"/>
      <c r="CX75" s="345"/>
      <c r="CY75" s="345"/>
      <c r="CZ75" s="345"/>
      <c r="DA75" s="345"/>
      <c r="DB75" s="345"/>
      <c r="DC75" s="345"/>
      <c r="DD75" s="345"/>
      <c r="DE75" s="345"/>
      <c r="DF75" s="345"/>
      <c r="DG75" s="345"/>
      <c r="DH75" s="345"/>
      <c r="DI75" s="345"/>
      <c r="DJ75" s="345"/>
      <c r="DK75" s="345"/>
      <c r="DL75" s="345"/>
      <c r="DM75" s="345"/>
      <c r="DN75" s="345"/>
      <c r="DO75" s="345"/>
      <c r="DP75" s="345"/>
      <c r="DQ75" s="345"/>
      <c r="DR75" s="345"/>
      <c r="DS75" s="345"/>
      <c r="DT75" s="345"/>
      <c r="DU75" s="345"/>
      <c r="DV75" s="345"/>
      <c r="DW75" s="345"/>
      <c r="DX75" s="345"/>
      <c r="DY75" s="345"/>
      <c r="DZ75" s="345"/>
      <c r="EA75" s="345"/>
    </row>
    <row r="76" spans="1:131" ht="15.95" customHeight="1">
      <c r="A76" s="345"/>
      <c r="B76" s="345"/>
      <c r="C76" s="2447"/>
      <c r="D76" s="5828"/>
      <c r="E76" s="5828"/>
      <c r="F76" s="2629" t="str">
        <f>'Old Tax Regime'!C39</f>
        <v>80GGA</v>
      </c>
      <c r="G76" s="5832" t="str">
        <f>'Old Tax Regime'!D39</f>
        <v>Certain Donation for scientific research or rural development</v>
      </c>
      <c r="H76" s="5832"/>
      <c r="I76" s="5832"/>
      <c r="J76" s="5832"/>
      <c r="K76" s="5832"/>
      <c r="L76" s="2623" t="s">
        <v>5</v>
      </c>
      <c r="M76" s="2508" t="str">
        <f>'Old Tax Regime'!K39</f>
        <v/>
      </c>
      <c r="N76" s="2623" t="s">
        <v>5</v>
      </c>
      <c r="O76" s="2508">
        <f>'Old Tax Regime'!L39</f>
        <v>0</v>
      </c>
      <c r="P76" s="5867"/>
      <c r="Q76" s="6016"/>
      <c r="R76" s="1827"/>
      <c r="S76" s="1827"/>
      <c r="T76" s="1827"/>
      <c r="U76" s="1827"/>
      <c r="V76" s="1827"/>
      <c r="W76" s="1827"/>
      <c r="X76" s="345"/>
      <c r="Y76" s="345"/>
      <c r="Z76" s="345"/>
      <c r="AA76" s="345"/>
      <c r="AB76" s="345"/>
      <c r="AC76" s="345"/>
      <c r="AD76" s="345"/>
      <c r="AE76" s="345"/>
      <c r="AF76" s="345"/>
      <c r="AG76" s="345"/>
      <c r="AH76" s="345"/>
      <c r="AI76" s="345"/>
      <c r="AJ76" s="345"/>
      <c r="AK76" s="345"/>
      <c r="AL76" s="345"/>
      <c r="AM76" s="345"/>
      <c r="AN76" s="345"/>
      <c r="AO76" s="345"/>
      <c r="AP76" s="345"/>
      <c r="AQ76" s="345"/>
      <c r="AR76" s="345"/>
      <c r="AS76" s="345"/>
      <c r="AT76" s="345"/>
      <c r="AU76" s="345"/>
      <c r="AV76" s="345"/>
      <c r="AW76" s="345"/>
      <c r="AX76" s="345"/>
      <c r="AY76" s="345"/>
      <c r="AZ76" s="345"/>
      <c r="BA76" s="345"/>
      <c r="BB76" s="345"/>
      <c r="BC76" s="345"/>
      <c r="BD76" s="345"/>
      <c r="BE76" s="345"/>
      <c r="BF76" s="345"/>
      <c r="BG76" s="345"/>
      <c r="BH76" s="345"/>
      <c r="BI76" s="345"/>
      <c r="BJ76" s="345"/>
      <c r="BK76" s="345"/>
      <c r="BL76" s="345"/>
      <c r="BM76" s="345"/>
      <c r="BN76" s="345"/>
      <c r="BO76" s="345"/>
      <c r="BP76" s="345"/>
      <c r="BQ76" s="345"/>
      <c r="BR76" s="345"/>
      <c r="BS76" s="345"/>
      <c r="BT76" s="345"/>
      <c r="BU76" s="345"/>
      <c r="BV76" s="345"/>
      <c r="BW76" s="345"/>
      <c r="BX76" s="345"/>
      <c r="BY76" s="345"/>
      <c r="BZ76" s="345"/>
      <c r="CA76" s="345"/>
      <c r="CB76" s="345"/>
      <c r="CC76" s="345"/>
      <c r="CD76" s="345"/>
      <c r="CE76" s="345"/>
      <c r="CF76" s="345"/>
      <c r="CG76" s="345"/>
      <c r="CH76" s="345"/>
      <c r="CI76" s="345"/>
      <c r="CJ76" s="345"/>
      <c r="CK76" s="345"/>
      <c r="CL76" s="345"/>
      <c r="CM76" s="345"/>
      <c r="CN76" s="345"/>
      <c r="CO76" s="345"/>
      <c r="CP76" s="345"/>
      <c r="CQ76" s="345"/>
      <c r="CR76" s="345"/>
      <c r="CS76" s="345"/>
      <c r="CT76" s="345"/>
      <c r="CU76" s="345"/>
      <c r="CV76" s="345"/>
      <c r="CW76" s="345"/>
      <c r="CX76" s="345"/>
      <c r="CY76" s="345"/>
      <c r="CZ76" s="345"/>
      <c r="DA76" s="345"/>
      <c r="DB76" s="345"/>
      <c r="DC76" s="345"/>
      <c r="DD76" s="345"/>
      <c r="DE76" s="345"/>
      <c r="DF76" s="345"/>
      <c r="DG76" s="345"/>
      <c r="DH76" s="345"/>
      <c r="DI76" s="345"/>
      <c r="DJ76" s="345"/>
      <c r="DK76" s="345"/>
      <c r="DL76" s="345"/>
      <c r="DM76" s="345"/>
      <c r="DN76" s="345"/>
      <c r="DO76" s="345"/>
      <c r="DP76" s="345"/>
      <c r="DQ76" s="345"/>
      <c r="DR76" s="345"/>
      <c r="DS76" s="345"/>
      <c r="DT76" s="345"/>
      <c r="DU76" s="345"/>
      <c r="DV76" s="345"/>
      <c r="DW76" s="345"/>
      <c r="DX76" s="345"/>
      <c r="DY76" s="345"/>
      <c r="DZ76" s="345"/>
      <c r="EA76" s="345"/>
    </row>
    <row r="77" spans="1:131" ht="18" customHeight="1">
      <c r="A77" s="345"/>
      <c r="B77" s="345"/>
      <c r="C77" s="2447"/>
      <c r="D77" s="5828"/>
      <c r="E77" s="5828"/>
      <c r="F77" s="2630"/>
      <c r="G77" s="6184" t="s">
        <v>22</v>
      </c>
      <c r="H77" s="6184"/>
      <c r="I77" s="6184"/>
      <c r="J77" s="6184"/>
      <c r="K77" s="2643"/>
      <c r="L77" s="2623" t="s">
        <v>5</v>
      </c>
      <c r="M77" s="2640">
        <f>SUM(M64:M76)</f>
        <v>550</v>
      </c>
      <c r="N77" s="2627" t="s">
        <v>5</v>
      </c>
      <c r="O77" s="2640">
        <f>SUM(O64:O76)</f>
        <v>550</v>
      </c>
      <c r="P77" s="2628" t="s">
        <v>5</v>
      </c>
      <c r="Q77" s="2641">
        <f>O77</f>
        <v>550</v>
      </c>
      <c r="R77" s="1827"/>
      <c r="S77" s="1827"/>
      <c r="T77" s="1827"/>
      <c r="U77" s="1827"/>
      <c r="V77" s="1827"/>
      <c r="W77" s="1827"/>
      <c r="X77" s="345"/>
      <c r="Y77" s="345"/>
      <c r="Z77" s="345"/>
      <c r="AA77" s="345"/>
      <c r="AB77" s="345"/>
      <c r="AC77" s="345"/>
      <c r="AD77" s="345"/>
      <c r="AE77" s="345"/>
      <c r="AF77" s="345"/>
      <c r="AG77" s="345"/>
      <c r="AH77" s="345"/>
      <c r="AI77" s="345"/>
      <c r="AJ77" s="345"/>
      <c r="AK77" s="345"/>
      <c r="AL77" s="345"/>
      <c r="AM77" s="345"/>
      <c r="AN77" s="345"/>
      <c r="AO77" s="345"/>
      <c r="AP77" s="345"/>
      <c r="AQ77" s="345"/>
      <c r="AR77" s="345"/>
      <c r="AS77" s="345"/>
      <c r="AT77" s="345"/>
      <c r="AU77" s="345"/>
      <c r="AV77" s="345"/>
      <c r="AW77" s="345"/>
      <c r="AX77" s="345"/>
      <c r="AY77" s="345"/>
      <c r="AZ77" s="345"/>
      <c r="BA77" s="345"/>
      <c r="BB77" s="345"/>
      <c r="BC77" s="345"/>
      <c r="BD77" s="345"/>
      <c r="BE77" s="345"/>
      <c r="BF77" s="345"/>
      <c r="BG77" s="345"/>
      <c r="BH77" s="345"/>
      <c r="BI77" s="345"/>
      <c r="BJ77" s="345"/>
      <c r="BK77" s="345"/>
      <c r="BL77" s="345"/>
      <c r="BM77" s="345"/>
      <c r="BN77" s="345"/>
      <c r="BO77" s="345"/>
      <c r="BP77" s="345"/>
      <c r="BQ77" s="345"/>
      <c r="BR77" s="345"/>
      <c r="BS77" s="345"/>
      <c r="BT77" s="345"/>
      <c r="BU77" s="345"/>
      <c r="BV77" s="345"/>
      <c r="BW77" s="345"/>
      <c r="BX77" s="345"/>
      <c r="BY77" s="345"/>
      <c r="BZ77" s="345"/>
      <c r="CA77" s="345"/>
      <c r="CB77" s="345"/>
      <c r="CC77" s="345"/>
      <c r="CD77" s="345"/>
      <c r="CE77" s="345"/>
      <c r="CF77" s="345"/>
      <c r="CG77" s="345"/>
      <c r="CH77" s="345"/>
      <c r="CI77" s="345"/>
      <c r="CJ77" s="345"/>
      <c r="CK77" s="345"/>
      <c r="CL77" s="345"/>
      <c r="CM77" s="345"/>
      <c r="CN77" s="345"/>
      <c r="CO77" s="345"/>
      <c r="CP77" s="345"/>
      <c r="CQ77" s="345"/>
      <c r="CR77" s="345"/>
      <c r="CS77" s="345"/>
      <c r="CT77" s="345"/>
      <c r="CU77" s="345"/>
      <c r="CV77" s="345"/>
      <c r="CW77" s="345"/>
      <c r="CX77" s="345"/>
      <c r="CY77" s="345"/>
      <c r="CZ77" s="345"/>
      <c r="DA77" s="345"/>
      <c r="DB77" s="345"/>
      <c r="DC77" s="345"/>
      <c r="DD77" s="345"/>
      <c r="DE77" s="345"/>
      <c r="DF77" s="345"/>
      <c r="DG77" s="345"/>
      <c r="DH77" s="345"/>
      <c r="DI77" s="345"/>
      <c r="DJ77" s="345"/>
      <c r="DK77" s="345"/>
      <c r="DL77" s="345"/>
      <c r="DM77" s="345"/>
      <c r="DN77" s="345"/>
      <c r="DO77" s="345"/>
      <c r="DP77" s="345"/>
      <c r="DQ77" s="345"/>
      <c r="DR77" s="345"/>
      <c r="DS77" s="345"/>
      <c r="DT77" s="345"/>
      <c r="DU77" s="345"/>
      <c r="DV77" s="345"/>
      <c r="DW77" s="345"/>
      <c r="DX77" s="345"/>
      <c r="DY77" s="345"/>
      <c r="DZ77" s="345"/>
      <c r="EA77" s="345"/>
    </row>
    <row r="78" spans="1:131" ht="18" customHeight="1">
      <c r="A78" s="345"/>
      <c r="B78" s="345"/>
      <c r="C78" s="2447"/>
      <c r="D78" s="5828" t="s">
        <v>1512</v>
      </c>
      <c r="E78" s="5828"/>
      <c r="F78" s="6020" t="s">
        <v>1559</v>
      </c>
      <c r="G78" s="6020"/>
      <c r="H78" s="6020"/>
      <c r="I78" s="6020"/>
      <c r="J78" s="6020"/>
      <c r="K78" s="6020"/>
      <c r="L78" s="6020"/>
      <c r="M78" s="6020"/>
      <c r="N78" s="6020"/>
      <c r="O78" s="6021"/>
      <c r="P78" s="6017" t="s">
        <v>5</v>
      </c>
      <c r="Q78" s="6019">
        <f>SUM(Q61+Q62+Q77)</f>
        <v>133990</v>
      </c>
      <c r="R78" s="1827"/>
      <c r="S78" s="1827"/>
      <c r="T78" s="1827"/>
      <c r="U78" s="1827"/>
      <c r="V78" s="1827"/>
      <c r="W78" s="1827"/>
      <c r="X78" s="345"/>
      <c r="Y78" s="345"/>
      <c r="Z78" s="345"/>
      <c r="AA78" s="345"/>
      <c r="AB78" s="345"/>
      <c r="AC78" s="345"/>
      <c r="AD78" s="345"/>
      <c r="AE78" s="345"/>
      <c r="AF78" s="345"/>
      <c r="AG78" s="345"/>
      <c r="AH78" s="345"/>
      <c r="AI78" s="345"/>
      <c r="AJ78" s="345"/>
      <c r="AK78" s="345"/>
      <c r="AL78" s="345"/>
      <c r="AM78" s="345"/>
      <c r="AN78" s="345"/>
      <c r="AO78" s="345"/>
      <c r="AP78" s="345"/>
      <c r="AQ78" s="345"/>
      <c r="AR78" s="345"/>
      <c r="AS78" s="345"/>
      <c r="AT78" s="345"/>
      <c r="AU78" s="345"/>
      <c r="AV78" s="345"/>
      <c r="AW78" s="345"/>
      <c r="AX78" s="345"/>
      <c r="AY78" s="345"/>
      <c r="AZ78" s="345"/>
      <c r="BA78" s="345"/>
      <c r="BB78" s="345"/>
      <c r="BC78" s="345"/>
      <c r="BD78" s="345"/>
      <c r="BE78" s="345"/>
      <c r="BF78" s="345"/>
      <c r="BG78" s="345"/>
      <c r="BH78" s="345"/>
      <c r="BI78" s="345"/>
      <c r="BJ78" s="345"/>
      <c r="BK78" s="345"/>
      <c r="BL78" s="345"/>
      <c r="BM78" s="345"/>
      <c r="BN78" s="345"/>
      <c r="BO78" s="345"/>
      <c r="BP78" s="345"/>
      <c r="BQ78" s="345"/>
      <c r="BR78" s="345"/>
      <c r="BS78" s="345"/>
      <c r="BT78" s="345"/>
      <c r="BU78" s="345"/>
      <c r="BV78" s="345"/>
      <c r="BW78" s="345"/>
      <c r="BX78" s="345"/>
      <c r="BY78" s="345"/>
      <c r="BZ78" s="345"/>
      <c r="CA78" s="345"/>
      <c r="CB78" s="345"/>
      <c r="CC78" s="345"/>
      <c r="CD78" s="345"/>
      <c r="CE78" s="345"/>
      <c r="CF78" s="345"/>
      <c r="CG78" s="345"/>
      <c r="CH78" s="345"/>
      <c r="CI78" s="345"/>
      <c r="CJ78" s="345"/>
      <c r="CK78" s="345"/>
      <c r="CL78" s="345"/>
      <c r="CM78" s="345"/>
      <c r="CN78" s="345"/>
      <c r="CO78" s="345"/>
      <c r="CP78" s="345"/>
      <c r="CQ78" s="345"/>
      <c r="CR78" s="345"/>
      <c r="CS78" s="345"/>
      <c r="CT78" s="345"/>
      <c r="CU78" s="345"/>
      <c r="CV78" s="345"/>
      <c r="CW78" s="345"/>
      <c r="CX78" s="345"/>
      <c r="CY78" s="345"/>
      <c r="CZ78" s="345"/>
      <c r="DA78" s="345"/>
      <c r="DB78" s="345"/>
      <c r="DC78" s="345"/>
      <c r="DD78" s="345"/>
      <c r="DE78" s="345"/>
      <c r="DF78" s="345"/>
      <c r="DG78" s="345"/>
      <c r="DH78" s="345"/>
      <c r="DI78" s="345"/>
      <c r="DJ78" s="345"/>
      <c r="DK78" s="345"/>
      <c r="DL78" s="345"/>
      <c r="DM78" s="345"/>
      <c r="DN78" s="345"/>
      <c r="DO78" s="345"/>
      <c r="DP78" s="345"/>
      <c r="DQ78" s="345"/>
      <c r="DR78" s="345"/>
      <c r="DS78" s="345"/>
      <c r="DT78" s="345"/>
      <c r="DU78" s="345"/>
      <c r="DV78" s="345"/>
      <c r="DW78" s="345"/>
      <c r="DX78" s="345"/>
      <c r="DY78" s="345"/>
      <c r="DZ78" s="345"/>
      <c r="EA78" s="345"/>
    </row>
    <row r="79" spans="1:131" ht="18" customHeight="1">
      <c r="A79" s="345"/>
      <c r="B79" s="345"/>
      <c r="C79" s="2447"/>
      <c r="D79" s="5828"/>
      <c r="E79" s="5828"/>
      <c r="F79" s="6022"/>
      <c r="G79" s="6022"/>
      <c r="H79" s="6022"/>
      <c r="I79" s="6022"/>
      <c r="J79" s="6022"/>
      <c r="K79" s="6022"/>
      <c r="L79" s="6022"/>
      <c r="M79" s="6022"/>
      <c r="N79" s="6022"/>
      <c r="O79" s="6023"/>
      <c r="P79" s="6018"/>
      <c r="Q79" s="6019"/>
      <c r="R79" s="1827"/>
      <c r="S79" s="1827"/>
      <c r="T79" s="1827"/>
      <c r="U79" s="1827"/>
      <c r="V79" s="1827"/>
      <c r="W79" s="1827"/>
      <c r="X79" s="345"/>
      <c r="Y79" s="345"/>
      <c r="Z79" s="345"/>
      <c r="AA79" s="345"/>
      <c r="AB79" s="345"/>
      <c r="AC79" s="345"/>
      <c r="AD79" s="345"/>
      <c r="AE79" s="345"/>
      <c r="AF79" s="345"/>
      <c r="AG79" s="345"/>
      <c r="AH79" s="345"/>
      <c r="AI79" s="345"/>
      <c r="AJ79" s="345"/>
      <c r="AK79" s="345"/>
      <c r="AL79" s="345"/>
      <c r="AM79" s="345"/>
      <c r="AN79" s="345"/>
      <c r="AO79" s="345"/>
      <c r="AP79" s="345"/>
      <c r="AQ79" s="345"/>
      <c r="AR79" s="345"/>
      <c r="AS79" s="345"/>
      <c r="AT79" s="345"/>
      <c r="AU79" s="345"/>
      <c r="AV79" s="345"/>
      <c r="AW79" s="345"/>
      <c r="AX79" s="345"/>
      <c r="AY79" s="345"/>
      <c r="AZ79" s="345"/>
      <c r="BA79" s="345"/>
      <c r="BB79" s="345"/>
      <c r="BC79" s="345"/>
      <c r="BD79" s="345"/>
      <c r="BE79" s="345"/>
      <c r="BF79" s="345"/>
      <c r="BG79" s="345"/>
      <c r="BH79" s="345"/>
      <c r="BI79" s="345"/>
      <c r="BJ79" s="345"/>
      <c r="BK79" s="345"/>
      <c r="BL79" s="345"/>
      <c r="BM79" s="345"/>
      <c r="BN79" s="345"/>
      <c r="BO79" s="345"/>
      <c r="BP79" s="345"/>
      <c r="BQ79" s="345"/>
      <c r="BR79" s="345"/>
      <c r="BS79" s="345"/>
      <c r="BT79" s="345"/>
      <c r="BU79" s="345"/>
      <c r="BV79" s="345"/>
      <c r="BW79" s="345"/>
      <c r="BX79" s="345"/>
      <c r="BY79" s="345"/>
      <c r="BZ79" s="345"/>
      <c r="CA79" s="345"/>
      <c r="CB79" s="345"/>
      <c r="CC79" s="345"/>
      <c r="CD79" s="345"/>
      <c r="CE79" s="345"/>
      <c r="CF79" s="345"/>
      <c r="CG79" s="345"/>
      <c r="CH79" s="345"/>
      <c r="CI79" s="345"/>
      <c r="CJ79" s="345"/>
      <c r="CK79" s="345"/>
      <c r="CL79" s="345"/>
      <c r="CM79" s="345"/>
      <c r="CN79" s="345"/>
      <c r="CO79" s="345"/>
      <c r="CP79" s="345"/>
      <c r="CQ79" s="345"/>
      <c r="CR79" s="345"/>
      <c r="CS79" s="345"/>
      <c r="CT79" s="345"/>
      <c r="CU79" s="345"/>
      <c r="CV79" s="345"/>
      <c r="CW79" s="345"/>
      <c r="CX79" s="345"/>
      <c r="CY79" s="345"/>
      <c r="CZ79" s="345"/>
      <c r="DA79" s="345"/>
      <c r="DB79" s="345"/>
      <c r="DC79" s="345"/>
      <c r="DD79" s="345"/>
      <c r="DE79" s="345"/>
      <c r="DF79" s="345"/>
      <c r="DG79" s="345"/>
      <c r="DH79" s="345"/>
      <c r="DI79" s="345"/>
      <c r="DJ79" s="345"/>
      <c r="DK79" s="345"/>
      <c r="DL79" s="345"/>
      <c r="DM79" s="345"/>
      <c r="DN79" s="345"/>
      <c r="DO79" s="345"/>
      <c r="DP79" s="345"/>
      <c r="DQ79" s="345"/>
      <c r="DR79" s="345"/>
      <c r="DS79" s="345"/>
      <c r="DT79" s="345"/>
      <c r="DU79" s="345"/>
      <c r="DV79" s="345"/>
      <c r="DW79" s="345"/>
      <c r="DX79" s="345"/>
      <c r="DY79" s="345"/>
      <c r="DZ79" s="345"/>
      <c r="EA79" s="345"/>
    </row>
    <row r="80" spans="1:131" ht="9" customHeight="1" thickBot="1">
      <c r="A80" s="345"/>
      <c r="B80" s="345"/>
      <c r="C80" s="2448"/>
      <c r="D80" s="2449"/>
      <c r="E80" s="2449"/>
      <c r="F80" s="2450"/>
      <c r="G80" s="2450"/>
      <c r="H80" s="2450"/>
      <c r="I80" s="2450"/>
      <c r="J80" s="2450"/>
      <c r="K80" s="2450"/>
      <c r="L80" s="2450"/>
      <c r="M80" s="2450"/>
      <c r="N80" s="2450"/>
      <c r="O80" s="2450"/>
      <c r="P80" s="2450"/>
      <c r="Q80" s="2644"/>
      <c r="R80" s="1827"/>
      <c r="S80" s="1827"/>
      <c r="T80" s="1827"/>
      <c r="U80" s="1827"/>
      <c r="V80" s="1827"/>
      <c r="W80" s="1827"/>
      <c r="X80" s="345"/>
      <c r="Y80" s="345"/>
      <c r="Z80" s="345"/>
      <c r="AA80" s="345"/>
      <c r="AB80" s="345"/>
      <c r="AC80" s="345"/>
      <c r="AD80" s="345"/>
      <c r="AE80" s="345"/>
      <c r="AF80" s="345"/>
      <c r="AG80" s="345"/>
      <c r="AH80" s="345"/>
      <c r="AI80" s="345"/>
      <c r="AJ80" s="345"/>
      <c r="AK80" s="345"/>
      <c r="AL80" s="345"/>
      <c r="AM80" s="345"/>
      <c r="AN80" s="345"/>
      <c r="AO80" s="345"/>
      <c r="AP80" s="345"/>
      <c r="AQ80" s="345"/>
      <c r="AR80" s="345"/>
      <c r="AS80" s="345"/>
      <c r="AT80" s="345"/>
      <c r="AU80" s="345"/>
      <c r="AV80" s="345"/>
      <c r="AW80" s="345"/>
      <c r="AX80" s="345"/>
      <c r="AY80" s="345"/>
      <c r="AZ80" s="345"/>
      <c r="BA80" s="345"/>
      <c r="BB80" s="345"/>
      <c r="BC80" s="345"/>
      <c r="BD80" s="345"/>
      <c r="BE80" s="345"/>
      <c r="BF80" s="345"/>
      <c r="BG80" s="345"/>
      <c r="BH80" s="345"/>
      <c r="BI80" s="345"/>
      <c r="BJ80" s="345"/>
      <c r="BK80" s="345"/>
      <c r="BL80" s="345"/>
      <c r="BM80" s="345"/>
      <c r="BN80" s="345"/>
      <c r="BO80" s="345"/>
      <c r="BP80" s="345"/>
      <c r="BQ80" s="345"/>
      <c r="BR80" s="345"/>
      <c r="BS80" s="345"/>
      <c r="BT80" s="345"/>
      <c r="BU80" s="345"/>
      <c r="BV80" s="345"/>
      <c r="BW80" s="345"/>
      <c r="BX80" s="345"/>
      <c r="BY80" s="345"/>
      <c r="BZ80" s="345"/>
      <c r="CA80" s="345"/>
      <c r="CB80" s="345"/>
      <c r="CC80" s="345"/>
      <c r="CD80" s="345"/>
      <c r="CE80" s="345"/>
      <c r="CF80" s="345"/>
      <c r="CG80" s="345"/>
      <c r="CH80" s="345"/>
      <c r="CI80" s="345"/>
      <c r="CJ80" s="345"/>
      <c r="CK80" s="345"/>
      <c r="CL80" s="345"/>
      <c r="CM80" s="345"/>
      <c r="CN80" s="345"/>
      <c r="CO80" s="345"/>
      <c r="CP80" s="345"/>
      <c r="CQ80" s="345"/>
      <c r="CR80" s="345"/>
      <c r="CS80" s="345"/>
      <c r="CT80" s="345"/>
      <c r="CU80" s="345"/>
      <c r="CV80" s="345"/>
      <c r="CW80" s="345"/>
      <c r="CX80" s="345"/>
      <c r="CY80" s="345"/>
      <c r="CZ80" s="345"/>
      <c r="DA80" s="345"/>
      <c r="DB80" s="345"/>
      <c r="DC80" s="345"/>
      <c r="DD80" s="345"/>
      <c r="DE80" s="345"/>
      <c r="DF80" s="345"/>
      <c r="DG80" s="345"/>
      <c r="DH80" s="345"/>
      <c r="DI80" s="345"/>
      <c r="DJ80" s="345"/>
      <c r="DK80" s="345"/>
      <c r="DL80" s="345"/>
      <c r="DM80" s="345"/>
      <c r="DN80" s="345"/>
      <c r="DO80" s="345"/>
      <c r="DP80" s="345"/>
      <c r="DQ80" s="345"/>
      <c r="DR80" s="345"/>
      <c r="DS80" s="345"/>
      <c r="DT80" s="345"/>
      <c r="DU80" s="345"/>
      <c r="DV80" s="345"/>
      <c r="DW80" s="345"/>
      <c r="DX80" s="345"/>
      <c r="DY80" s="345"/>
      <c r="DZ80" s="345"/>
      <c r="EA80" s="345"/>
    </row>
    <row r="81" spans="1:131" ht="15.75" thickTop="1">
      <c r="A81" s="345"/>
      <c r="B81" s="345"/>
      <c r="C81" s="345"/>
      <c r="D81" s="345"/>
      <c r="E81" s="345"/>
      <c r="F81" s="345"/>
      <c r="G81" s="345"/>
      <c r="H81" s="345"/>
      <c r="I81" s="345"/>
      <c r="J81" s="345"/>
      <c r="K81" s="1827"/>
      <c r="L81" s="345"/>
      <c r="M81" s="345"/>
      <c r="N81" s="345"/>
      <c r="O81" s="345"/>
      <c r="P81" s="345"/>
      <c r="Q81" s="345"/>
      <c r="R81" s="345"/>
      <c r="S81" s="345"/>
      <c r="T81" s="345"/>
      <c r="U81" s="345"/>
      <c r="V81" s="345"/>
      <c r="W81" s="345"/>
      <c r="X81" s="345"/>
      <c r="Y81" s="345"/>
      <c r="Z81" s="345"/>
      <c r="AA81" s="345"/>
      <c r="AB81" s="345"/>
      <c r="AC81" s="345"/>
      <c r="AD81" s="345"/>
      <c r="AE81" s="345"/>
      <c r="AF81" s="345"/>
      <c r="AG81" s="345"/>
      <c r="AH81" s="345"/>
      <c r="AI81" s="345"/>
      <c r="AJ81" s="345"/>
      <c r="AK81" s="345"/>
      <c r="AL81" s="345"/>
      <c r="AM81" s="345"/>
      <c r="AN81" s="345"/>
      <c r="AO81" s="345"/>
      <c r="AP81" s="345"/>
      <c r="AQ81" s="345"/>
      <c r="AR81" s="345"/>
      <c r="AS81" s="345"/>
      <c r="AT81" s="345"/>
      <c r="AU81" s="345"/>
      <c r="AV81" s="345"/>
      <c r="AW81" s="345"/>
      <c r="AX81" s="345"/>
      <c r="AY81" s="345"/>
      <c r="AZ81" s="345"/>
      <c r="BA81" s="345"/>
      <c r="BB81" s="345"/>
      <c r="BC81" s="345"/>
      <c r="BD81" s="345"/>
      <c r="BE81" s="345"/>
      <c r="BF81" s="345"/>
      <c r="BG81" s="345"/>
      <c r="BH81" s="345"/>
      <c r="BI81" s="345"/>
      <c r="BJ81" s="345"/>
      <c r="BK81" s="345"/>
      <c r="BL81" s="345"/>
      <c r="BM81" s="345"/>
      <c r="BN81" s="345"/>
      <c r="BO81" s="345"/>
      <c r="BP81" s="345"/>
      <c r="BQ81" s="345"/>
      <c r="BR81" s="345"/>
      <c r="BS81" s="345"/>
      <c r="BT81" s="345"/>
      <c r="BU81" s="345"/>
      <c r="BV81" s="345"/>
      <c r="BW81" s="345"/>
      <c r="BX81" s="345"/>
      <c r="BY81" s="345"/>
      <c r="BZ81" s="345"/>
      <c r="CA81" s="345"/>
      <c r="CB81" s="345"/>
      <c r="CC81" s="345"/>
      <c r="CD81" s="345"/>
      <c r="CE81" s="345"/>
      <c r="CF81" s="345"/>
      <c r="CG81" s="345"/>
      <c r="CH81" s="345"/>
      <c r="CI81" s="345"/>
      <c r="CJ81" s="345"/>
      <c r="CK81" s="345"/>
      <c r="CL81" s="345"/>
      <c r="CM81" s="345"/>
      <c r="CN81" s="345"/>
      <c r="CO81" s="345"/>
      <c r="CP81" s="345"/>
      <c r="CQ81" s="345"/>
      <c r="CR81" s="345"/>
      <c r="CS81" s="345"/>
      <c r="CT81" s="345"/>
      <c r="CU81" s="345"/>
      <c r="CV81" s="345"/>
      <c r="CW81" s="345"/>
      <c r="CX81" s="345"/>
      <c r="CY81" s="345"/>
      <c r="CZ81" s="345"/>
      <c r="DA81" s="345"/>
      <c r="DB81" s="345"/>
      <c r="DC81" s="345"/>
      <c r="DD81" s="345"/>
      <c r="DE81" s="345"/>
      <c r="DF81" s="345"/>
      <c r="DG81" s="345"/>
      <c r="DH81" s="345"/>
      <c r="DI81" s="345"/>
      <c r="DJ81" s="345"/>
      <c r="DK81" s="345"/>
      <c r="DL81" s="345"/>
      <c r="DM81" s="345"/>
      <c r="DN81" s="345"/>
      <c r="DO81" s="345"/>
      <c r="DP81" s="345"/>
      <c r="DQ81" s="345"/>
      <c r="DR81" s="345"/>
      <c r="DS81" s="345"/>
      <c r="DT81" s="345"/>
      <c r="DU81" s="345"/>
      <c r="DV81" s="345"/>
      <c r="DW81" s="345"/>
      <c r="DX81" s="345"/>
      <c r="DY81" s="345"/>
      <c r="DZ81" s="345"/>
      <c r="EA81" s="345"/>
    </row>
    <row r="82" spans="1:131" hidden="1">
      <c r="A82" s="345"/>
      <c r="B82" s="345"/>
      <c r="C82" s="345"/>
      <c r="D82" s="345"/>
      <c r="E82" s="345"/>
      <c r="F82" s="345"/>
      <c r="G82" s="345"/>
      <c r="H82" s="345"/>
      <c r="I82" s="345"/>
      <c r="J82" s="345"/>
      <c r="K82" s="345"/>
      <c r="L82" s="345"/>
      <c r="M82" s="345"/>
      <c r="N82" s="345"/>
      <c r="O82" s="345"/>
      <c r="P82" s="345"/>
      <c r="Q82" s="345"/>
      <c r="R82" s="345"/>
      <c r="S82" s="345"/>
      <c r="T82" s="345"/>
      <c r="U82" s="345"/>
      <c r="V82" s="345"/>
      <c r="W82" s="345"/>
      <c r="X82" s="345"/>
      <c r="Y82" s="345"/>
      <c r="Z82" s="345"/>
      <c r="AA82" s="345"/>
      <c r="AB82" s="345"/>
      <c r="AC82" s="345"/>
      <c r="AD82" s="345"/>
      <c r="AE82" s="345"/>
      <c r="AF82" s="345"/>
      <c r="AG82" s="345"/>
      <c r="AH82" s="345"/>
      <c r="AI82" s="345"/>
      <c r="AJ82" s="345"/>
      <c r="AK82" s="345"/>
      <c r="AL82" s="345"/>
      <c r="AM82" s="345"/>
      <c r="AN82" s="345"/>
      <c r="AO82" s="345"/>
      <c r="AP82" s="345"/>
      <c r="AQ82" s="345"/>
      <c r="AR82" s="345"/>
      <c r="AS82" s="345"/>
      <c r="AT82" s="345"/>
      <c r="AU82" s="345"/>
      <c r="AV82" s="345"/>
      <c r="AW82" s="345"/>
      <c r="AX82" s="345"/>
      <c r="AY82" s="345"/>
      <c r="AZ82" s="345"/>
      <c r="BA82" s="345"/>
      <c r="BB82" s="345"/>
      <c r="BC82" s="345"/>
      <c r="BD82" s="345"/>
      <c r="BE82" s="345"/>
      <c r="BF82" s="345"/>
      <c r="BG82" s="345"/>
      <c r="BH82" s="345"/>
      <c r="BI82" s="345"/>
      <c r="BJ82" s="345"/>
      <c r="BK82" s="345"/>
      <c r="BL82" s="345"/>
      <c r="BM82" s="345"/>
      <c r="BN82" s="345"/>
      <c r="BO82" s="345"/>
      <c r="BP82" s="345"/>
      <c r="BQ82" s="345"/>
      <c r="BR82" s="345"/>
      <c r="BS82" s="345"/>
      <c r="BT82" s="345"/>
      <c r="BU82" s="345"/>
      <c r="BV82" s="345"/>
      <c r="BW82" s="345"/>
      <c r="BX82" s="345"/>
      <c r="BY82" s="345"/>
      <c r="BZ82" s="345"/>
      <c r="CA82" s="345"/>
      <c r="CB82" s="345"/>
      <c r="CC82" s="345"/>
      <c r="CD82" s="345"/>
      <c r="CE82" s="345"/>
      <c r="CF82" s="345"/>
      <c r="CG82" s="345"/>
      <c r="CH82" s="345"/>
      <c r="CI82" s="345"/>
      <c r="CJ82" s="345"/>
      <c r="CK82" s="345"/>
      <c r="CL82" s="345"/>
      <c r="CM82" s="345"/>
      <c r="CN82" s="345"/>
      <c r="CO82" s="345"/>
      <c r="CP82" s="345"/>
      <c r="CQ82" s="345"/>
      <c r="CR82" s="345"/>
      <c r="CS82" s="345"/>
      <c r="CT82" s="345"/>
      <c r="CU82" s="345"/>
      <c r="CV82" s="345"/>
      <c r="CW82" s="345"/>
      <c r="CX82" s="345"/>
      <c r="CY82" s="345"/>
      <c r="CZ82" s="345"/>
      <c r="DA82" s="345"/>
      <c r="DB82" s="345"/>
      <c r="DC82" s="345"/>
      <c r="DD82" s="345"/>
      <c r="DE82" s="345"/>
      <c r="DF82" s="345"/>
      <c r="DG82" s="345"/>
      <c r="DH82" s="345"/>
      <c r="DI82" s="345"/>
      <c r="DJ82" s="345"/>
      <c r="DK82" s="345"/>
      <c r="DL82" s="345"/>
      <c r="DM82" s="345"/>
      <c r="DN82" s="345"/>
      <c r="DO82" s="345"/>
      <c r="DP82" s="345"/>
      <c r="DQ82" s="345"/>
      <c r="DR82" s="345"/>
      <c r="DS82" s="345"/>
      <c r="DT82" s="345"/>
      <c r="DU82" s="345"/>
      <c r="DV82" s="345"/>
      <c r="DW82" s="345"/>
      <c r="DX82" s="345"/>
      <c r="DY82" s="345"/>
      <c r="DZ82" s="345"/>
      <c r="EA82" s="345"/>
    </row>
    <row r="83" spans="1:131" hidden="1">
      <c r="A83" s="345"/>
      <c r="B83" s="345"/>
      <c r="C83" s="345"/>
      <c r="D83" s="345"/>
      <c r="E83" s="345"/>
      <c r="F83" s="345"/>
      <c r="G83" s="345"/>
      <c r="H83" s="345"/>
      <c r="I83" s="345"/>
      <c r="J83" s="345"/>
      <c r="K83" s="345"/>
      <c r="L83" s="345"/>
      <c r="M83" s="345"/>
      <c r="N83" s="345"/>
      <c r="O83" s="345"/>
      <c r="P83" s="345"/>
      <c r="Q83" s="345"/>
      <c r="R83" s="345"/>
      <c r="S83" s="345"/>
      <c r="T83" s="345"/>
      <c r="U83" s="345"/>
      <c r="V83" s="345"/>
      <c r="W83" s="345"/>
      <c r="X83" s="345"/>
      <c r="Y83" s="345"/>
      <c r="Z83" s="345"/>
      <c r="AA83" s="345"/>
      <c r="AB83" s="345"/>
      <c r="AC83" s="345"/>
      <c r="AD83" s="345"/>
      <c r="AE83" s="345"/>
      <c r="AF83" s="345"/>
      <c r="AG83" s="345"/>
      <c r="AH83" s="345"/>
      <c r="AI83" s="345"/>
      <c r="AJ83" s="345"/>
      <c r="AK83" s="345"/>
      <c r="AL83" s="345"/>
      <c r="AM83" s="345"/>
      <c r="AN83" s="345"/>
      <c r="AO83" s="345"/>
      <c r="AP83" s="345"/>
      <c r="AQ83" s="345"/>
      <c r="AR83" s="345"/>
      <c r="AS83" s="345"/>
      <c r="AT83" s="345"/>
      <c r="AU83" s="345"/>
      <c r="AV83" s="345"/>
      <c r="AW83" s="345"/>
      <c r="AX83" s="345"/>
      <c r="AY83" s="345"/>
      <c r="AZ83" s="345"/>
      <c r="BA83" s="345"/>
      <c r="BB83" s="345"/>
      <c r="BC83" s="345"/>
      <c r="BD83" s="345"/>
      <c r="BE83" s="345"/>
      <c r="BF83" s="345"/>
      <c r="BG83" s="345"/>
      <c r="BH83" s="345"/>
      <c r="BI83" s="345"/>
      <c r="BJ83" s="345"/>
      <c r="BK83" s="345"/>
      <c r="BL83" s="345"/>
      <c r="BM83" s="345"/>
      <c r="BN83" s="345"/>
      <c r="BO83" s="345"/>
      <c r="BP83" s="345"/>
      <c r="BQ83" s="345"/>
      <c r="BR83" s="345"/>
      <c r="BS83" s="345"/>
      <c r="BT83" s="345"/>
      <c r="BU83" s="345"/>
      <c r="BV83" s="345"/>
      <c r="BW83" s="345"/>
      <c r="BX83" s="345"/>
      <c r="BY83" s="345"/>
      <c r="BZ83" s="345"/>
      <c r="CA83" s="345"/>
      <c r="CB83" s="345"/>
      <c r="CC83" s="345"/>
      <c r="CD83" s="345"/>
      <c r="CE83" s="345"/>
      <c r="CF83" s="345"/>
      <c r="CG83" s="345"/>
      <c r="CH83" s="345"/>
      <c r="CI83" s="345"/>
      <c r="CJ83" s="345"/>
      <c r="CK83" s="345"/>
      <c r="CL83" s="345"/>
      <c r="CM83" s="345"/>
      <c r="CN83" s="345"/>
      <c r="CO83" s="345"/>
      <c r="CP83" s="345"/>
      <c r="CQ83" s="345"/>
      <c r="CR83" s="345"/>
      <c r="CS83" s="345"/>
      <c r="CT83" s="345"/>
      <c r="CU83" s="345"/>
      <c r="CV83" s="345"/>
      <c r="CW83" s="345"/>
      <c r="CX83" s="345"/>
      <c r="CY83" s="345"/>
      <c r="CZ83" s="345"/>
      <c r="DA83" s="345"/>
      <c r="DB83" s="345"/>
      <c r="DC83" s="345"/>
      <c r="DD83" s="345"/>
      <c r="DE83" s="345"/>
      <c r="DF83" s="345"/>
      <c r="DG83" s="345"/>
      <c r="DH83" s="345"/>
      <c r="DI83" s="345"/>
      <c r="DJ83" s="345"/>
      <c r="DK83" s="345"/>
      <c r="DL83" s="345"/>
      <c r="DM83" s="345"/>
      <c r="DN83" s="345"/>
      <c r="DO83" s="345"/>
      <c r="DP83" s="345"/>
      <c r="DQ83" s="345"/>
      <c r="DR83" s="345"/>
      <c r="DS83" s="345"/>
      <c r="DT83" s="345"/>
      <c r="DU83" s="345"/>
      <c r="DV83" s="345"/>
      <c r="DW83" s="345"/>
      <c r="DX83" s="345"/>
      <c r="DY83" s="345"/>
      <c r="DZ83" s="345"/>
      <c r="EA83" s="345"/>
    </row>
    <row r="84" spans="1:131" hidden="1">
      <c r="A84" s="345"/>
      <c r="B84" s="345"/>
      <c r="C84" s="345"/>
      <c r="D84" s="345"/>
      <c r="E84" s="345"/>
      <c r="F84" s="345"/>
      <c r="G84" s="345"/>
      <c r="H84" s="345"/>
      <c r="I84" s="345"/>
      <c r="J84" s="345"/>
      <c r="K84" s="345"/>
      <c r="L84" s="345"/>
      <c r="M84" s="345"/>
      <c r="N84" s="345"/>
      <c r="O84" s="345"/>
      <c r="P84" s="345"/>
      <c r="Q84" s="345"/>
      <c r="R84" s="345"/>
      <c r="S84" s="345"/>
      <c r="T84" s="345"/>
      <c r="U84" s="345"/>
      <c r="V84" s="345"/>
      <c r="W84" s="345"/>
      <c r="X84" s="345"/>
      <c r="Y84" s="345"/>
      <c r="Z84" s="345"/>
      <c r="AA84" s="345"/>
      <c r="AB84" s="345"/>
      <c r="AC84" s="345"/>
      <c r="AD84" s="345"/>
      <c r="AE84" s="345"/>
      <c r="AF84" s="345"/>
      <c r="AG84" s="345"/>
      <c r="AH84" s="345"/>
      <c r="AI84" s="345"/>
      <c r="AJ84" s="345"/>
      <c r="AK84" s="345"/>
      <c r="AL84" s="345"/>
      <c r="AM84" s="345"/>
      <c r="AN84" s="345"/>
      <c r="AO84" s="345"/>
      <c r="AP84" s="345"/>
      <c r="AQ84" s="345"/>
      <c r="AR84" s="345"/>
      <c r="AS84" s="345"/>
      <c r="AT84" s="345"/>
      <c r="AU84" s="345"/>
      <c r="AV84" s="345"/>
      <c r="AW84" s="345"/>
      <c r="AX84" s="345"/>
      <c r="AY84" s="345"/>
      <c r="AZ84" s="345"/>
      <c r="BA84" s="345"/>
      <c r="BB84" s="345"/>
      <c r="BC84" s="345"/>
      <c r="BD84" s="345"/>
      <c r="BE84" s="345"/>
      <c r="BF84" s="345"/>
      <c r="BG84" s="345"/>
      <c r="BH84" s="345"/>
      <c r="BI84" s="345"/>
      <c r="BJ84" s="345"/>
      <c r="BK84" s="345"/>
      <c r="BL84" s="345"/>
      <c r="BM84" s="345"/>
      <c r="BN84" s="345"/>
      <c r="BO84" s="345"/>
      <c r="BP84" s="345"/>
      <c r="BQ84" s="345"/>
      <c r="BR84" s="345"/>
      <c r="BS84" s="345"/>
      <c r="BT84" s="345"/>
      <c r="BU84" s="345"/>
      <c r="BV84" s="345"/>
      <c r="BW84" s="345"/>
      <c r="BX84" s="345"/>
      <c r="BY84" s="345"/>
      <c r="BZ84" s="345"/>
      <c r="CA84" s="345"/>
      <c r="CB84" s="345"/>
      <c r="CC84" s="345"/>
      <c r="CD84" s="345"/>
      <c r="CE84" s="345"/>
      <c r="CF84" s="345"/>
      <c r="CG84" s="345"/>
      <c r="CH84" s="345"/>
      <c r="CI84" s="345"/>
      <c r="CJ84" s="345"/>
      <c r="CK84" s="345"/>
      <c r="CL84" s="345"/>
      <c r="CM84" s="345"/>
      <c r="CN84" s="345"/>
      <c r="CO84" s="345"/>
      <c r="CP84" s="345"/>
      <c r="CQ84" s="345"/>
      <c r="CR84" s="345"/>
      <c r="CS84" s="345"/>
      <c r="CT84" s="345"/>
      <c r="CU84" s="345"/>
      <c r="CV84" s="345"/>
      <c r="CW84" s="345"/>
      <c r="CX84" s="345"/>
      <c r="CY84" s="345"/>
      <c r="CZ84" s="345"/>
      <c r="DA84" s="345"/>
      <c r="DB84" s="345"/>
      <c r="DC84" s="345"/>
      <c r="DD84" s="345"/>
      <c r="DE84" s="345"/>
      <c r="DF84" s="345"/>
      <c r="DG84" s="345"/>
      <c r="DH84" s="345"/>
      <c r="DI84" s="345"/>
      <c r="DJ84" s="345"/>
      <c r="DK84" s="345"/>
      <c r="DL84" s="345"/>
      <c r="DM84" s="345"/>
      <c r="DN84" s="345"/>
      <c r="DO84" s="345"/>
      <c r="DP84" s="345"/>
      <c r="DQ84" s="345"/>
      <c r="DR84" s="345"/>
      <c r="DS84" s="345"/>
      <c r="DT84" s="345"/>
      <c r="DU84" s="345"/>
      <c r="DV84" s="345"/>
      <c r="DW84" s="345"/>
      <c r="DX84" s="345"/>
      <c r="DY84" s="345"/>
      <c r="DZ84" s="345"/>
      <c r="EA84" s="345"/>
    </row>
    <row r="85" spans="1:131" hidden="1">
      <c r="A85" s="345"/>
      <c r="B85" s="345"/>
      <c r="C85" s="345"/>
      <c r="D85" s="345"/>
      <c r="E85" s="345"/>
      <c r="F85" s="345"/>
      <c r="G85" s="345"/>
      <c r="H85" s="345"/>
      <c r="I85" s="345"/>
      <c r="J85" s="345"/>
      <c r="K85" s="345"/>
      <c r="L85" s="345"/>
      <c r="M85" s="345"/>
      <c r="N85" s="345"/>
      <c r="O85" s="345"/>
      <c r="P85" s="345"/>
      <c r="Q85" s="345"/>
      <c r="R85" s="345"/>
      <c r="S85" s="345"/>
      <c r="T85" s="345"/>
      <c r="U85" s="345"/>
      <c r="V85" s="345"/>
      <c r="W85" s="345"/>
      <c r="X85" s="345"/>
      <c r="Y85" s="345"/>
      <c r="Z85" s="345"/>
      <c r="AA85" s="345"/>
      <c r="AB85" s="345"/>
      <c r="AC85" s="345"/>
      <c r="AD85" s="345"/>
      <c r="AE85" s="345"/>
      <c r="AF85" s="345"/>
      <c r="AG85" s="345"/>
      <c r="AH85" s="345"/>
      <c r="AI85" s="345"/>
      <c r="AJ85" s="345"/>
      <c r="AK85" s="345"/>
      <c r="AL85" s="345"/>
      <c r="AM85" s="345"/>
      <c r="AN85" s="345"/>
      <c r="AO85" s="345"/>
      <c r="AP85" s="345"/>
      <c r="AQ85" s="345"/>
      <c r="AR85" s="345"/>
      <c r="AS85" s="345"/>
      <c r="AT85" s="345"/>
      <c r="AU85" s="345"/>
      <c r="AV85" s="345"/>
      <c r="AW85" s="345"/>
      <c r="AX85" s="345"/>
      <c r="AY85" s="345"/>
      <c r="AZ85" s="345"/>
      <c r="BA85" s="345"/>
      <c r="BB85" s="345"/>
      <c r="BC85" s="345"/>
      <c r="BD85" s="345"/>
      <c r="BE85" s="345"/>
      <c r="BF85" s="345"/>
      <c r="BG85" s="345"/>
      <c r="BH85" s="345"/>
      <c r="BI85" s="345"/>
      <c r="BJ85" s="345"/>
      <c r="BK85" s="345"/>
      <c r="BL85" s="345"/>
      <c r="BM85" s="345"/>
      <c r="BN85" s="345"/>
      <c r="BO85" s="345"/>
      <c r="BP85" s="345"/>
      <c r="BQ85" s="345"/>
      <c r="BR85" s="345"/>
      <c r="BS85" s="345"/>
      <c r="BT85" s="345"/>
      <c r="BU85" s="345"/>
      <c r="BV85" s="345"/>
      <c r="BW85" s="345"/>
      <c r="BX85" s="345"/>
      <c r="BY85" s="345"/>
      <c r="BZ85" s="345"/>
      <c r="CA85" s="345"/>
      <c r="CB85" s="345"/>
      <c r="CC85" s="345"/>
      <c r="CD85" s="345"/>
      <c r="CE85" s="345"/>
      <c r="CF85" s="345"/>
      <c r="CG85" s="345"/>
      <c r="CH85" s="345"/>
      <c r="CI85" s="345"/>
      <c r="CJ85" s="345"/>
      <c r="CK85" s="345"/>
      <c r="CL85" s="345"/>
      <c r="CM85" s="345"/>
      <c r="CN85" s="345"/>
      <c r="CO85" s="345"/>
      <c r="CP85" s="345"/>
      <c r="CQ85" s="345"/>
      <c r="CR85" s="345"/>
      <c r="CS85" s="345"/>
      <c r="CT85" s="345"/>
      <c r="CU85" s="345"/>
      <c r="CV85" s="345"/>
      <c r="CW85" s="345"/>
      <c r="CX85" s="345"/>
      <c r="CY85" s="345"/>
      <c r="CZ85" s="345"/>
      <c r="DA85" s="345"/>
      <c r="DB85" s="345"/>
      <c r="DC85" s="345"/>
      <c r="DD85" s="345"/>
      <c r="DE85" s="345"/>
      <c r="DF85" s="345"/>
      <c r="DG85" s="345"/>
      <c r="DH85" s="345"/>
      <c r="DI85" s="345"/>
      <c r="DJ85" s="345"/>
      <c r="DK85" s="345"/>
      <c r="DL85" s="345"/>
      <c r="DM85" s="345"/>
      <c r="DN85" s="345"/>
      <c r="DO85" s="345"/>
      <c r="DP85" s="345"/>
      <c r="DQ85" s="345"/>
      <c r="DR85" s="345"/>
      <c r="DS85" s="345"/>
      <c r="DT85" s="345"/>
      <c r="DU85" s="345"/>
      <c r="DV85" s="345"/>
      <c r="DW85" s="345"/>
      <c r="DX85" s="345"/>
      <c r="DY85" s="345"/>
      <c r="DZ85" s="345"/>
      <c r="EA85" s="345"/>
    </row>
    <row r="86" spans="1:131" hidden="1">
      <c r="A86" s="345"/>
      <c r="B86" s="345"/>
      <c r="C86" s="345"/>
      <c r="D86" s="345"/>
      <c r="E86" s="345"/>
      <c r="F86" s="345"/>
      <c r="G86" s="345"/>
      <c r="H86" s="345"/>
      <c r="I86" s="345"/>
      <c r="J86" s="345"/>
      <c r="K86" s="345"/>
      <c r="L86" s="345"/>
      <c r="M86" s="345"/>
      <c r="N86" s="345"/>
      <c r="O86" s="345"/>
      <c r="P86" s="345"/>
      <c r="Q86" s="345"/>
      <c r="R86" s="345"/>
      <c r="S86" s="345"/>
      <c r="T86" s="345"/>
      <c r="U86" s="345"/>
      <c r="V86" s="345"/>
      <c r="W86" s="345"/>
      <c r="X86" s="345"/>
      <c r="Y86" s="345"/>
      <c r="Z86" s="345"/>
      <c r="AA86" s="345"/>
      <c r="AB86" s="345"/>
      <c r="AC86" s="345"/>
      <c r="AD86" s="345"/>
      <c r="AE86" s="345"/>
      <c r="AF86" s="345"/>
      <c r="AG86" s="345"/>
      <c r="AH86" s="345"/>
      <c r="AI86" s="345"/>
      <c r="AJ86" s="345"/>
      <c r="AK86" s="345"/>
      <c r="AL86" s="345"/>
      <c r="AM86" s="345"/>
      <c r="AN86" s="345"/>
      <c r="AO86" s="345"/>
      <c r="AP86" s="345"/>
      <c r="AQ86" s="345"/>
      <c r="AR86" s="345"/>
      <c r="AS86" s="345"/>
      <c r="AT86" s="345"/>
      <c r="AU86" s="345"/>
      <c r="AV86" s="345"/>
      <c r="AW86" s="345"/>
      <c r="AX86" s="345"/>
      <c r="AY86" s="345"/>
      <c r="AZ86" s="345"/>
      <c r="BA86" s="345"/>
      <c r="BB86" s="345"/>
      <c r="BC86" s="345"/>
      <c r="BD86" s="345"/>
      <c r="BE86" s="345"/>
      <c r="BF86" s="345"/>
      <c r="BG86" s="345"/>
      <c r="BH86" s="345"/>
      <c r="BI86" s="345"/>
      <c r="BJ86" s="345"/>
      <c r="BK86" s="345"/>
      <c r="BL86" s="345"/>
      <c r="BM86" s="345"/>
      <c r="BN86" s="345"/>
      <c r="BO86" s="345"/>
      <c r="BP86" s="345"/>
      <c r="BQ86" s="345"/>
      <c r="BR86" s="345"/>
      <c r="BS86" s="345"/>
      <c r="BT86" s="345"/>
      <c r="BU86" s="345"/>
      <c r="BV86" s="345"/>
      <c r="BW86" s="345"/>
      <c r="BX86" s="345"/>
      <c r="BY86" s="345"/>
      <c r="BZ86" s="345"/>
      <c r="CA86" s="345"/>
      <c r="CB86" s="345"/>
      <c r="CC86" s="345"/>
      <c r="CD86" s="345"/>
      <c r="CE86" s="345"/>
      <c r="CF86" s="345"/>
      <c r="CG86" s="345"/>
      <c r="CH86" s="345"/>
      <c r="CI86" s="345"/>
      <c r="CJ86" s="345"/>
      <c r="CK86" s="345"/>
      <c r="CL86" s="345"/>
      <c r="CM86" s="345"/>
      <c r="CN86" s="345"/>
      <c r="CO86" s="345"/>
      <c r="CP86" s="345"/>
      <c r="CQ86" s="345"/>
      <c r="CR86" s="345"/>
      <c r="CS86" s="345"/>
      <c r="CT86" s="345"/>
      <c r="CU86" s="345"/>
      <c r="CV86" s="345"/>
      <c r="CW86" s="345"/>
      <c r="CX86" s="345"/>
      <c r="CY86" s="345"/>
      <c r="CZ86" s="345"/>
      <c r="DA86" s="345"/>
      <c r="DB86" s="345"/>
      <c r="DC86" s="345"/>
      <c r="DD86" s="345"/>
      <c r="DE86" s="345"/>
      <c r="DF86" s="345"/>
      <c r="DG86" s="345"/>
      <c r="DH86" s="345"/>
      <c r="DI86" s="345"/>
      <c r="DJ86" s="345"/>
      <c r="DK86" s="345"/>
      <c r="DL86" s="345"/>
      <c r="DM86" s="345"/>
      <c r="DN86" s="345"/>
      <c r="DO86" s="345"/>
      <c r="DP86" s="345"/>
      <c r="DQ86" s="345"/>
      <c r="DR86" s="345"/>
      <c r="DS86" s="345"/>
      <c r="DT86" s="345"/>
      <c r="DU86" s="345"/>
      <c r="DV86" s="345"/>
      <c r="DW86" s="345"/>
      <c r="DX86" s="345"/>
      <c r="DY86" s="345"/>
      <c r="DZ86" s="345"/>
      <c r="EA86" s="345"/>
    </row>
    <row r="87" spans="1:131" hidden="1">
      <c r="A87" s="345"/>
      <c r="B87" s="345"/>
      <c r="C87" s="345"/>
      <c r="D87" s="345"/>
      <c r="E87" s="345"/>
      <c r="F87" s="345"/>
      <c r="G87" s="345"/>
      <c r="H87" s="345"/>
      <c r="I87" s="345"/>
      <c r="J87" s="345"/>
      <c r="K87" s="345"/>
      <c r="L87" s="345"/>
      <c r="M87" s="345"/>
      <c r="N87" s="345"/>
      <c r="O87" s="345"/>
      <c r="P87" s="345"/>
      <c r="Q87" s="345"/>
      <c r="R87" s="345"/>
      <c r="S87" s="345"/>
      <c r="T87" s="345"/>
      <c r="U87" s="345"/>
      <c r="V87" s="345"/>
      <c r="W87" s="345"/>
      <c r="X87" s="345"/>
      <c r="Y87" s="345"/>
      <c r="Z87" s="345"/>
      <c r="AA87" s="345"/>
      <c r="AB87" s="345"/>
      <c r="AC87" s="345"/>
      <c r="AD87" s="345"/>
      <c r="AE87" s="345"/>
      <c r="AF87" s="345"/>
      <c r="AG87" s="345"/>
      <c r="AH87" s="345"/>
      <c r="AI87" s="345"/>
      <c r="AJ87" s="345"/>
      <c r="AK87" s="345"/>
      <c r="AL87" s="345"/>
      <c r="AM87" s="345"/>
      <c r="AN87" s="345"/>
      <c r="AO87" s="345"/>
      <c r="AP87" s="345"/>
      <c r="AQ87" s="345"/>
      <c r="AR87" s="345"/>
      <c r="AS87" s="345"/>
      <c r="AT87" s="345"/>
      <c r="AU87" s="345"/>
      <c r="AV87" s="345"/>
      <c r="AW87" s="345"/>
      <c r="AX87" s="345"/>
      <c r="AY87" s="345"/>
      <c r="AZ87" s="345"/>
      <c r="BA87" s="345"/>
      <c r="BB87" s="345"/>
      <c r="BC87" s="345"/>
      <c r="BD87" s="345"/>
      <c r="BE87" s="345"/>
      <c r="BF87" s="345"/>
      <c r="BG87" s="345"/>
      <c r="BH87" s="345"/>
      <c r="BI87" s="345"/>
      <c r="BJ87" s="345"/>
      <c r="BK87" s="345"/>
      <c r="BL87" s="345"/>
      <c r="BM87" s="345"/>
      <c r="BN87" s="345"/>
      <c r="BO87" s="345"/>
      <c r="BP87" s="345"/>
      <c r="BQ87" s="345"/>
      <c r="BR87" s="345"/>
      <c r="BS87" s="345"/>
      <c r="BT87" s="345"/>
      <c r="BU87" s="345"/>
      <c r="BV87" s="345"/>
      <c r="BW87" s="345"/>
      <c r="BX87" s="345"/>
      <c r="BY87" s="345"/>
      <c r="BZ87" s="345"/>
      <c r="CA87" s="345"/>
      <c r="CB87" s="345"/>
      <c r="CC87" s="345"/>
      <c r="CD87" s="345"/>
      <c r="CE87" s="345"/>
      <c r="CF87" s="345"/>
      <c r="CG87" s="345"/>
      <c r="CH87" s="345"/>
      <c r="CI87" s="345"/>
      <c r="CJ87" s="345"/>
      <c r="CK87" s="345"/>
      <c r="CL87" s="345"/>
      <c r="CM87" s="345"/>
      <c r="CN87" s="345"/>
      <c r="CO87" s="345"/>
      <c r="CP87" s="345"/>
      <c r="CQ87" s="345"/>
      <c r="CR87" s="345"/>
      <c r="CS87" s="345"/>
      <c r="CT87" s="345"/>
      <c r="CU87" s="345"/>
      <c r="CV87" s="345"/>
      <c r="CW87" s="345"/>
      <c r="CX87" s="345"/>
      <c r="CY87" s="345"/>
      <c r="CZ87" s="345"/>
      <c r="DA87" s="345"/>
      <c r="DB87" s="345"/>
      <c r="DC87" s="345"/>
      <c r="DD87" s="345"/>
      <c r="DE87" s="345"/>
      <c r="DF87" s="345"/>
      <c r="DG87" s="345"/>
      <c r="DH87" s="345"/>
      <c r="DI87" s="345"/>
      <c r="DJ87" s="345"/>
      <c r="DK87" s="345"/>
      <c r="DL87" s="345"/>
      <c r="DM87" s="345"/>
      <c r="DN87" s="345"/>
      <c r="DO87" s="345"/>
      <c r="DP87" s="345"/>
      <c r="DQ87" s="345"/>
      <c r="DR87" s="345"/>
      <c r="DS87" s="345"/>
      <c r="DT87" s="345"/>
      <c r="DU87" s="345"/>
      <c r="DV87" s="345"/>
      <c r="DW87" s="345"/>
      <c r="DX87" s="345"/>
      <c r="DY87" s="345"/>
      <c r="DZ87" s="345"/>
      <c r="EA87" s="345"/>
    </row>
    <row r="88" spans="1:131" hidden="1">
      <c r="A88" s="345"/>
      <c r="B88" s="345"/>
      <c r="C88" s="345"/>
      <c r="D88" s="345"/>
      <c r="E88" s="345"/>
      <c r="F88" s="345"/>
      <c r="G88" s="345"/>
      <c r="H88" s="345"/>
      <c r="I88" s="345"/>
      <c r="J88" s="345"/>
      <c r="K88" s="345"/>
      <c r="L88" s="345"/>
      <c r="M88" s="345"/>
      <c r="N88" s="345"/>
      <c r="O88" s="345"/>
      <c r="P88" s="345"/>
      <c r="Q88" s="345"/>
      <c r="R88" s="345"/>
      <c r="S88" s="345"/>
      <c r="T88" s="345"/>
      <c r="U88" s="345"/>
      <c r="V88" s="345"/>
      <c r="W88" s="345"/>
      <c r="X88" s="345"/>
      <c r="Y88" s="345"/>
      <c r="Z88" s="345"/>
      <c r="AA88" s="345"/>
      <c r="AB88" s="345"/>
      <c r="AC88" s="345"/>
      <c r="AD88" s="345"/>
      <c r="AE88" s="345"/>
      <c r="AF88" s="345"/>
      <c r="AG88" s="345"/>
      <c r="AH88" s="345"/>
      <c r="AI88" s="345"/>
      <c r="AJ88" s="345"/>
      <c r="AK88" s="345"/>
      <c r="AL88" s="345"/>
      <c r="AM88" s="345"/>
      <c r="AN88" s="345"/>
      <c r="AO88" s="345"/>
      <c r="AP88" s="345"/>
      <c r="AQ88" s="345"/>
      <c r="AR88" s="345"/>
      <c r="AS88" s="345"/>
      <c r="AT88" s="345"/>
      <c r="AU88" s="345"/>
      <c r="AV88" s="345"/>
      <c r="AW88" s="345"/>
      <c r="AX88" s="345"/>
      <c r="AY88" s="345"/>
      <c r="AZ88" s="345"/>
      <c r="BA88" s="345"/>
      <c r="BB88" s="345"/>
      <c r="BC88" s="345"/>
      <c r="BD88" s="345"/>
      <c r="BE88" s="345"/>
      <c r="BF88" s="345"/>
      <c r="BG88" s="345"/>
      <c r="BH88" s="345"/>
      <c r="BI88" s="345"/>
      <c r="BJ88" s="345"/>
      <c r="BK88" s="345"/>
      <c r="BL88" s="345"/>
      <c r="BM88" s="345"/>
      <c r="BN88" s="345"/>
      <c r="BO88" s="345"/>
      <c r="BP88" s="345"/>
      <c r="BQ88" s="345"/>
      <c r="BR88" s="345"/>
      <c r="BS88" s="345"/>
      <c r="BT88" s="345"/>
      <c r="BU88" s="345"/>
      <c r="BV88" s="345"/>
      <c r="BW88" s="345"/>
      <c r="BX88" s="345"/>
      <c r="BY88" s="345"/>
      <c r="BZ88" s="345"/>
      <c r="CA88" s="345"/>
      <c r="CB88" s="345"/>
      <c r="CC88" s="345"/>
      <c r="CD88" s="345"/>
      <c r="CE88" s="345"/>
      <c r="CF88" s="345"/>
      <c r="CG88" s="345"/>
      <c r="CH88" s="345"/>
      <c r="CI88" s="345"/>
      <c r="CJ88" s="345"/>
      <c r="CK88" s="345"/>
      <c r="CL88" s="345"/>
      <c r="CM88" s="345"/>
      <c r="CN88" s="345"/>
      <c r="CO88" s="345"/>
      <c r="CP88" s="345"/>
      <c r="CQ88" s="345"/>
      <c r="CR88" s="345"/>
      <c r="CS88" s="345"/>
      <c r="CT88" s="345"/>
      <c r="CU88" s="345"/>
      <c r="CV88" s="345"/>
      <c r="CW88" s="345"/>
      <c r="CX88" s="345"/>
      <c r="CY88" s="345"/>
      <c r="CZ88" s="345"/>
      <c r="DA88" s="345"/>
      <c r="DB88" s="345"/>
      <c r="DC88" s="345"/>
      <c r="DD88" s="345"/>
      <c r="DE88" s="345"/>
      <c r="DF88" s="345"/>
      <c r="DG88" s="345"/>
      <c r="DH88" s="345"/>
      <c r="DI88" s="345"/>
      <c r="DJ88" s="345"/>
      <c r="DK88" s="345"/>
      <c r="DL88" s="345"/>
      <c r="DM88" s="345"/>
      <c r="DN88" s="345"/>
      <c r="DO88" s="345"/>
      <c r="DP88" s="345"/>
      <c r="DQ88" s="345"/>
      <c r="DR88" s="345"/>
      <c r="DS88" s="345"/>
      <c r="DT88" s="345"/>
      <c r="DU88" s="345"/>
      <c r="DV88" s="345"/>
      <c r="DW88" s="345"/>
      <c r="DX88" s="345"/>
      <c r="DY88" s="345"/>
      <c r="DZ88" s="345"/>
      <c r="EA88" s="345"/>
    </row>
    <row r="89" spans="1:131" hidden="1">
      <c r="A89" s="345"/>
      <c r="B89" s="345"/>
      <c r="C89" s="345"/>
      <c r="D89" s="345"/>
      <c r="E89" s="345"/>
      <c r="F89" s="345"/>
      <c r="G89" s="345"/>
      <c r="H89" s="345"/>
      <c r="I89" s="345"/>
      <c r="J89" s="345"/>
      <c r="K89" s="345"/>
      <c r="L89" s="345"/>
      <c r="M89" s="345"/>
      <c r="N89" s="345"/>
      <c r="O89" s="345"/>
      <c r="P89" s="345"/>
      <c r="Q89" s="345"/>
      <c r="R89" s="345"/>
      <c r="S89" s="345"/>
      <c r="T89" s="345"/>
      <c r="U89" s="345"/>
      <c r="V89" s="345"/>
      <c r="W89" s="345"/>
      <c r="X89" s="345"/>
      <c r="Y89" s="345"/>
      <c r="Z89" s="345"/>
      <c r="AA89" s="345"/>
      <c r="AB89" s="345"/>
      <c r="AC89" s="345"/>
      <c r="AD89" s="345"/>
      <c r="AE89" s="345"/>
      <c r="AF89" s="345"/>
      <c r="AG89" s="345"/>
      <c r="AH89" s="345"/>
      <c r="AI89" s="345"/>
      <c r="AJ89" s="345"/>
      <c r="AK89" s="345"/>
      <c r="AL89" s="345"/>
      <c r="AM89" s="345"/>
      <c r="AN89" s="345"/>
      <c r="AO89" s="345"/>
      <c r="AP89" s="345"/>
      <c r="AQ89" s="345"/>
      <c r="AR89" s="345"/>
      <c r="AS89" s="345"/>
      <c r="AT89" s="345"/>
      <c r="AU89" s="345"/>
      <c r="AV89" s="345"/>
      <c r="AW89" s="345"/>
      <c r="AX89" s="345"/>
      <c r="AY89" s="345"/>
      <c r="AZ89" s="345"/>
      <c r="BA89" s="345"/>
      <c r="BB89" s="345"/>
      <c r="BC89" s="345"/>
      <c r="BD89" s="345"/>
      <c r="BE89" s="345"/>
      <c r="BF89" s="345"/>
      <c r="BG89" s="345"/>
      <c r="BH89" s="345"/>
      <c r="BI89" s="345"/>
      <c r="BJ89" s="345"/>
      <c r="BK89" s="345"/>
      <c r="BL89" s="345"/>
      <c r="BM89" s="345"/>
      <c r="BN89" s="345"/>
      <c r="BO89" s="345"/>
      <c r="BP89" s="345"/>
      <c r="BQ89" s="345"/>
      <c r="BR89" s="345"/>
      <c r="BS89" s="345"/>
      <c r="BT89" s="345"/>
      <c r="BU89" s="345"/>
      <c r="BV89" s="345"/>
      <c r="BW89" s="345"/>
      <c r="BX89" s="345"/>
      <c r="BY89" s="345"/>
      <c r="BZ89" s="345"/>
      <c r="CA89" s="345"/>
      <c r="CB89" s="345"/>
      <c r="CC89" s="345"/>
      <c r="CD89" s="345"/>
      <c r="CE89" s="345"/>
      <c r="CF89" s="345"/>
      <c r="CG89" s="345"/>
      <c r="CH89" s="345"/>
      <c r="CI89" s="345"/>
      <c r="CJ89" s="345"/>
      <c r="CK89" s="345"/>
      <c r="CL89" s="345"/>
      <c r="CM89" s="345"/>
      <c r="CN89" s="345"/>
      <c r="CO89" s="345"/>
      <c r="CP89" s="345"/>
      <c r="CQ89" s="345"/>
      <c r="CR89" s="345"/>
      <c r="CS89" s="345"/>
      <c r="CT89" s="345"/>
      <c r="CU89" s="345"/>
      <c r="CV89" s="345"/>
      <c r="CW89" s="345"/>
      <c r="CX89" s="345"/>
      <c r="CY89" s="345"/>
      <c r="CZ89" s="345"/>
      <c r="DA89" s="345"/>
      <c r="DB89" s="345"/>
      <c r="DC89" s="345"/>
      <c r="DD89" s="345"/>
      <c r="DE89" s="345"/>
      <c r="DF89" s="345"/>
      <c r="DG89" s="345"/>
      <c r="DH89" s="345"/>
      <c r="DI89" s="345"/>
      <c r="DJ89" s="345"/>
      <c r="DK89" s="345"/>
      <c r="DL89" s="345"/>
      <c r="DM89" s="345"/>
      <c r="DN89" s="345"/>
      <c r="DO89" s="345"/>
      <c r="DP89" s="345"/>
      <c r="DQ89" s="345"/>
      <c r="DR89" s="345"/>
      <c r="DS89" s="345"/>
      <c r="DT89" s="345"/>
      <c r="DU89" s="345"/>
      <c r="DV89" s="345"/>
      <c r="DW89" s="345"/>
      <c r="DX89" s="345"/>
      <c r="DY89" s="345"/>
      <c r="DZ89" s="345"/>
      <c r="EA89" s="345"/>
    </row>
    <row r="90" spans="1:131" hidden="1">
      <c r="A90" s="345"/>
      <c r="B90" s="345"/>
      <c r="C90" s="345"/>
      <c r="D90" s="345"/>
      <c r="E90" s="345"/>
      <c r="F90" s="345"/>
      <c r="G90" s="345"/>
      <c r="H90" s="345"/>
      <c r="I90" s="345"/>
      <c r="J90" s="345"/>
      <c r="K90" s="345"/>
      <c r="L90" s="345"/>
      <c r="M90" s="345"/>
      <c r="N90" s="345"/>
      <c r="O90" s="345"/>
      <c r="P90" s="345"/>
      <c r="Q90" s="345"/>
      <c r="R90" s="345"/>
      <c r="S90" s="345"/>
      <c r="T90" s="345"/>
      <c r="U90" s="345"/>
      <c r="V90" s="345"/>
      <c r="W90" s="345"/>
      <c r="X90" s="345"/>
      <c r="Y90" s="345"/>
      <c r="Z90" s="345"/>
      <c r="AA90" s="345"/>
      <c r="AB90" s="345"/>
      <c r="AC90" s="345"/>
      <c r="AD90" s="345"/>
      <c r="AE90" s="345"/>
      <c r="AF90" s="345"/>
      <c r="AG90" s="345"/>
      <c r="AH90" s="345"/>
      <c r="AI90" s="345"/>
      <c r="AJ90" s="345"/>
      <c r="AK90" s="345"/>
      <c r="AL90" s="345"/>
      <c r="AM90" s="345"/>
      <c r="AN90" s="345"/>
      <c r="AO90" s="345"/>
      <c r="AP90" s="345"/>
      <c r="AQ90" s="345"/>
      <c r="AR90" s="345"/>
      <c r="AS90" s="345"/>
      <c r="AT90" s="345"/>
      <c r="AU90" s="345"/>
      <c r="AV90" s="345"/>
      <c r="AW90" s="345"/>
      <c r="AX90" s="345"/>
      <c r="AY90" s="345"/>
      <c r="AZ90" s="345"/>
      <c r="BA90" s="345"/>
      <c r="BB90" s="345"/>
      <c r="BC90" s="345"/>
      <c r="BD90" s="345"/>
      <c r="BE90" s="345"/>
      <c r="BF90" s="345"/>
      <c r="BG90" s="345"/>
      <c r="BH90" s="345"/>
      <c r="BI90" s="345"/>
      <c r="BJ90" s="345"/>
      <c r="BK90" s="345"/>
      <c r="BL90" s="345"/>
      <c r="BM90" s="345"/>
      <c r="BN90" s="345"/>
      <c r="BO90" s="345"/>
      <c r="BP90" s="345"/>
      <c r="BQ90" s="345"/>
      <c r="BR90" s="345"/>
      <c r="BS90" s="345"/>
      <c r="BT90" s="345"/>
      <c r="BU90" s="345"/>
      <c r="BV90" s="345"/>
      <c r="BW90" s="345"/>
      <c r="BX90" s="345"/>
      <c r="BY90" s="345"/>
      <c r="BZ90" s="345"/>
      <c r="CA90" s="345"/>
      <c r="CB90" s="345"/>
      <c r="CC90" s="345"/>
      <c r="CD90" s="345"/>
      <c r="CE90" s="345"/>
      <c r="CF90" s="345"/>
      <c r="CG90" s="345"/>
      <c r="CH90" s="345"/>
      <c r="CI90" s="345"/>
      <c r="CJ90" s="345"/>
      <c r="CK90" s="345"/>
      <c r="CL90" s="345"/>
      <c r="CM90" s="345"/>
      <c r="CN90" s="345"/>
      <c r="CO90" s="345"/>
      <c r="CP90" s="345"/>
      <c r="CQ90" s="345"/>
      <c r="CR90" s="345"/>
      <c r="CS90" s="345"/>
      <c r="CT90" s="345"/>
      <c r="CU90" s="345"/>
      <c r="CV90" s="345"/>
      <c r="CW90" s="345"/>
      <c r="CX90" s="345"/>
      <c r="CY90" s="345"/>
      <c r="CZ90" s="345"/>
      <c r="DA90" s="345"/>
      <c r="DB90" s="345"/>
      <c r="DC90" s="345"/>
      <c r="DD90" s="345"/>
      <c r="DE90" s="345"/>
      <c r="DF90" s="345"/>
      <c r="DG90" s="345"/>
      <c r="DH90" s="345"/>
      <c r="DI90" s="345"/>
      <c r="DJ90" s="345"/>
      <c r="DK90" s="345"/>
      <c r="DL90" s="345"/>
      <c r="DM90" s="345"/>
      <c r="DN90" s="345"/>
      <c r="DO90" s="345"/>
      <c r="DP90" s="345"/>
      <c r="DQ90" s="345"/>
      <c r="DR90" s="345"/>
      <c r="DS90" s="345"/>
      <c r="DT90" s="345"/>
      <c r="DU90" s="345"/>
      <c r="DV90" s="345"/>
      <c r="DW90" s="345"/>
      <c r="DX90" s="345"/>
      <c r="DY90" s="345"/>
      <c r="DZ90" s="345"/>
      <c r="EA90" s="345"/>
    </row>
    <row r="91" spans="1:131" hidden="1">
      <c r="A91" s="345"/>
      <c r="B91" s="345"/>
      <c r="C91" s="345"/>
      <c r="D91" s="345"/>
      <c r="E91" s="345"/>
      <c r="F91" s="345"/>
      <c r="G91" s="345"/>
      <c r="H91" s="345"/>
      <c r="I91" s="345"/>
      <c r="J91" s="345"/>
      <c r="K91" s="345"/>
      <c r="L91" s="345"/>
      <c r="M91" s="345"/>
      <c r="N91" s="345"/>
      <c r="O91" s="345"/>
      <c r="P91" s="345"/>
      <c r="Q91" s="345"/>
      <c r="R91" s="345"/>
      <c r="S91" s="345"/>
      <c r="T91" s="345"/>
      <c r="U91" s="345"/>
      <c r="V91" s="345"/>
      <c r="W91" s="345"/>
      <c r="X91" s="345"/>
      <c r="Y91" s="345"/>
      <c r="Z91" s="345"/>
      <c r="AA91" s="345"/>
      <c r="AB91" s="345"/>
      <c r="AC91" s="345"/>
      <c r="AD91" s="345"/>
      <c r="AE91" s="345"/>
      <c r="AF91" s="345"/>
      <c r="AG91" s="345"/>
      <c r="AH91" s="345"/>
      <c r="AI91" s="345"/>
      <c r="AJ91" s="345"/>
      <c r="AK91" s="345"/>
      <c r="AL91" s="345"/>
      <c r="AM91" s="345"/>
      <c r="AN91" s="345"/>
      <c r="AO91" s="345"/>
      <c r="AP91" s="345"/>
      <c r="AQ91" s="345"/>
      <c r="AR91" s="345"/>
      <c r="AS91" s="345"/>
      <c r="AT91" s="345"/>
      <c r="AU91" s="345"/>
      <c r="AV91" s="345"/>
      <c r="AW91" s="345"/>
      <c r="AX91" s="345"/>
      <c r="AY91" s="345"/>
      <c r="AZ91" s="345"/>
      <c r="BA91" s="345"/>
      <c r="BB91" s="345"/>
      <c r="BC91" s="345"/>
      <c r="BD91" s="345"/>
      <c r="BE91" s="345"/>
      <c r="BF91" s="345"/>
      <c r="BG91" s="345"/>
      <c r="BH91" s="345"/>
      <c r="BI91" s="345"/>
      <c r="BJ91" s="345"/>
      <c r="BK91" s="345"/>
      <c r="BL91" s="345"/>
      <c r="BM91" s="345"/>
      <c r="BN91" s="345"/>
      <c r="BO91" s="345"/>
      <c r="BP91" s="345"/>
      <c r="BQ91" s="345"/>
      <c r="BR91" s="345"/>
      <c r="BS91" s="345"/>
      <c r="BT91" s="345"/>
      <c r="BU91" s="345"/>
      <c r="BV91" s="345"/>
      <c r="BW91" s="345"/>
      <c r="BX91" s="345"/>
      <c r="BY91" s="345"/>
      <c r="BZ91" s="345"/>
      <c r="CA91" s="345"/>
      <c r="CB91" s="345"/>
      <c r="CC91" s="345"/>
      <c r="CD91" s="345"/>
      <c r="CE91" s="345"/>
      <c r="CF91" s="345"/>
      <c r="CG91" s="345"/>
      <c r="CH91" s="345"/>
      <c r="CI91" s="345"/>
      <c r="CJ91" s="345"/>
      <c r="CK91" s="345"/>
      <c r="CL91" s="345"/>
      <c r="CM91" s="345"/>
      <c r="CN91" s="345"/>
      <c r="CO91" s="345"/>
      <c r="CP91" s="345"/>
      <c r="CQ91" s="345"/>
      <c r="CR91" s="345"/>
      <c r="CS91" s="345"/>
      <c r="CT91" s="345"/>
      <c r="CU91" s="345"/>
      <c r="CV91" s="345"/>
      <c r="CW91" s="345"/>
      <c r="CX91" s="345"/>
      <c r="CY91" s="345"/>
      <c r="CZ91" s="345"/>
      <c r="DA91" s="345"/>
      <c r="DB91" s="345"/>
      <c r="DC91" s="345"/>
      <c r="DD91" s="345"/>
      <c r="DE91" s="345"/>
      <c r="DF91" s="345"/>
      <c r="DG91" s="345"/>
      <c r="DH91" s="345"/>
      <c r="DI91" s="345"/>
      <c r="DJ91" s="345"/>
      <c r="DK91" s="345"/>
      <c r="DL91" s="345"/>
      <c r="DM91" s="345"/>
      <c r="DN91" s="345"/>
      <c r="DO91" s="345"/>
      <c r="DP91" s="345"/>
      <c r="DQ91" s="345"/>
      <c r="DR91" s="345"/>
      <c r="DS91" s="345"/>
      <c r="DT91" s="345"/>
      <c r="DU91" s="345"/>
      <c r="DV91" s="345"/>
      <c r="DW91" s="345"/>
      <c r="DX91" s="345"/>
      <c r="DY91" s="345"/>
      <c r="DZ91" s="345"/>
      <c r="EA91" s="345"/>
    </row>
    <row r="92" spans="1:131" hidden="1">
      <c r="A92" s="345"/>
      <c r="B92" s="345"/>
      <c r="C92" s="345"/>
      <c r="D92" s="345"/>
      <c r="E92" s="345"/>
      <c r="F92" s="345"/>
      <c r="G92" s="345"/>
      <c r="H92" s="345"/>
      <c r="I92" s="345"/>
      <c r="J92" s="345"/>
      <c r="K92" s="345"/>
      <c r="L92" s="345"/>
      <c r="M92" s="345"/>
      <c r="N92" s="345"/>
      <c r="O92" s="345"/>
      <c r="P92" s="345"/>
      <c r="Q92" s="345"/>
      <c r="R92" s="345"/>
      <c r="S92" s="345"/>
      <c r="T92" s="345"/>
      <c r="U92" s="345"/>
      <c r="V92" s="345"/>
      <c r="W92" s="345"/>
      <c r="X92" s="345"/>
      <c r="Y92" s="345"/>
      <c r="Z92" s="345"/>
      <c r="AA92" s="345"/>
      <c r="AB92" s="345"/>
      <c r="AC92" s="345"/>
      <c r="AD92" s="345"/>
      <c r="AE92" s="345"/>
      <c r="AF92" s="345"/>
      <c r="AG92" s="345"/>
      <c r="AH92" s="345"/>
      <c r="AI92" s="345"/>
      <c r="AJ92" s="345"/>
      <c r="AK92" s="345"/>
      <c r="AL92" s="345"/>
      <c r="AM92" s="345"/>
      <c r="AN92" s="345"/>
      <c r="AO92" s="345"/>
      <c r="AP92" s="345"/>
      <c r="AQ92" s="345"/>
      <c r="AR92" s="345"/>
      <c r="AS92" s="345"/>
      <c r="AT92" s="345"/>
      <c r="AU92" s="345"/>
      <c r="AV92" s="345"/>
      <c r="AW92" s="345"/>
      <c r="AX92" s="345"/>
      <c r="AY92" s="345"/>
      <c r="AZ92" s="345"/>
      <c r="BA92" s="345"/>
      <c r="BB92" s="345"/>
      <c r="BC92" s="345"/>
      <c r="BD92" s="345"/>
      <c r="BE92" s="345"/>
      <c r="BF92" s="345"/>
      <c r="BG92" s="345"/>
      <c r="BH92" s="345"/>
      <c r="BI92" s="345"/>
      <c r="BJ92" s="345"/>
      <c r="BK92" s="345"/>
      <c r="BL92" s="345"/>
      <c r="BM92" s="345"/>
      <c r="BN92" s="345"/>
      <c r="BO92" s="345"/>
      <c r="BP92" s="345"/>
      <c r="BQ92" s="345"/>
      <c r="BR92" s="345"/>
      <c r="BS92" s="345"/>
      <c r="BT92" s="345"/>
      <c r="BU92" s="345"/>
      <c r="BV92" s="345"/>
      <c r="BW92" s="345"/>
      <c r="BX92" s="345"/>
      <c r="BY92" s="345"/>
      <c r="BZ92" s="345"/>
      <c r="CA92" s="345"/>
      <c r="CB92" s="345"/>
      <c r="CC92" s="345"/>
      <c r="CD92" s="345"/>
      <c r="CE92" s="345"/>
      <c r="CF92" s="345"/>
      <c r="CG92" s="345"/>
      <c r="CH92" s="345"/>
      <c r="CI92" s="345"/>
      <c r="CJ92" s="345"/>
      <c r="CK92" s="345"/>
      <c r="CL92" s="345"/>
      <c r="CM92" s="345"/>
      <c r="CN92" s="345"/>
      <c r="CO92" s="345"/>
      <c r="CP92" s="345"/>
      <c r="CQ92" s="345"/>
      <c r="CR92" s="345"/>
      <c r="CS92" s="345"/>
      <c r="CT92" s="345"/>
      <c r="CU92" s="345"/>
      <c r="CV92" s="345"/>
      <c r="CW92" s="345"/>
      <c r="CX92" s="345"/>
      <c r="CY92" s="345"/>
      <c r="CZ92" s="345"/>
      <c r="DA92" s="345"/>
      <c r="DB92" s="345"/>
      <c r="DC92" s="345"/>
      <c r="DD92" s="345"/>
      <c r="DE92" s="345"/>
      <c r="DF92" s="345"/>
      <c r="DG92" s="345"/>
      <c r="DH92" s="345"/>
      <c r="DI92" s="345"/>
      <c r="DJ92" s="345"/>
      <c r="DK92" s="345"/>
      <c r="DL92" s="345"/>
      <c r="DM92" s="345"/>
      <c r="DN92" s="345"/>
      <c r="DO92" s="345"/>
      <c r="DP92" s="345"/>
      <c r="DQ92" s="345"/>
      <c r="DR92" s="345"/>
      <c r="DS92" s="345"/>
      <c r="DT92" s="345"/>
      <c r="DU92" s="345"/>
      <c r="DV92" s="345"/>
      <c r="DW92" s="345"/>
      <c r="DX92" s="345"/>
      <c r="DY92" s="345"/>
      <c r="DZ92" s="345"/>
      <c r="EA92" s="345"/>
    </row>
    <row r="93" spans="1:131" hidden="1">
      <c r="A93" s="345"/>
      <c r="B93" s="345"/>
      <c r="C93" s="345"/>
      <c r="D93" s="345"/>
      <c r="E93" s="345"/>
      <c r="F93" s="345"/>
      <c r="G93" s="345"/>
      <c r="H93" s="345"/>
      <c r="I93" s="345"/>
      <c r="J93" s="345"/>
      <c r="K93" s="345"/>
      <c r="L93" s="345"/>
      <c r="M93" s="345"/>
      <c r="N93" s="345"/>
      <c r="O93" s="345"/>
      <c r="P93" s="345"/>
      <c r="Q93" s="345"/>
      <c r="R93" s="345"/>
      <c r="S93" s="345"/>
      <c r="T93" s="345"/>
      <c r="U93" s="345"/>
      <c r="V93" s="345"/>
      <c r="W93" s="345"/>
      <c r="X93" s="345"/>
      <c r="Y93" s="345"/>
      <c r="Z93" s="345"/>
      <c r="AA93" s="345"/>
      <c r="AB93" s="345"/>
      <c r="AC93" s="345"/>
      <c r="AD93" s="345"/>
      <c r="AE93" s="345"/>
      <c r="AF93" s="345"/>
      <c r="AG93" s="345"/>
      <c r="AH93" s="345"/>
      <c r="AI93" s="345"/>
      <c r="AJ93" s="345"/>
      <c r="AK93" s="345"/>
      <c r="AL93" s="345"/>
      <c r="AM93" s="345"/>
      <c r="AN93" s="345"/>
      <c r="AO93" s="345"/>
      <c r="AP93" s="345"/>
      <c r="AQ93" s="345"/>
      <c r="AR93" s="345"/>
      <c r="AS93" s="345"/>
      <c r="AT93" s="345"/>
      <c r="AU93" s="345"/>
      <c r="AV93" s="345"/>
      <c r="AW93" s="345"/>
      <c r="AX93" s="345"/>
      <c r="AY93" s="345"/>
      <c r="AZ93" s="345"/>
      <c r="BA93" s="345"/>
      <c r="BB93" s="345"/>
      <c r="BC93" s="345"/>
      <c r="BD93" s="345"/>
      <c r="BE93" s="345"/>
      <c r="BF93" s="345"/>
      <c r="BG93" s="345"/>
      <c r="BH93" s="345"/>
      <c r="BI93" s="345"/>
      <c r="BJ93" s="345"/>
      <c r="BK93" s="345"/>
      <c r="BL93" s="345"/>
      <c r="BM93" s="345"/>
      <c r="BN93" s="345"/>
      <c r="BO93" s="345"/>
      <c r="BP93" s="345"/>
      <c r="BQ93" s="345"/>
      <c r="BR93" s="345"/>
      <c r="BS93" s="345"/>
      <c r="BT93" s="345"/>
      <c r="BU93" s="345"/>
      <c r="BV93" s="345"/>
      <c r="BW93" s="345"/>
      <c r="BX93" s="345"/>
      <c r="BY93" s="345"/>
      <c r="BZ93" s="345"/>
      <c r="CA93" s="345"/>
      <c r="CB93" s="345"/>
      <c r="CC93" s="345"/>
      <c r="CD93" s="345"/>
      <c r="CE93" s="345"/>
      <c r="CF93" s="345"/>
      <c r="CG93" s="345"/>
      <c r="CH93" s="345"/>
      <c r="CI93" s="345"/>
      <c r="CJ93" s="345"/>
      <c r="CK93" s="345"/>
      <c r="CL93" s="345"/>
      <c r="CM93" s="345"/>
      <c r="CN93" s="345"/>
      <c r="CO93" s="345"/>
      <c r="CP93" s="345"/>
      <c r="CQ93" s="345"/>
      <c r="CR93" s="345"/>
      <c r="CS93" s="345"/>
      <c r="CT93" s="345"/>
      <c r="CU93" s="345"/>
      <c r="CV93" s="345"/>
      <c r="CW93" s="345"/>
      <c r="CX93" s="345"/>
      <c r="CY93" s="345"/>
      <c r="CZ93" s="345"/>
      <c r="DA93" s="345"/>
      <c r="DB93" s="345"/>
      <c r="DC93" s="345"/>
      <c r="DD93" s="345"/>
      <c r="DE93" s="345"/>
      <c r="DF93" s="345"/>
      <c r="DG93" s="345"/>
      <c r="DH93" s="345"/>
      <c r="DI93" s="345"/>
      <c r="DJ93" s="345"/>
      <c r="DK93" s="345"/>
      <c r="DL93" s="345"/>
      <c r="DM93" s="345"/>
      <c r="DN93" s="345"/>
      <c r="DO93" s="345"/>
      <c r="DP93" s="345"/>
      <c r="DQ93" s="345"/>
      <c r="DR93" s="345"/>
      <c r="DS93" s="345"/>
      <c r="DT93" s="345"/>
      <c r="DU93" s="345"/>
      <c r="DV93" s="345"/>
      <c r="DW93" s="345"/>
      <c r="DX93" s="345"/>
      <c r="DY93" s="345"/>
      <c r="DZ93" s="345"/>
      <c r="EA93" s="345"/>
    </row>
    <row r="94" spans="1:131" hidden="1">
      <c r="A94" s="345"/>
      <c r="B94" s="345"/>
      <c r="C94" s="345"/>
      <c r="D94" s="345"/>
      <c r="E94" s="345"/>
      <c r="F94" s="345"/>
      <c r="G94" s="345"/>
      <c r="H94" s="345"/>
      <c r="I94" s="345"/>
      <c r="J94" s="345"/>
      <c r="K94" s="345"/>
      <c r="L94" s="345"/>
      <c r="M94" s="345"/>
      <c r="N94" s="345"/>
      <c r="O94" s="345"/>
      <c r="P94" s="345"/>
      <c r="Q94" s="345"/>
      <c r="R94" s="345"/>
      <c r="S94" s="345"/>
      <c r="T94" s="345"/>
      <c r="U94" s="345"/>
      <c r="V94" s="345"/>
      <c r="W94" s="345"/>
      <c r="X94" s="345"/>
      <c r="Y94" s="345"/>
      <c r="Z94" s="345"/>
      <c r="AA94" s="345"/>
      <c r="AB94" s="345"/>
      <c r="AC94" s="345"/>
      <c r="AD94" s="345"/>
      <c r="AE94" s="345"/>
      <c r="AF94" s="345"/>
      <c r="AG94" s="345"/>
      <c r="AH94" s="345"/>
      <c r="AI94" s="345"/>
      <c r="AJ94" s="345"/>
      <c r="AK94" s="345"/>
      <c r="AL94" s="345"/>
      <c r="AM94" s="345"/>
      <c r="AN94" s="345"/>
      <c r="AO94" s="345"/>
      <c r="AP94" s="345"/>
      <c r="AQ94" s="345"/>
      <c r="AR94" s="345"/>
      <c r="AS94" s="345"/>
      <c r="AT94" s="345"/>
      <c r="AU94" s="345"/>
      <c r="AV94" s="345"/>
      <c r="AW94" s="345"/>
      <c r="AX94" s="345"/>
      <c r="AY94" s="345"/>
      <c r="AZ94" s="345"/>
      <c r="BA94" s="345"/>
      <c r="BB94" s="345"/>
      <c r="BC94" s="345"/>
      <c r="BD94" s="345"/>
      <c r="BE94" s="345"/>
      <c r="BF94" s="345"/>
      <c r="BG94" s="345"/>
      <c r="BH94" s="345"/>
      <c r="BI94" s="345"/>
      <c r="BJ94" s="345"/>
      <c r="BK94" s="345"/>
      <c r="BL94" s="345"/>
      <c r="BM94" s="345"/>
      <c r="BN94" s="345"/>
      <c r="BO94" s="345"/>
      <c r="BP94" s="345"/>
      <c r="BQ94" s="345"/>
      <c r="BR94" s="345"/>
      <c r="BS94" s="345"/>
      <c r="BT94" s="345"/>
      <c r="BU94" s="345"/>
      <c r="BV94" s="345"/>
      <c r="BW94" s="345"/>
      <c r="BX94" s="345"/>
      <c r="BY94" s="345"/>
      <c r="BZ94" s="345"/>
      <c r="CA94" s="345"/>
      <c r="CB94" s="345"/>
      <c r="CC94" s="345"/>
      <c r="CD94" s="345"/>
      <c r="CE94" s="345"/>
      <c r="CF94" s="345"/>
      <c r="CG94" s="345"/>
      <c r="CH94" s="345"/>
      <c r="CI94" s="345"/>
      <c r="CJ94" s="345"/>
      <c r="CK94" s="345"/>
      <c r="CL94" s="345"/>
      <c r="CM94" s="345"/>
      <c r="CN94" s="345"/>
      <c r="CO94" s="345"/>
      <c r="CP94" s="345"/>
      <c r="CQ94" s="345"/>
      <c r="CR94" s="345"/>
      <c r="CS94" s="345"/>
      <c r="CT94" s="345"/>
      <c r="CU94" s="345"/>
      <c r="CV94" s="345"/>
      <c r="CW94" s="345"/>
      <c r="CX94" s="345"/>
      <c r="CY94" s="345"/>
      <c r="CZ94" s="345"/>
      <c r="DA94" s="345"/>
      <c r="DB94" s="345"/>
      <c r="DC94" s="345"/>
      <c r="DD94" s="345"/>
      <c r="DE94" s="345"/>
      <c r="DF94" s="345"/>
      <c r="DG94" s="345"/>
      <c r="DH94" s="345"/>
      <c r="DI94" s="345"/>
      <c r="DJ94" s="345"/>
      <c r="DK94" s="345"/>
      <c r="DL94" s="345"/>
      <c r="DM94" s="345"/>
      <c r="DN94" s="345"/>
      <c r="DO94" s="345"/>
      <c r="DP94" s="345"/>
      <c r="DQ94" s="345"/>
      <c r="DR94" s="345"/>
      <c r="DS94" s="345"/>
      <c r="DT94" s="345"/>
      <c r="DU94" s="345"/>
      <c r="DV94" s="345"/>
      <c r="DW94" s="345"/>
      <c r="DX94" s="345"/>
      <c r="DY94" s="345"/>
      <c r="DZ94" s="345"/>
      <c r="EA94" s="345"/>
    </row>
    <row r="95" spans="1:131" hidden="1">
      <c r="A95" s="345"/>
      <c r="B95" s="345"/>
      <c r="C95" s="345"/>
      <c r="D95" s="345"/>
      <c r="E95" s="345"/>
      <c r="F95" s="345"/>
      <c r="G95" s="345"/>
      <c r="H95" s="345"/>
      <c r="I95" s="345"/>
      <c r="J95" s="345"/>
      <c r="K95" s="345"/>
      <c r="L95" s="345"/>
      <c r="M95" s="345"/>
      <c r="N95" s="345"/>
      <c r="O95" s="345"/>
      <c r="P95" s="345"/>
      <c r="Q95" s="345"/>
      <c r="R95" s="345"/>
      <c r="S95" s="345"/>
      <c r="T95" s="345"/>
      <c r="U95" s="345"/>
      <c r="V95" s="345"/>
      <c r="W95" s="345"/>
      <c r="X95" s="345"/>
      <c r="Y95" s="345"/>
      <c r="Z95" s="345"/>
      <c r="AA95" s="345"/>
      <c r="AB95" s="345"/>
      <c r="AC95" s="345"/>
      <c r="AD95" s="345"/>
      <c r="AE95" s="345"/>
      <c r="AF95" s="345"/>
      <c r="AG95" s="345"/>
      <c r="AH95" s="345"/>
      <c r="AI95" s="345"/>
      <c r="AJ95" s="345"/>
      <c r="AK95" s="345"/>
      <c r="AL95" s="345"/>
      <c r="AM95" s="345"/>
      <c r="AN95" s="345"/>
      <c r="AO95" s="345"/>
      <c r="AP95" s="345"/>
      <c r="AQ95" s="345"/>
      <c r="AR95" s="345"/>
      <c r="AS95" s="345"/>
      <c r="AT95" s="345"/>
      <c r="AU95" s="345"/>
      <c r="AV95" s="345"/>
      <c r="AW95" s="345"/>
      <c r="AX95" s="345"/>
      <c r="AY95" s="345"/>
      <c r="AZ95" s="345"/>
      <c r="BA95" s="345"/>
      <c r="BB95" s="345"/>
      <c r="BC95" s="345"/>
      <c r="BD95" s="345"/>
      <c r="BE95" s="345"/>
      <c r="BF95" s="345"/>
      <c r="BG95" s="345"/>
      <c r="BH95" s="345"/>
      <c r="BI95" s="345"/>
      <c r="BJ95" s="345"/>
      <c r="BK95" s="345"/>
      <c r="BL95" s="345"/>
      <c r="BM95" s="345"/>
      <c r="BN95" s="345"/>
      <c r="BO95" s="345"/>
      <c r="BP95" s="345"/>
      <c r="BQ95" s="345"/>
      <c r="BR95" s="345"/>
      <c r="BS95" s="345"/>
      <c r="BT95" s="345"/>
      <c r="BU95" s="345"/>
      <c r="BV95" s="345"/>
      <c r="BW95" s="345"/>
      <c r="BX95" s="345"/>
      <c r="BY95" s="345"/>
      <c r="BZ95" s="345"/>
      <c r="CA95" s="345"/>
      <c r="CB95" s="345"/>
      <c r="CC95" s="345"/>
      <c r="CD95" s="345"/>
      <c r="CE95" s="345"/>
      <c r="CF95" s="345"/>
      <c r="CG95" s="345"/>
      <c r="CH95" s="345"/>
      <c r="CI95" s="345"/>
      <c r="CJ95" s="345"/>
      <c r="CK95" s="345"/>
      <c r="CL95" s="345"/>
      <c r="CM95" s="345"/>
      <c r="CN95" s="345"/>
      <c r="CO95" s="345"/>
      <c r="CP95" s="345"/>
      <c r="CQ95" s="345"/>
      <c r="CR95" s="345"/>
      <c r="CS95" s="345"/>
      <c r="CT95" s="345"/>
      <c r="CU95" s="345"/>
      <c r="CV95" s="345"/>
      <c r="CW95" s="345"/>
      <c r="CX95" s="345"/>
      <c r="CY95" s="345"/>
      <c r="CZ95" s="345"/>
      <c r="DA95" s="345"/>
      <c r="DB95" s="345"/>
      <c r="DC95" s="345"/>
      <c r="DD95" s="345"/>
      <c r="DE95" s="345"/>
      <c r="DF95" s="345"/>
      <c r="DG95" s="345"/>
      <c r="DH95" s="345"/>
      <c r="DI95" s="345"/>
      <c r="DJ95" s="345"/>
      <c r="DK95" s="345"/>
      <c r="DL95" s="345"/>
      <c r="DM95" s="345"/>
      <c r="DN95" s="345"/>
      <c r="DO95" s="345"/>
      <c r="DP95" s="345"/>
      <c r="DQ95" s="345"/>
      <c r="DR95" s="345"/>
      <c r="DS95" s="345"/>
      <c r="DT95" s="345"/>
      <c r="DU95" s="345"/>
      <c r="DV95" s="345"/>
      <c r="DW95" s="345"/>
      <c r="DX95" s="345"/>
      <c r="DY95" s="345"/>
      <c r="DZ95" s="345"/>
      <c r="EA95" s="345"/>
    </row>
    <row r="96" spans="1:131" hidden="1">
      <c r="A96" s="345"/>
      <c r="B96" s="345"/>
      <c r="C96" s="345"/>
      <c r="D96" s="345"/>
      <c r="E96" s="345"/>
      <c r="F96" s="345"/>
      <c r="G96" s="345"/>
      <c r="H96" s="345"/>
      <c r="I96" s="345"/>
      <c r="J96" s="345"/>
      <c r="K96" s="345"/>
      <c r="L96" s="345"/>
      <c r="M96" s="345"/>
      <c r="N96" s="345"/>
      <c r="O96" s="345"/>
      <c r="P96" s="345"/>
      <c r="Q96" s="345"/>
      <c r="R96" s="345"/>
      <c r="S96" s="345"/>
      <c r="T96" s="345"/>
      <c r="U96" s="345"/>
      <c r="V96" s="345"/>
      <c r="W96" s="345"/>
      <c r="X96" s="345"/>
      <c r="Y96" s="345"/>
      <c r="Z96" s="345"/>
      <c r="AA96" s="345"/>
      <c r="AB96" s="345"/>
      <c r="AC96" s="345"/>
      <c r="AD96" s="345"/>
      <c r="AE96" s="345"/>
      <c r="AF96" s="345"/>
      <c r="AG96" s="345"/>
      <c r="AH96" s="345"/>
      <c r="AI96" s="345"/>
      <c r="AJ96" s="345"/>
      <c r="AK96" s="345"/>
      <c r="AL96" s="345"/>
      <c r="AM96" s="345"/>
      <c r="AN96" s="345"/>
      <c r="AO96" s="345"/>
      <c r="AP96" s="345"/>
      <c r="AQ96" s="345"/>
      <c r="AR96" s="345"/>
      <c r="AS96" s="345"/>
      <c r="AT96" s="345"/>
      <c r="AU96" s="345"/>
      <c r="AV96" s="345"/>
      <c r="AW96" s="345"/>
      <c r="AX96" s="345"/>
      <c r="AY96" s="345"/>
      <c r="AZ96" s="345"/>
      <c r="BA96" s="345"/>
      <c r="BB96" s="345"/>
      <c r="BC96" s="345"/>
      <c r="BD96" s="345"/>
      <c r="BE96" s="345"/>
      <c r="BF96" s="345"/>
      <c r="BG96" s="345"/>
      <c r="BH96" s="345"/>
      <c r="BI96" s="345"/>
      <c r="BJ96" s="345"/>
      <c r="BK96" s="345"/>
      <c r="BL96" s="345"/>
      <c r="BM96" s="345"/>
      <c r="BN96" s="345"/>
      <c r="BO96" s="345"/>
      <c r="BP96" s="345"/>
      <c r="BQ96" s="345"/>
      <c r="BR96" s="345"/>
      <c r="BS96" s="345"/>
      <c r="BT96" s="345"/>
      <c r="BU96" s="345"/>
      <c r="BV96" s="345"/>
      <c r="BW96" s="345"/>
      <c r="BX96" s="345"/>
      <c r="BY96" s="345"/>
      <c r="BZ96" s="345"/>
      <c r="CA96" s="345"/>
      <c r="CB96" s="345"/>
      <c r="CC96" s="345"/>
      <c r="CD96" s="345"/>
      <c r="CE96" s="345"/>
      <c r="CF96" s="345"/>
      <c r="CG96" s="345"/>
      <c r="CH96" s="345"/>
      <c r="CI96" s="345"/>
      <c r="CJ96" s="345"/>
      <c r="CK96" s="345"/>
      <c r="CL96" s="345"/>
      <c r="CM96" s="345"/>
      <c r="CN96" s="345"/>
      <c r="CO96" s="345"/>
      <c r="CP96" s="345"/>
      <c r="CQ96" s="345"/>
      <c r="CR96" s="345"/>
      <c r="CS96" s="345"/>
      <c r="CT96" s="345"/>
      <c r="CU96" s="345"/>
      <c r="CV96" s="345"/>
      <c r="CW96" s="345"/>
      <c r="CX96" s="345"/>
      <c r="CY96" s="345"/>
      <c r="CZ96" s="345"/>
      <c r="DA96" s="345"/>
      <c r="DB96" s="345"/>
      <c r="DC96" s="345"/>
      <c r="DD96" s="345"/>
      <c r="DE96" s="345"/>
      <c r="DF96" s="345"/>
      <c r="DG96" s="345"/>
      <c r="DH96" s="345"/>
      <c r="DI96" s="345"/>
      <c r="DJ96" s="345"/>
      <c r="DK96" s="345"/>
      <c r="DL96" s="345"/>
      <c r="DM96" s="345"/>
      <c r="DN96" s="345"/>
      <c r="DO96" s="345"/>
      <c r="DP96" s="345"/>
      <c r="DQ96" s="345"/>
      <c r="DR96" s="345"/>
      <c r="DS96" s="345"/>
      <c r="DT96" s="345"/>
      <c r="DU96" s="345"/>
      <c r="DV96" s="345"/>
      <c r="DW96" s="345"/>
      <c r="DX96" s="345"/>
      <c r="DY96" s="345"/>
      <c r="DZ96" s="345"/>
      <c r="EA96" s="345"/>
    </row>
    <row r="97" spans="1:131" hidden="1">
      <c r="A97" s="345"/>
      <c r="B97" s="345"/>
      <c r="C97" s="345"/>
      <c r="D97" s="345"/>
      <c r="E97" s="345"/>
      <c r="F97" s="345"/>
      <c r="G97" s="345"/>
      <c r="H97" s="345"/>
      <c r="I97" s="345"/>
      <c r="J97" s="345"/>
      <c r="K97" s="345"/>
      <c r="L97" s="345"/>
      <c r="M97" s="345"/>
      <c r="N97" s="345"/>
      <c r="O97" s="345"/>
      <c r="P97" s="345"/>
      <c r="Q97" s="345"/>
      <c r="R97" s="345"/>
      <c r="S97" s="345"/>
      <c r="T97" s="345"/>
      <c r="U97" s="345"/>
      <c r="V97" s="345"/>
      <c r="W97" s="345"/>
      <c r="X97" s="345"/>
      <c r="Y97" s="345"/>
      <c r="Z97" s="345"/>
      <c r="AA97" s="345"/>
      <c r="AB97" s="345"/>
      <c r="AC97" s="345"/>
      <c r="AD97" s="345"/>
      <c r="AE97" s="345"/>
      <c r="AF97" s="345"/>
      <c r="AG97" s="345"/>
      <c r="AH97" s="345"/>
      <c r="AI97" s="345"/>
      <c r="AJ97" s="345"/>
      <c r="AK97" s="345"/>
      <c r="AL97" s="345"/>
      <c r="AM97" s="345"/>
      <c r="AN97" s="345"/>
      <c r="AO97" s="345"/>
      <c r="AP97" s="345"/>
      <c r="AQ97" s="345"/>
      <c r="AR97" s="345"/>
      <c r="AS97" s="345"/>
      <c r="AT97" s="345"/>
      <c r="AU97" s="345"/>
      <c r="AV97" s="345"/>
      <c r="AW97" s="345"/>
      <c r="AX97" s="345"/>
      <c r="AY97" s="345"/>
      <c r="AZ97" s="345"/>
      <c r="BA97" s="345"/>
      <c r="BB97" s="345"/>
      <c r="BC97" s="345"/>
      <c r="BD97" s="345"/>
      <c r="BE97" s="345"/>
      <c r="BF97" s="345"/>
      <c r="BG97" s="345"/>
      <c r="BH97" s="345"/>
      <c r="BI97" s="345"/>
      <c r="BJ97" s="345"/>
      <c r="BK97" s="345"/>
      <c r="BL97" s="345"/>
      <c r="BM97" s="345"/>
      <c r="BN97" s="345"/>
      <c r="BO97" s="345"/>
      <c r="BP97" s="345"/>
      <c r="BQ97" s="345"/>
      <c r="BR97" s="345"/>
      <c r="BS97" s="345"/>
      <c r="BT97" s="345"/>
      <c r="BU97" s="345"/>
      <c r="BV97" s="345"/>
      <c r="BW97" s="345"/>
      <c r="BX97" s="345"/>
      <c r="BY97" s="345"/>
      <c r="BZ97" s="345"/>
      <c r="CA97" s="345"/>
      <c r="CB97" s="345"/>
      <c r="CC97" s="345"/>
      <c r="CD97" s="345"/>
      <c r="CE97" s="345"/>
      <c r="CF97" s="345"/>
      <c r="CG97" s="345"/>
      <c r="CH97" s="345"/>
      <c r="CI97" s="345"/>
      <c r="CJ97" s="345"/>
      <c r="CK97" s="345"/>
      <c r="CL97" s="345"/>
      <c r="CM97" s="345"/>
      <c r="CN97" s="345"/>
      <c r="CO97" s="345"/>
      <c r="CP97" s="345"/>
      <c r="CQ97" s="345"/>
      <c r="CR97" s="345"/>
      <c r="CS97" s="345"/>
      <c r="CT97" s="345"/>
      <c r="CU97" s="345"/>
      <c r="CV97" s="345"/>
      <c r="CW97" s="345"/>
      <c r="CX97" s="345"/>
      <c r="CY97" s="345"/>
      <c r="CZ97" s="345"/>
      <c r="DA97" s="345"/>
      <c r="DB97" s="345"/>
      <c r="DC97" s="345"/>
      <c r="DD97" s="345"/>
      <c r="DE97" s="345"/>
      <c r="DF97" s="345"/>
      <c r="DG97" s="345"/>
      <c r="DH97" s="345"/>
      <c r="DI97" s="345"/>
      <c r="DJ97" s="345"/>
      <c r="DK97" s="345"/>
      <c r="DL97" s="345"/>
      <c r="DM97" s="345"/>
      <c r="DN97" s="345"/>
      <c r="DO97" s="345"/>
      <c r="DP97" s="345"/>
      <c r="DQ97" s="345"/>
      <c r="DR97" s="345"/>
      <c r="DS97" s="345"/>
      <c r="DT97" s="345"/>
      <c r="DU97" s="345"/>
      <c r="DV97" s="345"/>
      <c r="DW97" s="345"/>
      <c r="DX97" s="345"/>
      <c r="DY97" s="345"/>
      <c r="DZ97" s="345"/>
      <c r="EA97" s="345"/>
    </row>
    <row r="98" spans="1:131" hidden="1">
      <c r="A98" s="345"/>
      <c r="B98" s="345"/>
      <c r="C98" s="345"/>
      <c r="D98" s="345"/>
      <c r="E98" s="345"/>
      <c r="F98" s="345"/>
      <c r="G98" s="345"/>
      <c r="H98" s="345"/>
      <c r="I98" s="345"/>
      <c r="J98" s="345"/>
      <c r="K98" s="345"/>
      <c r="L98" s="345"/>
      <c r="M98" s="345"/>
      <c r="N98" s="345"/>
      <c r="O98" s="345"/>
      <c r="P98" s="345"/>
      <c r="Q98" s="345"/>
      <c r="R98" s="345"/>
      <c r="S98" s="345"/>
      <c r="T98" s="345"/>
      <c r="U98" s="345"/>
      <c r="V98" s="345"/>
      <c r="W98" s="345"/>
      <c r="X98" s="345"/>
      <c r="Y98" s="345"/>
      <c r="Z98" s="345"/>
      <c r="AA98" s="345"/>
      <c r="AB98" s="345"/>
      <c r="AC98" s="345"/>
      <c r="AD98" s="345"/>
      <c r="AE98" s="345"/>
      <c r="AF98" s="345"/>
      <c r="AG98" s="345"/>
      <c r="AH98" s="345"/>
      <c r="AI98" s="345"/>
      <c r="AJ98" s="345"/>
      <c r="AK98" s="345"/>
      <c r="AL98" s="345"/>
      <c r="AM98" s="345"/>
      <c r="AN98" s="345"/>
      <c r="AO98" s="345"/>
      <c r="AP98" s="345"/>
      <c r="AQ98" s="345"/>
      <c r="AR98" s="345"/>
      <c r="AS98" s="345"/>
      <c r="AT98" s="345"/>
      <c r="AU98" s="345"/>
      <c r="AV98" s="345"/>
      <c r="AW98" s="345"/>
      <c r="AX98" s="345"/>
      <c r="AY98" s="345"/>
      <c r="AZ98" s="345"/>
      <c r="BA98" s="345"/>
      <c r="BB98" s="345"/>
      <c r="BC98" s="345"/>
      <c r="BD98" s="345"/>
      <c r="BE98" s="345"/>
      <c r="BF98" s="345"/>
      <c r="BG98" s="345"/>
      <c r="BH98" s="345"/>
      <c r="BI98" s="345"/>
      <c r="BJ98" s="345"/>
      <c r="BK98" s="345"/>
      <c r="BL98" s="345"/>
      <c r="BM98" s="345"/>
      <c r="BN98" s="345"/>
      <c r="BO98" s="345"/>
      <c r="BP98" s="345"/>
      <c r="BQ98" s="345"/>
      <c r="BR98" s="345"/>
      <c r="BS98" s="345"/>
      <c r="BT98" s="345"/>
      <c r="BU98" s="345"/>
      <c r="BV98" s="345"/>
      <c r="BW98" s="345"/>
      <c r="BX98" s="345"/>
      <c r="BY98" s="345"/>
      <c r="BZ98" s="345"/>
      <c r="CA98" s="345"/>
      <c r="CB98" s="345"/>
      <c r="CC98" s="345"/>
      <c r="CD98" s="345"/>
      <c r="CE98" s="345"/>
      <c r="CF98" s="345"/>
      <c r="CG98" s="345"/>
      <c r="CH98" s="345"/>
      <c r="CI98" s="345"/>
      <c r="CJ98" s="345"/>
      <c r="CK98" s="345"/>
      <c r="CL98" s="345"/>
      <c r="CM98" s="345"/>
      <c r="CN98" s="345"/>
      <c r="CO98" s="345"/>
      <c r="CP98" s="345"/>
      <c r="CQ98" s="345"/>
      <c r="CR98" s="345"/>
      <c r="CS98" s="345"/>
      <c r="CT98" s="345"/>
      <c r="CU98" s="345"/>
      <c r="CV98" s="345"/>
      <c r="CW98" s="345"/>
      <c r="CX98" s="345"/>
      <c r="CY98" s="345"/>
      <c r="CZ98" s="345"/>
      <c r="DA98" s="345"/>
      <c r="DB98" s="345"/>
      <c r="DC98" s="345"/>
      <c r="DD98" s="345"/>
      <c r="DE98" s="345"/>
      <c r="DF98" s="345"/>
      <c r="DG98" s="345"/>
      <c r="DH98" s="345"/>
      <c r="DI98" s="345"/>
      <c r="DJ98" s="345"/>
      <c r="DK98" s="345"/>
      <c r="DL98" s="345"/>
      <c r="DM98" s="345"/>
      <c r="DN98" s="345"/>
      <c r="DO98" s="345"/>
      <c r="DP98" s="345"/>
      <c r="DQ98" s="345"/>
      <c r="DR98" s="345"/>
      <c r="DS98" s="345"/>
      <c r="DT98" s="345"/>
      <c r="DU98" s="345"/>
      <c r="DV98" s="345"/>
      <c r="DW98" s="345"/>
      <c r="DX98" s="345"/>
      <c r="DY98" s="345"/>
      <c r="DZ98" s="345"/>
      <c r="EA98" s="345"/>
    </row>
    <row r="99" spans="1:131" hidden="1">
      <c r="A99" s="345"/>
      <c r="B99" s="345"/>
      <c r="C99" s="345"/>
      <c r="D99" s="345"/>
      <c r="E99" s="345"/>
      <c r="F99" s="345"/>
      <c r="G99" s="345"/>
      <c r="H99" s="345"/>
      <c r="I99" s="345"/>
      <c r="J99" s="345"/>
      <c r="K99" s="345"/>
      <c r="L99" s="345"/>
      <c r="M99" s="345"/>
      <c r="N99" s="345"/>
      <c r="O99" s="345"/>
      <c r="P99" s="345"/>
      <c r="Q99" s="345"/>
      <c r="R99" s="345"/>
      <c r="S99" s="345"/>
      <c r="T99" s="345"/>
      <c r="U99" s="345"/>
      <c r="V99" s="345"/>
      <c r="W99" s="345"/>
      <c r="X99" s="345"/>
      <c r="Y99" s="345"/>
      <c r="Z99" s="345"/>
      <c r="AA99" s="345"/>
      <c r="AB99" s="345"/>
      <c r="AC99" s="345"/>
      <c r="AD99" s="345"/>
      <c r="AE99" s="345"/>
      <c r="AF99" s="345"/>
      <c r="AG99" s="345"/>
      <c r="AH99" s="345"/>
      <c r="AI99" s="345"/>
      <c r="AJ99" s="345"/>
      <c r="AK99" s="345"/>
      <c r="AL99" s="345"/>
      <c r="AM99" s="345"/>
      <c r="AN99" s="345"/>
      <c r="AO99" s="345"/>
      <c r="AP99" s="345"/>
      <c r="AQ99" s="345"/>
      <c r="AR99" s="345"/>
      <c r="AS99" s="345"/>
      <c r="AT99" s="345"/>
      <c r="AU99" s="345"/>
      <c r="AV99" s="345"/>
      <c r="AW99" s="345"/>
      <c r="AX99" s="345"/>
      <c r="AY99" s="345"/>
      <c r="AZ99" s="345"/>
      <c r="BA99" s="345"/>
      <c r="BB99" s="345"/>
      <c r="BC99" s="345"/>
      <c r="BD99" s="345"/>
      <c r="BE99" s="345"/>
      <c r="BF99" s="345"/>
      <c r="BG99" s="345"/>
      <c r="BH99" s="345"/>
      <c r="BI99" s="345"/>
      <c r="BJ99" s="345"/>
      <c r="BK99" s="345"/>
      <c r="BL99" s="345"/>
      <c r="BM99" s="345"/>
      <c r="BN99" s="345"/>
      <c r="BO99" s="345"/>
      <c r="BP99" s="345"/>
      <c r="BQ99" s="345"/>
      <c r="BR99" s="345"/>
      <c r="BS99" s="345"/>
      <c r="BT99" s="345"/>
      <c r="BU99" s="345"/>
      <c r="BV99" s="345"/>
      <c r="BW99" s="345"/>
      <c r="BX99" s="345"/>
      <c r="BY99" s="345"/>
      <c r="BZ99" s="345"/>
      <c r="CA99" s="345"/>
      <c r="CB99" s="345"/>
      <c r="CC99" s="345"/>
      <c r="CD99" s="345"/>
      <c r="CE99" s="345"/>
      <c r="CF99" s="345"/>
      <c r="CG99" s="345"/>
      <c r="CH99" s="345"/>
      <c r="CI99" s="345"/>
      <c r="CJ99" s="345"/>
      <c r="CK99" s="345"/>
      <c r="CL99" s="345"/>
      <c r="CM99" s="345"/>
      <c r="CN99" s="345"/>
      <c r="CO99" s="345"/>
      <c r="CP99" s="345"/>
      <c r="CQ99" s="345"/>
      <c r="CR99" s="345"/>
      <c r="CS99" s="345"/>
      <c r="CT99" s="345"/>
      <c r="CU99" s="345"/>
      <c r="CV99" s="345"/>
      <c r="CW99" s="345"/>
      <c r="CX99" s="345"/>
      <c r="CY99" s="345"/>
      <c r="CZ99" s="345"/>
      <c r="DA99" s="345"/>
      <c r="DB99" s="345"/>
      <c r="DC99" s="345"/>
      <c r="DD99" s="345"/>
      <c r="DE99" s="345"/>
      <c r="DF99" s="345"/>
      <c r="DG99" s="345"/>
      <c r="DH99" s="345"/>
      <c r="DI99" s="345"/>
      <c r="DJ99" s="345"/>
      <c r="DK99" s="345"/>
      <c r="DL99" s="345"/>
      <c r="DM99" s="345"/>
      <c r="DN99" s="345"/>
      <c r="DO99" s="345"/>
      <c r="DP99" s="345"/>
      <c r="DQ99" s="345"/>
      <c r="DR99" s="345"/>
      <c r="DS99" s="345"/>
      <c r="DT99" s="345"/>
      <c r="DU99" s="345"/>
      <c r="DV99" s="345"/>
      <c r="DW99" s="345"/>
      <c r="DX99" s="345"/>
      <c r="DY99" s="345"/>
      <c r="DZ99" s="345"/>
      <c r="EA99" s="345"/>
    </row>
    <row r="100" spans="1:131" hidden="1">
      <c r="A100" s="345"/>
      <c r="B100" s="345"/>
      <c r="C100" s="345"/>
      <c r="D100" s="345"/>
      <c r="E100" s="345"/>
      <c r="F100" s="345"/>
      <c r="G100" s="345"/>
      <c r="H100" s="345"/>
      <c r="I100" s="345"/>
      <c r="J100" s="345"/>
      <c r="K100" s="345"/>
      <c r="L100" s="345"/>
      <c r="M100" s="345"/>
      <c r="N100" s="345"/>
      <c r="O100" s="345"/>
      <c r="P100" s="345"/>
      <c r="Q100" s="345"/>
      <c r="R100" s="345"/>
      <c r="S100" s="345"/>
      <c r="T100" s="345"/>
      <c r="U100" s="345"/>
      <c r="V100" s="345"/>
      <c r="W100" s="345"/>
      <c r="X100" s="345"/>
      <c r="Y100" s="345"/>
      <c r="Z100" s="345"/>
      <c r="AA100" s="345"/>
      <c r="AB100" s="345"/>
      <c r="AC100" s="345"/>
      <c r="AD100" s="345"/>
      <c r="AE100" s="345"/>
      <c r="AF100" s="345"/>
      <c r="AG100" s="345"/>
      <c r="AH100" s="345"/>
      <c r="AI100" s="345"/>
      <c r="AJ100" s="345"/>
      <c r="AK100" s="345"/>
      <c r="AL100" s="345"/>
      <c r="AM100" s="345"/>
      <c r="AN100" s="345"/>
      <c r="AO100" s="345"/>
      <c r="AP100" s="345"/>
      <c r="AQ100" s="345"/>
      <c r="AR100" s="345"/>
      <c r="AS100" s="345"/>
      <c r="AT100" s="345"/>
      <c r="AU100" s="345"/>
      <c r="AV100" s="345"/>
      <c r="AW100" s="345"/>
      <c r="AX100" s="345"/>
      <c r="AY100" s="345"/>
      <c r="AZ100" s="345"/>
      <c r="BA100" s="345"/>
      <c r="BB100" s="345"/>
      <c r="BC100" s="345"/>
      <c r="BD100" s="345"/>
      <c r="BE100" s="345"/>
      <c r="BF100" s="345"/>
      <c r="BG100" s="345"/>
      <c r="BH100" s="345"/>
      <c r="BI100" s="345"/>
      <c r="BJ100" s="345"/>
      <c r="BK100" s="345"/>
      <c r="BL100" s="345"/>
      <c r="BM100" s="345"/>
      <c r="BN100" s="345"/>
      <c r="BO100" s="345"/>
      <c r="BP100" s="345"/>
      <c r="BQ100" s="345"/>
      <c r="BR100" s="345"/>
      <c r="BS100" s="345"/>
      <c r="BT100" s="345"/>
      <c r="BU100" s="345"/>
      <c r="BV100" s="345"/>
      <c r="BW100" s="345"/>
      <c r="BX100" s="345"/>
      <c r="BY100" s="345"/>
      <c r="BZ100" s="345"/>
      <c r="CA100" s="345"/>
      <c r="CB100" s="345"/>
      <c r="CC100" s="345"/>
      <c r="CD100" s="345"/>
      <c r="CE100" s="345"/>
      <c r="CF100" s="345"/>
      <c r="CG100" s="345"/>
      <c r="CH100" s="345"/>
      <c r="CI100" s="345"/>
      <c r="CJ100" s="345"/>
      <c r="CK100" s="345"/>
      <c r="CL100" s="345"/>
      <c r="CM100" s="345"/>
      <c r="CN100" s="345"/>
      <c r="CO100" s="345"/>
      <c r="CP100" s="345"/>
      <c r="CQ100" s="345"/>
      <c r="CR100" s="345"/>
      <c r="CS100" s="345"/>
      <c r="CT100" s="345"/>
      <c r="CU100" s="345"/>
      <c r="CV100" s="345"/>
      <c r="CW100" s="345"/>
      <c r="CX100" s="345"/>
      <c r="CY100" s="345"/>
      <c r="CZ100" s="345"/>
      <c r="DA100" s="345"/>
      <c r="DB100" s="345"/>
      <c r="DC100" s="345"/>
      <c r="DD100" s="345"/>
      <c r="DE100" s="345"/>
      <c r="DF100" s="345"/>
      <c r="DG100" s="345"/>
      <c r="DH100" s="345"/>
      <c r="DI100" s="345"/>
      <c r="DJ100" s="345"/>
      <c r="DK100" s="345"/>
      <c r="DL100" s="345"/>
      <c r="DM100" s="345"/>
      <c r="DN100" s="345"/>
      <c r="DO100" s="345"/>
      <c r="DP100" s="345"/>
      <c r="DQ100" s="345"/>
      <c r="DR100" s="345"/>
      <c r="DS100" s="345"/>
      <c r="DT100" s="345"/>
      <c r="DU100" s="345"/>
      <c r="DV100" s="345"/>
      <c r="DW100" s="345"/>
      <c r="DX100" s="345"/>
      <c r="DY100" s="345"/>
      <c r="DZ100" s="345"/>
      <c r="EA100" s="345"/>
    </row>
    <row r="101" spans="1:131" hidden="1">
      <c r="A101" s="345"/>
      <c r="B101" s="345"/>
      <c r="C101" s="345"/>
      <c r="D101" s="345"/>
      <c r="E101" s="345"/>
      <c r="F101" s="345"/>
      <c r="G101" s="345"/>
      <c r="H101" s="345"/>
      <c r="I101" s="345"/>
      <c r="J101" s="345"/>
      <c r="K101" s="345"/>
      <c r="L101" s="345"/>
      <c r="M101" s="345"/>
      <c r="N101" s="345"/>
      <c r="O101" s="345"/>
      <c r="P101" s="345"/>
      <c r="Q101" s="345"/>
      <c r="R101" s="345"/>
      <c r="S101" s="345"/>
      <c r="T101" s="345"/>
      <c r="U101" s="345"/>
      <c r="V101" s="345"/>
      <c r="W101" s="345"/>
      <c r="X101" s="345"/>
      <c r="Y101" s="345"/>
      <c r="Z101" s="345"/>
      <c r="AA101" s="345"/>
      <c r="AB101" s="345"/>
      <c r="AC101" s="345"/>
      <c r="AD101" s="345"/>
      <c r="AE101" s="345"/>
      <c r="AF101" s="345"/>
      <c r="AG101" s="345"/>
      <c r="AH101" s="345"/>
      <c r="AI101" s="345"/>
      <c r="AJ101" s="345"/>
      <c r="AK101" s="345"/>
      <c r="AL101" s="345"/>
      <c r="AM101" s="345"/>
      <c r="AN101" s="345"/>
      <c r="AO101" s="345"/>
      <c r="AP101" s="345"/>
      <c r="AQ101" s="345"/>
      <c r="AR101" s="345"/>
      <c r="AS101" s="345"/>
      <c r="AT101" s="345"/>
      <c r="AU101" s="345"/>
      <c r="AV101" s="345"/>
      <c r="AW101" s="345"/>
      <c r="AX101" s="345"/>
      <c r="AY101" s="345"/>
      <c r="AZ101" s="345"/>
      <c r="BA101" s="345"/>
      <c r="BB101" s="345"/>
      <c r="BC101" s="345"/>
      <c r="BD101" s="345"/>
      <c r="BE101" s="345"/>
      <c r="BF101" s="345"/>
      <c r="BG101" s="345"/>
      <c r="BH101" s="345"/>
      <c r="BI101" s="345"/>
      <c r="BJ101" s="345"/>
      <c r="BK101" s="345"/>
      <c r="BL101" s="345"/>
      <c r="BM101" s="345"/>
      <c r="BN101" s="345"/>
      <c r="BO101" s="345"/>
      <c r="BP101" s="345"/>
      <c r="BQ101" s="345"/>
      <c r="BR101" s="345"/>
      <c r="BS101" s="345"/>
      <c r="BT101" s="345"/>
      <c r="BU101" s="345"/>
      <c r="BV101" s="345"/>
      <c r="BW101" s="345"/>
      <c r="BX101" s="345"/>
      <c r="BY101" s="345"/>
      <c r="BZ101" s="345"/>
      <c r="CA101" s="345"/>
      <c r="CB101" s="345"/>
      <c r="CC101" s="345"/>
      <c r="CD101" s="345"/>
      <c r="CE101" s="345"/>
      <c r="CF101" s="345"/>
      <c r="CG101" s="345"/>
      <c r="CH101" s="345"/>
      <c r="CI101" s="345"/>
      <c r="CJ101" s="345"/>
      <c r="CK101" s="345"/>
      <c r="CL101" s="345"/>
      <c r="CM101" s="345"/>
      <c r="CN101" s="345"/>
      <c r="CO101" s="345"/>
      <c r="CP101" s="345"/>
      <c r="CQ101" s="345"/>
      <c r="CR101" s="345"/>
      <c r="CS101" s="345"/>
      <c r="CT101" s="345"/>
      <c r="CU101" s="345"/>
      <c r="CV101" s="345"/>
      <c r="CW101" s="345"/>
      <c r="CX101" s="345"/>
      <c r="CY101" s="345"/>
      <c r="CZ101" s="345"/>
      <c r="DA101" s="345"/>
      <c r="DB101" s="345"/>
      <c r="DC101" s="345"/>
      <c r="DD101" s="345"/>
      <c r="DE101" s="345"/>
      <c r="DF101" s="345"/>
      <c r="DG101" s="345"/>
      <c r="DH101" s="345"/>
      <c r="DI101" s="345"/>
      <c r="DJ101" s="345"/>
      <c r="DK101" s="345"/>
      <c r="DL101" s="345"/>
      <c r="DM101" s="345"/>
      <c r="DN101" s="345"/>
      <c r="DO101" s="345"/>
      <c r="DP101" s="345"/>
      <c r="DQ101" s="345"/>
      <c r="DR101" s="345"/>
      <c r="DS101" s="345"/>
      <c r="DT101" s="345"/>
      <c r="DU101" s="345"/>
      <c r="DV101" s="345"/>
      <c r="DW101" s="345"/>
      <c r="DX101" s="345"/>
      <c r="DY101" s="345"/>
      <c r="DZ101" s="345"/>
      <c r="EA101" s="345"/>
    </row>
    <row r="102" spans="1:131" hidden="1">
      <c r="A102" s="345"/>
      <c r="B102" s="345"/>
      <c r="C102" s="345"/>
      <c r="D102" s="345"/>
      <c r="E102" s="345"/>
      <c r="F102" s="345"/>
      <c r="G102" s="345"/>
      <c r="H102" s="345"/>
      <c r="I102" s="345"/>
      <c r="J102" s="345"/>
      <c r="K102" s="345"/>
      <c r="L102" s="345"/>
      <c r="M102" s="345"/>
      <c r="N102" s="345"/>
      <c r="O102" s="345"/>
      <c r="P102" s="345"/>
      <c r="Q102" s="345"/>
      <c r="R102" s="345"/>
      <c r="S102" s="345"/>
      <c r="T102" s="345"/>
      <c r="U102" s="345"/>
      <c r="V102" s="345"/>
      <c r="W102" s="345"/>
      <c r="X102" s="345"/>
      <c r="Y102" s="345"/>
      <c r="Z102" s="345"/>
      <c r="AA102" s="345"/>
      <c r="AB102" s="345"/>
      <c r="AC102" s="345"/>
      <c r="AD102" s="345"/>
      <c r="AE102" s="345"/>
      <c r="AF102" s="345"/>
      <c r="AG102" s="345"/>
      <c r="AH102" s="345"/>
      <c r="AI102" s="345"/>
      <c r="AJ102" s="345"/>
      <c r="AK102" s="345"/>
      <c r="AL102" s="345"/>
      <c r="AM102" s="345"/>
      <c r="AN102" s="345"/>
      <c r="AO102" s="345"/>
      <c r="AP102" s="345"/>
      <c r="AQ102" s="345"/>
      <c r="AR102" s="345"/>
      <c r="AS102" s="345"/>
      <c r="AT102" s="345"/>
      <c r="AU102" s="345"/>
      <c r="AV102" s="345"/>
      <c r="AW102" s="345"/>
      <c r="AX102" s="345"/>
      <c r="AY102" s="345"/>
      <c r="AZ102" s="345"/>
      <c r="BA102" s="345"/>
      <c r="BB102" s="345"/>
      <c r="BC102" s="345"/>
      <c r="BD102" s="345"/>
      <c r="BE102" s="345"/>
      <c r="BF102" s="345"/>
      <c r="BG102" s="345"/>
      <c r="BH102" s="345"/>
      <c r="BI102" s="345"/>
      <c r="BJ102" s="345"/>
      <c r="BK102" s="345"/>
      <c r="BL102" s="345"/>
      <c r="BM102" s="345"/>
      <c r="BN102" s="345"/>
      <c r="BO102" s="345"/>
      <c r="BP102" s="345"/>
      <c r="BQ102" s="345"/>
      <c r="BR102" s="345"/>
      <c r="BS102" s="345"/>
      <c r="BT102" s="345"/>
      <c r="BU102" s="345"/>
      <c r="BV102" s="345"/>
      <c r="BW102" s="345"/>
      <c r="BX102" s="345"/>
      <c r="BY102" s="345"/>
      <c r="BZ102" s="345"/>
      <c r="CA102" s="345"/>
      <c r="CB102" s="345"/>
      <c r="CC102" s="345"/>
      <c r="CD102" s="345"/>
      <c r="CE102" s="345"/>
      <c r="CF102" s="345"/>
      <c r="CG102" s="345"/>
      <c r="CH102" s="345"/>
      <c r="CI102" s="345"/>
      <c r="CJ102" s="345"/>
      <c r="CK102" s="345"/>
      <c r="CL102" s="345"/>
      <c r="CM102" s="345"/>
      <c r="CN102" s="345"/>
      <c r="CO102" s="345"/>
      <c r="CP102" s="345"/>
      <c r="CQ102" s="345"/>
      <c r="CR102" s="345"/>
      <c r="CS102" s="345"/>
      <c r="CT102" s="345"/>
      <c r="CU102" s="345"/>
      <c r="CV102" s="345"/>
      <c r="CW102" s="345"/>
      <c r="CX102" s="345"/>
      <c r="CY102" s="345"/>
      <c r="CZ102" s="345"/>
      <c r="DA102" s="345"/>
      <c r="DB102" s="345"/>
      <c r="DC102" s="345"/>
      <c r="DD102" s="345"/>
      <c r="DE102" s="345"/>
      <c r="DF102" s="345"/>
      <c r="DG102" s="345"/>
      <c r="DH102" s="345"/>
      <c r="DI102" s="345"/>
      <c r="DJ102" s="345"/>
      <c r="DK102" s="345"/>
      <c r="DL102" s="345"/>
      <c r="DM102" s="345"/>
      <c r="DN102" s="345"/>
      <c r="DO102" s="345"/>
      <c r="DP102" s="345"/>
      <c r="DQ102" s="345"/>
      <c r="DR102" s="345"/>
      <c r="DS102" s="345"/>
      <c r="DT102" s="345"/>
      <c r="DU102" s="345"/>
      <c r="DV102" s="345"/>
      <c r="DW102" s="345"/>
      <c r="DX102" s="345"/>
      <c r="DY102" s="345"/>
      <c r="DZ102" s="345"/>
      <c r="EA102" s="345"/>
    </row>
    <row r="103" spans="1:131" hidden="1">
      <c r="A103" s="345"/>
      <c r="B103" s="345"/>
      <c r="C103" s="345"/>
      <c r="D103" s="345"/>
      <c r="E103" s="345"/>
      <c r="F103" s="345"/>
      <c r="G103" s="345"/>
      <c r="H103" s="345"/>
      <c r="I103" s="345"/>
      <c r="J103" s="345"/>
      <c r="K103" s="345"/>
      <c r="L103" s="345"/>
      <c r="M103" s="345"/>
      <c r="N103" s="345"/>
      <c r="O103" s="345"/>
      <c r="P103" s="345"/>
      <c r="Q103" s="345"/>
      <c r="R103" s="345"/>
      <c r="S103" s="345"/>
      <c r="T103" s="345"/>
      <c r="U103" s="345"/>
      <c r="V103" s="345"/>
      <c r="W103" s="345"/>
      <c r="X103" s="345"/>
      <c r="Y103" s="345"/>
      <c r="Z103" s="345"/>
      <c r="AA103" s="345"/>
      <c r="AB103" s="345"/>
      <c r="AC103" s="345"/>
      <c r="AD103" s="345"/>
      <c r="AE103" s="345"/>
      <c r="AF103" s="345"/>
      <c r="AG103" s="345"/>
      <c r="AH103" s="345"/>
      <c r="AI103" s="345"/>
      <c r="AJ103" s="345"/>
      <c r="AK103" s="345"/>
      <c r="AL103" s="345"/>
      <c r="AM103" s="345"/>
      <c r="AN103" s="345"/>
      <c r="AO103" s="345"/>
      <c r="AP103" s="345"/>
      <c r="AQ103" s="345"/>
      <c r="AR103" s="345"/>
      <c r="AS103" s="345"/>
      <c r="AT103" s="345"/>
      <c r="AU103" s="345"/>
      <c r="AV103" s="345"/>
      <c r="AW103" s="345"/>
      <c r="AX103" s="345"/>
      <c r="AY103" s="345"/>
      <c r="AZ103" s="345"/>
      <c r="BA103" s="345"/>
      <c r="BB103" s="345"/>
      <c r="BC103" s="345"/>
      <c r="BD103" s="345"/>
      <c r="BE103" s="345"/>
      <c r="BF103" s="345"/>
      <c r="BG103" s="345"/>
      <c r="BH103" s="345"/>
      <c r="BI103" s="345"/>
      <c r="BJ103" s="345"/>
      <c r="BK103" s="345"/>
      <c r="BL103" s="345"/>
      <c r="BM103" s="345"/>
      <c r="BN103" s="345"/>
      <c r="BO103" s="345"/>
      <c r="BP103" s="345"/>
      <c r="BQ103" s="345"/>
      <c r="BR103" s="345"/>
      <c r="BS103" s="345"/>
      <c r="BT103" s="345"/>
      <c r="BU103" s="345"/>
      <c r="BV103" s="345"/>
      <c r="BW103" s="345"/>
      <c r="BX103" s="345"/>
      <c r="BY103" s="345"/>
      <c r="BZ103" s="345"/>
      <c r="CA103" s="345"/>
      <c r="CB103" s="345"/>
      <c r="CC103" s="345"/>
      <c r="CD103" s="345"/>
      <c r="CE103" s="345"/>
      <c r="CF103" s="345"/>
      <c r="CG103" s="345"/>
      <c r="CH103" s="345"/>
      <c r="CI103" s="345"/>
      <c r="CJ103" s="345"/>
      <c r="CK103" s="345"/>
      <c r="CL103" s="345"/>
      <c r="CM103" s="345"/>
      <c r="CN103" s="345"/>
      <c r="CO103" s="345"/>
      <c r="CP103" s="345"/>
      <c r="CQ103" s="345"/>
      <c r="CR103" s="345"/>
      <c r="CS103" s="345"/>
      <c r="CT103" s="345"/>
      <c r="CU103" s="345"/>
      <c r="CV103" s="345"/>
      <c r="CW103" s="345"/>
      <c r="CX103" s="345"/>
      <c r="CY103" s="345"/>
      <c r="CZ103" s="345"/>
      <c r="DA103" s="345"/>
      <c r="DB103" s="345"/>
      <c r="DC103" s="345"/>
      <c r="DD103" s="345"/>
      <c r="DE103" s="345"/>
      <c r="DF103" s="345"/>
      <c r="DG103" s="345"/>
      <c r="DH103" s="345"/>
      <c r="DI103" s="345"/>
      <c r="DJ103" s="345"/>
      <c r="DK103" s="345"/>
      <c r="DL103" s="345"/>
      <c r="DM103" s="345"/>
      <c r="DN103" s="345"/>
      <c r="DO103" s="345"/>
      <c r="DP103" s="345"/>
      <c r="DQ103" s="345"/>
      <c r="DR103" s="345"/>
      <c r="DS103" s="345"/>
      <c r="DT103" s="345"/>
      <c r="DU103" s="345"/>
      <c r="DV103" s="345"/>
      <c r="DW103" s="345"/>
      <c r="DX103" s="345"/>
      <c r="DY103" s="345"/>
      <c r="DZ103" s="345"/>
      <c r="EA103" s="345"/>
    </row>
    <row r="104" spans="1:131" hidden="1">
      <c r="A104" s="345"/>
      <c r="B104" s="345"/>
      <c r="C104" s="345"/>
      <c r="D104" s="345"/>
      <c r="E104" s="345"/>
      <c r="F104" s="345"/>
      <c r="G104" s="345"/>
      <c r="H104" s="345"/>
      <c r="I104" s="345"/>
      <c r="J104" s="345"/>
      <c r="K104" s="345"/>
      <c r="L104" s="345"/>
      <c r="M104" s="345"/>
      <c r="N104" s="345"/>
      <c r="O104" s="345"/>
      <c r="P104" s="345"/>
      <c r="Q104" s="345"/>
      <c r="R104" s="345"/>
      <c r="S104" s="345"/>
      <c r="T104" s="345"/>
      <c r="U104" s="345"/>
      <c r="V104" s="345"/>
      <c r="W104" s="345"/>
      <c r="X104" s="345"/>
      <c r="Y104" s="345"/>
      <c r="Z104" s="345"/>
      <c r="AA104" s="345"/>
      <c r="AB104" s="345"/>
      <c r="AC104" s="345"/>
      <c r="AD104" s="345"/>
      <c r="AE104" s="345"/>
      <c r="AF104" s="345"/>
      <c r="AG104" s="345"/>
      <c r="AH104" s="345"/>
      <c r="AI104" s="345"/>
      <c r="AJ104" s="345"/>
      <c r="AK104" s="345"/>
      <c r="AL104" s="345"/>
      <c r="AM104" s="345"/>
      <c r="AN104" s="345"/>
      <c r="AO104" s="345"/>
      <c r="AP104" s="345"/>
      <c r="AQ104" s="345"/>
      <c r="AR104" s="345"/>
      <c r="AS104" s="345"/>
      <c r="AT104" s="345"/>
      <c r="AU104" s="345"/>
      <c r="AV104" s="345"/>
      <c r="AW104" s="345"/>
      <c r="AX104" s="345"/>
      <c r="AY104" s="345"/>
      <c r="AZ104" s="345"/>
      <c r="BA104" s="345"/>
      <c r="BB104" s="345"/>
      <c r="BC104" s="345"/>
      <c r="BD104" s="345"/>
      <c r="BE104" s="345"/>
      <c r="BF104" s="345"/>
      <c r="BG104" s="345"/>
      <c r="BH104" s="345"/>
      <c r="BI104" s="345"/>
      <c r="BJ104" s="345"/>
      <c r="BK104" s="345"/>
      <c r="BL104" s="345"/>
      <c r="BM104" s="345"/>
      <c r="BN104" s="345"/>
      <c r="BO104" s="345"/>
      <c r="BP104" s="345"/>
      <c r="BQ104" s="345"/>
      <c r="BR104" s="345"/>
      <c r="BS104" s="345"/>
      <c r="BT104" s="345"/>
      <c r="BU104" s="345"/>
      <c r="BV104" s="345"/>
      <c r="BW104" s="345"/>
      <c r="BX104" s="345"/>
      <c r="BY104" s="345"/>
      <c r="BZ104" s="345"/>
      <c r="CA104" s="345"/>
      <c r="CB104" s="345"/>
      <c r="CC104" s="345"/>
      <c r="CD104" s="345"/>
      <c r="CE104" s="345"/>
      <c r="CF104" s="345"/>
      <c r="CG104" s="345"/>
      <c r="CH104" s="345"/>
      <c r="CI104" s="345"/>
      <c r="CJ104" s="345"/>
      <c r="CK104" s="345"/>
      <c r="CL104" s="345"/>
      <c r="CM104" s="345"/>
      <c r="CN104" s="345"/>
      <c r="CO104" s="345"/>
      <c r="CP104" s="345"/>
      <c r="CQ104" s="345"/>
      <c r="CR104" s="345"/>
      <c r="CS104" s="345"/>
      <c r="CT104" s="345"/>
      <c r="CU104" s="345"/>
      <c r="CV104" s="345"/>
      <c r="CW104" s="345"/>
      <c r="CX104" s="345"/>
      <c r="CY104" s="345"/>
      <c r="CZ104" s="345"/>
      <c r="DA104" s="345"/>
      <c r="DB104" s="345"/>
      <c r="DC104" s="345"/>
      <c r="DD104" s="345"/>
      <c r="DE104" s="345"/>
      <c r="DF104" s="345"/>
      <c r="DG104" s="345"/>
      <c r="DH104" s="345"/>
      <c r="DI104" s="345"/>
      <c r="DJ104" s="345"/>
      <c r="DK104" s="345"/>
      <c r="DL104" s="345"/>
      <c r="DM104" s="345"/>
      <c r="DN104" s="345"/>
      <c r="DO104" s="345"/>
      <c r="DP104" s="345"/>
      <c r="DQ104" s="345"/>
      <c r="DR104" s="345"/>
      <c r="DS104" s="345"/>
      <c r="DT104" s="345"/>
      <c r="DU104" s="345"/>
      <c r="DV104" s="345"/>
      <c r="DW104" s="345"/>
      <c r="DX104" s="345"/>
      <c r="DY104" s="345"/>
      <c r="DZ104" s="345"/>
      <c r="EA104" s="345"/>
    </row>
    <row r="105" spans="1:131" hidden="1">
      <c r="A105" s="345"/>
      <c r="B105" s="345"/>
      <c r="C105" s="345"/>
      <c r="D105" s="345"/>
      <c r="E105" s="345"/>
      <c r="F105" s="345"/>
      <c r="G105" s="345"/>
      <c r="H105" s="345"/>
      <c r="I105" s="345"/>
      <c r="J105" s="345"/>
      <c r="K105" s="345"/>
      <c r="L105" s="345"/>
      <c r="M105" s="345"/>
      <c r="N105" s="345"/>
      <c r="O105" s="345"/>
      <c r="P105" s="345"/>
      <c r="Q105" s="345"/>
      <c r="R105" s="345"/>
      <c r="S105" s="345"/>
      <c r="T105" s="345"/>
      <c r="U105" s="345"/>
      <c r="V105" s="345"/>
      <c r="W105" s="345"/>
      <c r="X105" s="345"/>
      <c r="Y105" s="345"/>
      <c r="Z105" s="345"/>
      <c r="AA105" s="345"/>
      <c r="AB105" s="345"/>
      <c r="AC105" s="345"/>
      <c r="AD105" s="345"/>
      <c r="AE105" s="345"/>
      <c r="AF105" s="345"/>
      <c r="AG105" s="345"/>
      <c r="AH105" s="345"/>
      <c r="AI105" s="345"/>
      <c r="AJ105" s="345"/>
      <c r="AK105" s="345"/>
      <c r="AL105" s="345"/>
      <c r="AM105" s="345"/>
      <c r="AN105" s="345"/>
      <c r="AO105" s="345"/>
      <c r="AP105" s="345"/>
      <c r="AQ105" s="345"/>
      <c r="AR105" s="345"/>
      <c r="AS105" s="345"/>
      <c r="AT105" s="345"/>
      <c r="AU105" s="345"/>
      <c r="AV105" s="345"/>
      <c r="AW105" s="345"/>
      <c r="AX105" s="345"/>
      <c r="AY105" s="345"/>
      <c r="AZ105" s="345"/>
      <c r="BA105" s="345"/>
      <c r="BB105" s="345"/>
      <c r="BC105" s="345"/>
      <c r="BD105" s="345"/>
      <c r="BE105" s="345"/>
      <c r="BF105" s="345"/>
      <c r="BG105" s="345"/>
      <c r="BH105" s="345"/>
      <c r="BI105" s="345"/>
      <c r="BJ105" s="345"/>
      <c r="BK105" s="345"/>
      <c r="BL105" s="345"/>
      <c r="BM105" s="345"/>
      <c r="BN105" s="345"/>
      <c r="BO105" s="345"/>
      <c r="BP105" s="345"/>
      <c r="BQ105" s="345"/>
      <c r="BR105" s="345"/>
      <c r="BS105" s="345"/>
      <c r="BT105" s="345"/>
      <c r="BU105" s="345"/>
      <c r="BV105" s="345"/>
      <c r="BW105" s="345"/>
      <c r="BX105" s="345"/>
      <c r="BY105" s="345"/>
      <c r="BZ105" s="345"/>
      <c r="CA105" s="345"/>
      <c r="CB105" s="345"/>
      <c r="CC105" s="345"/>
      <c r="CD105" s="345"/>
      <c r="CE105" s="345"/>
      <c r="CF105" s="345"/>
      <c r="CG105" s="345"/>
      <c r="CH105" s="345"/>
      <c r="CI105" s="345"/>
      <c r="CJ105" s="345"/>
      <c r="CK105" s="345"/>
      <c r="CL105" s="345"/>
      <c r="CM105" s="345"/>
      <c r="CN105" s="345"/>
      <c r="CO105" s="345"/>
      <c r="CP105" s="345"/>
      <c r="CQ105" s="345"/>
      <c r="CR105" s="345"/>
      <c r="CS105" s="345"/>
      <c r="CT105" s="345"/>
      <c r="CU105" s="345"/>
      <c r="CV105" s="345"/>
      <c r="CW105" s="345"/>
      <c r="CX105" s="345"/>
      <c r="CY105" s="345"/>
      <c r="CZ105" s="345"/>
      <c r="DA105" s="345"/>
      <c r="DB105" s="345"/>
      <c r="DC105" s="345"/>
      <c r="DD105" s="345"/>
      <c r="DE105" s="345"/>
      <c r="DF105" s="345"/>
      <c r="DG105" s="345"/>
      <c r="DH105" s="345"/>
      <c r="DI105" s="345"/>
      <c r="DJ105" s="345"/>
      <c r="DK105" s="345"/>
      <c r="DL105" s="345"/>
      <c r="DM105" s="345"/>
      <c r="DN105" s="345"/>
      <c r="DO105" s="345"/>
      <c r="DP105" s="345"/>
      <c r="DQ105" s="345"/>
      <c r="DR105" s="345"/>
      <c r="DS105" s="345"/>
      <c r="DT105" s="345"/>
      <c r="DU105" s="345"/>
      <c r="DV105" s="345"/>
      <c r="DW105" s="345"/>
      <c r="DX105" s="345"/>
      <c r="DY105" s="345"/>
      <c r="DZ105" s="345"/>
      <c r="EA105" s="345"/>
    </row>
    <row r="106" spans="1:131" hidden="1">
      <c r="A106" s="345"/>
      <c r="B106" s="345"/>
      <c r="C106" s="345"/>
      <c r="D106" s="345"/>
      <c r="E106" s="345"/>
      <c r="F106" s="345"/>
      <c r="G106" s="345"/>
      <c r="H106" s="345"/>
      <c r="I106" s="345"/>
      <c r="J106" s="345"/>
      <c r="K106" s="345"/>
      <c r="L106" s="345"/>
      <c r="M106" s="345"/>
      <c r="N106" s="345"/>
      <c r="O106" s="345"/>
      <c r="P106" s="345"/>
      <c r="Q106" s="345"/>
      <c r="R106" s="345"/>
      <c r="S106" s="345"/>
      <c r="T106" s="345"/>
      <c r="U106" s="345"/>
      <c r="V106" s="345"/>
      <c r="W106" s="345"/>
      <c r="X106" s="345"/>
      <c r="Y106" s="345"/>
      <c r="Z106" s="345"/>
      <c r="AA106" s="345"/>
      <c r="AB106" s="345"/>
      <c r="AC106" s="345"/>
      <c r="AD106" s="345"/>
      <c r="AE106" s="345"/>
      <c r="AF106" s="345"/>
      <c r="AG106" s="345"/>
      <c r="AH106" s="345"/>
      <c r="AI106" s="345"/>
      <c r="AJ106" s="345"/>
      <c r="AK106" s="345"/>
      <c r="AL106" s="345"/>
      <c r="AM106" s="345"/>
      <c r="AN106" s="345"/>
      <c r="AO106" s="345"/>
      <c r="AP106" s="345"/>
      <c r="AQ106" s="345"/>
      <c r="AR106" s="345"/>
      <c r="AS106" s="345"/>
      <c r="AT106" s="345"/>
      <c r="AU106" s="345"/>
      <c r="AV106" s="345"/>
      <c r="AW106" s="345"/>
      <c r="AX106" s="345"/>
      <c r="AY106" s="345"/>
      <c r="AZ106" s="345"/>
      <c r="BA106" s="345"/>
      <c r="BB106" s="345"/>
      <c r="BC106" s="345"/>
      <c r="BD106" s="345"/>
      <c r="BE106" s="345"/>
      <c r="BF106" s="345"/>
      <c r="BG106" s="345"/>
      <c r="BH106" s="345"/>
      <c r="BI106" s="345"/>
      <c r="BJ106" s="345"/>
      <c r="BK106" s="345"/>
      <c r="BL106" s="345"/>
      <c r="BM106" s="345"/>
      <c r="BN106" s="345"/>
      <c r="BO106" s="345"/>
      <c r="BP106" s="345"/>
      <c r="BQ106" s="345"/>
      <c r="BR106" s="345"/>
      <c r="BS106" s="345"/>
      <c r="BT106" s="345"/>
      <c r="BU106" s="345"/>
      <c r="BV106" s="345"/>
      <c r="BW106" s="345"/>
      <c r="BX106" s="345"/>
      <c r="BY106" s="345"/>
      <c r="BZ106" s="345"/>
      <c r="CA106" s="345"/>
      <c r="CB106" s="345"/>
      <c r="CC106" s="345"/>
      <c r="CD106" s="345"/>
      <c r="CE106" s="345"/>
      <c r="CF106" s="345"/>
      <c r="CG106" s="345"/>
      <c r="CH106" s="345"/>
      <c r="CI106" s="345"/>
      <c r="CJ106" s="345"/>
      <c r="CK106" s="345"/>
      <c r="CL106" s="345"/>
      <c r="CM106" s="345"/>
      <c r="CN106" s="345"/>
      <c r="CO106" s="345"/>
      <c r="CP106" s="345"/>
      <c r="CQ106" s="345"/>
      <c r="CR106" s="345"/>
      <c r="CS106" s="345"/>
      <c r="CT106" s="345"/>
      <c r="CU106" s="345"/>
      <c r="CV106" s="345"/>
      <c r="CW106" s="345"/>
      <c r="CX106" s="345"/>
      <c r="CY106" s="345"/>
      <c r="CZ106" s="345"/>
      <c r="DA106" s="345"/>
      <c r="DB106" s="345"/>
      <c r="DC106" s="345"/>
      <c r="DD106" s="345"/>
      <c r="DE106" s="345"/>
      <c r="DF106" s="345"/>
      <c r="DG106" s="345"/>
      <c r="DH106" s="345"/>
      <c r="DI106" s="345"/>
      <c r="DJ106" s="345"/>
      <c r="DK106" s="345"/>
      <c r="DL106" s="345"/>
      <c r="DM106" s="345"/>
      <c r="DN106" s="345"/>
      <c r="DO106" s="345"/>
      <c r="DP106" s="345"/>
      <c r="DQ106" s="345"/>
      <c r="DR106" s="345"/>
      <c r="DS106" s="345"/>
      <c r="DT106" s="345"/>
      <c r="DU106" s="345"/>
      <c r="DV106" s="345"/>
      <c r="DW106" s="345"/>
      <c r="DX106" s="345"/>
      <c r="DY106" s="345"/>
      <c r="DZ106" s="345"/>
      <c r="EA106" s="345"/>
    </row>
    <row r="107" spans="1:131" hidden="1">
      <c r="A107" s="345"/>
      <c r="B107" s="345"/>
      <c r="C107" s="345"/>
      <c r="D107" s="345"/>
      <c r="E107" s="345"/>
      <c r="F107" s="345"/>
      <c r="G107" s="345"/>
      <c r="H107" s="345"/>
      <c r="I107" s="345"/>
      <c r="J107" s="345"/>
      <c r="K107" s="345"/>
      <c r="L107" s="345"/>
      <c r="M107" s="345"/>
      <c r="N107" s="345"/>
      <c r="O107" s="345"/>
      <c r="P107" s="345"/>
      <c r="Q107" s="345"/>
      <c r="R107" s="345"/>
      <c r="S107" s="345"/>
      <c r="T107" s="345"/>
      <c r="U107" s="345"/>
      <c r="V107" s="345"/>
      <c r="W107" s="345"/>
      <c r="X107" s="345"/>
      <c r="Y107" s="345"/>
      <c r="Z107" s="345"/>
      <c r="AA107" s="345"/>
      <c r="AB107" s="345"/>
      <c r="AC107" s="345"/>
      <c r="AD107" s="345"/>
      <c r="AE107" s="345"/>
      <c r="AF107" s="345"/>
      <c r="AG107" s="345"/>
      <c r="AH107" s="345"/>
      <c r="AI107" s="345"/>
      <c r="AJ107" s="345"/>
      <c r="AK107" s="345"/>
      <c r="AL107" s="345"/>
      <c r="AM107" s="345"/>
      <c r="AN107" s="345"/>
      <c r="AO107" s="345"/>
      <c r="AP107" s="345"/>
      <c r="AQ107" s="345"/>
      <c r="AR107" s="345"/>
      <c r="AS107" s="345"/>
      <c r="AT107" s="345"/>
      <c r="AU107" s="345"/>
      <c r="AV107" s="345"/>
      <c r="AW107" s="345"/>
      <c r="AX107" s="345"/>
      <c r="AY107" s="345"/>
      <c r="AZ107" s="345"/>
      <c r="BA107" s="345"/>
      <c r="BB107" s="345"/>
      <c r="BC107" s="345"/>
      <c r="BD107" s="345"/>
      <c r="BE107" s="345"/>
      <c r="BF107" s="345"/>
      <c r="BG107" s="345"/>
      <c r="BH107" s="345"/>
      <c r="BI107" s="345"/>
      <c r="BJ107" s="345"/>
      <c r="BK107" s="345"/>
      <c r="BL107" s="345"/>
      <c r="BM107" s="345"/>
      <c r="BN107" s="345"/>
      <c r="BO107" s="345"/>
      <c r="BP107" s="345"/>
      <c r="BQ107" s="345"/>
      <c r="BR107" s="345"/>
      <c r="BS107" s="345"/>
      <c r="BT107" s="345"/>
      <c r="BU107" s="345"/>
      <c r="BV107" s="345"/>
      <c r="BW107" s="345"/>
      <c r="BX107" s="345"/>
      <c r="BY107" s="345"/>
      <c r="BZ107" s="345"/>
      <c r="CA107" s="345"/>
      <c r="CB107" s="345"/>
      <c r="CC107" s="345"/>
      <c r="CD107" s="345"/>
      <c r="CE107" s="345"/>
      <c r="CF107" s="345"/>
      <c r="CG107" s="345"/>
      <c r="CH107" s="345"/>
      <c r="CI107" s="345"/>
      <c r="CJ107" s="345"/>
      <c r="CK107" s="345"/>
      <c r="CL107" s="345"/>
      <c r="CM107" s="345"/>
      <c r="CN107" s="345"/>
      <c r="CO107" s="345"/>
      <c r="CP107" s="345"/>
      <c r="CQ107" s="345"/>
      <c r="CR107" s="345"/>
      <c r="CS107" s="345"/>
      <c r="CT107" s="345"/>
      <c r="CU107" s="345"/>
      <c r="CV107" s="345"/>
      <c r="CW107" s="345"/>
      <c r="CX107" s="345"/>
      <c r="CY107" s="345"/>
      <c r="CZ107" s="345"/>
      <c r="DA107" s="345"/>
      <c r="DB107" s="345"/>
      <c r="DC107" s="345"/>
      <c r="DD107" s="345"/>
      <c r="DE107" s="345"/>
      <c r="DF107" s="345"/>
      <c r="DG107" s="345"/>
      <c r="DH107" s="345"/>
      <c r="DI107" s="345"/>
      <c r="DJ107" s="345"/>
      <c r="DK107" s="345"/>
      <c r="DL107" s="345"/>
      <c r="DM107" s="345"/>
      <c r="DN107" s="345"/>
      <c r="DO107" s="345"/>
      <c r="DP107" s="345"/>
      <c r="DQ107" s="345"/>
      <c r="DR107" s="345"/>
      <c r="DS107" s="345"/>
      <c r="DT107" s="345"/>
      <c r="DU107" s="345"/>
      <c r="DV107" s="345"/>
      <c r="DW107" s="345"/>
      <c r="DX107" s="345"/>
      <c r="DY107" s="345"/>
      <c r="DZ107" s="345"/>
      <c r="EA107" s="345"/>
    </row>
    <row r="108" spans="1:131" hidden="1">
      <c r="A108" s="345"/>
      <c r="B108" s="345"/>
      <c r="C108" s="345"/>
      <c r="D108" s="345"/>
      <c r="E108" s="345"/>
      <c r="F108" s="345"/>
      <c r="G108" s="345"/>
      <c r="H108" s="345"/>
      <c r="I108" s="345"/>
      <c r="J108" s="345"/>
      <c r="K108" s="345"/>
      <c r="L108" s="345"/>
      <c r="M108" s="345"/>
      <c r="N108" s="345"/>
      <c r="O108" s="345"/>
      <c r="P108" s="345"/>
      <c r="Q108" s="345"/>
      <c r="R108" s="345"/>
      <c r="S108" s="345"/>
      <c r="T108" s="345"/>
      <c r="U108" s="345"/>
      <c r="V108" s="345"/>
      <c r="W108" s="345"/>
      <c r="X108" s="345"/>
      <c r="Y108" s="345"/>
      <c r="Z108" s="345"/>
      <c r="AA108" s="345"/>
      <c r="AB108" s="345"/>
      <c r="AC108" s="345"/>
      <c r="AD108" s="345"/>
      <c r="AE108" s="345"/>
      <c r="AF108" s="345"/>
      <c r="AG108" s="345"/>
      <c r="AH108" s="345"/>
      <c r="AI108" s="345"/>
      <c r="AJ108" s="345"/>
      <c r="AK108" s="345"/>
      <c r="AL108" s="345"/>
      <c r="AM108" s="345"/>
      <c r="AN108" s="345"/>
      <c r="AO108" s="345"/>
      <c r="AP108" s="345"/>
      <c r="AQ108" s="345"/>
      <c r="AR108" s="345"/>
      <c r="AS108" s="345"/>
      <c r="AT108" s="345"/>
      <c r="AU108" s="345"/>
      <c r="AV108" s="345"/>
      <c r="AW108" s="345"/>
      <c r="AX108" s="345"/>
      <c r="AY108" s="345"/>
      <c r="AZ108" s="345"/>
      <c r="BA108" s="345"/>
      <c r="BB108" s="345"/>
      <c r="BC108" s="345"/>
      <c r="BD108" s="345"/>
      <c r="BE108" s="345"/>
      <c r="BF108" s="345"/>
      <c r="BG108" s="345"/>
      <c r="BH108" s="345"/>
      <c r="BI108" s="345"/>
      <c r="BJ108" s="345"/>
      <c r="BK108" s="345"/>
      <c r="BL108" s="345"/>
      <c r="BM108" s="345"/>
      <c r="BN108" s="345"/>
      <c r="BO108" s="345"/>
      <c r="BP108" s="345"/>
      <c r="BQ108" s="345"/>
      <c r="BR108" s="345"/>
      <c r="BS108" s="345"/>
      <c r="BT108" s="345"/>
      <c r="BU108" s="345"/>
      <c r="BV108" s="345"/>
      <c r="BW108" s="345"/>
      <c r="BX108" s="345"/>
      <c r="BY108" s="345"/>
      <c r="BZ108" s="345"/>
      <c r="CA108" s="345"/>
      <c r="CB108" s="345"/>
      <c r="CC108" s="345"/>
      <c r="CD108" s="345"/>
      <c r="CE108" s="345"/>
      <c r="CF108" s="345"/>
      <c r="CG108" s="345"/>
      <c r="CH108" s="345"/>
      <c r="CI108" s="345"/>
      <c r="CJ108" s="345"/>
      <c r="CK108" s="345"/>
      <c r="CL108" s="345"/>
      <c r="CM108" s="345"/>
      <c r="CN108" s="345"/>
      <c r="CO108" s="345"/>
      <c r="CP108" s="345"/>
      <c r="CQ108" s="345"/>
      <c r="CR108" s="345"/>
      <c r="CS108" s="345"/>
      <c r="CT108" s="345"/>
      <c r="CU108" s="345"/>
      <c r="CV108" s="345"/>
      <c r="CW108" s="345"/>
      <c r="CX108" s="345"/>
      <c r="CY108" s="345"/>
      <c r="CZ108" s="345"/>
      <c r="DA108" s="345"/>
      <c r="DB108" s="345"/>
      <c r="DC108" s="345"/>
      <c r="DD108" s="345"/>
      <c r="DE108" s="345"/>
      <c r="DF108" s="345"/>
      <c r="DG108" s="345"/>
      <c r="DH108" s="345"/>
      <c r="DI108" s="345"/>
      <c r="DJ108" s="345"/>
      <c r="DK108" s="345"/>
      <c r="DL108" s="345"/>
      <c r="DM108" s="345"/>
      <c r="DN108" s="345"/>
      <c r="DO108" s="345"/>
      <c r="DP108" s="345"/>
      <c r="DQ108" s="345"/>
      <c r="DR108" s="345"/>
      <c r="DS108" s="345"/>
      <c r="DT108" s="345"/>
      <c r="DU108" s="345"/>
      <c r="DV108" s="345"/>
      <c r="DW108" s="345"/>
      <c r="DX108" s="345"/>
      <c r="DY108" s="345"/>
      <c r="DZ108" s="345"/>
      <c r="EA108" s="345"/>
    </row>
    <row r="109" spans="1:131" hidden="1">
      <c r="A109" s="345"/>
      <c r="B109" s="345"/>
      <c r="C109" s="345"/>
      <c r="D109" s="345"/>
      <c r="E109" s="345"/>
      <c r="F109" s="345"/>
      <c r="G109" s="345"/>
      <c r="H109" s="345"/>
      <c r="I109" s="345"/>
      <c r="J109" s="345"/>
      <c r="K109" s="345"/>
      <c r="L109" s="345"/>
      <c r="M109" s="345"/>
      <c r="N109" s="345"/>
      <c r="O109" s="345"/>
      <c r="P109" s="345"/>
      <c r="Q109" s="345"/>
      <c r="R109" s="345"/>
      <c r="S109" s="345"/>
      <c r="T109" s="345"/>
      <c r="U109" s="345"/>
      <c r="V109" s="345"/>
      <c r="W109" s="345"/>
      <c r="X109" s="345"/>
      <c r="Y109" s="345"/>
      <c r="Z109" s="345"/>
      <c r="AA109" s="345"/>
      <c r="AB109" s="345"/>
      <c r="AC109" s="345"/>
      <c r="AD109" s="345"/>
      <c r="AE109" s="345"/>
      <c r="AF109" s="345"/>
      <c r="AG109" s="345"/>
      <c r="AH109" s="345"/>
      <c r="AI109" s="345"/>
      <c r="AJ109" s="345"/>
      <c r="AK109" s="345"/>
      <c r="AL109" s="345"/>
      <c r="AM109" s="345"/>
      <c r="AN109" s="345"/>
      <c r="AO109" s="345"/>
      <c r="AP109" s="345"/>
      <c r="AQ109" s="345"/>
      <c r="AR109" s="345"/>
      <c r="AS109" s="345"/>
      <c r="AT109" s="345"/>
      <c r="AU109" s="345"/>
      <c r="AV109" s="345"/>
      <c r="AW109" s="345"/>
      <c r="AX109" s="345"/>
      <c r="AY109" s="345"/>
      <c r="AZ109" s="345"/>
      <c r="BA109" s="345"/>
      <c r="BB109" s="345"/>
      <c r="BC109" s="345"/>
      <c r="BD109" s="345"/>
      <c r="BE109" s="345"/>
      <c r="BF109" s="345"/>
      <c r="BG109" s="345"/>
      <c r="BH109" s="345"/>
      <c r="BI109" s="345"/>
      <c r="BJ109" s="345"/>
      <c r="BK109" s="345"/>
      <c r="BL109" s="345"/>
      <c r="BM109" s="345"/>
      <c r="BN109" s="345"/>
      <c r="BO109" s="345"/>
      <c r="BP109" s="345"/>
      <c r="BQ109" s="345"/>
      <c r="BR109" s="345"/>
      <c r="BS109" s="345"/>
      <c r="BT109" s="345"/>
      <c r="BU109" s="345"/>
      <c r="BV109" s="345"/>
      <c r="BW109" s="345"/>
      <c r="BX109" s="345"/>
      <c r="BY109" s="345"/>
      <c r="BZ109" s="345"/>
      <c r="CA109" s="345"/>
      <c r="CB109" s="345"/>
      <c r="CC109" s="345"/>
      <c r="CD109" s="345"/>
      <c r="CE109" s="345"/>
      <c r="CF109" s="345"/>
      <c r="CG109" s="345"/>
      <c r="CH109" s="345"/>
      <c r="CI109" s="345"/>
      <c r="CJ109" s="345"/>
      <c r="CK109" s="345"/>
      <c r="CL109" s="345"/>
      <c r="CM109" s="345"/>
      <c r="CN109" s="345"/>
      <c r="CO109" s="345"/>
      <c r="CP109" s="345"/>
      <c r="CQ109" s="345"/>
      <c r="CR109" s="345"/>
      <c r="CS109" s="345"/>
      <c r="CT109" s="345"/>
      <c r="CU109" s="345"/>
      <c r="CV109" s="345"/>
      <c r="CW109" s="345"/>
      <c r="CX109" s="345"/>
      <c r="CY109" s="345"/>
      <c r="CZ109" s="345"/>
      <c r="DA109" s="345"/>
      <c r="DB109" s="345"/>
      <c r="DC109" s="345"/>
      <c r="DD109" s="345"/>
      <c r="DE109" s="345"/>
      <c r="DF109" s="345"/>
      <c r="DG109" s="345"/>
      <c r="DH109" s="345"/>
      <c r="DI109" s="345"/>
      <c r="DJ109" s="345"/>
      <c r="DK109" s="345"/>
      <c r="DL109" s="345"/>
      <c r="DM109" s="345"/>
      <c r="DN109" s="345"/>
      <c r="DO109" s="345"/>
      <c r="DP109" s="345"/>
      <c r="DQ109" s="345"/>
      <c r="DR109" s="345"/>
      <c r="DS109" s="345"/>
      <c r="DT109" s="345"/>
      <c r="DU109" s="345"/>
      <c r="DV109" s="345"/>
      <c r="DW109" s="345"/>
      <c r="DX109" s="345"/>
      <c r="DY109" s="345"/>
      <c r="DZ109" s="345"/>
      <c r="EA109" s="345"/>
    </row>
    <row r="110" spans="1:131" hidden="1">
      <c r="A110" s="345"/>
      <c r="B110" s="345"/>
      <c r="C110" s="345"/>
      <c r="D110" s="345"/>
      <c r="E110" s="345"/>
      <c r="F110" s="345"/>
      <c r="G110" s="345"/>
      <c r="H110" s="345"/>
      <c r="I110" s="345"/>
      <c r="J110" s="345"/>
      <c r="K110" s="345"/>
      <c r="L110" s="345"/>
      <c r="M110" s="345"/>
      <c r="N110" s="345"/>
      <c r="O110" s="345"/>
      <c r="P110" s="345"/>
      <c r="Q110" s="345"/>
      <c r="R110" s="345"/>
      <c r="S110" s="345"/>
      <c r="T110" s="345"/>
      <c r="U110" s="345"/>
      <c r="V110" s="345"/>
      <c r="W110" s="345"/>
      <c r="X110" s="345"/>
      <c r="Y110" s="345"/>
      <c r="Z110" s="345"/>
      <c r="AA110" s="345"/>
      <c r="AB110" s="345"/>
      <c r="AC110" s="345"/>
      <c r="AD110" s="345"/>
      <c r="AE110" s="345"/>
      <c r="AF110" s="345"/>
      <c r="AG110" s="345"/>
      <c r="AH110" s="345"/>
      <c r="AI110" s="345"/>
      <c r="AJ110" s="345"/>
      <c r="AK110" s="345"/>
      <c r="AL110" s="345"/>
      <c r="AM110" s="345"/>
      <c r="AN110" s="345"/>
      <c r="AO110" s="345"/>
      <c r="AP110" s="345"/>
      <c r="AQ110" s="345"/>
      <c r="AR110" s="345"/>
      <c r="AS110" s="345"/>
      <c r="AT110" s="345"/>
      <c r="AU110" s="345"/>
      <c r="AV110" s="345"/>
      <c r="AW110" s="345"/>
      <c r="AX110" s="345"/>
      <c r="AY110" s="345"/>
      <c r="AZ110" s="345"/>
      <c r="BA110" s="345"/>
      <c r="BB110" s="345"/>
      <c r="BC110" s="345"/>
      <c r="BD110" s="345"/>
      <c r="BE110" s="345"/>
      <c r="BF110" s="345"/>
      <c r="BG110" s="345"/>
      <c r="BH110" s="345"/>
      <c r="BI110" s="345"/>
      <c r="BJ110" s="345"/>
      <c r="BK110" s="345"/>
      <c r="BL110" s="345"/>
      <c r="BM110" s="345"/>
      <c r="BN110" s="345"/>
      <c r="BO110" s="345"/>
      <c r="BP110" s="345"/>
      <c r="BQ110" s="345"/>
      <c r="BR110" s="345"/>
      <c r="BS110" s="345"/>
      <c r="BT110" s="345"/>
      <c r="BU110" s="345"/>
      <c r="BV110" s="345"/>
      <c r="BW110" s="345"/>
      <c r="BX110" s="345"/>
      <c r="BY110" s="345"/>
      <c r="BZ110" s="345"/>
      <c r="CA110" s="345"/>
      <c r="CB110" s="345"/>
      <c r="CC110" s="345"/>
      <c r="CD110" s="345"/>
      <c r="CE110" s="345"/>
      <c r="CF110" s="345"/>
      <c r="CG110" s="345"/>
      <c r="CH110" s="345"/>
      <c r="CI110" s="345"/>
      <c r="CJ110" s="345"/>
      <c r="CK110" s="345"/>
      <c r="CL110" s="345"/>
      <c r="CM110" s="345"/>
      <c r="CN110" s="345"/>
      <c r="CO110" s="345"/>
      <c r="CP110" s="345"/>
      <c r="CQ110" s="345"/>
      <c r="CR110" s="345"/>
      <c r="CS110" s="345"/>
      <c r="CT110" s="345"/>
      <c r="CU110" s="345"/>
      <c r="CV110" s="345"/>
      <c r="CW110" s="345"/>
      <c r="CX110" s="345"/>
      <c r="CY110" s="345"/>
      <c r="CZ110" s="345"/>
      <c r="DA110" s="345"/>
      <c r="DB110" s="345"/>
      <c r="DC110" s="345"/>
      <c r="DD110" s="345"/>
      <c r="DE110" s="345"/>
      <c r="DF110" s="345"/>
      <c r="DG110" s="345"/>
      <c r="DH110" s="345"/>
      <c r="DI110" s="345"/>
      <c r="DJ110" s="345"/>
      <c r="DK110" s="345"/>
      <c r="DL110" s="345"/>
      <c r="DM110" s="345"/>
      <c r="DN110" s="345"/>
      <c r="DO110" s="345"/>
      <c r="DP110" s="345"/>
      <c r="DQ110" s="345"/>
      <c r="DR110" s="345"/>
      <c r="DS110" s="345"/>
      <c r="DT110" s="345"/>
      <c r="DU110" s="345"/>
      <c r="DV110" s="345"/>
      <c r="DW110" s="345"/>
      <c r="DX110" s="345"/>
      <c r="DY110" s="345"/>
      <c r="DZ110" s="345"/>
      <c r="EA110" s="345"/>
    </row>
    <row r="111" spans="1:131" hidden="1">
      <c r="A111" s="345"/>
      <c r="B111" s="345"/>
      <c r="C111" s="345"/>
      <c r="D111" s="345"/>
      <c r="E111" s="345"/>
      <c r="F111" s="345"/>
      <c r="G111" s="345"/>
      <c r="H111" s="345"/>
      <c r="I111" s="345"/>
      <c r="J111" s="345"/>
      <c r="K111" s="345"/>
      <c r="L111" s="345"/>
      <c r="M111" s="345"/>
      <c r="N111" s="345"/>
      <c r="O111" s="345"/>
      <c r="P111" s="345"/>
      <c r="Q111" s="345"/>
      <c r="R111" s="345"/>
      <c r="S111" s="345"/>
      <c r="T111" s="345"/>
      <c r="U111" s="345"/>
      <c r="V111" s="345"/>
      <c r="W111" s="345"/>
      <c r="X111" s="345"/>
      <c r="Y111" s="345"/>
      <c r="Z111" s="345"/>
      <c r="AA111" s="345"/>
      <c r="AB111" s="345"/>
      <c r="AC111" s="345"/>
      <c r="AD111" s="345"/>
      <c r="AE111" s="345"/>
      <c r="AF111" s="345"/>
      <c r="AG111" s="345"/>
      <c r="AH111" s="345"/>
      <c r="AI111" s="345"/>
      <c r="AJ111" s="345"/>
      <c r="AK111" s="345"/>
      <c r="AL111" s="345"/>
      <c r="AM111" s="345"/>
      <c r="AN111" s="345"/>
      <c r="AO111" s="345"/>
      <c r="AP111" s="345"/>
      <c r="AQ111" s="345"/>
      <c r="AR111" s="345"/>
      <c r="AS111" s="345"/>
      <c r="AT111" s="345"/>
      <c r="AU111" s="345"/>
      <c r="AV111" s="345"/>
      <c r="AW111" s="345"/>
      <c r="AX111" s="345"/>
      <c r="AY111" s="345"/>
      <c r="AZ111" s="345"/>
      <c r="BA111" s="345"/>
      <c r="BB111" s="345"/>
      <c r="BC111" s="345"/>
      <c r="BD111" s="345"/>
      <c r="BE111" s="345"/>
      <c r="BF111" s="345"/>
      <c r="BG111" s="345"/>
      <c r="BH111" s="345"/>
      <c r="BI111" s="345"/>
      <c r="BJ111" s="345"/>
      <c r="BK111" s="345"/>
      <c r="BL111" s="345"/>
      <c r="BM111" s="345"/>
      <c r="BN111" s="345"/>
      <c r="BO111" s="345"/>
      <c r="BP111" s="345"/>
      <c r="BQ111" s="345"/>
      <c r="BR111" s="345"/>
      <c r="BS111" s="345"/>
      <c r="BT111" s="345"/>
      <c r="BU111" s="345"/>
      <c r="BV111" s="345"/>
      <c r="BW111" s="345"/>
      <c r="BX111" s="345"/>
      <c r="BY111" s="345"/>
      <c r="BZ111" s="345"/>
      <c r="CA111" s="345"/>
      <c r="CB111" s="345"/>
      <c r="CC111" s="345"/>
      <c r="CD111" s="345"/>
      <c r="CE111" s="345"/>
      <c r="CF111" s="345"/>
      <c r="CG111" s="345"/>
      <c r="CH111" s="345"/>
      <c r="CI111" s="345"/>
      <c r="CJ111" s="345"/>
      <c r="CK111" s="345"/>
      <c r="CL111" s="345"/>
      <c r="CM111" s="345"/>
      <c r="CN111" s="345"/>
      <c r="CO111" s="345"/>
      <c r="CP111" s="345"/>
      <c r="CQ111" s="345"/>
      <c r="CR111" s="345"/>
      <c r="CS111" s="345"/>
      <c r="CT111" s="345"/>
      <c r="CU111" s="345"/>
      <c r="CV111" s="345"/>
      <c r="CW111" s="345"/>
      <c r="CX111" s="345"/>
      <c r="CY111" s="345"/>
      <c r="CZ111" s="345"/>
      <c r="DA111" s="345"/>
      <c r="DB111" s="345"/>
      <c r="DC111" s="345"/>
      <c r="DD111" s="345"/>
      <c r="DE111" s="345"/>
      <c r="DF111" s="345"/>
      <c r="DG111" s="345"/>
      <c r="DH111" s="345"/>
      <c r="DI111" s="345"/>
      <c r="DJ111" s="345"/>
      <c r="DK111" s="345"/>
      <c r="DL111" s="345"/>
      <c r="DM111" s="345"/>
      <c r="DN111" s="345"/>
      <c r="DO111" s="345"/>
      <c r="DP111" s="345"/>
      <c r="DQ111" s="345"/>
      <c r="DR111" s="345"/>
      <c r="DS111" s="345"/>
      <c r="DT111" s="345"/>
      <c r="DU111" s="345"/>
      <c r="DV111" s="345"/>
      <c r="DW111" s="345"/>
      <c r="DX111" s="345"/>
      <c r="DY111" s="345"/>
      <c r="DZ111" s="345"/>
      <c r="EA111" s="345"/>
    </row>
    <row r="112" spans="1:131" hidden="1">
      <c r="A112" s="345"/>
      <c r="B112" s="345"/>
      <c r="C112" s="345"/>
      <c r="D112" s="345"/>
      <c r="E112" s="345"/>
      <c r="F112" s="345"/>
      <c r="G112" s="345"/>
      <c r="H112" s="345"/>
      <c r="I112" s="345"/>
      <c r="J112" s="345"/>
      <c r="K112" s="345"/>
      <c r="L112" s="345"/>
      <c r="M112" s="345"/>
      <c r="N112" s="345"/>
      <c r="O112" s="345"/>
      <c r="P112" s="345"/>
      <c r="Q112" s="345"/>
      <c r="R112" s="345"/>
      <c r="S112" s="345"/>
      <c r="T112" s="345"/>
      <c r="U112" s="345"/>
      <c r="V112" s="345"/>
      <c r="W112" s="345"/>
      <c r="X112" s="345"/>
      <c r="Y112" s="345"/>
      <c r="Z112" s="345"/>
      <c r="AA112" s="345"/>
      <c r="AB112" s="345"/>
      <c r="AC112" s="345"/>
      <c r="AD112" s="345"/>
      <c r="AE112" s="345"/>
      <c r="AF112" s="345"/>
      <c r="AG112" s="345"/>
      <c r="AH112" s="345"/>
      <c r="AI112" s="345"/>
      <c r="AJ112" s="345"/>
      <c r="AK112" s="345"/>
      <c r="AL112" s="345"/>
      <c r="AM112" s="345"/>
      <c r="AN112" s="345"/>
      <c r="AO112" s="345"/>
      <c r="AP112" s="345"/>
      <c r="AQ112" s="345"/>
      <c r="AR112" s="345"/>
      <c r="AS112" s="345"/>
      <c r="AT112" s="345"/>
      <c r="AU112" s="345"/>
      <c r="AV112" s="345"/>
      <c r="AW112" s="345"/>
      <c r="AX112" s="345"/>
      <c r="AY112" s="345"/>
      <c r="AZ112" s="345"/>
      <c r="BA112" s="345"/>
      <c r="BB112" s="345"/>
      <c r="BC112" s="345"/>
      <c r="BD112" s="345"/>
      <c r="BE112" s="345"/>
      <c r="BF112" s="345"/>
      <c r="BG112" s="345"/>
      <c r="BH112" s="345"/>
      <c r="BI112" s="345"/>
      <c r="BJ112" s="345"/>
      <c r="BK112" s="345"/>
      <c r="BL112" s="345"/>
      <c r="BM112" s="345"/>
      <c r="BN112" s="345"/>
      <c r="BO112" s="345"/>
      <c r="BP112" s="345"/>
      <c r="BQ112" s="345"/>
      <c r="BR112" s="345"/>
      <c r="BS112" s="345"/>
      <c r="BT112" s="345"/>
      <c r="BU112" s="345"/>
      <c r="BV112" s="345"/>
      <c r="BW112" s="345"/>
      <c r="BX112" s="345"/>
      <c r="BY112" s="345"/>
      <c r="BZ112" s="345"/>
      <c r="CA112" s="345"/>
      <c r="CB112" s="345"/>
      <c r="CC112" s="345"/>
      <c r="CD112" s="345"/>
      <c r="CE112" s="345"/>
      <c r="CF112" s="345"/>
      <c r="CG112" s="345"/>
      <c r="CH112" s="345"/>
      <c r="CI112" s="345"/>
      <c r="CJ112" s="345"/>
      <c r="CK112" s="345"/>
      <c r="CL112" s="345"/>
      <c r="CM112" s="345"/>
      <c r="CN112" s="345"/>
      <c r="CO112" s="345"/>
      <c r="CP112" s="345"/>
      <c r="CQ112" s="345"/>
      <c r="CR112" s="345"/>
      <c r="CS112" s="345"/>
      <c r="CT112" s="345"/>
      <c r="CU112" s="345"/>
      <c r="CV112" s="345"/>
      <c r="CW112" s="345"/>
      <c r="CX112" s="345"/>
      <c r="CY112" s="345"/>
      <c r="CZ112" s="345"/>
      <c r="DA112" s="345"/>
      <c r="DB112" s="345"/>
      <c r="DC112" s="345"/>
      <c r="DD112" s="345"/>
      <c r="DE112" s="345"/>
      <c r="DF112" s="345"/>
      <c r="DG112" s="345"/>
      <c r="DH112" s="345"/>
      <c r="DI112" s="345"/>
      <c r="DJ112" s="345"/>
      <c r="DK112" s="345"/>
      <c r="DL112" s="345"/>
      <c r="DM112" s="345"/>
      <c r="DN112" s="345"/>
      <c r="DO112" s="345"/>
      <c r="DP112" s="345"/>
      <c r="DQ112" s="345"/>
      <c r="DR112" s="345"/>
      <c r="DS112" s="345"/>
      <c r="DT112" s="345"/>
      <c r="DU112" s="345"/>
      <c r="DV112" s="345"/>
      <c r="DW112" s="345"/>
      <c r="DX112" s="345"/>
      <c r="DY112" s="345"/>
      <c r="DZ112" s="345"/>
      <c r="EA112" s="345"/>
    </row>
    <row r="113" spans="1:131" hidden="1">
      <c r="A113" s="345"/>
      <c r="B113" s="345"/>
      <c r="C113" s="345"/>
      <c r="D113" s="345"/>
      <c r="E113" s="345"/>
      <c r="F113" s="345"/>
      <c r="G113" s="345"/>
      <c r="H113" s="345"/>
      <c r="I113" s="345"/>
      <c r="J113" s="345"/>
      <c r="K113" s="345"/>
      <c r="L113" s="345"/>
      <c r="M113" s="345"/>
      <c r="N113" s="345"/>
      <c r="O113" s="345"/>
      <c r="P113" s="345"/>
      <c r="Q113" s="345"/>
      <c r="R113" s="345"/>
      <c r="S113" s="345"/>
      <c r="T113" s="345"/>
      <c r="U113" s="345"/>
      <c r="V113" s="345"/>
      <c r="W113" s="345"/>
      <c r="X113" s="345"/>
      <c r="Y113" s="345"/>
      <c r="Z113" s="345"/>
      <c r="AA113" s="345"/>
      <c r="AB113" s="345"/>
      <c r="AC113" s="345"/>
      <c r="AD113" s="345"/>
      <c r="AE113" s="345"/>
      <c r="AF113" s="345"/>
      <c r="AG113" s="345"/>
      <c r="AH113" s="345"/>
      <c r="AI113" s="345"/>
      <c r="AJ113" s="345"/>
      <c r="AK113" s="345"/>
      <c r="AL113" s="345"/>
      <c r="AM113" s="345"/>
      <c r="AN113" s="345"/>
      <c r="AO113" s="345"/>
      <c r="AP113" s="345"/>
      <c r="AQ113" s="345"/>
      <c r="AR113" s="345"/>
      <c r="AS113" s="345"/>
      <c r="AT113" s="345"/>
      <c r="AU113" s="345"/>
      <c r="AV113" s="345"/>
      <c r="AW113" s="345"/>
      <c r="AX113" s="345"/>
      <c r="AY113" s="345"/>
      <c r="AZ113" s="345"/>
      <c r="BA113" s="345"/>
      <c r="BB113" s="345"/>
      <c r="BC113" s="345"/>
      <c r="BD113" s="345"/>
      <c r="BE113" s="345"/>
      <c r="BF113" s="345"/>
      <c r="BG113" s="345"/>
      <c r="BH113" s="345"/>
      <c r="BI113" s="345"/>
      <c r="BJ113" s="345"/>
      <c r="BK113" s="345"/>
      <c r="BL113" s="345"/>
      <c r="BM113" s="345"/>
      <c r="BN113" s="345"/>
      <c r="BO113" s="345"/>
      <c r="BP113" s="345"/>
      <c r="BQ113" s="345"/>
      <c r="BR113" s="345"/>
      <c r="BS113" s="345"/>
      <c r="BT113" s="345"/>
      <c r="BU113" s="345"/>
      <c r="BV113" s="345"/>
      <c r="BW113" s="345"/>
      <c r="BX113" s="345"/>
      <c r="BY113" s="345"/>
      <c r="BZ113" s="345"/>
      <c r="CA113" s="345"/>
      <c r="CB113" s="345"/>
      <c r="CC113" s="345"/>
      <c r="CD113" s="345"/>
      <c r="CE113" s="345"/>
      <c r="CF113" s="345"/>
      <c r="CG113" s="345"/>
      <c r="CH113" s="345"/>
      <c r="CI113" s="345"/>
      <c r="CJ113" s="345"/>
      <c r="CK113" s="345"/>
      <c r="CL113" s="345"/>
      <c r="CM113" s="345"/>
      <c r="CN113" s="345"/>
      <c r="CO113" s="345"/>
      <c r="CP113" s="345"/>
      <c r="CQ113" s="345"/>
      <c r="CR113" s="345"/>
      <c r="CS113" s="345"/>
      <c r="CT113" s="345"/>
      <c r="CU113" s="345"/>
      <c r="CV113" s="345"/>
      <c r="CW113" s="345"/>
      <c r="CX113" s="345"/>
      <c r="CY113" s="345"/>
      <c r="CZ113" s="345"/>
      <c r="DA113" s="345"/>
      <c r="DB113" s="345"/>
      <c r="DC113" s="345"/>
      <c r="DD113" s="345"/>
      <c r="DE113" s="345"/>
      <c r="DF113" s="345"/>
      <c r="DG113" s="345"/>
      <c r="DH113" s="345"/>
      <c r="DI113" s="345"/>
      <c r="DJ113" s="345"/>
      <c r="DK113" s="345"/>
      <c r="DL113" s="345"/>
      <c r="DM113" s="345"/>
      <c r="DN113" s="345"/>
      <c r="DO113" s="345"/>
      <c r="DP113" s="345"/>
      <c r="DQ113" s="345"/>
      <c r="DR113" s="345"/>
      <c r="DS113" s="345"/>
      <c r="DT113" s="345"/>
      <c r="DU113" s="345"/>
      <c r="DV113" s="345"/>
      <c r="DW113" s="345"/>
      <c r="DX113" s="345"/>
      <c r="DY113" s="345"/>
      <c r="DZ113" s="345"/>
      <c r="EA113" s="345"/>
    </row>
    <row r="114" spans="1:131" hidden="1">
      <c r="A114" s="345"/>
      <c r="B114" s="345"/>
      <c r="C114" s="345"/>
      <c r="D114" s="345"/>
      <c r="E114" s="345"/>
      <c r="F114" s="345"/>
      <c r="G114" s="345"/>
      <c r="H114" s="345"/>
      <c r="I114" s="345"/>
      <c r="J114" s="345"/>
      <c r="K114" s="345"/>
      <c r="L114" s="345"/>
      <c r="M114" s="345"/>
      <c r="N114" s="345"/>
      <c r="O114" s="345"/>
      <c r="P114" s="345"/>
      <c r="Q114" s="345"/>
      <c r="R114" s="345"/>
      <c r="S114" s="345"/>
      <c r="T114" s="345"/>
      <c r="U114" s="345"/>
      <c r="V114" s="345"/>
      <c r="W114" s="345"/>
      <c r="X114" s="345"/>
      <c r="Y114" s="345"/>
      <c r="Z114" s="345"/>
      <c r="AA114" s="345"/>
      <c r="AB114" s="345"/>
      <c r="AC114" s="345"/>
      <c r="AD114" s="345"/>
      <c r="AE114" s="345"/>
      <c r="AF114" s="345"/>
      <c r="AG114" s="345"/>
      <c r="AH114" s="345"/>
      <c r="AI114" s="345"/>
      <c r="AJ114" s="345"/>
      <c r="AK114" s="345"/>
      <c r="AL114" s="345"/>
      <c r="AM114" s="345"/>
      <c r="AN114" s="345"/>
      <c r="AO114" s="345"/>
      <c r="AP114" s="345"/>
      <c r="AQ114" s="345"/>
      <c r="AR114" s="345"/>
      <c r="AS114" s="345"/>
      <c r="AT114" s="345"/>
      <c r="AU114" s="345"/>
      <c r="AV114" s="345"/>
      <c r="AW114" s="345"/>
      <c r="AX114" s="345"/>
      <c r="AY114" s="345"/>
      <c r="AZ114" s="345"/>
      <c r="BA114" s="345"/>
      <c r="BB114" s="345"/>
      <c r="BC114" s="345"/>
      <c r="BD114" s="345"/>
      <c r="BE114" s="345"/>
      <c r="BF114" s="345"/>
      <c r="BG114" s="345"/>
      <c r="BH114" s="345"/>
      <c r="BI114" s="345"/>
      <c r="BJ114" s="345"/>
      <c r="BK114" s="345"/>
      <c r="BL114" s="345"/>
      <c r="BM114" s="345"/>
      <c r="BN114" s="345"/>
      <c r="BO114" s="345"/>
      <c r="BP114" s="345"/>
      <c r="BQ114" s="345"/>
      <c r="BR114" s="345"/>
      <c r="BS114" s="345"/>
      <c r="BT114" s="345"/>
      <c r="BU114" s="345"/>
      <c r="BV114" s="345"/>
      <c r="BW114" s="345"/>
      <c r="BX114" s="345"/>
      <c r="BY114" s="345"/>
      <c r="BZ114" s="345"/>
      <c r="CA114" s="345"/>
      <c r="CB114" s="345"/>
      <c r="CC114" s="345"/>
      <c r="CD114" s="345"/>
      <c r="CE114" s="345"/>
      <c r="CF114" s="345"/>
      <c r="CG114" s="345"/>
      <c r="CH114" s="345"/>
      <c r="CI114" s="345"/>
      <c r="CJ114" s="345"/>
      <c r="CK114" s="345"/>
      <c r="CL114" s="345"/>
      <c r="CM114" s="345"/>
      <c r="CN114" s="345"/>
      <c r="CO114" s="345"/>
      <c r="CP114" s="345"/>
      <c r="CQ114" s="345"/>
      <c r="CR114" s="345"/>
      <c r="CS114" s="345"/>
      <c r="CT114" s="345"/>
      <c r="CU114" s="345"/>
      <c r="CV114" s="345"/>
      <c r="CW114" s="345"/>
      <c r="CX114" s="345"/>
      <c r="CY114" s="345"/>
      <c r="CZ114" s="345"/>
      <c r="DA114" s="345"/>
      <c r="DB114" s="345"/>
      <c r="DC114" s="345"/>
      <c r="DD114" s="345"/>
      <c r="DE114" s="345"/>
      <c r="DF114" s="345"/>
      <c r="DG114" s="345"/>
      <c r="DH114" s="345"/>
      <c r="DI114" s="345"/>
      <c r="DJ114" s="345"/>
      <c r="DK114" s="345"/>
      <c r="DL114" s="345"/>
      <c r="DM114" s="345"/>
      <c r="DN114" s="345"/>
      <c r="DO114" s="345"/>
      <c r="DP114" s="345"/>
      <c r="DQ114" s="345"/>
      <c r="DR114" s="345"/>
      <c r="DS114" s="345"/>
      <c r="DT114" s="345"/>
      <c r="DU114" s="345"/>
      <c r="DV114" s="345"/>
      <c r="DW114" s="345"/>
      <c r="DX114" s="345"/>
      <c r="DY114" s="345"/>
      <c r="DZ114" s="345"/>
      <c r="EA114" s="345"/>
    </row>
    <row r="115" spans="1:131" hidden="1">
      <c r="A115" s="345"/>
      <c r="B115" s="345"/>
      <c r="C115" s="345"/>
      <c r="D115" s="345"/>
      <c r="E115" s="345"/>
      <c r="F115" s="345"/>
      <c r="G115" s="345"/>
      <c r="H115" s="345"/>
      <c r="I115" s="345"/>
      <c r="J115" s="345"/>
      <c r="K115" s="345"/>
      <c r="L115" s="345"/>
      <c r="M115" s="345"/>
      <c r="N115" s="345"/>
      <c r="O115" s="345"/>
      <c r="P115" s="345"/>
      <c r="Q115" s="345"/>
      <c r="R115" s="345"/>
      <c r="S115" s="345"/>
      <c r="T115" s="345"/>
      <c r="U115" s="345"/>
      <c r="V115" s="345"/>
      <c r="W115" s="345"/>
      <c r="X115" s="345"/>
      <c r="Y115" s="345"/>
      <c r="Z115" s="345"/>
      <c r="AA115" s="345"/>
      <c r="AB115" s="345"/>
      <c r="AC115" s="345"/>
      <c r="AD115" s="345"/>
      <c r="AE115" s="345"/>
      <c r="AF115" s="345"/>
      <c r="AG115" s="345"/>
      <c r="AH115" s="345"/>
      <c r="AI115" s="345"/>
      <c r="AJ115" s="345"/>
      <c r="AK115" s="345"/>
      <c r="AL115" s="345"/>
      <c r="AM115" s="345"/>
      <c r="AN115" s="345"/>
      <c r="AO115" s="345"/>
      <c r="AP115" s="345"/>
      <c r="AQ115" s="345"/>
      <c r="AR115" s="345"/>
      <c r="AS115" s="345"/>
      <c r="AT115" s="345"/>
      <c r="AU115" s="345"/>
      <c r="AV115" s="345"/>
      <c r="AW115" s="345"/>
      <c r="AX115" s="345"/>
      <c r="AY115" s="345"/>
      <c r="AZ115" s="345"/>
      <c r="BA115" s="345"/>
      <c r="BB115" s="345"/>
      <c r="BC115" s="345"/>
      <c r="BD115" s="345"/>
      <c r="BE115" s="345"/>
      <c r="BF115" s="345"/>
      <c r="BG115" s="345"/>
      <c r="BH115" s="345"/>
      <c r="BI115" s="345"/>
      <c r="BJ115" s="345"/>
      <c r="BK115" s="345"/>
      <c r="BL115" s="345"/>
      <c r="BM115" s="345"/>
      <c r="BN115" s="345"/>
      <c r="BO115" s="345"/>
      <c r="BP115" s="345"/>
      <c r="BQ115" s="345"/>
      <c r="BR115" s="345"/>
      <c r="BS115" s="345"/>
      <c r="BT115" s="345"/>
      <c r="BU115" s="345"/>
      <c r="BV115" s="345"/>
      <c r="BW115" s="345"/>
      <c r="BX115" s="345"/>
      <c r="BY115" s="345"/>
      <c r="BZ115" s="345"/>
      <c r="CA115" s="345"/>
      <c r="CB115" s="345"/>
      <c r="CC115" s="345"/>
      <c r="CD115" s="345"/>
      <c r="CE115" s="345"/>
      <c r="CF115" s="345"/>
      <c r="CG115" s="345"/>
      <c r="CH115" s="345"/>
      <c r="CI115" s="345"/>
      <c r="CJ115" s="345"/>
      <c r="CK115" s="345"/>
      <c r="CL115" s="345"/>
      <c r="CM115" s="345"/>
      <c r="CN115" s="345"/>
      <c r="CO115" s="345"/>
      <c r="CP115" s="345"/>
      <c r="CQ115" s="345"/>
      <c r="CR115" s="345"/>
      <c r="CS115" s="345"/>
      <c r="CT115" s="345"/>
      <c r="CU115" s="345"/>
      <c r="CV115" s="345"/>
      <c r="CW115" s="345"/>
      <c r="CX115" s="345"/>
      <c r="CY115" s="345"/>
      <c r="CZ115" s="345"/>
      <c r="DA115" s="345"/>
      <c r="DB115" s="345"/>
      <c r="DC115" s="345"/>
      <c r="DD115" s="345"/>
      <c r="DE115" s="345"/>
      <c r="DF115" s="345"/>
      <c r="DG115" s="345"/>
      <c r="DH115" s="345"/>
      <c r="DI115" s="345"/>
      <c r="DJ115" s="345"/>
      <c r="DK115" s="345"/>
      <c r="DL115" s="345"/>
      <c r="DM115" s="345"/>
      <c r="DN115" s="345"/>
      <c r="DO115" s="345"/>
      <c r="DP115" s="345"/>
      <c r="DQ115" s="345"/>
      <c r="DR115" s="345"/>
      <c r="DS115" s="345"/>
      <c r="DT115" s="345"/>
      <c r="DU115" s="345"/>
      <c r="DV115" s="345"/>
      <c r="DW115" s="345"/>
      <c r="DX115" s="345"/>
      <c r="DY115" s="345"/>
      <c r="DZ115" s="345"/>
      <c r="EA115" s="345"/>
    </row>
    <row r="116" spans="1:131" hidden="1">
      <c r="A116" s="345"/>
      <c r="B116" s="345"/>
      <c r="C116" s="345"/>
      <c r="D116" s="345"/>
      <c r="E116" s="345"/>
      <c r="F116" s="345"/>
      <c r="G116" s="345"/>
      <c r="H116" s="345"/>
      <c r="I116" s="345"/>
      <c r="J116" s="345"/>
      <c r="K116" s="345"/>
      <c r="L116" s="345"/>
      <c r="M116" s="345"/>
      <c r="N116" s="345"/>
      <c r="O116" s="345"/>
      <c r="P116" s="345"/>
      <c r="Q116" s="345"/>
      <c r="R116" s="345"/>
      <c r="S116" s="345"/>
      <c r="T116" s="345"/>
      <c r="U116" s="345"/>
      <c r="V116" s="345"/>
      <c r="W116" s="345"/>
      <c r="X116" s="345"/>
      <c r="Y116" s="345"/>
      <c r="Z116" s="345"/>
      <c r="AA116" s="345"/>
      <c r="AB116" s="345"/>
      <c r="AC116" s="345"/>
      <c r="AD116" s="345"/>
      <c r="AE116" s="345"/>
      <c r="AF116" s="345"/>
      <c r="AG116" s="345"/>
      <c r="AH116" s="345"/>
      <c r="AI116" s="345"/>
      <c r="AJ116" s="345"/>
      <c r="AK116" s="345"/>
      <c r="AL116" s="345"/>
      <c r="AM116" s="345"/>
      <c r="AN116" s="345"/>
      <c r="AO116" s="345"/>
      <c r="AP116" s="345"/>
      <c r="AQ116" s="345"/>
      <c r="AR116" s="345"/>
      <c r="AS116" s="345"/>
      <c r="AT116" s="345"/>
      <c r="AU116" s="345"/>
      <c r="AV116" s="345"/>
      <c r="AW116" s="345"/>
      <c r="AX116" s="345"/>
      <c r="AY116" s="345"/>
      <c r="AZ116" s="345"/>
      <c r="BA116" s="345"/>
      <c r="BB116" s="345"/>
      <c r="BC116" s="345"/>
      <c r="BD116" s="345"/>
      <c r="BE116" s="345"/>
      <c r="BF116" s="345"/>
      <c r="BG116" s="345"/>
      <c r="BH116" s="345"/>
      <c r="BI116" s="345"/>
      <c r="BJ116" s="345"/>
      <c r="BK116" s="345"/>
      <c r="BL116" s="345"/>
      <c r="BM116" s="345"/>
      <c r="BN116" s="345"/>
      <c r="BO116" s="345"/>
      <c r="BP116" s="345"/>
      <c r="BQ116" s="345"/>
      <c r="BR116" s="345"/>
      <c r="BS116" s="345"/>
      <c r="BT116" s="345"/>
      <c r="BU116" s="345"/>
      <c r="BV116" s="345"/>
      <c r="BW116" s="345"/>
      <c r="BX116" s="345"/>
      <c r="BY116" s="345"/>
      <c r="BZ116" s="345"/>
      <c r="CA116" s="345"/>
      <c r="CB116" s="345"/>
      <c r="CC116" s="345"/>
      <c r="CD116" s="345"/>
      <c r="CE116" s="345"/>
      <c r="CF116" s="345"/>
      <c r="CG116" s="345"/>
      <c r="CH116" s="345"/>
      <c r="CI116" s="345"/>
      <c r="CJ116" s="345"/>
      <c r="CK116" s="345"/>
      <c r="CL116" s="345"/>
      <c r="CM116" s="345"/>
      <c r="CN116" s="345"/>
      <c r="CO116" s="345"/>
      <c r="CP116" s="345"/>
      <c r="CQ116" s="345"/>
      <c r="CR116" s="345"/>
      <c r="CS116" s="345"/>
      <c r="CT116" s="345"/>
      <c r="CU116" s="345"/>
      <c r="CV116" s="345"/>
      <c r="CW116" s="345"/>
      <c r="CX116" s="345"/>
      <c r="CY116" s="345"/>
      <c r="CZ116" s="345"/>
      <c r="DA116" s="345"/>
      <c r="DB116" s="345"/>
      <c r="DC116" s="345"/>
      <c r="DD116" s="345"/>
      <c r="DE116" s="345"/>
      <c r="DF116" s="345"/>
      <c r="DG116" s="345"/>
      <c r="DH116" s="345"/>
      <c r="DI116" s="345"/>
      <c r="DJ116" s="345"/>
      <c r="DK116" s="345"/>
      <c r="DL116" s="345"/>
      <c r="DM116" s="345"/>
      <c r="DN116" s="345"/>
      <c r="DO116" s="345"/>
      <c r="DP116" s="345"/>
      <c r="DQ116" s="345"/>
      <c r="DR116" s="345"/>
      <c r="DS116" s="345"/>
      <c r="DT116" s="345"/>
      <c r="DU116" s="345"/>
      <c r="DV116" s="345"/>
      <c r="DW116" s="345"/>
      <c r="DX116" s="345"/>
      <c r="DY116" s="345"/>
      <c r="DZ116" s="345"/>
      <c r="EA116" s="345"/>
    </row>
    <row r="117" spans="1:131" hidden="1">
      <c r="A117" s="345"/>
      <c r="B117" s="345"/>
      <c r="C117" s="345"/>
      <c r="D117" s="345"/>
      <c r="E117" s="345"/>
      <c r="F117" s="345"/>
      <c r="G117" s="345"/>
      <c r="H117" s="345"/>
      <c r="I117" s="345"/>
      <c r="J117" s="345"/>
      <c r="K117" s="345"/>
      <c r="L117" s="345"/>
      <c r="M117" s="345"/>
      <c r="N117" s="345"/>
      <c r="O117" s="345"/>
      <c r="P117" s="345"/>
      <c r="Q117" s="345"/>
      <c r="R117" s="345"/>
      <c r="S117" s="345"/>
      <c r="T117" s="345"/>
      <c r="U117" s="345"/>
      <c r="V117" s="345"/>
      <c r="W117" s="345"/>
      <c r="X117" s="345"/>
      <c r="Y117" s="345"/>
      <c r="Z117" s="345"/>
      <c r="AA117" s="345"/>
      <c r="AB117" s="345"/>
      <c r="AC117" s="345"/>
      <c r="AD117" s="345"/>
      <c r="AE117" s="345"/>
      <c r="AF117" s="345"/>
      <c r="AG117" s="345"/>
      <c r="AH117" s="345"/>
      <c r="AI117" s="345"/>
      <c r="AJ117" s="345"/>
      <c r="AK117" s="345"/>
      <c r="AL117" s="345"/>
      <c r="AM117" s="345"/>
      <c r="AN117" s="345"/>
      <c r="AO117" s="345"/>
      <c r="AP117" s="345"/>
      <c r="AQ117" s="345"/>
      <c r="AR117" s="345"/>
      <c r="AS117" s="345"/>
      <c r="AT117" s="345"/>
      <c r="AU117" s="345"/>
      <c r="AV117" s="345"/>
      <c r="AW117" s="345"/>
      <c r="AX117" s="345"/>
      <c r="AY117" s="345"/>
      <c r="AZ117" s="345"/>
      <c r="BA117" s="345"/>
      <c r="BB117" s="345"/>
      <c r="BC117" s="345"/>
      <c r="BD117" s="345"/>
      <c r="BE117" s="345"/>
      <c r="BF117" s="345"/>
      <c r="BG117" s="345"/>
      <c r="BH117" s="345"/>
      <c r="BI117" s="345"/>
      <c r="BJ117" s="345"/>
      <c r="BK117" s="345"/>
      <c r="BL117" s="345"/>
      <c r="BM117" s="345"/>
      <c r="BN117" s="345"/>
      <c r="BO117" s="345"/>
      <c r="BP117" s="345"/>
      <c r="BQ117" s="345"/>
      <c r="BR117" s="345"/>
      <c r="BS117" s="345"/>
      <c r="BT117" s="345"/>
      <c r="BU117" s="345"/>
      <c r="BV117" s="345"/>
      <c r="BW117" s="345"/>
      <c r="BX117" s="345"/>
      <c r="BY117" s="345"/>
      <c r="BZ117" s="345"/>
      <c r="CA117" s="345"/>
      <c r="CB117" s="345"/>
      <c r="CC117" s="345"/>
      <c r="CD117" s="345"/>
      <c r="CE117" s="345"/>
      <c r="CF117" s="345"/>
      <c r="CG117" s="345"/>
      <c r="CH117" s="345"/>
      <c r="CI117" s="345"/>
      <c r="CJ117" s="345"/>
      <c r="CK117" s="345"/>
      <c r="CL117" s="345"/>
      <c r="CM117" s="345"/>
      <c r="CN117" s="345"/>
      <c r="CO117" s="345"/>
      <c r="CP117" s="345"/>
      <c r="CQ117" s="345"/>
      <c r="CR117" s="345"/>
      <c r="CS117" s="345"/>
      <c r="CT117" s="345"/>
      <c r="CU117" s="345"/>
      <c r="CV117" s="345"/>
      <c r="CW117" s="345"/>
      <c r="CX117" s="345"/>
      <c r="CY117" s="345"/>
      <c r="CZ117" s="345"/>
      <c r="DA117" s="345"/>
      <c r="DB117" s="345"/>
      <c r="DC117" s="345"/>
      <c r="DD117" s="345"/>
      <c r="DE117" s="345"/>
      <c r="DF117" s="345"/>
      <c r="DG117" s="345"/>
      <c r="DH117" s="345"/>
      <c r="DI117" s="345"/>
      <c r="DJ117" s="345"/>
      <c r="DK117" s="345"/>
      <c r="DL117" s="345"/>
      <c r="DM117" s="345"/>
      <c r="DN117" s="345"/>
      <c r="DO117" s="345"/>
      <c r="DP117" s="345"/>
      <c r="DQ117" s="345"/>
      <c r="DR117" s="345"/>
      <c r="DS117" s="345"/>
      <c r="DT117" s="345"/>
      <c r="DU117" s="345"/>
      <c r="DV117" s="345"/>
      <c r="DW117" s="345"/>
      <c r="DX117" s="345"/>
      <c r="DY117" s="345"/>
      <c r="DZ117" s="345"/>
      <c r="EA117" s="345"/>
    </row>
    <row r="118" spans="1:131" hidden="1">
      <c r="A118" s="345"/>
      <c r="B118" s="345"/>
      <c r="C118" s="345"/>
      <c r="D118" s="345"/>
      <c r="E118" s="345"/>
      <c r="F118" s="345"/>
      <c r="G118" s="345"/>
      <c r="H118" s="345"/>
      <c r="I118" s="345"/>
      <c r="J118" s="345"/>
      <c r="K118" s="345"/>
      <c r="L118" s="345"/>
      <c r="M118" s="345"/>
      <c r="N118" s="345"/>
      <c r="O118" s="345"/>
      <c r="P118" s="345"/>
      <c r="Q118" s="345"/>
      <c r="R118" s="345"/>
      <c r="S118" s="345"/>
      <c r="T118" s="345"/>
      <c r="U118" s="345"/>
      <c r="V118" s="345"/>
      <c r="W118" s="345"/>
      <c r="X118" s="345"/>
      <c r="Y118" s="345"/>
      <c r="Z118" s="345"/>
      <c r="AA118" s="345"/>
      <c r="AB118" s="345"/>
      <c r="AC118" s="345"/>
      <c r="AD118" s="345"/>
      <c r="AE118" s="345"/>
      <c r="AF118" s="345"/>
      <c r="AG118" s="345"/>
      <c r="AH118" s="345"/>
      <c r="AI118" s="345"/>
      <c r="AJ118" s="345"/>
      <c r="AK118" s="345"/>
      <c r="AL118" s="345"/>
      <c r="AM118" s="345"/>
      <c r="AN118" s="345"/>
      <c r="AO118" s="345"/>
      <c r="AP118" s="345"/>
      <c r="AQ118" s="345"/>
      <c r="AR118" s="345"/>
      <c r="AS118" s="345"/>
      <c r="AT118" s="345"/>
      <c r="AU118" s="345"/>
      <c r="AV118" s="345"/>
      <c r="AW118" s="345"/>
      <c r="AX118" s="345"/>
      <c r="AY118" s="345"/>
      <c r="AZ118" s="345"/>
      <c r="BA118" s="345"/>
      <c r="BB118" s="345"/>
      <c r="BC118" s="345"/>
      <c r="BD118" s="345"/>
      <c r="BE118" s="345"/>
      <c r="BF118" s="345"/>
      <c r="BG118" s="345"/>
      <c r="BH118" s="345"/>
      <c r="BI118" s="345"/>
      <c r="BJ118" s="345"/>
      <c r="BK118" s="345"/>
      <c r="BL118" s="345"/>
      <c r="BM118" s="345"/>
      <c r="BN118" s="345"/>
      <c r="BO118" s="345"/>
      <c r="BP118" s="345"/>
      <c r="BQ118" s="345"/>
      <c r="BR118" s="345"/>
      <c r="BS118" s="345"/>
      <c r="BT118" s="345"/>
      <c r="BU118" s="345"/>
      <c r="BV118" s="345"/>
      <c r="BW118" s="345"/>
      <c r="BX118" s="345"/>
      <c r="BY118" s="345"/>
      <c r="BZ118" s="345"/>
      <c r="CA118" s="345"/>
      <c r="CB118" s="345"/>
      <c r="CC118" s="345"/>
      <c r="CD118" s="345"/>
      <c r="CE118" s="345"/>
      <c r="CF118" s="345"/>
      <c r="CG118" s="345"/>
      <c r="CH118" s="345"/>
      <c r="CI118" s="345"/>
      <c r="CJ118" s="345"/>
      <c r="CK118" s="345"/>
      <c r="CL118" s="345"/>
      <c r="CM118" s="345"/>
      <c r="CN118" s="345"/>
      <c r="CO118" s="345"/>
      <c r="CP118" s="345"/>
      <c r="CQ118" s="345"/>
      <c r="CR118" s="345"/>
      <c r="CS118" s="345"/>
      <c r="CT118" s="345"/>
      <c r="CU118" s="345"/>
      <c r="CV118" s="345"/>
      <c r="CW118" s="345"/>
      <c r="CX118" s="345"/>
      <c r="CY118" s="345"/>
      <c r="CZ118" s="345"/>
      <c r="DA118" s="345"/>
      <c r="DB118" s="345"/>
      <c r="DC118" s="345"/>
      <c r="DD118" s="345"/>
      <c r="DE118" s="345"/>
      <c r="DF118" s="345"/>
      <c r="DG118" s="345"/>
      <c r="DH118" s="345"/>
      <c r="DI118" s="345"/>
      <c r="DJ118" s="345"/>
      <c r="DK118" s="345"/>
      <c r="DL118" s="345"/>
      <c r="DM118" s="345"/>
      <c r="DN118" s="345"/>
      <c r="DO118" s="345"/>
      <c r="DP118" s="345"/>
      <c r="DQ118" s="345"/>
      <c r="DR118" s="345"/>
      <c r="DS118" s="345"/>
      <c r="DT118" s="345"/>
      <c r="DU118" s="345"/>
      <c r="DV118" s="345"/>
      <c r="DW118" s="345"/>
      <c r="DX118" s="345"/>
      <c r="DY118" s="345"/>
      <c r="DZ118" s="345"/>
      <c r="EA118" s="345"/>
    </row>
    <row r="119" spans="1:131" hidden="1">
      <c r="A119" s="345"/>
      <c r="B119" s="345"/>
      <c r="C119" s="345"/>
      <c r="D119" s="345"/>
      <c r="E119" s="345"/>
      <c r="F119" s="345"/>
      <c r="G119" s="345"/>
      <c r="H119" s="345"/>
      <c r="I119" s="345"/>
      <c r="J119" s="345"/>
      <c r="K119" s="345"/>
      <c r="L119" s="345"/>
      <c r="M119" s="345"/>
      <c r="N119" s="345"/>
      <c r="O119" s="345"/>
      <c r="P119" s="345"/>
      <c r="Q119" s="345"/>
      <c r="R119" s="345"/>
      <c r="S119" s="345"/>
      <c r="T119" s="345"/>
      <c r="U119" s="345"/>
      <c r="V119" s="345"/>
      <c r="W119" s="345"/>
      <c r="X119" s="345"/>
      <c r="Y119" s="345"/>
      <c r="Z119" s="345"/>
      <c r="AA119" s="345"/>
      <c r="AB119" s="345"/>
      <c r="AC119" s="345"/>
      <c r="AD119" s="345"/>
      <c r="AE119" s="345"/>
      <c r="AF119" s="345"/>
      <c r="AG119" s="345"/>
      <c r="AH119" s="345"/>
      <c r="AI119" s="345"/>
      <c r="AJ119" s="345"/>
      <c r="AK119" s="345"/>
      <c r="AL119" s="345"/>
      <c r="AM119" s="345"/>
      <c r="AN119" s="345"/>
      <c r="AO119" s="345"/>
      <c r="AP119" s="345"/>
      <c r="AQ119" s="345"/>
      <c r="AR119" s="345"/>
      <c r="AS119" s="345"/>
      <c r="AT119" s="345"/>
      <c r="AU119" s="345"/>
      <c r="AV119" s="345"/>
      <c r="AW119" s="345"/>
      <c r="AX119" s="345"/>
      <c r="AY119" s="345"/>
      <c r="AZ119" s="345"/>
      <c r="BA119" s="345"/>
      <c r="BB119" s="345"/>
      <c r="BC119" s="345"/>
      <c r="BD119" s="345"/>
      <c r="BE119" s="345"/>
      <c r="BF119" s="345"/>
      <c r="BG119" s="345"/>
      <c r="BH119" s="345"/>
      <c r="BI119" s="345"/>
      <c r="BJ119" s="345"/>
      <c r="BK119" s="345"/>
      <c r="BL119" s="345"/>
      <c r="BM119" s="345"/>
      <c r="BN119" s="345"/>
      <c r="BO119" s="345"/>
      <c r="BP119" s="345"/>
      <c r="BQ119" s="345"/>
      <c r="BR119" s="345"/>
      <c r="BS119" s="345"/>
      <c r="BT119" s="345"/>
      <c r="BU119" s="345"/>
      <c r="BV119" s="345"/>
      <c r="BW119" s="345"/>
      <c r="BX119" s="345"/>
      <c r="BY119" s="345"/>
      <c r="BZ119" s="345"/>
      <c r="CA119" s="345"/>
      <c r="CB119" s="345"/>
      <c r="CC119" s="345"/>
      <c r="CD119" s="345"/>
      <c r="CE119" s="345"/>
      <c r="CF119" s="345"/>
      <c r="CG119" s="345"/>
      <c r="CH119" s="345"/>
      <c r="CI119" s="345"/>
      <c r="CJ119" s="345"/>
      <c r="CK119" s="345"/>
      <c r="CL119" s="345"/>
      <c r="CM119" s="345"/>
      <c r="CN119" s="345"/>
      <c r="CO119" s="345"/>
      <c r="CP119" s="345"/>
      <c r="CQ119" s="345"/>
      <c r="CR119" s="345"/>
      <c r="CS119" s="345"/>
      <c r="CT119" s="345"/>
      <c r="CU119" s="345"/>
      <c r="CV119" s="345"/>
      <c r="CW119" s="345"/>
      <c r="CX119" s="345"/>
      <c r="CY119" s="345"/>
      <c r="CZ119" s="345"/>
      <c r="DA119" s="345"/>
      <c r="DB119" s="345"/>
      <c r="DC119" s="345"/>
      <c r="DD119" s="345"/>
      <c r="DE119" s="345"/>
      <c r="DF119" s="345"/>
      <c r="DG119" s="345"/>
      <c r="DH119" s="345"/>
      <c r="DI119" s="345"/>
      <c r="DJ119" s="345"/>
      <c r="DK119" s="345"/>
      <c r="DL119" s="345"/>
      <c r="DM119" s="345"/>
      <c r="DN119" s="345"/>
      <c r="DO119" s="345"/>
      <c r="DP119" s="345"/>
      <c r="DQ119" s="345"/>
      <c r="DR119" s="345"/>
      <c r="DS119" s="345"/>
      <c r="DT119" s="345"/>
      <c r="DU119" s="345"/>
      <c r="DV119" s="345"/>
      <c r="DW119" s="345"/>
      <c r="DX119" s="345"/>
      <c r="DY119" s="345"/>
      <c r="DZ119" s="345"/>
      <c r="EA119" s="345"/>
    </row>
    <row r="120" spans="1:131" hidden="1">
      <c r="A120" s="345"/>
      <c r="B120" s="345"/>
      <c r="C120" s="345"/>
      <c r="D120" s="345"/>
      <c r="E120" s="345"/>
      <c r="F120" s="345"/>
      <c r="G120" s="345"/>
      <c r="H120" s="345"/>
      <c r="I120" s="345"/>
      <c r="J120" s="345"/>
      <c r="K120" s="345"/>
      <c r="L120" s="345"/>
      <c r="M120" s="345"/>
      <c r="N120" s="345"/>
      <c r="O120" s="345"/>
      <c r="P120" s="345"/>
      <c r="Q120" s="345"/>
      <c r="R120" s="345"/>
      <c r="S120" s="345"/>
      <c r="T120" s="345"/>
      <c r="U120" s="345"/>
      <c r="V120" s="345"/>
      <c r="W120" s="345"/>
      <c r="X120" s="345"/>
      <c r="Y120" s="345"/>
      <c r="Z120" s="345"/>
      <c r="AA120" s="345"/>
      <c r="AB120" s="345"/>
      <c r="AC120" s="345"/>
      <c r="AD120" s="345"/>
      <c r="AE120" s="345"/>
      <c r="AF120" s="345"/>
      <c r="AG120" s="345"/>
      <c r="AH120" s="345"/>
      <c r="AI120" s="345"/>
      <c r="AJ120" s="345"/>
      <c r="AK120" s="345"/>
      <c r="AL120" s="345"/>
      <c r="AM120" s="345"/>
      <c r="AN120" s="345"/>
      <c r="AO120" s="345"/>
      <c r="AP120" s="345"/>
      <c r="AQ120" s="345"/>
      <c r="AR120" s="345"/>
      <c r="AS120" s="345"/>
      <c r="AT120" s="345"/>
      <c r="AU120" s="345"/>
      <c r="AV120" s="345"/>
      <c r="AW120" s="345"/>
      <c r="AX120" s="345"/>
      <c r="AY120" s="345"/>
      <c r="AZ120" s="345"/>
      <c r="BA120" s="345"/>
      <c r="BB120" s="345"/>
      <c r="BC120" s="345"/>
      <c r="BD120" s="345"/>
      <c r="BE120" s="345"/>
      <c r="BF120" s="345"/>
      <c r="BG120" s="345"/>
      <c r="BH120" s="345"/>
      <c r="BI120" s="345"/>
      <c r="BJ120" s="345"/>
      <c r="BK120" s="345"/>
      <c r="BL120" s="345"/>
      <c r="BM120" s="345"/>
      <c r="BN120" s="345"/>
      <c r="BO120" s="345"/>
      <c r="BP120" s="345"/>
      <c r="BQ120" s="345"/>
      <c r="BR120" s="345"/>
      <c r="BS120" s="345"/>
      <c r="BT120" s="345"/>
      <c r="BU120" s="345"/>
      <c r="BV120" s="345"/>
      <c r="BW120" s="345"/>
      <c r="BX120" s="345"/>
      <c r="BY120" s="345"/>
      <c r="BZ120" s="345"/>
      <c r="CA120" s="345"/>
      <c r="CB120" s="345"/>
      <c r="CC120" s="345"/>
      <c r="CD120" s="345"/>
      <c r="CE120" s="345"/>
      <c r="CF120" s="345"/>
      <c r="CG120" s="345"/>
      <c r="CH120" s="345"/>
      <c r="CI120" s="345"/>
      <c r="CJ120" s="345"/>
      <c r="CK120" s="345"/>
      <c r="CL120" s="345"/>
      <c r="CM120" s="345"/>
      <c r="CN120" s="345"/>
      <c r="CO120" s="345"/>
      <c r="CP120" s="345"/>
      <c r="CQ120" s="345"/>
      <c r="CR120" s="345"/>
      <c r="CS120" s="345"/>
      <c r="CT120" s="345"/>
      <c r="CU120" s="345"/>
      <c r="CV120" s="345"/>
      <c r="CW120" s="345"/>
      <c r="CX120" s="345"/>
      <c r="CY120" s="345"/>
      <c r="CZ120" s="345"/>
      <c r="DA120" s="345"/>
      <c r="DB120" s="345"/>
      <c r="DC120" s="345"/>
      <c r="DD120" s="345"/>
      <c r="DE120" s="345"/>
      <c r="DF120" s="345"/>
      <c r="DG120" s="345"/>
      <c r="DH120" s="345"/>
      <c r="DI120" s="345"/>
      <c r="DJ120" s="345"/>
      <c r="DK120" s="345"/>
      <c r="DL120" s="345"/>
      <c r="DM120" s="345"/>
      <c r="DN120" s="345"/>
      <c r="DO120" s="345"/>
      <c r="DP120" s="345"/>
      <c r="DQ120" s="345"/>
      <c r="DR120" s="345"/>
      <c r="DS120" s="345"/>
      <c r="DT120" s="345"/>
      <c r="DU120" s="345"/>
      <c r="DV120" s="345"/>
      <c r="DW120" s="345"/>
      <c r="DX120" s="345"/>
      <c r="DY120" s="345"/>
      <c r="DZ120" s="345"/>
      <c r="EA120" s="345"/>
    </row>
    <row r="121" spans="1:131" hidden="1">
      <c r="A121" s="345"/>
      <c r="B121" s="345"/>
      <c r="C121" s="345"/>
      <c r="D121" s="345"/>
      <c r="E121" s="345"/>
      <c r="F121" s="345"/>
      <c r="G121" s="345"/>
      <c r="H121" s="345"/>
      <c r="I121" s="345"/>
      <c r="J121" s="345"/>
      <c r="K121" s="345"/>
      <c r="L121" s="345"/>
      <c r="M121" s="345"/>
      <c r="N121" s="345"/>
      <c r="O121" s="345"/>
      <c r="P121" s="345"/>
      <c r="Q121" s="345"/>
      <c r="R121" s="345"/>
      <c r="S121" s="345"/>
      <c r="T121" s="345"/>
      <c r="U121" s="345"/>
      <c r="V121" s="345"/>
      <c r="W121" s="345"/>
      <c r="X121" s="345"/>
      <c r="Y121" s="345"/>
      <c r="Z121" s="345"/>
      <c r="AA121" s="345"/>
      <c r="AB121" s="345"/>
      <c r="AC121" s="345"/>
      <c r="AD121" s="345"/>
      <c r="AE121" s="345"/>
      <c r="AF121" s="345"/>
      <c r="AG121" s="345"/>
      <c r="AH121" s="345"/>
      <c r="AI121" s="345"/>
      <c r="AJ121" s="345"/>
      <c r="AK121" s="345"/>
      <c r="AL121" s="345"/>
      <c r="AM121" s="345"/>
      <c r="AN121" s="345"/>
      <c r="AO121" s="345"/>
      <c r="AP121" s="345"/>
      <c r="AQ121" s="345"/>
      <c r="AR121" s="345"/>
      <c r="AS121" s="345"/>
      <c r="AT121" s="345"/>
      <c r="AU121" s="345"/>
      <c r="AV121" s="345"/>
      <c r="AW121" s="345"/>
      <c r="AX121" s="345"/>
      <c r="AY121" s="345"/>
      <c r="AZ121" s="345"/>
      <c r="BA121" s="345"/>
      <c r="BB121" s="345"/>
      <c r="BC121" s="345"/>
      <c r="BD121" s="345"/>
      <c r="BE121" s="345"/>
      <c r="BF121" s="345"/>
      <c r="BG121" s="345"/>
      <c r="BH121" s="345"/>
      <c r="BI121" s="345"/>
      <c r="BJ121" s="345"/>
      <c r="BK121" s="345"/>
      <c r="BL121" s="345"/>
      <c r="BM121" s="345"/>
      <c r="BN121" s="345"/>
      <c r="BO121" s="345"/>
      <c r="BP121" s="345"/>
      <c r="BQ121" s="345"/>
      <c r="BR121" s="345"/>
      <c r="BS121" s="345"/>
      <c r="BT121" s="345"/>
      <c r="BU121" s="345"/>
      <c r="BV121" s="345"/>
      <c r="BW121" s="345"/>
      <c r="BX121" s="345"/>
      <c r="BY121" s="345"/>
      <c r="BZ121" s="345"/>
      <c r="CA121" s="345"/>
      <c r="CB121" s="345"/>
      <c r="CC121" s="345"/>
      <c r="CD121" s="345"/>
      <c r="CE121" s="345"/>
      <c r="CF121" s="345"/>
      <c r="CG121" s="345"/>
      <c r="CH121" s="345"/>
      <c r="CI121" s="345"/>
      <c r="CJ121" s="345"/>
      <c r="CK121" s="345"/>
      <c r="CL121" s="345"/>
      <c r="CM121" s="345"/>
      <c r="CN121" s="345"/>
      <c r="CO121" s="345"/>
      <c r="CP121" s="345"/>
      <c r="CQ121" s="345"/>
      <c r="CR121" s="345"/>
      <c r="CS121" s="345"/>
      <c r="CT121" s="345"/>
      <c r="CU121" s="345"/>
      <c r="CV121" s="345"/>
      <c r="CW121" s="345"/>
      <c r="CX121" s="345"/>
      <c r="CY121" s="345"/>
      <c r="CZ121" s="345"/>
      <c r="DA121" s="345"/>
      <c r="DB121" s="345"/>
      <c r="DC121" s="345"/>
      <c r="DD121" s="345"/>
      <c r="DE121" s="345"/>
      <c r="DF121" s="345"/>
      <c r="DG121" s="345"/>
      <c r="DH121" s="345"/>
      <c r="DI121" s="345"/>
      <c r="DJ121" s="345"/>
      <c r="DK121" s="345"/>
      <c r="DL121" s="345"/>
      <c r="DM121" s="345"/>
      <c r="DN121" s="345"/>
      <c r="DO121" s="345"/>
      <c r="DP121" s="345"/>
      <c r="DQ121" s="345"/>
      <c r="DR121" s="345"/>
      <c r="DS121" s="345"/>
      <c r="DT121" s="345"/>
      <c r="DU121" s="345"/>
      <c r="DV121" s="345"/>
      <c r="DW121" s="345"/>
      <c r="DX121" s="345"/>
      <c r="DY121" s="345"/>
      <c r="DZ121" s="345"/>
      <c r="EA121" s="345"/>
    </row>
    <row r="122" spans="1:131" hidden="1">
      <c r="A122" s="345"/>
      <c r="B122" s="345"/>
      <c r="C122" s="345"/>
      <c r="D122" s="345"/>
      <c r="E122" s="345"/>
      <c r="F122" s="345"/>
      <c r="G122" s="345"/>
      <c r="H122" s="345"/>
      <c r="I122" s="345"/>
      <c r="J122" s="345"/>
      <c r="K122" s="345"/>
      <c r="L122" s="345"/>
      <c r="M122" s="345"/>
      <c r="N122" s="345"/>
      <c r="O122" s="345"/>
      <c r="P122" s="345"/>
      <c r="Q122" s="345"/>
      <c r="R122" s="345"/>
      <c r="S122" s="345"/>
      <c r="T122" s="345"/>
      <c r="U122" s="345"/>
      <c r="V122" s="345"/>
      <c r="W122" s="345"/>
      <c r="X122" s="345"/>
      <c r="Y122" s="345"/>
      <c r="Z122" s="345"/>
      <c r="AA122" s="345"/>
      <c r="AB122" s="345"/>
      <c r="AC122" s="345"/>
      <c r="AD122" s="345"/>
      <c r="AE122" s="345"/>
      <c r="AF122" s="345"/>
      <c r="AG122" s="345"/>
      <c r="AH122" s="345"/>
      <c r="AI122" s="345"/>
      <c r="AJ122" s="345"/>
      <c r="AK122" s="345"/>
      <c r="AL122" s="345"/>
      <c r="AM122" s="345"/>
      <c r="AN122" s="345"/>
      <c r="AO122" s="345"/>
      <c r="AP122" s="345"/>
      <c r="AQ122" s="345"/>
      <c r="AR122" s="345"/>
      <c r="AS122" s="345"/>
      <c r="AT122" s="345"/>
      <c r="AU122" s="345"/>
      <c r="AV122" s="345"/>
      <c r="AW122" s="345"/>
      <c r="AX122" s="345"/>
      <c r="AY122" s="345"/>
      <c r="AZ122" s="345"/>
      <c r="BA122" s="345"/>
      <c r="BB122" s="345"/>
      <c r="BC122" s="345"/>
      <c r="BD122" s="345"/>
      <c r="BE122" s="345"/>
      <c r="BF122" s="345"/>
      <c r="BG122" s="345"/>
      <c r="BH122" s="345"/>
      <c r="BI122" s="345"/>
      <c r="BJ122" s="345"/>
      <c r="BK122" s="345"/>
      <c r="BL122" s="345"/>
      <c r="BM122" s="345"/>
      <c r="BN122" s="345"/>
      <c r="BO122" s="345"/>
      <c r="BP122" s="345"/>
      <c r="BQ122" s="345"/>
      <c r="BR122" s="345"/>
      <c r="BS122" s="345"/>
      <c r="BT122" s="345"/>
      <c r="BU122" s="345"/>
      <c r="BV122" s="345"/>
      <c r="BW122" s="345"/>
      <c r="BX122" s="345"/>
      <c r="BY122" s="345"/>
      <c r="BZ122" s="345"/>
      <c r="CA122" s="345"/>
      <c r="CB122" s="345"/>
      <c r="CC122" s="345"/>
      <c r="CD122" s="345"/>
      <c r="CE122" s="345"/>
      <c r="CF122" s="345"/>
      <c r="CG122" s="345"/>
      <c r="CH122" s="345"/>
      <c r="CI122" s="345"/>
      <c r="CJ122" s="345"/>
      <c r="CK122" s="345"/>
      <c r="CL122" s="345"/>
      <c r="CM122" s="345"/>
      <c r="CN122" s="345"/>
      <c r="CO122" s="345"/>
      <c r="CP122" s="345"/>
      <c r="CQ122" s="345"/>
      <c r="CR122" s="345"/>
      <c r="CS122" s="345"/>
      <c r="CT122" s="345"/>
      <c r="CU122" s="345"/>
      <c r="CV122" s="345"/>
      <c r="CW122" s="345"/>
      <c r="CX122" s="345"/>
      <c r="CY122" s="345"/>
      <c r="CZ122" s="345"/>
      <c r="DA122" s="345"/>
      <c r="DB122" s="345"/>
      <c r="DC122" s="345"/>
      <c r="DD122" s="345"/>
      <c r="DE122" s="345"/>
      <c r="DF122" s="345"/>
      <c r="DG122" s="345"/>
      <c r="DH122" s="345"/>
      <c r="DI122" s="345"/>
      <c r="DJ122" s="345"/>
      <c r="DK122" s="345"/>
      <c r="DL122" s="345"/>
      <c r="DM122" s="345"/>
      <c r="DN122" s="345"/>
      <c r="DO122" s="345"/>
      <c r="DP122" s="345"/>
      <c r="DQ122" s="345"/>
      <c r="DR122" s="345"/>
      <c r="DS122" s="345"/>
      <c r="DT122" s="345"/>
      <c r="DU122" s="345"/>
      <c r="DV122" s="345"/>
      <c r="DW122" s="345"/>
      <c r="DX122" s="345"/>
      <c r="DY122" s="345"/>
      <c r="DZ122" s="345"/>
      <c r="EA122" s="345"/>
    </row>
    <row r="123" spans="1:131" hidden="1">
      <c r="A123" s="345"/>
      <c r="B123" s="345"/>
      <c r="C123" s="345"/>
      <c r="D123" s="345"/>
      <c r="E123" s="345"/>
      <c r="F123" s="345"/>
      <c r="G123" s="345"/>
      <c r="H123" s="345"/>
      <c r="I123" s="345"/>
      <c r="J123" s="345"/>
      <c r="K123" s="345"/>
      <c r="L123" s="345"/>
      <c r="M123" s="345"/>
      <c r="N123" s="345"/>
      <c r="O123" s="345"/>
      <c r="P123" s="345"/>
      <c r="Q123" s="345"/>
      <c r="R123" s="345"/>
      <c r="S123" s="345"/>
      <c r="T123" s="345"/>
      <c r="U123" s="345"/>
      <c r="V123" s="345"/>
      <c r="W123" s="345"/>
      <c r="X123" s="345"/>
      <c r="Y123" s="345"/>
      <c r="Z123" s="345"/>
      <c r="AA123" s="345"/>
      <c r="AB123" s="345"/>
      <c r="AC123" s="345"/>
      <c r="AD123" s="345"/>
      <c r="AE123" s="345"/>
      <c r="AF123" s="345"/>
      <c r="AG123" s="345"/>
      <c r="AH123" s="345"/>
      <c r="AI123" s="345"/>
      <c r="AJ123" s="345"/>
      <c r="AK123" s="345"/>
      <c r="AL123" s="345"/>
      <c r="AM123" s="345"/>
      <c r="AN123" s="345"/>
      <c r="AO123" s="345"/>
      <c r="AP123" s="345"/>
      <c r="AQ123" s="345"/>
      <c r="AR123" s="345"/>
      <c r="AS123" s="345"/>
      <c r="AT123" s="345"/>
      <c r="AU123" s="345"/>
      <c r="AV123" s="345"/>
      <c r="AW123" s="345"/>
      <c r="AX123" s="345"/>
      <c r="AY123" s="345"/>
      <c r="AZ123" s="345"/>
      <c r="BA123" s="345"/>
      <c r="BB123" s="345"/>
      <c r="BC123" s="345"/>
      <c r="BD123" s="345"/>
      <c r="BE123" s="345"/>
      <c r="BF123" s="345"/>
      <c r="BG123" s="345"/>
      <c r="BH123" s="345"/>
      <c r="BI123" s="345"/>
      <c r="BJ123" s="345"/>
      <c r="BK123" s="345"/>
      <c r="BL123" s="345"/>
      <c r="BM123" s="345"/>
      <c r="BN123" s="345"/>
      <c r="BO123" s="345"/>
      <c r="BP123" s="345"/>
      <c r="BQ123" s="345"/>
      <c r="BR123" s="345"/>
      <c r="BS123" s="345"/>
      <c r="BT123" s="345"/>
      <c r="BU123" s="345"/>
      <c r="BV123" s="345"/>
      <c r="BW123" s="345"/>
      <c r="BX123" s="345"/>
      <c r="BY123" s="345"/>
      <c r="BZ123" s="345"/>
      <c r="CA123" s="345"/>
      <c r="CB123" s="345"/>
      <c r="CC123" s="345"/>
      <c r="CD123" s="345"/>
      <c r="CE123" s="345"/>
      <c r="CF123" s="345"/>
      <c r="CG123" s="345"/>
      <c r="CH123" s="345"/>
      <c r="CI123" s="345"/>
      <c r="CJ123" s="345"/>
      <c r="CK123" s="345"/>
      <c r="CL123" s="345"/>
      <c r="CM123" s="345"/>
      <c r="CN123" s="345"/>
      <c r="CO123" s="345"/>
      <c r="CP123" s="345"/>
      <c r="CQ123" s="345"/>
      <c r="CR123" s="345"/>
      <c r="CS123" s="345"/>
      <c r="CT123" s="345"/>
      <c r="CU123" s="345"/>
      <c r="CV123" s="345"/>
      <c r="CW123" s="345"/>
      <c r="CX123" s="345"/>
      <c r="CY123" s="345"/>
      <c r="CZ123" s="345"/>
      <c r="DA123" s="345"/>
      <c r="DB123" s="345"/>
      <c r="DC123" s="345"/>
      <c r="DD123" s="345"/>
      <c r="DE123" s="345"/>
      <c r="DF123" s="345"/>
      <c r="DG123" s="345"/>
      <c r="DH123" s="345"/>
      <c r="DI123" s="345"/>
      <c r="DJ123" s="345"/>
      <c r="DK123" s="345"/>
      <c r="DL123" s="345"/>
      <c r="DM123" s="345"/>
      <c r="DN123" s="345"/>
      <c r="DO123" s="345"/>
      <c r="DP123" s="345"/>
      <c r="DQ123" s="345"/>
      <c r="DR123" s="345"/>
      <c r="DS123" s="345"/>
      <c r="DT123" s="345"/>
      <c r="DU123" s="345"/>
      <c r="DV123" s="345"/>
      <c r="DW123" s="345"/>
      <c r="DX123" s="345"/>
      <c r="DY123" s="345"/>
      <c r="DZ123" s="345"/>
      <c r="EA123" s="345"/>
    </row>
    <row r="124" spans="1:131" hidden="1">
      <c r="A124" s="345"/>
      <c r="B124" s="345"/>
      <c r="C124" s="345"/>
      <c r="D124" s="345"/>
      <c r="E124" s="345"/>
      <c r="F124" s="345"/>
      <c r="G124" s="345"/>
      <c r="H124" s="345"/>
      <c r="I124" s="345"/>
      <c r="J124" s="345"/>
      <c r="K124" s="345"/>
      <c r="L124" s="345"/>
      <c r="M124" s="345"/>
      <c r="N124" s="345"/>
      <c r="O124" s="345"/>
      <c r="P124" s="345"/>
      <c r="Q124" s="345"/>
      <c r="R124" s="345"/>
      <c r="S124" s="345"/>
      <c r="T124" s="345"/>
      <c r="U124" s="345"/>
      <c r="V124" s="345"/>
      <c r="W124" s="345"/>
      <c r="X124" s="345"/>
      <c r="Y124" s="345"/>
      <c r="Z124" s="345"/>
      <c r="AA124" s="345"/>
      <c r="AB124" s="345"/>
      <c r="AC124" s="345"/>
      <c r="AD124" s="345"/>
      <c r="AE124" s="345"/>
      <c r="AF124" s="345"/>
      <c r="AG124" s="345"/>
      <c r="AH124" s="345"/>
      <c r="AI124" s="345"/>
      <c r="AJ124" s="345"/>
      <c r="AK124" s="345"/>
      <c r="AL124" s="345"/>
      <c r="AM124" s="345"/>
      <c r="AN124" s="345"/>
      <c r="AO124" s="345"/>
      <c r="AP124" s="345"/>
      <c r="AQ124" s="345"/>
      <c r="AR124" s="345"/>
      <c r="AS124" s="345"/>
      <c r="AT124" s="345"/>
      <c r="AU124" s="345"/>
      <c r="AV124" s="345"/>
      <c r="AW124" s="345"/>
      <c r="AX124" s="345"/>
      <c r="AY124" s="345"/>
      <c r="AZ124" s="345"/>
      <c r="BA124" s="345"/>
      <c r="BB124" s="345"/>
      <c r="BC124" s="345"/>
      <c r="BD124" s="345"/>
      <c r="BE124" s="345"/>
      <c r="BF124" s="345"/>
      <c r="BG124" s="345"/>
      <c r="BH124" s="345"/>
      <c r="BI124" s="345"/>
      <c r="BJ124" s="345"/>
      <c r="BK124" s="345"/>
      <c r="BL124" s="345"/>
      <c r="BM124" s="345"/>
      <c r="BN124" s="345"/>
      <c r="BO124" s="345"/>
      <c r="BP124" s="345"/>
      <c r="BQ124" s="345"/>
      <c r="BR124" s="345"/>
      <c r="BS124" s="345"/>
      <c r="BT124" s="345"/>
      <c r="BU124" s="345"/>
      <c r="BV124" s="345"/>
      <c r="BW124" s="345"/>
      <c r="BX124" s="345"/>
      <c r="BY124" s="345"/>
      <c r="BZ124" s="345"/>
      <c r="CA124" s="345"/>
      <c r="CB124" s="345"/>
      <c r="CC124" s="345"/>
      <c r="CD124" s="345"/>
      <c r="CE124" s="345"/>
      <c r="CF124" s="345"/>
      <c r="CG124" s="345"/>
      <c r="CH124" s="345"/>
      <c r="CI124" s="345"/>
      <c r="CJ124" s="345"/>
      <c r="CK124" s="345"/>
      <c r="CL124" s="345"/>
      <c r="CM124" s="345"/>
      <c r="CN124" s="345"/>
      <c r="CO124" s="345"/>
      <c r="CP124" s="345"/>
      <c r="CQ124" s="345"/>
      <c r="CR124" s="345"/>
      <c r="CS124" s="345"/>
      <c r="CT124" s="345"/>
      <c r="CU124" s="345"/>
      <c r="CV124" s="345"/>
      <c r="CW124" s="345"/>
      <c r="CX124" s="345"/>
      <c r="CY124" s="345"/>
      <c r="CZ124" s="345"/>
      <c r="DA124" s="345"/>
      <c r="DB124" s="345"/>
      <c r="DC124" s="345"/>
      <c r="DD124" s="345"/>
      <c r="DE124" s="345"/>
      <c r="DF124" s="345"/>
      <c r="DG124" s="345"/>
      <c r="DH124" s="345"/>
      <c r="DI124" s="345"/>
      <c r="DJ124" s="345"/>
      <c r="DK124" s="345"/>
      <c r="DL124" s="345"/>
      <c r="DM124" s="345"/>
      <c r="DN124" s="345"/>
      <c r="DO124" s="345"/>
      <c r="DP124" s="345"/>
      <c r="DQ124" s="345"/>
      <c r="DR124" s="345"/>
      <c r="DS124" s="345"/>
      <c r="DT124" s="345"/>
      <c r="DU124" s="345"/>
      <c r="DV124" s="345"/>
      <c r="DW124" s="345"/>
      <c r="DX124" s="345"/>
      <c r="DY124" s="345"/>
      <c r="DZ124" s="345"/>
      <c r="EA124" s="345"/>
    </row>
    <row r="125" spans="1:131" hidden="1">
      <c r="A125" s="345"/>
      <c r="B125" s="345"/>
      <c r="C125" s="345"/>
      <c r="D125" s="345"/>
      <c r="E125" s="345"/>
      <c r="F125" s="345"/>
      <c r="G125" s="345"/>
      <c r="H125" s="345"/>
      <c r="I125" s="345"/>
      <c r="J125" s="345"/>
      <c r="K125" s="345"/>
      <c r="L125" s="345"/>
      <c r="M125" s="345"/>
      <c r="N125" s="345"/>
      <c r="O125" s="345"/>
      <c r="P125" s="345"/>
      <c r="Q125" s="345"/>
      <c r="R125" s="345"/>
      <c r="S125" s="345"/>
      <c r="T125" s="345"/>
      <c r="U125" s="345"/>
      <c r="V125" s="345"/>
      <c r="W125" s="345"/>
      <c r="X125" s="345"/>
      <c r="Y125" s="345"/>
      <c r="Z125" s="345"/>
      <c r="AA125" s="345"/>
      <c r="AB125" s="345"/>
      <c r="AC125" s="345"/>
      <c r="AD125" s="345"/>
      <c r="AE125" s="345"/>
      <c r="AF125" s="345"/>
      <c r="AG125" s="345"/>
      <c r="AH125" s="345"/>
      <c r="AI125" s="345"/>
      <c r="AJ125" s="345"/>
      <c r="AK125" s="345"/>
      <c r="AL125" s="345"/>
      <c r="AM125" s="345"/>
      <c r="AN125" s="345"/>
      <c r="AO125" s="345"/>
      <c r="AP125" s="345"/>
      <c r="AQ125" s="345"/>
      <c r="AR125" s="345"/>
      <c r="AS125" s="345"/>
      <c r="AT125" s="345"/>
      <c r="AU125" s="345"/>
      <c r="AV125" s="345"/>
      <c r="AW125" s="345"/>
      <c r="AX125" s="345"/>
      <c r="AY125" s="345"/>
      <c r="AZ125" s="345"/>
      <c r="BA125" s="345"/>
      <c r="BB125" s="345"/>
      <c r="BC125" s="345"/>
      <c r="BD125" s="345"/>
      <c r="BE125" s="345"/>
      <c r="BF125" s="345"/>
      <c r="BG125" s="345"/>
      <c r="BH125" s="345"/>
      <c r="BI125" s="345"/>
      <c r="BJ125" s="345"/>
      <c r="BK125" s="345"/>
      <c r="BL125" s="345"/>
      <c r="BM125" s="345"/>
      <c r="BN125" s="345"/>
      <c r="BO125" s="345"/>
      <c r="BP125" s="345"/>
      <c r="BQ125" s="345"/>
      <c r="BR125" s="345"/>
      <c r="BS125" s="345"/>
      <c r="BT125" s="345"/>
      <c r="BU125" s="345"/>
      <c r="BV125" s="345"/>
      <c r="BW125" s="345"/>
      <c r="BX125" s="345"/>
      <c r="BY125" s="345"/>
      <c r="BZ125" s="345"/>
      <c r="CA125" s="345"/>
      <c r="CB125" s="345"/>
      <c r="CC125" s="345"/>
      <c r="CD125" s="345"/>
      <c r="CE125" s="345"/>
      <c r="CF125" s="345"/>
      <c r="CG125" s="345"/>
      <c r="CH125" s="345"/>
      <c r="CI125" s="345"/>
      <c r="CJ125" s="345"/>
      <c r="CK125" s="345"/>
      <c r="CL125" s="345"/>
      <c r="CM125" s="345"/>
      <c r="CN125" s="345"/>
      <c r="CO125" s="345"/>
      <c r="CP125" s="345"/>
      <c r="CQ125" s="345"/>
      <c r="CR125" s="345"/>
      <c r="CS125" s="345"/>
      <c r="CT125" s="345"/>
      <c r="CU125" s="345"/>
      <c r="CV125" s="345"/>
      <c r="CW125" s="345"/>
      <c r="CX125" s="345"/>
      <c r="CY125" s="345"/>
      <c r="CZ125" s="345"/>
      <c r="DA125" s="345"/>
      <c r="DB125" s="345"/>
      <c r="DC125" s="345"/>
      <c r="DD125" s="345"/>
      <c r="DE125" s="345"/>
      <c r="DF125" s="345"/>
      <c r="DG125" s="345"/>
      <c r="DH125" s="345"/>
      <c r="DI125" s="345"/>
      <c r="DJ125" s="345"/>
      <c r="DK125" s="345"/>
      <c r="DL125" s="345"/>
      <c r="DM125" s="345"/>
      <c r="DN125" s="345"/>
      <c r="DO125" s="345"/>
      <c r="DP125" s="345"/>
      <c r="DQ125" s="345"/>
      <c r="DR125" s="345"/>
      <c r="DS125" s="345"/>
      <c r="DT125" s="345"/>
      <c r="DU125" s="345"/>
      <c r="DV125" s="345"/>
      <c r="DW125" s="345"/>
      <c r="DX125" s="345"/>
      <c r="DY125" s="345"/>
      <c r="DZ125" s="345"/>
      <c r="EA125" s="345"/>
    </row>
    <row r="126" spans="1:131" hidden="1">
      <c r="A126" s="345"/>
      <c r="B126" s="345"/>
      <c r="C126" s="345"/>
      <c r="D126" s="345"/>
      <c r="E126" s="345"/>
      <c r="F126" s="345"/>
      <c r="G126" s="345"/>
      <c r="H126" s="345"/>
      <c r="I126" s="345"/>
      <c r="J126" s="345"/>
      <c r="K126" s="345"/>
      <c r="L126" s="345"/>
      <c r="M126" s="345"/>
      <c r="N126" s="345"/>
      <c r="O126" s="345"/>
      <c r="P126" s="345"/>
      <c r="Q126" s="345"/>
      <c r="R126" s="345"/>
      <c r="S126" s="345"/>
      <c r="T126" s="345"/>
      <c r="U126" s="345"/>
      <c r="V126" s="345"/>
      <c r="W126" s="345"/>
      <c r="X126" s="345"/>
      <c r="Y126" s="345"/>
      <c r="Z126" s="345"/>
      <c r="AA126" s="345"/>
      <c r="AB126" s="345"/>
      <c r="AC126" s="345"/>
      <c r="AD126" s="345"/>
      <c r="AE126" s="345"/>
      <c r="AF126" s="345"/>
      <c r="AG126" s="345"/>
      <c r="AH126" s="345"/>
      <c r="AI126" s="345"/>
      <c r="AJ126" s="345"/>
      <c r="AK126" s="345"/>
      <c r="AL126" s="345"/>
      <c r="AM126" s="345"/>
      <c r="AN126" s="345"/>
      <c r="AO126" s="345"/>
      <c r="AP126" s="345"/>
      <c r="AQ126" s="345"/>
      <c r="AR126" s="345"/>
      <c r="AS126" s="345"/>
      <c r="AT126" s="345"/>
      <c r="AU126" s="345"/>
      <c r="AV126" s="345"/>
      <c r="AW126" s="345"/>
      <c r="AX126" s="345"/>
      <c r="AY126" s="345"/>
      <c r="AZ126" s="345"/>
      <c r="BA126" s="345"/>
      <c r="BB126" s="345"/>
      <c r="BC126" s="345"/>
      <c r="BD126" s="345"/>
      <c r="BE126" s="345"/>
      <c r="BF126" s="345"/>
      <c r="BG126" s="345"/>
      <c r="BH126" s="345"/>
      <c r="BI126" s="345"/>
      <c r="BJ126" s="345"/>
      <c r="BK126" s="345"/>
      <c r="BL126" s="345"/>
      <c r="BM126" s="345"/>
      <c r="BN126" s="345"/>
      <c r="BO126" s="345"/>
      <c r="BP126" s="345"/>
      <c r="BQ126" s="345"/>
      <c r="BR126" s="345"/>
      <c r="BS126" s="345"/>
      <c r="BT126" s="345"/>
      <c r="BU126" s="345"/>
      <c r="BV126" s="345"/>
      <c r="BW126" s="345"/>
      <c r="BX126" s="345"/>
      <c r="BY126" s="345"/>
      <c r="BZ126" s="345"/>
      <c r="CA126" s="345"/>
      <c r="CB126" s="345"/>
      <c r="CC126" s="345"/>
      <c r="CD126" s="345"/>
      <c r="CE126" s="345"/>
      <c r="CF126" s="345"/>
      <c r="CG126" s="345"/>
      <c r="CH126" s="345"/>
      <c r="CI126" s="345"/>
      <c r="CJ126" s="345"/>
      <c r="CK126" s="345"/>
      <c r="CL126" s="345"/>
      <c r="CM126" s="345"/>
      <c r="CN126" s="345"/>
      <c r="CO126" s="345"/>
      <c r="CP126" s="345"/>
      <c r="CQ126" s="345"/>
      <c r="CR126" s="345"/>
      <c r="CS126" s="345"/>
      <c r="CT126" s="345"/>
      <c r="CU126" s="345"/>
      <c r="CV126" s="345"/>
      <c r="CW126" s="345"/>
      <c r="CX126" s="345"/>
      <c r="CY126" s="345"/>
      <c r="CZ126" s="345"/>
      <c r="DA126" s="345"/>
      <c r="DB126" s="345"/>
      <c r="DC126" s="345"/>
      <c r="DD126" s="345"/>
      <c r="DE126" s="345"/>
      <c r="DF126" s="345"/>
      <c r="DG126" s="345"/>
      <c r="DH126" s="345"/>
      <c r="DI126" s="345"/>
      <c r="DJ126" s="345"/>
      <c r="DK126" s="345"/>
      <c r="DL126" s="345"/>
      <c r="DM126" s="345"/>
      <c r="DN126" s="345"/>
      <c r="DO126" s="345"/>
      <c r="DP126" s="345"/>
      <c r="DQ126" s="345"/>
      <c r="DR126" s="345"/>
      <c r="DS126" s="345"/>
      <c r="DT126" s="345"/>
      <c r="DU126" s="345"/>
      <c r="DV126" s="345"/>
      <c r="DW126" s="345"/>
      <c r="DX126" s="345"/>
      <c r="DY126" s="345"/>
      <c r="DZ126" s="345"/>
      <c r="EA126" s="345"/>
    </row>
    <row r="127" spans="1:131" hidden="1">
      <c r="A127" s="345"/>
      <c r="B127" s="345"/>
      <c r="C127" s="345"/>
      <c r="D127" s="345"/>
      <c r="E127" s="345"/>
      <c r="F127" s="345"/>
      <c r="G127" s="345"/>
      <c r="H127" s="345"/>
      <c r="I127" s="345"/>
      <c r="J127" s="345"/>
      <c r="K127" s="345"/>
      <c r="L127" s="345"/>
      <c r="M127" s="345"/>
      <c r="N127" s="345"/>
      <c r="O127" s="345"/>
      <c r="P127" s="345"/>
      <c r="Q127" s="345"/>
      <c r="R127" s="345"/>
      <c r="S127" s="345"/>
      <c r="T127" s="345"/>
      <c r="U127" s="345"/>
      <c r="V127" s="345"/>
      <c r="W127" s="345"/>
      <c r="X127" s="345"/>
      <c r="Y127" s="345"/>
      <c r="Z127" s="345"/>
      <c r="AA127" s="345"/>
      <c r="AB127" s="345"/>
      <c r="AC127" s="345"/>
      <c r="AD127" s="345"/>
      <c r="AE127" s="345"/>
      <c r="AF127" s="345"/>
      <c r="AG127" s="345"/>
      <c r="AH127" s="345"/>
      <c r="AI127" s="345"/>
      <c r="AJ127" s="345"/>
      <c r="AK127" s="345"/>
      <c r="AL127" s="345"/>
      <c r="AM127" s="345"/>
      <c r="AN127" s="345"/>
      <c r="AO127" s="345"/>
      <c r="AP127" s="345"/>
      <c r="AQ127" s="345"/>
      <c r="AR127" s="345"/>
      <c r="AS127" s="345"/>
      <c r="AT127" s="345"/>
      <c r="AU127" s="345"/>
      <c r="AV127" s="345"/>
      <c r="AW127" s="345"/>
      <c r="AX127" s="345"/>
      <c r="AY127" s="345"/>
      <c r="AZ127" s="345"/>
      <c r="BA127" s="345"/>
      <c r="BB127" s="345"/>
      <c r="BC127" s="345"/>
      <c r="BD127" s="345"/>
      <c r="BE127" s="345"/>
      <c r="BF127" s="345"/>
      <c r="BG127" s="345"/>
      <c r="BH127" s="345"/>
      <c r="BI127" s="345"/>
      <c r="BJ127" s="345"/>
      <c r="BK127" s="345"/>
      <c r="BL127" s="345"/>
      <c r="BM127" s="345"/>
      <c r="BN127" s="345"/>
      <c r="BO127" s="345"/>
      <c r="BP127" s="345"/>
      <c r="BQ127" s="345"/>
      <c r="BR127" s="345"/>
      <c r="BS127" s="345"/>
      <c r="BT127" s="345"/>
      <c r="BU127" s="345"/>
      <c r="BV127" s="345"/>
      <c r="BW127" s="345"/>
      <c r="BX127" s="345"/>
      <c r="BY127" s="345"/>
      <c r="BZ127" s="345"/>
      <c r="CA127" s="345"/>
      <c r="CB127" s="345"/>
      <c r="CC127" s="345"/>
      <c r="CD127" s="345"/>
      <c r="CE127" s="345"/>
      <c r="CF127" s="345"/>
      <c r="CG127" s="345"/>
      <c r="CH127" s="345"/>
      <c r="CI127" s="345"/>
      <c r="CJ127" s="345"/>
      <c r="CK127" s="345"/>
      <c r="CL127" s="345"/>
      <c r="CM127" s="345"/>
      <c r="CN127" s="345"/>
      <c r="CO127" s="345"/>
      <c r="CP127" s="345"/>
      <c r="CQ127" s="345"/>
      <c r="CR127" s="345"/>
      <c r="CS127" s="345"/>
      <c r="CT127" s="345"/>
      <c r="CU127" s="345"/>
      <c r="CV127" s="345"/>
      <c r="CW127" s="345"/>
      <c r="CX127" s="345"/>
      <c r="CY127" s="345"/>
      <c r="CZ127" s="345"/>
      <c r="DA127" s="345"/>
      <c r="DB127" s="345"/>
      <c r="DC127" s="345"/>
      <c r="DD127" s="345"/>
      <c r="DE127" s="345"/>
      <c r="DF127" s="345"/>
      <c r="DG127" s="345"/>
      <c r="DH127" s="345"/>
      <c r="DI127" s="345"/>
      <c r="DJ127" s="345"/>
      <c r="DK127" s="345"/>
      <c r="DL127" s="345"/>
      <c r="DM127" s="345"/>
      <c r="DN127" s="345"/>
      <c r="DO127" s="345"/>
      <c r="DP127" s="345"/>
      <c r="DQ127" s="345"/>
      <c r="DR127" s="345"/>
      <c r="DS127" s="345"/>
      <c r="DT127" s="345"/>
      <c r="DU127" s="345"/>
      <c r="DV127" s="345"/>
      <c r="DW127" s="345"/>
      <c r="DX127" s="345"/>
      <c r="DY127" s="345"/>
      <c r="DZ127" s="345"/>
      <c r="EA127" s="345"/>
    </row>
    <row r="128" spans="1:131" hidden="1">
      <c r="A128" s="345"/>
      <c r="B128" s="345"/>
      <c r="C128" s="345"/>
      <c r="D128" s="345"/>
      <c r="E128" s="345"/>
      <c r="F128" s="345"/>
      <c r="G128" s="345"/>
      <c r="H128" s="345"/>
      <c r="I128" s="345"/>
      <c r="J128" s="345"/>
      <c r="K128" s="345"/>
      <c r="L128" s="345"/>
      <c r="M128" s="345"/>
      <c r="N128" s="345"/>
      <c r="O128" s="345"/>
      <c r="P128" s="345"/>
      <c r="Q128" s="345"/>
      <c r="R128" s="345"/>
      <c r="S128" s="345"/>
      <c r="T128" s="345"/>
      <c r="U128" s="345"/>
      <c r="V128" s="345"/>
      <c r="W128" s="345"/>
      <c r="X128" s="345"/>
      <c r="Y128" s="345"/>
      <c r="Z128" s="345"/>
      <c r="AA128" s="345"/>
      <c r="AB128" s="345"/>
      <c r="AC128" s="345"/>
      <c r="AD128" s="345"/>
      <c r="AE128" s="345"/>
      <c r="AF128" s="345"/>
      <c r="AG128" s="345"/>
      <c r="AH128" s="345"/>
      <c r="AI128" s="345"/>
      <c r="AJ128" s="345"/>
      <c r="AK128" s="345"/>
      <c r="AL128" s="345"/>
      <c r="AM128" s="345"/>
      <c r="AN128" s="345"/>
      <c r="AO128" s="345"/>
      <c r="AP128" s="345"/>
      <c r="AQ128" s="345"/>
      <c r="AR128" s="345"/>
      <c r="AS128" s="345"/>
      <c r="AT128" s="345"/>
      <c r="AU128" s="345"/>
      <c r="AV128" s="345"/>
      <c r="AW128" s="345"/>
      <c r="AX128" s="345"/>
      <c r="AY128" s="345"/>
      <c r="AZ128" s="345"/>
      <c r="BA128" s="345"/>
      <c r="BB128" s="345"/>
      <c r="BC128" s="345"/>
      <c r="BD128" s="345"/>
      <c r="BE128" s="345"/>
      <c r="BF128" s="345"/>
      <c r="BG128" s="345"/>
      <c r="BH128" s="345"/>
      <c r="BI128" s="345"/>
      <c r="BJ128" s="345"/>
      <c r="BK128" s="345"/>
      <c r="BL128" s="345"/>
      <c r="BM128" s="345"/>
      <c r="BN128" s="345"/>
      <c r="BO128" s="345"/>
      <c r="BP128" s="345"/>
      <c r="BQ128" s="345"/>
      <c r="BR128" s="345"/>
      <c r="BS128" s="345"/>
      <c r="BT128" s="345"/>
      <c r="BU128" s="345"/>
      <c r="BV128" s="345"/>
      <c r="BW128" s="345"/>
      <c r="BX128" s="345"/>
      <c r="BY128" s="345"/>
      <c r="BZ128" s="345"/>
      <c r="CA128" s="345"/>
      <c r="CB128" s="345"/>
      <c r="CC128" s="345"/>
      <c r="CD128" s="345"/>
      <c r="CE128" s="345"/>
      <c r="CF128" s="345"/>
      <c r="CG128" s="345"/>
      <c r="CH128" s="345"/>
      <c r="CI128" s="345"/>
      <c r="CJ128" s="345"/>
      <c r="CK128" s="345"/>
      <c r="CL128" s="345"/>
      <c r="CM128" s="345"/>
      <c r="CN128" s="345"/>
      <c r="CO128" s="345"/>
      <c r="CP128" s="345"/>
      <c r="CQ128" s="345"/>
      <c r="CR128" s="345"/>
      <c r="CS128" s="345"/>
      <c r="CT128" s="345"/>
      <c r="CU128" s="345"/>
      <c r="CV128" s="345"/>
      <c r="CW128" s="345"/>
      <c r="CX128" s="345"/>
      <c r="CY128" s="345"/>
      <c r="CZ128" s="345"/>
      <c r="DA128" s="345"/>
      <c r="DB128" s="345"/>
      <c r="DC128" s="345"/>
      <c r="DD128" s="345"/>
      <c r="DE128" s="345"/>
      <c r="DF128" s="345"/>
      <c r="DG128" s="345"/>
      <c r="DH128" s="345"/>
      <c r="DI128" s="345"/>
      <c r="DJ128" s="345"/>
      <c r="DK128" s="345"/>
      <c r="DL128" s="345"/>
      <c r="DM128" s="345"/>
      <c r="DN128" s="345"/>
      <c r="DO128" s="345"/>
      <c r="DP128" s="345"/>
      <c r="DQ128" s="345"/>
      <c r="DR128" s="345"/>
      <c r="DS128" s="345"/>
      <c r="DT128" s="345"/>
      <c r="DU128" s="345"/>
      <c r="DV128" s="345"/>
      <c r="DW128" s="345"/>
      <c r="DX128" s="345"/>
      <c r="DY128" s="345"/>
      <c r="DZ128" s="345"/>
      <c r="EA128" s="345"/>
    </row>
    <row r="129" spans="1:131" hidden="1">
      <c r="A129" s="345"/>
      <c r="B129" s="345"/>
      <c r="C129" s="345"/>
      <c r="D129" s="345"/>
      <c r="E129" s="345"/>
      <c r="F129" s="345"/>
      <c r="G129" s="345"/>
      <c r="H129" s="345"/>
      <c r="I129" s="345"/>
      <c r="J129" s="345"/>
      <c r="K129" s="345"/>
      <c r="L129" s="345"/>
      <c r="M129" s="345"/>
      <c r="N129" s="345"/>
      <c r="O129" s="345"/>
      <c r="P129" s="345"/>
      <c r="Q129" s="345"/>
      <c r="R129" s="345"/>
      <c r="S129" s="345"/>
      <c r="T129" s="345"/>
      <c r="U129" s="345"/>
      <c r="V129" s="345"/>
      <c r="W129" s="345"/>
      <c r="X129" s="345"/>
      <c r="Y129" s="345"/>
      <c r="Z129" s="345"/>
      <c r="AA129" s="345"/>
      <c r="AB129" s="345"/>
      <c r="AC129" s="345"/>
      <c r="AD129" s="345"/>
      <c r="AE129" s="345"/>
      <c r="AF129" s="345"/>
      <c r="AG129" s="345"/>
      <c r="AH129" s="345"/>
      <c r="AI129" s="345"/>
      <c r="AJ129" s="345"/>
      <c r="AK129" s="345"/>
      <c r="AL129" s="345"/>
      <c r="AM129" s="345"/>
      <c r="AN129" s="345"/>
      <c r="AO129" s="345"/>
      <c r="AP129" s="345"/>
      <c r="AQ129" s="345"/>
      <c r="AR129" s="345"/>
      <c r="AS129" s="345"/>
      <c r="AT129" s="345"/>
      <c r="AU129" s="345"/>
      <c r="AV129" s="345"/>
      <c r="AW129" s="345"/>
      <c r="AX129" s="345"/>
      <c r="AY129" s="345"/>
      <c r="AZ129" s="345"/>
      <c r="BA129" s="345"/>
      <c r="BB129" s="345"/>
      <c r="BC129" s="345"/>
      <c r="BD129" s="345"/>
      <c r="BE129" s="345"/>
      <c r="BF129" s="345"/>
      <c r="BG129" s="345"/>
      <c r="BH129" s="345"/>
      <c r="BI129" s="345"/>
      <c r="BJ129" s="345"/>
      <c r="BK129" s="345"/>
      <c r="BL129" s="345"/>
      <c r="BM129" s="345"/>
      <c r="BN129" s="345"/>
      <c r="BO129" s="345"/>
      <c r="BP129" s="345"/>
      <c r="BQ129" s="345"/>
      <c r="BR129" s="345"/>
      <c r="BS129" s="345"/>
      <c r="BT129" s="345"/>
      <c r="BU129" s="345"/>
      <c r="BV129" s="345"/>
      <c r="BW129" s="345"/>
      <c r="BX129" s="345"/>
      <c r="BY129" s="345"/>
      <c r="BZ129" s="345"/>
      <c r="CA129" s="345"/>
      <c r="CB129" s="345"/>
      <c r="CC129" s="345"/>
      <c r="CD129" s="345"/>
      <c r="CE129" s="345"/>
      <c r="CF129" s="345"/>
      <c r="CG129" s="345"/>
      <c r="CH129" s="345"/>
      <c r="CI129" s="345"/>
      <c r="CJ129" s="345"/>
      <c r="CK129" s="345"/>
      <c r="CL129" s="345"/>
      <c r="CM129" s="345"/>
      <c r="CN129" s="345"/>
      <c r="CO129" s="345"/>
      <c r="CP129" s="345"/>
      <c r="CQ129" s="345"/>
      <c r="CR129" s="345"/>
      <c r="CS129" s="345"/>
      <c r="CT129" s="345"/>
      <c r="CU129" s="345"/>
      <c r="CV129" s="345"/>
      <c r="CW129" s="345"/>
      <c r="CX129" s="345"/>
      <c r="CY129" s="345"/>
      <c r="CZ129" s="345"/>
      <c r="DA129" s="345"/>
      <c r="DB129" s="345"/>
      <c r="DC129" s="345"/>
      <c r="DD129" s="345"/>
      <c r="DE129" s="345"/>
      <c r="DF129" s="345"/>
      <c r="DG129" s="345"/>
      <c r="DH129" s="345"/>
      <c r="DI129" s="345"/>
      <c r="DJ129" s="345"/>
      <c r="DK129" s="345"/>
      <c r="DL129" s="345"/>
      <c r="DM129" s="345"/>
      <c r="DN129" s="345"/>
      <c r="DO129" s="345"/>
      <c r="DP129" s="345"/>
      <c r="DQ129" s="345"/>
      <c r="DR129" s="345"/>
      <c r="DS129" s="345"/>
      <c r="DT129" s="345"/>
      <c r="DU129" s="345"/>
      <c r="DV129" s="345"/>
      <c r="DW129" s="345"/>
      <c r="DX129" s="345"/>
      <c r="DY129" s="345"/>
      <c r="DZ129" s="345"/>
      <c r="EA129" s="345"/>
    </row>
    <row r="130" spans="1:131" hidden="1">
      <c r="A130" s="345"/>
      <c r="B130" s="345"/>
      <c r="C130" s="345"/>
      <c r="D130" s="345"/>
      <c r="E130" s="345"/>
      <c r="F130" s="345"/>
      <c r="G130" s="345"/>
      <c r="H130" s="345"/>
      <c r="I130" s="345"/>
      <c r="J130" s="345"/>
      <c r="K130" s="345"/>
      <c r="L130" s="345"/>
      <c r="M130" s="345"/>
      <c r="N130" s="345"/>
      <c r="O130" s="345"/>
      <c r="P130" s="345"/>
      <c r="Q130" s="345"/>
      <c r="R130" s="345"/>
      <c r="S130" s="345"/>
      <c r="T130" s="345"/>
      <c r="U130" s="345"/>
      <c r="V130" s="345"/>
      <c r="W130" s="345"/>
      <c r="X130" s="345"/>
      <c r="Y130" s="345"/>
      <c r="Z130" s="345"/>
      <c r="AA130" s="345"/>
      <c r="AB130" s="345"/>
      <c r="AC130" s="345"/>
      <c r="AD130" s="345"/>
      <c r="AE130" s="345"/>
      <c r="AF130" s="345"/>
      <c r="AG130" s="345"/>
      <c r="AH130" s="345"/>
      <c r="AI130" s="345"/>
      <c r="AJ130" s="345"/>
      <c r="AK130" s="345"/>
      <c r="AL130" s="345"/>
      <c r="AM130" s="345"/>
      <c r="AN130" s="345"/>
      <c r="AO130" s="345"/>
      <c r="AP130" s="345"/>
      <c r="AQ130" s="345"/>
      <c r="AR130" s="345"/>
      <c r="AS130" s="345"/>
      <c r="AT130" s="345"/>
      <c r="AU130" s="345"/>
      <c r="AV130" s="345"/>
      <c r="AW130" s="345"/>
      <c r="AX130" s="345"/>
      <c r="AY130" s="345"/>
      <c r="AZ130" s="345"/>
      <c r="BA130" s="345"/>
      <c r="BB130" s="345"/>
      <c r="BC130" s="345"/>
      <c r="BD130" s="345"/>
      <c r="BE130" s="345"/>
      <c r="BF130" s="345"/>
      <c r="BG130" s="345"/>
      <c r="BH130" s="345"/>
      <c r="BI130" s="345"/>
      <c r="BJ130" s="345"/>
      <c r="BK130" s="345"/>
      <c r="BL130" s="345"/>
      <c r="BM130" s="345"/>
      <c r="BN130" s="345"/>
      <c r="BO130" s="345"/>
      <c r="BP130" s="345"/>
      <c r="BQ130" s="345"/>
      <c r="BR130" s="345"/>
      <c r="BS130" s="345"/>
      <c r="BT130" s="345"/>
      <c r="BU130" s="345"/>
      <c r="BV130" s="345"/>
      <c r="BW130" s="345"/>
      <c r="BX130" s="345"/>
      <c r="BY130" s="345"/>
      <c r="BZ130" s="345"/>
      <c r="CA130" s="345"/>
      <c r="CB130" s="345"/>
      <c r="CC130" s="345"/>
      <c r="CD130" s="345"/>
      <c r="CE130" s="345"/>
      <c r="CF130" s="345"/>
      <c r="CG130" s="345"/>
      <c r="CH130" s="345"/>
      <c r="CI130" s="345"/>
      <c r="CJ130" s="345"/>
      <c r="CK130" s="345"/>
      <c r="CL130" s="345"/>
      <c r="CM130" s="345"/>
      <c r="CN130" s="345"/>
      <c r="CO130" s="345"/>
      <c r="CP130" s="345"/>
      <c r="CQ130" s="345"/>
      <c r="CR130" s="345"/>
      <c r="CS130" s="345"/>
      <c r="CT130" s="345"/>
      <c r="CU130" s="345"/>
      <c r="CV130" s="345"/>
      <c r="CW130" s="345"/>
      <c r="CX130" s="345"/>
      <c r="CY130" s="345"/>
      <c r="CZ130" s="345"/>
      <c r="DA130" s="345"/>
      <c r="DB130" s="345"/>
      <c r="DC130" s="345"/>
      <c r="DD130" s="345"/>
      <c r="DE130" s="345"/>
      <c r="DF130" s="345"/>
      <c r="DG130" s="345"/>
      <c r="DH130" s="345"/>
      <c r="DI130" s="345"/>
      <c r="DJ130" s="345"/>
      <c r="DK130" s="345"/>
      <c r="DL130" s="345"/>
      <c r="DM130" s="345"/>
      <c r="DN130" s="345"/>
      <c r="DO130" s="345"/>
      <c r="DP130" s="345"/>
      <c r="DQ130" s="345"/>
      <c r="DR130" s="345"/>
      <c r="DS130" s="345"/>
      <c r="DT130" s="345"/>
      <c r="DU130" s="345"/>
      <c r="DV130" s="345"/>
      <c r="DW130" s="345"/>
      <c r="DX130" s="345"/>
      <c r="DY130" s="345"/>
      <c r="DZ130" s="345"/>
      <c r="EA130" s="345"/>
    </row>
    <row r="131" spans="1:131" hidden="1">
      <c r="A131" s="345"/>
      <c r="B131" s="345"/>
      <c r="C131" s="345"/>
      <c r="D131" s="345"/>
      <c r="E131" s="345"/>
      <c r="F131" s="345"/>
      <c r="G131" s="345"/>
      <c r="H131" s="345"/>
      <c r="I131" s="345"/>
      <c r="J131" s="345"/>
      <c r="K131" s="345"/>
      <c r="L131" s="345"/>
      <c r="M131" s="345"/>
      <c r="N131" s="345"/>
      <c r="O131" s="345"/>
      <c r="P131" s="345"/>
      <c r="Q131" s="345"/>
      <c r="R131" s="345"/>
      <c r="S131" s="345"/>
      <c r="T131" s="345"/>
      <c r="U131" s="345"/>
      <c r="V131" s="345"/>
      <c r="W131" s="345"/>
      <c r="X131" s="345"/>
      <c r="Y131" s="345"/>
      <c r="Z131" s="345"/>
      <c r="AA131" s="345"/>
      <c r="AB131" s="345"/>
      <c r="AC131" s="345"/>
      <c r="AD131" s="345"/>
      <c r="AE131" s="345"/>
      <c r="AF131" s="345"/>
      <c r="AG131" s="345"/>
      <c r="AH131" s="345"/>
      <c r="AI131" s="345"/>
      <c r="AJ131" s="345"/>
      <c r="AK131" s="345"/>
      <c r="AL131" s="345"/>
      <c r="AM131" s="345"/>
      <c r="AN131" s="345"/>
      <c r="AO131" s="345"/>
      <c r="AP131" s="345"/>
      <c r="AQ131" s="345"/>
      <c r="AR131" s="345"/>
      <c r="AS131" s="345"/>
      <c r="AT131" s="345"/>
      <c r="AU131" s="345"/>
      <c r="AV131" s="345"/>
      <c r="AW131" s="345"/>
      <c r="AX131" s="345"/>
      <c r="AY131" s="345"/>
      <c r="AZ131" s="345"/>
      <c r="BA131" s="345"/>
      <c r="BB131" s="345"/>
      <c r="BC131" s="345"/>
      <c r="BD131" s="345"/>
      <c r="BE131" s="345"/>
      <c r="BF131" s="345"/>
      <c r="BG131" s="345"/>
      <c r="BH131" s="345"/>
      <c r="BI131" s="345"/>
      <c r="BJ131" s="345"/>
      <c r="BK131" s="345"/>
      <c r="BL131" s="345"/>
      <c r="BM131" s="345"/>
      <c r="BN131" s="345"/>
      <c r="BO131" s="345"/>
      <c r="BP131" s="345"/>
      <c r="BQ131" s="345"/>
      <c r="BR131" s="345"/>
      <c r="BS131" s="345"/>
      <c r="BT131" s="345"/>
      <c r="BU131" s="345"/>
      <c r="BV131" s="345"/>
      <c r="BW131" s="345"/>
      <c r="BX131" s="345"/>
      <c r="BY131" s="345"/>
      <c r="BZ131" s="345"/>
      <c r="CA131" s="345"/>
      <c r="CB131" s="345"/>
      <c r="CC131" s="345"/>
      <c r="CD131" s="345"/>
      <c r="CE131" s="345"/>
      <c r="CF131" s="345"/>
      <c r="CG131" s="345"/>
      <c r="CH131" s="345"/>
      <c r="CI131" s="345"/>
      <c r="CJ131" s="345"/>
      <c r="CK131" s="345"/>
      <c r="CL131" s="345"/>
      <c r="CM131" s="345"/>
      <c r="CN131" s="345"/>
      <c r="CO131" s="345"/>
      <c r="CP131" s="345"/>
      <c r="CQ131" s="345"/>
      <c r="CR131" s="345"/>
      <c r="CS131" s="345"/>
      <c r="CT131" s="345"/>
      <c r="CU131" s="345"/>
      <c r="CV131" s="345"/>
      <c r="CW131" s="345"/>
      <c r="CX131" s="345"/>
      <c r="CY131" s="345"/>
      <c r="CZ131" s="345"/>
      <c r="DA131" s="345"/>
      <c r="DB131" s="345"/>
      <c r="DC131" s="345"/>
      <c r="DD131" s="345"/>
      <c r="DE131" s="345"/>
      <c r="DF131" s="345"/>
      <c r="DG131" s="345"/>
      <c r="DH131" s="345"/>
      <c r="DI131" s="345"/>
      <c r="DJ131" s="345"/>
      <c r="DK131" s="345"/>
      <c r="DL131" s="345"/>
      <c r="DM131" s="345"/>
      <c r="DN131" s="345"/>
      <c r="DO131" s="345"/>
      <c r="DP131" s="345"/>
      <c r="DQ131" s="345"/>
      <c r="DR131" s="345"/>
      <c r="DS131" s="345"/>
      <c r="DT131" s="345"/>
      <c r="DU131" s="345"/>
      <c r="DV131" s="345"/>
      <c r="DW131" s="345"/>
      <c r="DX131" s="345"/>
      <c r="DY131" s="345"/>
      <c r="DZ131" s="345"/>
      <c r="EA131" s="345"/>
    </row>
    <row r="132" spans="1:131" hidden="1">
      <c r="A132" s="345"/>
      <c r="B132" s="345"/>
      <c r="C132" s="345"/>
      <c r="D132" s="345"/>
      <c r="E132" s="345"/>
      <c r="F132" s="345"/>
      <c r="G132" s="345"/>
      <c r="H132" s="345"/>
      <c r="I132" s="345"/>
      <c r="J132" s="345"/>
      <c r="K132" s="345"/>
      <c r="L132" s="345"/>
      <c r="M132" s="345"/>
      <c r="N132" s="345"/>
      <c r="O132" s="345"/>
      <c r="P132" s="345"/>
      <c r="Q132" s="345"/>
      <c r="R132" s="345"/>
      <c r="S132" s="345"/>
      <c r="T132" s="345"/>
      <c r="U132" s="345"/>
      <c r="V132" s="345"/>
      <c r="W132" s="345"/>
      <c r="X132" s="345"/>
      <c r="Y132" s="345"/>
      <c r="Z132" s="345"/>
      <c r="AA132" s="345"/>
      <c r="AB132" s="345"/>
      <c r="AC132" s="345"/>
      <c r="AD132" s="345"/>
      <c r="AE132" s="345"/>
      <c r="AF132" s="345"/>
      <c r="AG132" s="345"/>
      <c r="AH132" s="345"/>
      <c r="AI132" s="345"/>
      <c r="AJ132" s="345"/>
      <c r="AK132" s="345"/>
      <c r="AL132" s="345"/>
      <c r="AM132" s="345"/>
      <c r="AN132" s="345"/>
      <c r="AO132" s="345"/>
      <c r="AP132" s="345"/>
      <c r="AQ132" s="345"/>
      <c r="AR132" s="345"/>
      <c r="AS132" s="345"/>
      <c r="AT132" s="345"/>
      <c r="AU132" s="345"/>
      <c r="AV132" s="345"/>
      <c r="AW132" s="345"/>
      <c r="AX132" s="345"/>
      <c r="AY132" s="345"/>
      <c r="AZ132" s="345"/>
      <c r="BA132" s="345"/>
      <c r="BB132" s="345"/>
      <c r="BC132" s="345"/>
      <c r="BD132" s="345"/>
      <c r="BE132" s="345"/>
      <c r="BF132" s="345"/>
      <c r="BG132" s="345"/>
      <c r="BH132" s="345"/>
      <c r="BI132" s="345"/>
      <c r="BJ132" s="345"/>
      <c r="BK132" s="345"/>
      <c r="BL132" s="345"/>
      <c r="BM132" s="345"/>
      <c r="BN132" s="345"/>
      <c r="BO132" s="345"/>
      <c r="BP132" s="345"/>
      <c r="BQ132" s="345"/>
      <c r="BR132" s="345"/>
      <c r="BS132" s="345"/>
      <c r="BT132" s="345"/>
      <c r="BU132" s="345"/>
      <c r="BV132" s="345"/>
      <c r="BW132" s="345"/>
      <c r="BX132" s="345"/>
      <c r="BY132" s="345"/>
      <c r="BZ132" s="345"/>
      <c r="CA132" s="345"/>
      <c r="CB132" s="345"/>
      <c r="CC132" s="345"/>
      <c r="CD132" s="345"/>
      <c r="CE132" s="345"/>
      <c r="CF132" s="345"/>
      <c r="CG132" s="345"/>
      <c r="CH132" s="345"/>
      <c r="CI132" s="345"/>
      <c r="CJ132" s="345"/>
      <c r="CK132" s="345"/>
      <c r="CL132" s="345"/>
      <c r="CM132" s="345"/>
      <c r="CN132" s="345"/>
      <c r="CO132" s="345"/>
      <c r="CP132" s="345"/>
      <c r="CQ132" s="345"/>
      <c r="CR132" s="345"/>
      <c r="CS132" s="345"/>
      <c r="CT132" s="345"/>
      <c r="CU132" s="345"/>
      <c r="CV132" s="345"/>
      <c r="CW132" s="345"/>
      <c r="CX132" s="345"/>
      <c r="CY132" s="345"/>
      <c r="CZ132" s="345"/>
      <c r="DA132" s="345"/>
      <c r="DB132" s="345"/>
      <c r="DC132" s="345"/>
      <c r="DD132" s="345"/>
      <c r="DE132" s="345"/>
      <c r="DF132" s="345"/>
      <c r="DG132" s="345"/>
      <c r="DH132" s="345"/>
      <c r="DI132" s="345"/>
      <c r="DJ132" s="345"/>
      <c r="DK132" s="345"/>
      <c r="DL132" s="345"/>
      <c r="DM132" s="345"/>
      <c r="DN132" s="345"/>
      <c r="DO132" s="345"/>
      <c r="DP132" s="345"/>
      <c r="DQ132" s="345"/>
      <c r="DR132" s="345"/>
      <c r="DS132" s="345"/>
      <c r="DT132" s="345"/>
      <c r="DU132" s="345"/>
      <c r="DV132" s="345"/>
      <c r="DW132" s="345"/>
      <c r="DX132" s="345"/>
      <c r="DY132" s="345"/>
      <c r="DZ132" s="345"/>
      <c r="EA132" s="345"/>
    </row>
    <row r="133" spans="1:131" hidden="1">
      <c r="A133" s="345"/>
      <c r="B133" s="345"/>
      <c r="C133" s="345"/>
      <c r="D133" s="345"/>
      <c r="E133" s="345"/>
      <c r="F133" s="345"/>
      <c r="G133" s="345"/>
      <c r="H133" s="345"/>
      <c r="I133" s="345"/>
      <c r="J133" s="345"/>
      <c r="K133" s="345"/>
      <c r="L133" s="345"/>
      <c r="M133" s="345"/>
      <c r="N133" s="345"/>
      <c r="O133" s="345"/>
      <c r="P133" s="345"/>
      <c r="Q133" s="345"/>
      <c r="R133" s="345"/>
      <c r="S133" s="345"/>
      <c r="T133" s="345"/>
      <c r="U133" s="345"/>
      <c r="V133" s="345"/>
      <c r="W133" s="345"/>
      <c r="X133" s="345"/>
      <c r="Y133" s="345"/>
      <c r="Z133" s="345"/>
      <c r="AA133" s="345"/>
      <c r="AB133" s="345"/>
      <c r="AC133" s="345"/>
      <c r="AD133" s="345"/>
      <c r="AE133" s="345"/>
      <c r="AF133" s="345"/>
      <c r="AG133" s="345"/>
      <c r="AH133" s="345"/>
      <c r="AI133" s="345"/>
      <c r="AJ133" s="345"/>
      <c r="AK133" s="345"/>
      <c r="AL133" s="345"/>
      <c r="AM133" s="345"/>
      <c r="AN133" s="345"/>
      <c r="AO133" s="345"/>
      <c r="AP133" s="345"/>
      <c r="AQ133" s="345"/>
      <c r="AR133" s="345"/>
      <c r="AS133" s="345"/>
      <c r="AT133" s="345"/>
      <c r="AU133" s="345"/>
      <c r="AV133" s="345"/>
      <c r="AW133" s="345"/>
      <c r="AX133" s="345"/>
      <c r="AY133" s="345"/>
      <c r="AZ133" s="345"/>
      <c r="BA133" s="345"/>
      <c r="BB133" s="345"/>
      <c r="BC133" s="345"/>
      <c r="BD133" s="345"/>
      <c r="BE133" s="345"/>
      <c r="BF133" s="345"/>
      <c r="BG133" s="345"/>
      <c r="BH133" s="345"/>
      <c r="BI133" s="345"/>
      <c r="BJ133" s="345"/>
      <c r="BK133" s="345"/>
      <c r="BL133" s="345"/>
      <c r="BM133" s="345"/>
      <c r="BN133" s="345"/>
      <c r="BO133" s="345"/>
      <c r="BP133" s="345"/>
      <c r="BQ133" s="345"/>
      <c r="BR133" s="345"/>
      <c r="BS133" s="345"/>
      <c r="BT133" s="345"/>
      <c r="BU133" s="345"/>
      <c r="BV133" s="345"/>
      <c r="BW133" s="345"/>
      <c r="BX133" s="345"/>
      <c r="BY133" s="345"/>
      <c r="BZ133" s="345"/>
      <c r="CA133" s="345"/>
      <c r="CB133" s="345"/>
      <c r="CC133" s="345"/>
      <c r="CD133" s="345"/>
      <c r="CE133" s="345"/>
      <c r="CF133" s="345"/>
      <c r="CG133" s="345"/>
      <c r="CH133" s="345"/>
      <c r="CI133" s="345"/>
      <c r="CJ133" s="345"/>
      <c r="CK133" s="345"/>
      <c r="CL133" s="345"/>
      <c r="CM133" s="345"/>
      <c r="CN133" s="345"/>
      <c r="CO133" s="345"/>
      <c r="CP133" s="345"/>
      <c r="CQ133" s="345"/>
      <c r="CR133" s="345"/>
      <c r="CS133" s="345"/>
      <c r="CT133" s="345"/>
      <c r="CU133" s="345"/>
      <c r="CV133" s="345"/>
      <c r="CW133" s="345"/>
      <c r="CX133" s="345"/>
      <c r="CY133" s="345"/>
      <c r="CZ133" s="345"/>
      <c r="DA133" s="345"/>
      <c r="DB133" s="345"/>
      <c r="DC133" s="345"/>
      <c r="DD133" s="345"/>
      <c r="DE133" s="345"/>
      <c r="DF133" s="345"/>
      <c r="DG133" s="345"/>
      <c r="DH133" s="345"/>
      <c r="DI133" s="345"/>
      <c r="DJ133" s="345"/>
      <c r="DK133" s="345"/>
      <c r="DL133" s="345"/>
      <c r="DM133" s="345"/>
      <c r="DN133" s="345"/>
      <c r="DO133" s="345"/>
      <c r="DP133" s="345"/>
      <c r="DQ133" s="345"/>
      <c r="DR133" s="345"/>
      <c r="DS133" s="345"/>
      <c r="DT133" s="345"/>
      <c r="DU133" s="345"/>
      <c r="DV133" s="345"/>
      <c r="DW133" s="345"/>
      <c r="DX133" s="345"/>
      <c r="DY133" s="345"/>
      <c r="DZ133" s="345"/>
      <c r="EA133" s="345"/>
    </row>
    <row r="134" spans="1:131" hidden="1">
      <c r="A134" s="345"/>
      <c r="B134" s="345"/>
      <c r="C134" s="345"/>
      <c r="D134" s="345"/>
      <c r="E134" s="345"/>
      <c r="F134" s="345"/>
      <c r="G134" s="345"/>
      <c r="H134" s="345"/>
      <c r="I134" s="345"/>
      <c r="J134" s="345"/>
      <c r="K134" s="345"/>
      <c r="L134" s="345"/>
      <c r="M134" s="345"/>
      <c r="N134" s="345"/>
      <c r="O134" s="345"/>
      <c r="P134" s="345"/>
      <c r="Q134" s="345"/>
      <c r="R134" s="345"/>
      <c r="S134" s="345"/>
      <c r="T134" s="345"/>
      <c r="U134" s="345"/>
      <c r="V134" s="345"/>
      <c r="W134" s="345"/>
      <c r="X134" s="345"/>
      <c r="Y134" s="345"/>
      <c r="Z134" s="345"/>
      <c r="AA134" s="345"/>
      <c r="AB134" s="345"/>
      <c r="AC134" s="345"/>
      <c r="AD134" s="345"/>
      <c r="AE134" s="345"/>
      <c r="AF134" s="345"/>
      <c r="AG134" s="345"/>
      <c r="AH134" s="345"/>
      <c r="AI134" s="345"/>
      <c r="AJ134" s="345"/>
      <c r="AK134" s="345"/>
      <c r="AL134" s="345"/>
      <c r="AM134" s="345"/>
      <c r="AN134" s="345"/>
      <c r="AO134" s="345"/>
      <c r="AP134" s="345"/>
      <c r="AQ134" s="345"/>
      <c r="AR134" s="345"/>
      <c r="AS134" s="345"/>
      <c r="AT134" s="345"/>
      <c r="AU134" s="345"/>
      <c r="AV134" s="345"/>
      <c r="AW134" s="345"/>
      <c r="AX134" s="345"/>
      <c r="AY134" s="345"/>
      <c r="AZ134" s="345"/>
      <c r="BA134" s="345"/>
      <c r="BB134" s="345"/>
      <c r="BC134" s="345"/>
      <c r="BD134" s="345"/>
      <c r="BE134" s="345"/>
      <c r="BF134" s="345"/>
      <c r="BG134" s="345"/>
      <c r="BH134" s="345"/>
      <c r="BI134" s="345"/>
      <c r="BJ134" s="345"/>
      <c r="BK134" s="345"/>
      <c r="BL134" s="345"/>
      <c r="BM134" s="345"/>
      <c r="BN134" s="345"/>
      <c r="BO134" s="345"/>
      <c r="BP134" s="345"/>
      <c r="BQ134" s="345"/>
      <c r="BR134" s="345"/>
      <c r="BS134" s="345"/>
      <c r="BT134" s="345"/>
      <c r="BU134" s="345"/>
      <c r="BV134" s="345"/>
      <c r="BW134" s="345"/>
      <c r="BX134" s="345"/>
      <c r="BY134" s="345"/>
      <c r="BZ134" s="345"/>
      <c r="CA134" s="345"/>
      <c r="CB134" s="345"/>
      <c r="CC134" s="345"/>
      <c r="CD134" s="345"/>
      <c r="CE134" s="345"/>
      <c r="CF134" s="345"/>
      <c r="CG134" s="345"/>
      <c r="CH134" s="345"/>
      <c r="CI134" s="345"/>
      <c r="CJ134" s="345"/>
      <c r="CK134" s="345"/>
      <c r="CL134" s="345"/>
      <c r="CM134" s="345"/>
      <c r="CN134" s="345"/>
      <c r="CO134" s="345"/>
      <c r="CP134" s="345"/>
      <c r="CQ134" s="345"/>
      <c r="CR134" s="345"/>
      <c r="CS134" s="345"/>
      <c r="CT134" s="345"/>
      <c r="CU134" s="345"/>
      <c r="CV134" s="345"/>
      <c r="CW134" s="345"/>
      <c r="CX134" s="345"/>
      <c r="CY134" s="345"/>
      <c r="CZ134" s="345"/>
      <c r="DA134" s="345"/>
      <c r="DB134" s="345"/>
      <c r="DC134" s="345"/>
      <c r="DD134" s="345"/>
      <c r="DE134" s="345"/>
      <c r="DF134" s="345"/>
      <c r="DG134" s="345"/>
      <c r="DH134" s="345"/>
      <c r="DI134" s="345"/>
      <c r="DJ134" s="345"/>
      <c r="DK134" s="345"/>
      <c r="DL134" s="345"/>
      <c r="DM134" s="345"/>
      <c r="DN134" s="345"/>
      <c r="DO134" s="345"/>
      <c r="DP134" s="345"/>
      <c r="DQ134" s="345"/>
      <c r="DR134" s="345"/>
      <c r="DS134" s="345"/>
      <c r="DT134" s="345"/>
      <c r="DU134" s="345"/>
      <c r="DV134" s="345"/>
      <c r="DW134" s="345"/>
      <c r="DX134" s="345"/>
      <c r="DY134" s="345"/>
      <c r="DZ134" s="345"/>
      <c r="EA134" s="345"/>
    </row>
    <row r="135" spans="1:131" hidden="1">
      <c r="A135" s="345"/>
      <c r="B135" s="345"/>
      <c r="C135" s="345"/>
      <c r="D135" s="345"/>
      <c r="E135" s="345"/>
      <c r="F135" s="345"/>
      <c r="G135" s="345"/>
      <c r="H135" s="345"/>
      <c r="I135" s="345"/>
      <c r="J135" s="345"/>
      <c r="K135" s="345"/>
      <c r="L135" s="345"/>
      <c r="M135" s="345"/>
      <c r="N135" s="345"/>
      <c r="O135" s="345"/>
      <c r="P135" s="345"/>
      <c r="Q135" s="345"/>
      <c r="R135" s="345"/>
      <c r="S135" s="345"/>
      <c r="T135" s="345"/>
      <c r="U135" s="345"/>
      <c r="V135" s="345"/>
      <c r="W135" s="345"/>
      <c r="X135" s="345"/>
      <c r="Y135" s="345"/>
      <c r="Z135" s="345"/>
      <c r="AA135" s="345"/>
      <c r="AB135" s="345"/>
      <c r="AC135" s="345"/>
      <c r="AD135" s="345"/>
      <c r="AE135" s="345"/>
      <c r="AF135" s="345"/>
      <c r="AG135" s="345"/>
      <c r="AH135" s="345"/>
      <c r="AI135" s="345"/>
      <c r="AJ135" s="345"/>
      <c r="AK135" s="345"/>
      <c r="AL135" s="345"/>
      <c r="AM135" s="345"/>
      <c r="AN135" s="345"/>
      <c r="AO135" s="345"/>
      <c r="AP135" s="345"/>
      <c r="AQ135" s="345"/>
      <c r="AR135" s="345"/>
      <c r="AS135" s="345"/>
      <c r="AT135" s="345"/>
      <c r="AU135" s="345"/>
      <c r="AV135" s="345"/>
      <c r="AW135" s="345"/>
      <c r="AX135" s="345"/>
      <c r="AY135" s="345"/>
      <c r="AZ135" s="345"/>
      <c r="BA135" s="345"/>
      <c r="BB135" s="345"/>
      <c r="BC135" s="345"/>
      <c r="BD135" s="345"/>
      <c r="BE135" s="345"/>
      <c r="BF135" s="345"/>
      <c r="BG135" s="345"/>
      <c r="BH135" s="345"/>
      <c r="BI135" s="345"/>
      <c r="BJ135" s="345"/>
      <c r="BK135" s="345"/>
      <c r="BL135" s="345"/>
      <c r="BM135" s="345"/>
      <c r="BN135" s="345"/>
      <c r="BO135" s="345"/>
      <c r="BP135" s="345"/>
      <c r="BQ135" s="345"/>
      <c r="BR135" s="345"/>
      <c r="BS135" s="345"/>
      <c r="BT135" s="345"/>
      <c r="BU135" s="345"/>
      <c r="BV135" s="345"/>
      <c r="BW135" s="345"/>
      <c r="BX135" s="345"/>
      <c r="BY135" s="345"/>
      <c r="BZ135" s="345"/>
      <c r="CA135" s="345"/>
      <c r="CB135" s="345"/>
      <c r="CC135" s="345"/>
      <c r="CD135" s="345"/>
      <c r="CE135" s="345"/>
      <c r="CF135" s="345"/>
      <c r="CG135" s="345"/>
      <c r="CH135" s="345"/>
      <c r="CI135" s="345"/>
      <c r="CJ135" s="345"/>
      <c r="CK135" s="345"/>
      <c r="CL135" s="345"/>
      <c r="CM135" s="345"/>
      <c r="CN135" s="345"/>
      <c r="CO135" s="345"/>
      <c r="CP135" s="345"/>
      <c r="CQ135" s="345"/>
      <c r="CR135" s="345"/>
      <c r="CS135" s="345"/>
      <c r="CT135" s="345"/>
      <c r="CU135" s="345"/>
      <c r="CV135" s="345"/>
      <c r="CW135" s="345"/>
      <c r="CX135" s="345"/>
      <c r="CY135" s="345"/>
      <c r="CZ135" s="345"/>
      <c r="DA135" s="345"/>
      <c r="DB135" s="345"/>
      <c r="DC135" s="345"/>
      <c r="DD135" s="345"/>
      <c r="DE135" s="345"/>
      <c r="DF135" s="345"/>
      <c r="DG135" s="345"/>
      <c r="DH135" s="345"/>
      <c r="DI135" s="345"/>
      <c r="DJ135" s="345"/>
      <c r="DK135" s="345"/>
      <c r="DL135" s="345"/>
      <c r="DM135" s="345"/>
      <c r="DN135" s="345"/>
      <c r="DO135" s="345"/>
      <c r="DP135" s="345"/>
      <c r="DQ135" s="345"/>
      <c r="DR135" s="345"/>
      <c r="DS135" s="345"/>
      <c r="DT135" s="345"/>
      <c r="DU135" s="345"/>
      <c r="DV135" s="345"/>
      <c r="DW135" s="345"/>
      <c r="DX135" s="345"/>
      <c r="DY135" s="345"/>
      <c r="DZ135" s="345"/>
      <c r="EA135" s="345"/>
    </row>
    <row r="136" spans="1:131" hidden="1">
      <c r="A136" s="345"/>
      <c r="B136" s="345"/>
      <c r="C136" s="345"/>
      <c r="D136" s="345"/>
      <c r="E136" s="345"/>
      <c r="F136" s="345"/>
      <c r="G136" s="345"/>
      <c r="H136" s="345"/>
      <c r="I136" s="345"/>
      <c r="J136" s="345"/>
      <c r="K136" s="345"/>
      <c r="L136" s="345"/>
      <c r="M136" s="345"/>
      <c r="N136" s="345"/>
      <c r="O136" s="345"/>
      <c r="P136" s="345"/>
      <c r="Q136" s="345"/>
      <c r="R136" s="345"/>
      <c r="S136" s="345"/>
      <c r="T136" s="345"/>
      <c r="U136" s="345"/>
      <c r="V136" s="345"/>
      <c r="W136" s="345"/>
      <c r="X136" s="345"/>
      <c r="Y136" s="345"/>
      <c r="Z136" s="345"/>
      <c r="AA136" s="345"/>
      <c r="AB136" s="345"/>
      <c r="AC136" s="345"/>
      <c r="AD136" s="345"/>
      <c r="AE136" s="345"/>
      <c r="AF136" s="345"/>
      <c r="AG136" s="345"/>
      <c r="AH136" s="345"/>
      <c r="AI136" s="345"/>
      <c r="AJ136" s="345"/>
      <c r="AK136" s="345"/>
      <c r="AL136" s="345"/>
      <c r="AM136" s="345"/>
      <c r="AN136" s="345"/>
      <c r="AO136" s="345"/>
      <c r="AP136" s="345"/>
      <c r="AQ136" s="345"/>
      <c r="AR136" s="345"/>
      <c r="AS136" s="345"/>
      <c r="AT136" s="345"/>
      <c r="AU136" s="345"/>
      <c r="AV136" s="345"/>
      <c r="AW136" s="345"/>
      <c r="AX136" s="345"/>
      <c r="AY136" s="345"/>
      <c r="AZ136" s="345"/>
      <c r="BA136" s="345"/>
      <c r="BB136" s="345"/>
      <c r="BC136" s="345"/>
      <c r="BD136" s="345"/>
      <c r="BE136" s="345"/>
      <c r="BF136" s="345"/>
      <c r="BG136" s="345"/>
      <c r="BH136" s="345"/>
      <c r="BI136" s="345"/>
      <c r="BJ136" s="345"/>
      <c r="BK136" s="345"/>
      <c r="BL136" s="345"/>
      <c r="BM136" s="345"/>
      <c r="BN136" s="345"/>
      <c r="BO136" s="345"/>
      <c r="BP136" s="345"/>
      <c r="BQ136" s="345"/>
      <c r="BR136" s="345"/>
      <c r="BS136" s="345"/>
      <c r="BT136" s="345"/>
      <c r="BU136" s="345"/>
      <c r="BV136" s="345"/>
      <c r="BW136" s="345"/>
      <c r="BX136" s="345"/>
      <c r="BY136" s="345"/>
      <c r="BZ136" s="345"/>
      <c r="CA136" s="345"/>
      <c r="CB136" s="345"/>
      <c r="CC136" s="345"/>
      <c r="CD136" s="345"/>
      <c r="CE136" s="345"/>
      <c r="CF136" s="345"/>
      <c r="CG136" s="345"/>
      <c r="CH136" s="345"/>
      <c r="CI136" s="345"/>
      <c r="CJ136" s="345"/>
      <c r="CK136" s="345"/>
      <c r="CL136" s="345"/>
      <c r="CM136" s="345"/>
      <c r="CN136" s="345"/>
      <c r="CO136" s="345"/>
      <c r="CP136" s="345"/>
      <c r="CQ136" s="345"/>
      <c r="CR136" s="345"/>
      <c r="CS136" s="345"/>
      <c r="CT136" s="345"/>
      <c r="CU136" s="345"/>
      <c r="CV136" s="345"/>
      <c r="CW136" s="345"/>
      <c r="CX136" s="345"/>
      <c r="CY136" s="345"/>
      <c r="CZ136" s="345"/>
      <c r="DA136" s="345"/>
      <c r="DB136" s="345"/>
      <c r="DC136" s="345"/>
      <c r="DD136" s="345"/>
      <c r="DE136" s="345"/>
      <c r="DF136" s="345"/>
      <c r="DG136" s="345"/>
      <c r="DH136" s="345"/>
      <c r="DI136" s="345"/>
      <c r="DJ136" s="345"/>
      <c r="DK136" s="345"/>
      <c r="DL136" s="345"/>
      <c r="DM136" s="345"/>
      <c r="DN136" s="345"/>
      <c r="DO136" s="345"/>
      <c r="DP136" s="345"/>
      <c r="DQ136" s="345"/>
      <c r="DR136" s="345"/>
      <c r="DS136" s="345"/>
      <c r="DT136" s="345"/>
      <c r="DU136" s="345"/>
      <c r="DV136" s="345"/>
      <c r="DW136" s="345"/>
      <c r="DX136" s="345"/>
      <c r="DY136" s="345"/>
      <c r="DZ136" s="345"/>
      <c r="EA136" s="345"/>
    </row>
    <row r="137" spans="1:131" hidden="1">
      <c r="A137" s="345"/>
      <c r="B137" s="345"/>
      <c r="C137" s="345"/>
      <c r="D137" s="345"/>
      <c r="E137" s="345"/>
      <c r="F137" s="345"/>
      <c r="G137" s="345"/>
      <c r="H137" s="345"/>
      <c r="I137" s="345"/>
      <c r="J137" s="345"/>
      <c r="K137" s="345"/>
      <c r="L137" s="345"/>
      <c r="M137" s="345"/>
      <c r="N137" s="345"/>
      <c r="O137" s="345"/>
      <c r="P137" s="345"/>
      <c r="Q137" s="345"/>
      <c r="R137" s="345"/>
      <c r="S137" s="345"/>
      <c r="T137" s="345"/>
      <c r="U137" s="345"/>
      <c r="V137" s="345"/>
      <c r="W137" s="345"/>
      <c r="X137" s="345"/>
      <c r="Y137" s="345"/>
      <c r="Z137" s="345"/>
      <c r="AA137" s="345"/>
      <c r="AB137" s="345"/>
      <c r="AC137" s="345"/>
      <c r="AD137" s="345"/>
      <c r="AE137" s="345"/>
      <c r="AF137" s="345"/>
      <c r="AG137" s="345"/>
      <c r="AH137" s="345"/>
      <c r="AI137" s="345"/>
      <c r="AJ137" s="345"/>
      <c r="AK137" s="345"/>
      <c r="AL137" s="345"/>
      <c r="AM137" s="345"/>
      <c r="AN137" s="345"/>
      <c r="AO137" s="345"/>
      <c r="AP137" s="345"/>
      <c r="AQ137" s="345"/>
      <c r="AR137" s="345"/>
      <c r="AS137" s="345"/>
      <c r="AT137" s="345"/>
      <c r="AU137" s="345"/>
      <c r="AV137" s="345"/>
      <c r="AW137" s="345"/>
      <c r="AX137" s="345"/>
      <c r="AY137" s="345"/>
      <c r="AZ137" s="345"/>
      <c r="BA137" s="345"/>
      <c r="BB137" s="345"/>
      <c r="BC137" s="345"/>
      <c r="BD137" s="345"/>
      <c r="BE137" s="345"/>
      <c r="BF137" s="345"/>
      <c r="BG137" s="345"/>
      <c r="BH137" s="345"/>
      <c r="BI137" s="345"/>
      <c r="BJ137" s="345"/>
      <c r="BK137" s="345"/>
      <c r="BL137" s="345"/>
      <c r="BM137" s="345"/>
      <c r="BN137" s="345"/>
      <c r="BO137" s="345"/>
      <c r="BP137" s="345"/>
      <c r="BQ137" s="345"/>
      <c r="BR137" s="345"/>
      <c r="BS137" s="345"/>
      <c r="BT137" s="345"/>
      <c r="BU137" s="345"/>
      <c r="BV137" s="345"/>
      <c r="BW137" s="345"/>
      <c r="BX137" s="345"/>
      <c r="BY137" s="345"/>
      <c r="BZ137" s="345"/>
      <c r="CA137" s="345"/>
      <c r="CB137" s="345"/>
      <c r="CC137" s="345"/>
      <c r="CD137" s="345"/>
      <c r="CE137" s="345"/>
      <c r="CF137" s="345"/>
      <c r="CG137" s="345"/>
      <c r="CH137" s="345"/>
      <c r="CI137" s="345"/>
      <c r="CJ137" s="345"/>
      <c r="CK137" s="345"/>
      <c r="CL137" s="345"/>
      <c r="CM137" s="345"/>
      <c r="CN137" s="345"/>
      <c r="CO137" s="345"/>
      <c r="CP137" s="345"/>
      <c r="CQ137" s="345"/>
      <c r="CR137" s="345"/>
      <c r="CS137" s="345"/>
      <c r="CT137" s="345"/>
      <c r="CU137" s="345"/>
      <c r="CV137" s="345"/>
      <c r="CW137" s="345"/>
      <c r="CX137" s="345"/>
      <c r="CY137" s="345"/>
      <c r="CZ137" s="345"/>
      <c r="DA137" s="345"/>
      <c r="DB137" s="345"/>
      <c r="DC137" s="345"/>
      <c r="DD137" s="345"/>
      <c r="DE137" s="345"/>
      <c r="DF137" s="345"/>
      <c r="DG137" s="345"/>
      <c r="DH137" s="345"/>
      <c r="DI137" s="345"/>
      <c r="DJ137" s="345"/>
      <c r="DK137" s="345"/>
      <c r="DL137" s="345"/>
      <c r="DM137" s="345"/>
      <c r="DN137" s="345"/>
      <c r="DO137" s="345"/>
      <c r="DP137" s="345"/>
      <c r="DQ137" s="345"/>
      <c r="DR137" s="345"/>
      <c r="DS137" s="345"/>
      <c r="DT137" s="345"/>
      <c r="DU137" s="345"/>
      <c r="DV137" s="345"/>
      <c r="DW137" s="345"/>
      <c r="DX137" s="345"/>
      <c r="DY137" s="345"/>
      <c r="DZ137" s="345"/>
      <c r="EA137" s="345"/>
    </row>
    <row r="138" spans="1:131" hidden="1">
      <c r="A138" s="345"/>
      <c r="B138" s="345"/>
      <c r="C138" s="345"/>
      <c r="D138" s="345"/>
      <c r="E138" s="345"/>
      <c r="F138" s="345"/>
      <c r="G138" s="345"/>
      <c r="H138" s="345"/>
      <c r="I138" s="345"/>
      <c r="J138" s="345"/>
      <c r="K138" s="345"/>
      <c r="L138" s="345"/>
      <c r="M138" s="345"/>
      <c r="N138" s="345"/>
      <c r="O138" s="345"/>
      <c r="P138" s="345"/>
      <c r="Q138" s="345"/>
      <c r="R138" s="345"/>
      <c r="S138" s="345"/>
      <c r="T138" s="345"/>
      <c r="U138" s="345"/>
      <c r="V138" s="345"/>
      <c r="W138" s="345"/>
      <c r="X138" s="345"/>
      <c r="Y138" s="345"/>
      <c r="Z138" s="345"/>
      <c r="AA138" s="345"/>
      <c r="AB138" s="345"/>
      <c r="AC138" s="345"/>
      <c r="AD138" s="345"/>
      <c r="AE138" s="345"/>
      <c r="AF138" s="345"/>
      <c r="AG138" s="345"/>
      <c r="AH138" s="345"/>
      <c r="AI138" s="345"/>
      <c r="AJ138" s="345"/>
      <c r="AK138" s="345"/>
      <c r="AL138" s="345"/>
      <c r="AM138" s="345"/>
      <c r="AN138" s="345"/>
      <c r="AO138" s="345"/>
      <c r="AP138" s="345"/>
      <c r="AQ138" s="345"/>
      <c r="AR138" s="345"/>
      <c r="AS138" s="345"/>
      <c r="AT138" s="345"/>
      <c r="AU138" s="345"/>
      <c r="AV138" s="345"/>
      <c r="AW138" s="345"/>
      <c r="AX138" s="345"/>
      <c r="AY138" s="345"/>
      <c r="AZ138" s="345"/>
      <c r="BA138" s="345"/>
      <c r="BB138" s="345"/>
      <c r="BC138" s="345"/>
      <c r="BD138" s="345"/>
      <c r="BE138" s="345"/>
      <c r="BF138" s="345"/>
      <c r="BG138" s="345"/>
      <c r="BH138" s="345"/>
      <c r="BI138" s="345"/>
      <c r="BJ138" s="345"/>
      <c r="BK138" s="345"/>
      <c r="BL138" s="345"/>
      <c r="BM138" s="345"/>
      <c r="BN138" s="345"/>
      <c r="BO138" s="345"/>
      <c r="BP138" s="345"/>
      <c r="BQ138" s="345"/>
      <c r="BR138" s="345"/>
      <c r="BS138" s="345"/>
      <c r="BT138" s="345"/>
      <c r="BU138" s="345"/>
      <c r="BV138" s="345"/>
      <c r="BW138" s="345"/>
      <c r="BX138" s="345"/>
      <c r="BY138" s="345"/>
      <c r="BZ138" s="345"/>
      <c r="CA138" s="345"/>
      <c r="CB138" s="345"/>
      <c r="CC138" s="345"/>
      <c r="CD138" s="345"/>
      <c r="CE138" s="345"/>
      <c r="CF138" s="345"/>
      <c r="CG138" s="345"/>
      <c r="CH138" s="345"/>
      <c r="CI138" s="345"/>
      <c r="CJ138" s="345"/>
      <c r="CK138" s="345"/>
      <c r="CL138" s="345"/>
      <c r="CM138" s="345"/>
      <c r="CN138" s="345"/>
      <c r="CO138" s="345"/>
      <c r="CP138" s="345"/>
      <c r="CQ138" s="345"/>
      <c r="CR138" s="345"/>
      <c r="CS138" s="345"/>
      <c r="CT138" s="345"/>
      <c r="CU138" s="345"/>
      <c r="CV138" s="345"/>
      <c r="CW138" s="345"/>
      <c r="CX138" s="345"/>
      <c r="CY138" s="345"/>
      <c r="CZ138" s="345"/>
      <c r="DA138" s="345"/>
      <c r="DB138" s="345"/>
      <c r="DC138" s="345"/>
      <c r="DD138" s="345"/>
      <c r="DE138" s="345"/>
      <c r="DF138" s="345"/>
      <c r="DG138" s="345"/>
      <c r="DH138" s="345"/>
      <c r="DI138" s="345"/>
      <c r="DJ138" s="345"/>
      <c r="DK138" s="345"/>
      <c r="DL138" s="345"/>
      <c r="DM138" s="345"/>
      <c r="DN138" s="345"/>
      <c r="DO138" s="345"/>
      <c r="DP138" s="345"/>
      <c r="DQ138" s="345"/>
      <c r="DR138" s="345"/>
      <c r="DS138" s="345"/>
      <c r="DT138" s="345"/>
      <c r="DU138" s="345"/>
      <c r="DV138" s="345"/>
      <c r="DW138" s="345"/>
      <c r="DX138" s="345"/>
      <c r="DY138" s="345"/>
      <c r="DZ138" s="345"/>
      <c r="EA138" s="345"/>
    </row>
    <row r="139" spans="1:131" hidden="1">
      <c r="A139" s="345"/>
      <c r="B139" s="345"/>
      <c r="C139" s="345"/>
      <c r="D139" s="345"/>
      <c r="E139" s="345"/>
      <c r="F139" s="345"/>
      <c r="G139" s="345"/>
      <c r="H139" s="345"/>
      <c r="I139" s="345"/>
      <c r="J139" s="345"/>
      <c r="K139" s="345"/>
      <c r="L139" s="345"/>
      <c r="M139" s="345"/>
      <c r="N139" s="345"/>
      <c r="O139" s="345"/>
      <c r="P139" s="345"/>
      <c r="Q139" s="345"/>
      <c r="R139" s="345"/>
      <c r="S139" s="345"/>
      <c r="T139" s="345"/>
      <c r="U139" s="345"/>
      <c r="V139" s="345"/>
      <c r="W139" s="345"/>
      <c r="X139" s="345"/>
      <c r="Y139" s="345"/>
      <c r="Z139" s="345"/>
      <c r="AA139" s="345"/>
      <c r="AB139" s="345"/>
      <c r="AC139" s="345"/>
      <c r="AD139" s="345"/>
      <c r="AE139" s="345"/>
      <c r="AF139" s="345"/>
      <c r="AG139" s="345"/>
      <c r="AH139" s="345"/>
      <c r="AI139" s="345"/>
      <c r="AJ139" s="345"/>
      <c r="AK139" s="345"/>
      <c r="AL139" s="345"/>
      <c r="AM139" s="345"/>
      <c r="AN139" s="345"/>
      <c r="AO139" s="345"/>
      <c r="AP139" s="345"/>
      <c r="AQ139" s="345"/>
      <c r="AR139" s="345"/>
      <c r="AS139" s="345"/>
      <c r="AT139" s="345"/>
      <c r="AU139" s="345"/>
      <c r="AV139" s="345"/>
      <c r="AW139" s="345"/>
      <c r="AX139" s="345"/>
      <c r="AY139" s="345"/>
      <c r="AZ139" s="345"/>
      <c r="BA139" s="345"/>
      <c r="BB139" s="345"/>
      <c r="BC139" s="345"/>
      <c r="BD139" s="345"/>
      <c r="BE139" s="345"/>
      <c r="BF139" s="345"/>
      <c r="BG139" s="345"/>
      <c r="BH139" s="345"/>
      <c r="BI139" s="345"/>
      <c r="BJ139" s="345"/>
      <c r="BK139" s="345"/>
      <c r="BL139" s="345"/>
      <c r="BM139" s="345"/>
      <c r="BN139" s="345"/>
      <c r="BO139" s="345"/>
      <c r="BP139" s="345"/>
      <c r="BQ139" s="345"/>
      <c r="BR139" s="345"/>
      <c r="BS139" s="345"/>
      <c r="BT139" s="345"/>
      <c r="BU139" s="345"/>
      <c r="BV139" s="345"/>
      <c r="BW139" s="345"/>
      <c r="BX139" s="345"/>
      <c r="BY139" s="345"/>
      <c r="BZ139" s="345"/>
      <c r="CA139" s="345"/>
      <c r="CB139" s="345"/>
      <c r="CC139" s="345"/>
      <c r="CD139" s="345"/>
      <c r="CE139" s="345"/>
      <c r="CF139" s="345"/>
      <c r="CG139" s="345"/>
      <c r="CH139" s="345"/>
      <c r="CI139" s="345"/>
      <c r="CJ139" s="345"/>
      <c r="CK139" s="345"/>
      <c r="CL139" s="345"/>
      <c r="CM139" s="345"/>
      <c r="CN139" s="345"/>
      <c r="CO139" s="345"/>
      <c r="CP139" s="345"/>
      <c r="CQ139" s="345"/>
      <c r="CR139" s="345"/>
      <c r="CS139" s="345"/>
      <c r="CT139" s="345"/>
      <c r="CU139" s="345"/>
      <c r="CV139" s="345"/>
      <c r="CW139" s="345"/>
      <c r="CX139" s="345"/>
      <c r="CY139" s="345"/>
      <c r="CZ139" s="345"/>
      <c r="DA139" s="345"/>
      <c r="DB139" s="345"/>
      <c r="DC139" s="345"/>
      <c r="DD139" s="345"/>
      <c r="DE139" s="345"/>
      <c r="DF139" s="345"/>
      <c r="DG139" s="345"/>
      <c r="DH139" s="345"/>
      <c r="DI139" s="345"/>
      <c r="DJ139" s="345"/>
      <c r="DK139" s="345"/>
      <c r="DL139" s="345"/>
      <c r="DM139" s="345"/>
      <c r="DN139" s="345"/>
      <c r="DO139" s="345"/>
      <c r="DP139" s="345"/>
      <c r="DQ139" s="345"/>
      <c r="DR139" s="345"/>
      <c r="DS139" s="345"/>
      <c r="DT139" s="345"/>
      <c r="DU139" s="345"/>
      <c r="DV139" s="345"/>
      <c r="DW139" s="345"/>
      <c r="DX139" s="345"/>
      <c r="DY139" s="345"/>
      <c r="DZ139" s="345"/>
      <c r="EA139" s="345"/>
    </row>
    <row r="140" spans="1:131" hidden="1">
      <c r="A140" s="345"/>
      <c r="B140" s="345"/>
      <c r="C140" s="345"/>
      <c r="D140" s="345"/>
      <c r="E140" s="345"/>
      <c r="F140" s="345"/>
      <c r="G140" s="345"/>
      <c r="H140" s="345"/>
      <c r="I140" s="345"/>
      <c r="J140" s="345"/>
      <c r="K140" s="345"/>
      <c r="L140" s="345"/>
      <c r="M140" s="345"/>
      <c r="N140" s="345"/>
      <c r="O140" s="345"/>
      <c r="P140" s="345"/>
      <c r="Q140" s="345"/>
      <c r="R140" s="345"/>
      <c r="S140" s="345"/>
      <c r="T140" s="345"/>
      <c r="U140" s="345"/>
      <c r="V140" s="345"/>
      <c r="W140" s="345"/>
      <c r="X140" s="345"/>
      <c r="Y140" s="345"/>
      <c r="Z140" s="345"/>
      <c r="AA140" s="345"/>
      <c r="AB140" s="345"/>
      <c r="AC140" s="345"/>
      <c r="AD140" s="345"/>
      <c r="AE140" s="345"/>
      <c r="AF140" s="345"/>
      <c r="AG140" s="345"/>
      <c r="AH140" s="345"/>
      <c r="AI140" s="345"/>
      <c r="AJ140" s="345"/>
      <c r="AK140" s="345"/>
      <c r="AL140" s="345"/>
      <c r="AM140" s="345"/>
      <c r="AN140" s="345"/>
      <c r="AO140" s="345"/>
      <c r="AP140" s="345"/>
      <c r="AQ140" s="345"/>
      <c r="AR140" s="345"/>
      <c r="AS140" s="345"/>
      <c r="AT140" s="345"/>
      <c r="AU140" s="345"/>
      <c r="AV140" s="345"/>
      <c r="AW140" s="345"/>
      <c r="AX140" s="345"/>
      <c r="AY140" s="345"/>
      <c r="AZ140" s="345"/>
      <c r="BA140" s="345"/>
      <c r="BB140" s="345"/>
      <c r="BC140" s="345"/>
      <c r="BD140" s="345"/>
      <c r="BE140" s="345"/>
      <c r="BF140" s="345"/>
      <c r="BG140" s="345"/>
      <c r="BH140" s="345"/>
      <c r="BI140" s="345"/>
      <c r="BJ140" s="345"/>
      <c r="BK140" s="345"/>
      <c r="BL140" s="345"/>
      <c r="BM140" s="345"/>
      <c r="BN140" s="345"/>
      <c r="BO140" s="345"/>
      <c r="BP140" s="345"/>
      <c r="BQ140" s="345"/>
      <c r="BR140" s="345"/>
      <c r="BS140" s="345"/>
      <c r="BT140" s="345"/>
      <c r="BU140" s="345"/>
      <c r="BV140" s="345"/>
      <c r="BW140" s="345"/>
      <c r="BX140" s="345"/>
      <c r="BY140" s="345"/>
      <c r="BZ140" s="345"/>
      <c r="CA140" s="345"/>
      <c r="CB140" s="345"/>
      <c r="CC140" s="345"/>
      <c r="CD140" s="345"/>
      <c r="CE140" s="345"/>
      <c r="CF140" s="345"/>
      <c r="CG140" s="345"/>
      <c r="CH140" s="345"/>
      <c r="CI140" s="345"/>
      <c r="CJ140" s="345"/>
      <c r="CK140" s="345"/>
      <c r="CL140" s="345"/>
      <c r="CM140" s="345"/>
      <c r="CN140" s="345"/>
      <c r="CO140" s="345"/>
      <c r="CP140" s="345"/>
      <c r="CQ140" s="345"/>
      <c r="CR140" s="345"/>
      <c r="CS140" s="345"/>
      <c r="CT140" s="345"/>
      <c r="CU140" s="345"/>
      <c r="CV140" s="345"/>
      <c r="CW140" s="345"/>
      <c r="CX140" s="345"/>
      <c r="CY140" s="345"/>
      <c r="CZ140" s="345"/>
      <c r="DA140" s="345"/>
      <c r="DB140" s="345"/>
      <c r="DC140" s="345"/>
      <c r="DD140" s="345"/>
      <c r="DE140" s="345"/>
      <c r="DF140" s="345"/>
      <c r="DG140" s="345"/>
      <c r="DH140" s="345"/>
      <c r="DI140" s="345"/>
      <c r="DJ140" s="345"/>
      <c r="DK140" s="345"/>
      <c r="DL140" s="345"/>
      <c r="DM140" s="345"/>
      <c r="DN140" s="345"/>
      <c r="DO140" s="345"/>
      <c r="DP140" s="345"/>
      <c r="DQ140" s="345"/>
      <c r="DR140" s="345"/>
      <c r="DS140" s="345"/>
      <c r="DT140" s="345"/>
      <c r="DU140" s="345"/>
      <c r="DV140" s="345"/>
      <c r="DW140" s="345"/>
      <c r="DX140" s="345"/>
      <c r="DY140" s="345"/>
      <c r="DZ140" s="345"/>
      <c r="EA140" s="345"/>
    </row>
    <row r="141" spans="1:131" hidden="1">
      <c r="A141" s="345"/>
      <c r="B141" s="345"/>
      <c r="C141" s="345"/>
      <c r="D141" s="345"/>
      <c r="E141" s="345"/>
      <c r="F141" s="345"/>
      <c r="G141" s="345"/>
      <c r="H141" s="345"/>
      <c r="I141" s="345"/>
      <c r="J141" s="345"/>
      <c r="K141" s="345"/>
      <c r="L141" s="345"/>
      <c r="M141" s="345"/>
      <c r="N141" s="345"/>
      <c r="O141" s="345"/>
      <c r="P141" s="345"/>
      <c r="Q141" s="345"/>
      <c r="R141" s="345"/>
      <c r="S141" s="345"/>
      <c r="T141" s="345"/>
      <c r="U141" s="345"/>
      <c r="V141" s="345"/>
      <c r="W141" s="345"/>
      <c r="X141" s="345"/>
      <c r="Y141" s="345"/>
      <c r="Z141" s="345"/>
      <c r="AA141" s="345"/>
      <c r="AB141" s="345"/>
      <c r="AC141" s="345"/>
      <c r="AD141" s="345"/>
      <c r="AE141" s="345"/>
      <c r="AF141" s="345"/>
      <c r="AG141" s="345"/>
      <c r="AH141" s="345"/>
      <c r="AI141" s="345"/>
      <c r="AJ141" s="345"/>
      <c r="AK141" s="345"/>
      <c r="AL141" s="345"/>
      <c r="AM141" s="345"/>
      <c r="AN141" s="345"/>
      <c r="AO141" s="345"/>
      <c r="AP141" s="345"/>
      <c r="AQ141" s="345"/>
      <c r="AR141" s="345"/>
      <c r="AS141" s="345"/>
      <c r="AT141" s="345"/>
      <c r="AU141" s="345"/>
      <c r="AV141" s="345"/>
      <c r="AW141" s="345"/>
      <c r="AX141" s="345"/>
      <c r="AY141" s="345"/>
      <c r="AZ141" s="345"/>
      <c r="BA141" s="345"/>
      <c r="BB141" s="345"/>
      <c r="BC141" s="345"/>
      <c r="BD141" s="345"/>
      <c r="BE141" s="345"/>
      <c r="BF141" s="345"/>
      <c r="BG141" s="345"/>
      <c r="BH141" s="345"/>
      <c r="BI141" s="345"/>
      <c r="BJ141" s="345"/>
      <c r="BK141" s="345"/>
      <c r="BL141" s="345"/>
      <c r="BM141" s="345"/>
      <c r="BN141" s="345"/>
      <c r="BO141" s="345"/>
      <c r="BP141" s="345"/>
      <c r="BQ141" s="345"/>
      <c r="BR141" s="345"/>
      <c r="BS141" s="345"/>
      <c r="BT141" s="345"/>
      <c r="BU141" s="345"/>
      <c r="BV141" s="345"/>
      <c r="BW141" s="345"/>
      <c r="BX141" s="345"/>
      <c r="BY141" s="345"/>
      <c r="BZ141" s="345"/>
      <c r="CA141" s="345"/>
      <c r="CB141" s="345"/>
      <c r="CC141" s="345"/>
      <c r="CD141" s="345"/>
      <c r="CE141" s="345"/>
      <c r="CF141" s="345"/>
      <c r="CG141" s="345"/>
      <c r="CH141" s="345"/>
      <c r="CI141" s="345"/>
      <c r="CJ141" s="345"/>
      <c r="CK141" s="345"/>
      <c r="CL141" s="345"/>
      <c r="CM141" s="345"/>
      <c r="CN141" s="345"/>
      <c r="CO141" s="345"/>
      <c r="CP141" s="345"/>
      <c r="CQ141" s="345"/>
      <c r="CR141" s="345"/>
      <c r="CS141" s="345"/>
      <c r="CT141" s="345"/>
      <c r="CU141" s="345"/>
      <c r="CV141" s="345"/>
      <c r="CW141" s="345"/>
      <c r="CX141" s="345"/>
      <c r="CY141" s="345"/>
      <c r="CZ141" s="345"/>
      <c r="DA141" s="345"/>
      <c r="DB141" s="345"/>
      <c r="DC141" s="345"/>
      <c r="DD141" s="345"/>
      <c r="DE141" s="345"/>
      <c r="DF141" s="345"/>
      <c r="DG141" s="345"/>
      <c r="DH141" s="345"/>
      <c r="DI141" s="345"/>
      <c r="DJ141" s="345"/>
      <c r="DK141" s="345"/>
      <c r="DL141" s="345"/>
      <c r="DM141" s="345"/>
      <c r="DN141" s="345"/>
      <c r="DO141" s="345"/>
      <c r="DP141" s="345"/>
      <c r="DQ141" s="345"/>
      <c r="DR141" s="345"/>
      <c r="DS141" s="345"/>
      <c r="DT141" s="345"/>
      <c r="DU141" s="345"/>
      <c r="DV141" s="345"/>
      <c r="DW141" s="345"/>
      <c r="DX141" s="345"/>
      <c r="DY141" s="345"/>
      <c r="DZ141" s="345"/>
      <c r="EA141" s="345"/>
    </row>
    <row r="142" spans="1:131" hidden="1">
      <c r="A142" s="345"/>
      <c r="B142" s="345"/>
      <c r="C142" s="345"/>
      <c r="D142" s="345"/>
      <c r="E142" s="345"/>
      <c r="F142" s="345"/>
      <c r="G142" s="345"/>
      <c r="H142" s="345"/>
      <c r="I142" s="345"/>
      <c r="J142" s="345"/>
      <c r="K142" s="345"/>
      <c r="L142" s="345"/>
      <c r="M142" s="345"/>
      <c r="N142" s="345"/>
      <c r="O142" s="345"/>
      <c r="P142" s="345"/>
      <c r="Q142" s="345"/>
      <c r="R142" s="345"/>
      <c r="S142" s="345"/>
      <c r="T142" s="345"/>
      <c r="U142" s="345"/>
      <c r="V142" s="345"/>
      <c r="W142" s="345"/>
      <c r="X142" s="345"/>
      <c r="Y142" s="345"/>
      <c r="Z142" s="345"/>
      <c r="AA142" s="345"/>
      <c r="AB142" s="345"/>
      <c r="AC142" s="345"/>
      <c r="AD142" s="345"/>
      <c r="AE142" s="345"/>
      <c r="AF142" s="345"/>
      <c r="AG142" s="345"/>
      <c r="AH142" s="345"/>
      <c r="AI142" s="345"/>
      <c r="AJ142" s="345"/>
      <c r="AK142" s="345"/>
      <c r="AL142" s="345"/>
      <c r="AM142" s="345"/>
      <c r="AN142" s="345"/>
      <c r="AO142" s="345"/>
      <c r="AP142" s="345"/>
      <c r="AQ142" s="345"/>
      <c r="AR142" s="345"/>
      <c r="AS142" s="345"/>
      <c r="AT142" s="345"/>
      <c r="AU142" s="345"/>
      <c r="AV142" s="345"/>
      <c r="AW142" s="345"/>
      <c r="AX142" s="345"/>
      <c r="AY142" s="345"/>
      <c r="AZ142" s="345"/>
      <c r="BA142" s="345"/>
      <c r="BB142" s="345"/>
      <c r="BC142" s="345"/>
      <c r="BD142" s="345"/>
      <c r="BE142" s="345"/>
      <c r="BF142" s="345"/>
      <c r="BG142" s="345"/>
      <c r="BH142" s="345"/>
      <c r="BI142" s="345"/>
      <c r="BJ142" s="345"/>
      <c r="BK142" s="345"/>
      <c r="BL142" s="345"/>
      <c r="BM142" s="345"/>
      <c r="BN142" s="345"/>
      <c r="BO142" s="345"/>
      <c r="BP142" s="345"/>
      <c r="BQ142" s="345"/>
      <c r="BR142" s="345"/>
      <c r="BS142" s="345"/>
      <c r="BT142" s="345"/>
      <c r="BU142" s="345"/>
      <c r="BV142" s="345"/>
      <c r="BW142" s="345"/>
      <c r="BX142" s="345"/>
      <c r="BY142" s="345"/>
      <c r="BZ142" s="345"/>
      <c r="CA142" s="345"/>
      <c r="CB142" s="345"/>
      <c r="CC142" s="345"/>
      <c r="CD142" s="345"/>
      <c r="CE142" s="345"/>
      <c r="CF142" s="345"/>
      <c r="CG142" s="345"/>
      <c r="CH142" s="345"/>
      <c r="CI142" s="345"/>
      <c r="CJ142" s="345"/>
      <c r="CK142" s="345"/>
      <c r="CL142" s="345"/>
      <c r="CM142" s="345"/>
      <c r="CN142" s="345"/>
      <c r="CO142" s="345"/>
      <c r="CP142" s="345"/>
      <c r="CQ142" s="345"/>
      <c r="CR142" s="345"/>
      <c r="CS142" s="345"/>
      <c r="CT142" s="345"/>
      <c r="CU142" s="345"/>
      <c r="CV142" s="345"/>
      <c r="CW142" s="345"/>
      <c r="CX142" s="345"/>
      <c r="CY142" s="345"/>
      <c r="CZ142" s="345"/>
      <c r="DA142" s="345"/>
      <c r="DB142" s="345"/>
      <c r="DC142" s="345"/>
      <c r="DD142" s="345"/>
      <c r="DE142" s="345"/>
      <c r="DF142" s="345"/>
      <c r="DG142" s="345"/>
      <c r="DH142" s="345"/>
      <c r="DI142" s="345"/>
      <c r="DJ142" s="345"/>
      <c r="DK142" s="345"/>
      <c r="DL142" s="345"/>
      <c r="DM142" s="345"/>
      <c r="DN142" s="345"/>
      <c r="DO142" s="345"/>
      <c r="DP142" s="345"/>
      <c r="DQ142" s="345"/>
      <c r="DR142" s="345"/>
      <c r="DS142" s="345"/>
      <c r="DT142" s="345"/>
      <c r="DU142" s="345"/>
      <c r="DV142" s="345"/>
      <c r="DW142" s="345"/>
      <c r="DX142" s="345"/>
      <c r="DY142" s="345"/>
      <c r="DZ142" s="345"/>
      <c r="EA142" s="345"/>
    </row>
    <row r="143" spans="1:131" hidden="1">
      <c r="A143" s="345"/>
      <c r="B143" s="345"/>
      <c r="C143" s="345"/>
      <c r="D143" s="345"/>
      <c r="E143" s="345"/>
      <c r="F143" s="345"/>
      <c r="G143" s="345"/>
      <c r="H143" s="345"/>
      <c r="I143" s="345"/>
      <c r="J143" s="345"/>
      <c r="K143" s="345"/>
      <c r="L143" s="345"/>
      <c r="M143" s="345"/>
      <c r="N143" s="345"/>
      <c r="O143" s="345"/>
      <c r="P143" s="345"/>
      <c r="Q143" s="345"/>
      <c r="R143" s="345"/>
      <c r="S143" s="345"/>
      <c r="T143" s="345"/>
      <c r="U143" s="345"/>
      <c r="V143" s="345"/>
      <c r="W143" s="345"/>
      <c r="X143" s="345"/>
      <c r="Y143" s="345"/>
      <c r="Z143" s="345"/>
      <c r="AA143" s="345"/>
      <c r="AB143" s="345"/>
      <c r="AC143" s="345"/>
      <c r="AD143" s="345"/>
      <c r="AE143" s="345"/>
      <c r="AF143" s="345"/>
      <c r="AG143" s="345"/>
      <c r="AH143" s="345"/>
      <c r="AI143" s="345"/>
      <c r="AJ143" s="345"/>
      <c r="AK143" s="345"/>
      <c r="AL143" s="345"/>
      <c r="AM143" s="345"/>
      <c r="AN143" s="345"/>
      <c r="AO143" s="345"/>
      <c r="AP143" s="345"/>
      <c r="AQ143" s="345"/>
      <c r="AR143" s="345"/>
      <c r="AS143" s="345"/>
      <c r="AT143" s="345"/>
      <c r="AU143" s="345"/>
      <c r="AV143" s="345"/>
      <c r="AW143" s="345"/>
      <c r="AX143" s="345"/>
      <c r="AY143" s="345"/>
      <c r="AZ143" s="345"/>
      <c r="BA143" s="345"/>
      <c r="BB143" s="345"/>
      <c r="BC143" s="345"/>
      <c r="BD143" s="345"/>
      <c r="BE143" s="345"/>
      <c r="BF143" s="345"/>
      <c r="BG143" s="345"/>
      <c r="BH143" s="345"/>
      <c r="BI143" s="345"/>
      <c r="BJ143" s="345"/>
      <c r="BK143" s="345"/>
      <c r="BL143" s="345"/>
      <c r="BM143" s="345"/>
      <c r="BN143" s="345"/>
      <c r="BO143" s="345"/>
      <c r="BP143" s="345"/>
      <c r="BQ143" s="345"/>
      <c r="BR143" s="345"/>
      <c r="BS143" s="345"/>
      <c r="BT143" s="345"/>
      <c r="BU143" s="345"/>
      <c r="BV143" s="345"/>
      <c r="BW143" s="345"/>
      <c r="BX143" s="345"/>
      <c r="BY143" s="345"/>
      <c r="BZ143" s="345"/>
      <c r="CA143" s="345"/>
      <c r="CB143" s="345"/>
      <c r="CC143" s="345"/>
      <c r="CD143" s="345"/>
      <c r="CE143" s="345"/>
      <c r="CF143" s="345"/>
      <c r="CG143" s="345"/>
      <c r="CH143" s="345"/>
      <c r="CI143" s="345"/>
      <c r="CJ143" s="345"/>
      <c r="CK143" s="345"/>
      <c r="CL143" s="345"/>
      <c r="CM143" s="345"/>
      <c r="CN143" s="345"/>
      <c r="CO143" s="345"/>
      <c r="CP143" s="345"/>
      <c r="CQ143" s="345"/>
      <c r="CR143" s="345"/>
      <c r="CS143" s="345"/>
      <c r="CT143" s="345"/>
      <c r="CU143" s="345"/>
      <c r="CV143" s="345"/>
      <c r="CW143" s="345"/>
      <c r="CX143" s="345"/>
      <c r="CY143" s="345"/>
      <c r="CZ143" s="345"/>
      <c r="DA143" s="345"/>
      <c r="DB143" s="345"/>
      <c r="DC143" s="345"/>
      <c r="DD143" s="345"/>
      <c r="DE143" s="345"/>
      <c r="DF143" s="345"/>
      <c r="DG143" s="345"/>
      <c r="DH143" s="345"/>
      <c r="DI143" s="345"/>
      <c r="DJ143" s="345"/>
      <c r="DK143" s="345"/>
      <c r="DL143" s="345"/>
      <c r="DM143" s="345"/>
      <c r="DN143" s="345"/>
      <c r="DO143" s="345"/>
      <c r="DP143" s="345"/>
      <c r="DQ143" s="345"/>
      <c r="DR143" s="345"/>
      <c r="DS143" s="345"/>
      <c r="DT143" s="345"/>
      <c r="DU143" s="345"/>
      <c r="DV143" s="345"/>
      <c r="DW143" s="345"/>
      <c r="DX143" s="345"/>
      <c r="DY143" s="345"/>
      <c r="DZ143" s="345"/>
      <c r="EA143" s="345"/>
    </row>
    <row r="144" spans="1:131" hidden="1">
      <c r="A144" s="345"/>
      <c r="B144" s="345"/>
      <c r="C144" s="345"/>
      <c r="D144" s="345"/>
      <c r="E144" s="345"/>
      <c r="F144" s="345"/>
      <c r="G144" s="345"/>
      <c r="H144" s="345"/>
      <c r="I144" s="345"/>
      <c r="J144" s="345"/>
      <c r="K144" s="345"/>
      <c r="L144" s="345"/>
      <c r="M144" s="345"/>
      <c r="N144" s="345"/>
      <c r="O144" s="345"/>
      <c r="P144" s="345"/>
      <c r="Q144" s="345"/>
      <c r="R144" s="345"/>
      <c r="S144" s="345"/>
      <c r="T144" s="345"/>
      <c r="U144" s="345"/>
      <c r="V144" s="345"/>
      <c r="W144" s="345"/>
      <c r="X144" s="345"/>
      <c r="Y144" s="345"/>
      <c r="Z144" s="345"/>
      <c r="AA144" s="345"/>
      <c r="AB144" s="345"/>
      <c r="AC144" s="345"/>
      <c r="AD144" s="345"/>
      <c r="AE144" s="345"/>
      <c r="AF144" s="345"/>
      <c r="AG144" s="345"/>
      <c r="AH144" s="345"/>
      <c r="AI144" s="345"/>
      <c r="AJ144" s="345"/>
      <c r="AK144" s="345"/>
      <c r="AL144" s="345"/>
      <c r="AM144" s="345"/>
      <c r="AN144" s="345"/>
      <c r="AO144" s="345"/>
      <c r="AP144" s="345"/>
      <c r="AQ144" s="345"/>
      <c r="AR144" s="345"/>
      <c r="AS144" s="345"/>
      <c r="AT144" s="345"/>
      <c r="AU144" s="345"/>
      <c r="AV144" s="345"/>
      <c r="AW144" s="345"/>
      <c r="AX144" s="345"/>
      <c r="AY144" s="345"/>
      <c r="AZ144" s="345"/>
      <c r="BA144" s="345"/>
      <c r="BB144" s="345"/>
      <c r="BC144" s="345"/>
      <c r="BD144" s="345"/>
      <c r="BE144" s="345"/>
      <c r="BF144" s="345"/>
      <c r="BG144" s="345"/>
      <c r="BH144" s="345"/>
      <c r="BI144" s="345"/>
      <c r="BJ144" s="345"/>
      <c r="BK144" s="345"/>
      <c r="BL144" s="345"/>
      <c r="BM144" s="345"/>
      <c r="BN144" s="345"/>
      <c r="BO144" s="345"/>
      <c r="BP144" s="345"/>
      <c r="BQ144" s="345"/>
      <c r="BR144" s="345"/>
      <c r="BS144" s="345"/>
      <c r="BT144" s="345"/>
      <c r="BU144" s="345"/>
      <c r="BV144" s="345"/>
      <c r="BW144" s="345"/>
      <c r="BX144" s="345"/>
      <c r="BY144" s="345"/>
      <c r="BZ144" s="345"/>
      <c r="CA144" s="345"/>
      <c r="CB144" s="345"/>
      <c r="CC144" s="345"/>
      <c r="CD144" s="345"/>
      <c r="CE144" s="345"/>
      <c r="CF144" s="345"/>
      <c r="CG144" s="345"/>
      <c r="CH144" s="345"/>
      <c r="CI144" s="345"/>
      <c r="CJ144" s="345"/>
      <c r="CK144" s="345"/>
      <c r="CL144" s="345"/>
      <c r="CM144" s="345"/>
      <c r="CN144" s="345"/>
      <c r="CO144" s="345"/>
      <c r="CP144" s="345"/>
      <c r="CQ144" s="345"/>
      <c r="CR144" s="345"/>
      <c r="CS144" s="345"/>
      <c r="CT144" s="345"/>
      <c r="CU144" s="345"/>
      <c r="CV144" s="345"/>
      <c r="CW144" s="345"/>
      <c r="CX144" s="345"/>
      <c r="CY144" s="345"/>
      <c r="CZ144" s="345"/>
      <c r="DA144" s="345"/>
      <c r="DB144" s="345"/>
      <c r="DC144" s="345"/>
      <c r="DD144" s="345"/>
      <c r="DE144" s="345"/>
      <c r="DF144" s="345"/>
      <c r="DG144" s="345"/>
      <c r="DH144" s="345"/>
      <c r="DI144" s="345"/>
      <c r="DJ144" s="345"/>
      <c r="DK144" s="345"/>
      <c r="DL144" s="345"/>
      <c r="DM144" s="345"/>
      <c r="DN144" s="345"/>
      <c r="DO144" s="345"/>
      <c r="DP144" s="345"/>
      <c r="DQ144" s="345"/>
      <c r="DR144" s="345"/>
      <c r="DS144" s="345"/>
      <c r="DT144" s="345"/>
      <c r="DU144" s="345"/>
      <c r="DV144" s="345"/>
      <c r="DW144" s="345"/>
      <c r="DX144" s="345"/>
      <c r="DY144" s="345"/>
      <c r="DZ144" s="345"/>
      <c r="EA144" s="345"/>
    </row>
    <row r="145" spans="1:131" hidden="1">
      <c r="A145" s="345"/>
      <c r="B145" s="345"/>
      <c r="C145" s="345"/>
      <c r="D145" s="345"/>
      <c r="E145" s="345"/>
      <c r="F145" s="345"/>
      <c r="G145" s="345"/>
      <c r="H145" s="345"/>
      <c r="I145" s="345"/>
      <c r="J145" s="345"/>
      <c r="K145" s="345"/>
      <c r="L145" s="345"/>
      <c r="M145" s="345"/>
      <c r="N145" s="345"/>
      <c r="O145" s="345"/>
      <c r="P145" s="345"/>
      <c r="Q145" s="345"/>
      <c r="R145" s="345"/>
      <c r="S145" s="345"/>
      <c r="T145" s="345"/>
      <c r="U145" s="345"/>
      <c r="V145" s="345"/>
      <c r="W145" s="345"/>
      <c r="X145" s="345"/>
      <c r="Y145" s="345"/>
      <c r="Z145" s="345"/>
      <c r="AA145" s="345"/>
      <c r="AB145" s="345"/>
      <c r="AC145" s="345"/>
      <c r="AD145" s="345"/>
      <c r="AE145" s="345"/>
      <c r="AF145" s="345"/>
      <c r="AG145" s="345"/>
      <c r="AH145" s="345"/>
      <c r="AI145" s="345"/>
      <c r="AJ145" s="345"/>
      <c r="AK145" s="345"/>
      <c r="AL145" s="345"/>
      <c r="AM145" s="345"/>
      <c r="AN145" s="345"/>
      <c r="AO145" s="345"/>
      <c r="AP145" s="345"/>
      <c r="AQ145" s="345"/>
      <c r="AR145" s="345"/>
      <c r="AS145" s="345"/>
      <c r="AT145" s="345"/>
      <c r="AU145" s="345"/>
      <c r="AV145" s="345"/>
      <c r="AW145" s="345"/>
      <c r="AX145" s="345"/>
      <c r="AY145" s="345"/>
      <c r="AZ145" s="345"/>
      <c r="BA145" s="345"/>
      <c r="BB145" s="345"/>
      <c r="BC145" s="345"/>
      <c r="BD145" s="345"/>
      <c r="BE145" s="345"/>
      <c r="BF145" s="345"/>
      <c r="BG145" s="345"/>
      <c r="BH145" s="345"/>
      <c r="BI145" s="345"/>
      <c r="BJ145" s="345"/>
      <c r="BK145" s="345"/>
      <c r="BL145" s="345"/>
      <c r="BM145" s="345"/>
      <c r="BN145" s="345"/>
      <c r="BO145" s="345"/>
      <c r="BP145" s="345"/>
      <c r="BQ145" s="345"/>
      <c r="BR145" s="345"/>
      <c r="BS145" s="345"/>
      <c r="BT145" s="345"/>
      <c r="BU145" s="345"/>
      <c r="BV145" s="345"/>
      <c r="BW145" s="345"/>
      <c r="BX145" s="345"/>
      <c r="BY145" s="345"/>
      <c r="BZ145" s="345"/>
      <c r="CA145" s="345"/>
      <c r="CB145" s="345"/>
      <c r="CC145" s="345"/>
      <c r="CD145" s="345"/>
      <c r="CE145" s="345"/>
      <c r="CF145" s="345"/>
      <c r="CG145" s="345"/>
      <c r="CH145" s="345"/>
      <c r="CI145" s="345"/>
      <c r="CJ145" s="345"/>
      <c r="CK145" s="345"/>
      <c r="CL145" s="345"/>
      <c r="CM145" s="345"/>
      <c r="CN145" s="345"/>
      <c r="CO145" s="345"/>
      <c r="CP145" s="345"/>
      <c r="CQ145" s="345"/>
      <c r="CR145" s="345"/>
      <c r="CS145" s="345"/>
      <c r="CT145" s="345"/>
      <c r="CU145" s="345"/>
      <c r="CV145" s="345"/>
      <c r="CW145" s="345"/>
      <c r="CX145" s="345"/>
      <c r="CY145" s="345"/>
      <c r="CZ145" s="345"/>
      <c r="DA145" s="345"/>
      <c r="DB145" s="345"/>
      <c r="DC145" s="345"/>
      <c r="DD145" s="345"/>
      <c r="DE145" s="345"/>
      <c r="DF145" s="345"/>
      <c r="DG145" s="345"/>
      <c r="DH145" s="345"/>
      <c r="DI145" s="345"/>
      <c r="DJ145" s="345"/>
      <c r="DK145" s="345"/>
      <c r="DL145" s="345"/>
      <c r="DM145" s="345"/>
      <c r="DN145" s="345"/>
      <c r="DO145" s="345"/>
      <c r="DP145" s="345"/>
      <c r="DQ145" s="345"/>
      <c r="DR145" s="345"/>
      <c r="DS145" s="345"/>
      <c r="DT145" s="345"/>
      <c r="DU145" s="345"/>
      <c r="DV145" s="345"/>
      <c r="DW145" s="345"/>
      <c r="DX145" s="345"/>
      <c r="DY145" s="345"/>
      <c r="DZ145" s="345"/>
      <c r="EA145" s="345"/>
    </row>
    <row r="146" spans="1:131" hidden="1">
      <c r="A146" s="345"/>
      <c r="B146" s="345"/>
      <c r="C146" s="345"/>
      <c r="D146" s="345"/>
      <c r="E146" s="345"/>
      <c r="F146" s="345"/>
      <c r="G146" s="345"/>
      <c r="H146" s="345"/>
      <c r="I146" s="345"/>
      <c r="J146" s="345"/>
      <c r="K146" s="345"/>
      <c r="L146" s="345"/>
      <c r="M146" s="345"/>
      <c r="N146" s="345"/>
      <c r="O146" s="345"/>
      <c r="P146" s="345"/>
      <c r="Q146" s="345"/>
      <c r="R146" s="345"/>
      <c r="S146" s="345"/>
      <c r="T146" s="345"/>
      <c r="U146" s="345"/>
      <c r="V146" s="345"/>
      <c r="W146" s="345"/>
      <c r="X146" s="345"/>
      <c r="Y146" s="345"/>
      <c r="Z146" s="345"/>
      <c r="AA146" s="345"/>
      <c r="AB146" s="345"/>
      <c r="AC146" s="345"/>
      <c r="AD146" s="345"/>
      <c r="AE146" s="345"/>
      <c r="AF146" s="345"/>
      <c r="AG146" s="345"/>
      <c r="AH146" s="345"/>
      <c r="AI146" s="345"/>
      <c r="AJ146" s="345"/>
      <c r="AK146" s="345"/>
      <c r="AL146" s="345"/>
      <c r="AM146" s="345"/>
      <c r="AN146" s="345"/>
      <c r="AO146" s="345"/>
      <c r="AP146" s="345"/>
      <c r="AQ146" s="345"/>
      <c r="AR146" s="345"/>
      <c r="AS146" s="345"/>
      <c r="AT146" s="345"/>
      <c r="AU146" s="345"/>
      <c r="AV146" s="345"/>
      <c r="AW146" s="345"/>
      <c r="AX146" s="345"/>
      <c r="AY146" s="345"/>
      <c r="AZ146" s="345"/>
      <c r="BA146" s="345"/>
      <c r="BB146" s="345"/>
      <c r="BC146" s="345"/>
      <c r="BD146" s="345"/>
      <c r="BE146" s="345"/>
      <c r="BF146" s="345"/>
      <c r="BG146" s="345"/>
      <c r="BH146" s="345"/>
      <c r="BI146" s="345"/>
      <c r="BJ146" s="345"/>
      <c r="BK146" s="345"/>
      <c r="BL146" s="345"/>
      <c r="BM146" s="345"/>
      <c r="BN146" s="345"/>
      <c r="BO146" s="345"/>
      <c r="BP146" s="345"/>
      <c r="BQ146" s="345"/>
      <c r="BR146" s="345"/>
      <c r="BS146" s="345"/>
      <c r="BT146" s="345"/>
      <c r="BU146" s="345"/>
      <c r="BV146" s="345"/>
      <c r="BW146" s="345"/>
      <c r="BX146" s="345"/>
      <c r="BY146" s="345"/>
      <c r="BZ146" s="345"/>
      <c r="CA146" s="345"/>
      <c r="CB146" s="345"/>
      <c r="CC146" s="345"/>
      <c r="CD146" s="345"/>
      <c r="CE146" s="345"/>
      <c r="CF146" s="345"/>
      <c r="CG146" s="345"/>
      <c r="CH146" s="345"/>
      <c r="CI146" s="345"/>
      <c r="CJ146" s="345"/>
      <c r="CK146" s="345"/>
      <c r="CL146" s="345"/>
      <c r="CM146" s="345"/>
      <c r="CN146" s="345"/>
      <c r="CO146" s="345"/>
      <c r="CP146" s="345"/>
      <c r="CQ146" s="345"/>
      <c r="CR146" s="345"/>
      <c r="CS146" s="345"/>
      <c r="CT146" s="345"/>
      <c r="CU146" s="345"/>
      <c r="CV146" s="345"/>
      <c r="CW146" s="345"/>
      <c r="CX146" s="345"/>
      <c r="CY146" s="345"/>
      <c r="CZ146" s="345"/>
      <c r="DA146" s="345"/>
      <c r="DB146" s="345"/>
      <c r="DC146" s="345"/>
      <c r="DD146" s="345"/>
      <c r="DE146" s="345"/>
      <c r="DF146" s="345"/>
      <c r="DG146" s="345"/>
      <c r="DH146" s="345"/>
      <c r="DI146" s="345"/>
      <c r="DJ146" s="345"/>
      <c r="DK146" s="345"/>
      <c r="DL146" s="345"/>
      <c r="DM146" s="345"/>
      <c r="DN146" s="345"/>
      <c r="DO146" s="345"/>
      <c r="DP146" s="345"/>
      <c r="DQ146" s="345"/>
      <c r="DR146" s="345"/>
      <c r="DS146" s="345"/>
      <c r="DT146" s="345"/>
      <c r="DU146" s="345"/>
      <c r="DV146" s="345"/>
      <c r="DW146" s="345"/>
      <c r="DX146" s="345"/>
      <c r="DY146" s="345"/>
      <c r="DZ146" s="345"/>
      <c r="EA146" s="345"/>
    </row>
    <row r="147" spans="1:131" hidden="1">
      <c r="A147" s="345"/>
      <c r="B147" s="345"/>
      <c r="C147" s="345"/>
      <c r="D147" s="345"/>
      <c r="E147" s="345"/>
      <c r="F147" s="345"/>
      <c r="G147" s="345"/>
      <c r="H147" s="345"/>
      <c r="I147" s="345"/>
      <c r="J147" s="345"/>
      <c r="K147" s="345"/>
      <c r="L147" s="345"/>
      <c r="M147" s="345"/>
      <c r="N147" s="345"/>
      <c r="O147" s="345"/>
      <c r="P147" s="345"/>
      <c r="Q147" s="345"/>
      <c r="R147" s="345"/>
      <c r="S147" s="345"/>
      <c r="T147" s="345"/>
      <c r="U147" s="345"/>
      <c r="V147" s="345"/>
      <c r="W147" s="345"/>
      <c r="X147" s="345"/>
      <c r="Y147" s="345"/>
      <c r="Z147" s="345"/>
      <c r="AA147" s="345"/>
      <c r="AB147" s="345"/>
      <c r="AC147" s="345"/>
      <c r="AD147" s="345"/>
      <c r="AE147" s="345"/>
      <c r="AF147" s="345"/>
      <c r="AG147" s="345"/>
      <c r="AH147" s="345"/>
      <c r="AI147" s="345"/>
      <c r="AJ147" s="345"/>
      <c r="AK147" s="345"/>
      <c r="AL147" s="345"/>
      <c r="AM147" s="345"/>
      <c r="AN147" s="345"/>
      <c r="AO147" s="345"/>
      <c r="AP147" s="345"/>
      <c r="AQ147" s="345"/>
      <c r="AR147" s="345"/>
      <c r="AS147" s="345"/>
      <c r="AT147" s="345"/>
      <c r="AU147" s="345"/>
      <c r="AV147" s="345"/>
      <c r="AW147" s="345"/>
      <c r="AX147" s="345"/>
      <c r="AY147" s="345"/>
      <c r="AZ147" s="345"/>
      <c r="BA147" s="345"/>
      <c r="BB147" s="345"/>
      <c r="BC147" s="345"/>
      <c r="BD147" s="345"/>
      <c r="BE147" s="345"/>
      <c r="BF147" s="345"/>
      <c r="BG147" s="345"/>
      <c r="BH147" s="345"/>
      <c r="BI147" s="345"/>
      <c r="BJ147" s="345"/>
      <c r="BK147" s="345"/>
      <c r="BL147" s="345"/>
      <c r="BM147" s="345"/>
      <c r="BN147" s="345"/>
      <c r="BO147" s="345"/>
      <c r="BP147" s="345"/>
      <c r="BQ147" s="345"/>
      <c r="BR147" s="345"/>
      <c r="BS147" s="345"/>
      <c r="BT147" s="345"/>
      <c r="BU147" s="345"/>
      <c r="BV147" s="345"/>
      <c r="BW147" s="345"/>
      <c r="BX147" s="345"/>
      <c r="BY147" s="345"/>
      <c r="BZ147" s="345"/>
      <c r="CA147" s="345"/>
      <c r="CB147" s="345"/>
      <c r="CC147" s="345"/>
      <c r="CD147" s="345"/>
      <c r="CE147" s="345"/>
      <c r="CF147" s="345"/>
      <c r="CG147" s="345"/>
      <c r="CH147" s="345"/>
      <c r="CI147" s="345"/>
      <c r="CJ147" s="345"/>
      <c r="CK147" s="345"/>
      <c r="CL147" s="345"/>
      <c r="CM147" s="345"/>
      <c r="CN147" s="345"/>
      <c r="CO147" s="345"/>
      <c r="CP147" s="345"/>
      <c r="CQ147" s="345"/>
      <c r="CR147" s="345"/>
      <c r="CS147" s="345"/>
      <c r="CT147" s="345"/>
      <c r="CU147" s="345"/>
      <c r="CV147" s="345"/>
      <c r="CW147" s="345"/>
      <c r="CX147" s="345"/>
      <c r="CY147" s="345"/>
      <c r="CZ147" s="345"/>
      <c r="DA147" s="345"/>
      <c r="DB147" s="345"/>
      <c r="DC147" s="345"/>
      <c r="DD147" s="345"/>
      <c r="DE147" s="345"/>
      <c r="DF147" s="345"/>
      <c r="DG147" s="345"/>
      <c r="DH147" s="345"/>
      <c r="DI147" s="345"/>
      <c r="DJ147" s="345"/>
      <c r="DK147" s="345"/>
      <c r="DL147" s="345"/>
      <c r="DM147" s="345"/>
      <c r="DN147" s="345"/>
      <c r="DO147" s="345"/>
      <c r="DP147" s="345"/>
      <c r="DQ147" s="345"/>
      <c r="DR147" s="345"/>
      <c r="DS147" s="345"/>
      <c r="DT147" s="345"/>
      <c r="DU147" s="345"/>
      <c r="DV147" s="345"/>
      <c r="DW147" s="345"/>
      <c r="DX147" s="345"/>
      <c r="DY147" s="345"/>
      <c r="DZ147" s="345"/>
      <c r="EA147" s="345"/>
    </row>
    <row r="148" spans="1:131" hidden="1">
      <c r="A148" s="345"/>
      <c r="B148" s="345"/>
      <c r="C148" s="345"/>
      <c r="D148" s="345"/>
      <c r="E148" s="345"/>
      <c r="F148" s="345"/>
      <c r="G148" s="345"/>
      <c r="H148" s="345"/>
      <c r="I148" s="345"/>
      <c r="J148" s="345"/>
      <c r="K148" s="345"/>
      <c r="L148" s="345"/>
      <c r="M148" s="345"/>
      <c r="N148" s="345"/>
      <c r="O148" s="345"/>
      <c r="P148" s="345"/>
      <c r="Q148" s="345"/>
      <c r="R148" s="345"/>
      <c r="S148" s="345"/>
      <c r="T148" s="345"/>
      <c r="U148" s="345"/>
      <c r="V148" s="345"/>
      <c r="W148" s="345"/>
      <c r="X148" s="345"/>
      <c r="Y148" s="345"/>
      <c r="Z148" s="345"/>
      <c r="AA148" s="345"/>
      <c r="AB148" s="345"/>
      <c r="AC148" s="345"/>
      <c r="AD148" s="345"/>
      <c r="AE148" s="345"/>
      <c r="AF148" s="345"/>
      <c r="AG148" s="345"/>
      <c r="AH148" s="345"/>
      <c r="AI148" s="345"/>
      <c r="AJ148" s="345"/>
      <c r="AK148" s="345"/>
      <c r="AL148" s="345"/>
      <c r="AM148" s="345"/>
      <c r="AN148" s="345"/>
      <c r="AO148" s="345"/>
      <c r="AP148" s="345"/>
      <c r="AQ148" s="345"/>
      <c r="AR148" s="345"/>
      <c r="AS148" s="345"/>
      <c r="AT148" s="345"/>
      <c r="AU148" s="345"/>
      <c r="AV148" s="345"/>
      <c r="AW148" s="345"/>
      <c r="AX148" s="345"/>
      <c r="AY148" s="345"/>
      <c r="AZ148" s="345"/>
      <c r="BA148" s="345"/>
      <c r="BB148" s="345"/>
      <c r="BC148" s="345"/>
      <c r="BD148" s="345"/>
      <c r="BE148" s="345"/>
      <c r="BF148" s="345"/>
      <c r="BG148" s="345"/>
      <c r="BH148" s="345"/>
      <c r="BI148" s="345"/>
      <c r="BJ148" s="345"/>
      <c r="BK148" s="345"/>
      <c r="BL148" s="345"/>
      <c r="BM148" s="345"/>
      <c r="BN148" s="345"/>
      <c r="BO148" s="345"/>
      <c r="BP148" s="345"/>
      <c r="BQ148" s="345"/>
      <c r="BR148" s="345"/>
      <c r="BS148" s="345"/>
      <c r="BT148" s="345"/>
      <c r="BU148" s="345"/>
      <c r="BV148" s="345"/>
      <c r="BW148" s="345"/>
      <c r="BX148" s="345"/>
      <c r="BY148" s="345"/>
      <c r="BZ148" s="345"/>
      <c r="CA148" s="345"/>
      <c r="CB148" s="345"/>
      <c r="CC148" s="345"/>
      <c r="CD148" s="345"/>
      <c r="CE148" s="345"/>
      <c r="CF148" s="345"/>
      <c r="CG148" s="345"/>
      <c r="CH148" s="345"/>
      <c r="CI148" s="345"/>
      <c r="CJ148" s="345"/>
      <c r="CK148" s="345"/>
      <c r="CL148" s="345"/>
      <c r="CM148" s="345"/>
      <c r="CN148" s="345"/>
      <c r="CO148" s="345"/>
      <c r="CP148" s="345"/>
      <c r="CQ148" s="345"/>
      <c r="CR148" s="345"/>
      <c r="CS148" s="345"/>
      <c r="CT148" s="345"/>
      <c r="CU148" s="345"/>
      <c r="CV148" s="345"/>
      <c r="CW148" s="345"/>
      <c r="CX148" s="345"/>
      <c r="CY148" s="345"/>
      <c r="CZ148" s="345"/>
      <c r="DA148" s="345"/>
      <c r="DB148" s="345"/>
      <c r="DC148" s="345"/>
      <c r="DD148" s="345"/>
      <c r="DE148" s="345"/>
      <c r="DF148" s="345"/>
      <c r="DG148" s="345"/>
      <c r="DH148" s="345"/>
      <c r="DI148" s="345"/>
      <c r="DJ148" s="345"/>
      <c r="DK148" s="345"/>
      <c r="DL148" s="345"/>
      <c r="DM148" s="345"/>
      <c r="DN148" s="345"/>
      <c r="DO148" s="345"/>
      <c r="DP148" s="345"/>
      <c r="DQ148" s="345"/>
      <c r="DR148" s="345"/>
      <c r="DS148" s="345"/>
      <c r="DT148" s="345"/>
      <c r="DU148" s="345"/>
      <c r="DV148" s="345"/>
      <c r="DW148" s="345"/>
      <c r="DX148" s="345"/>
      <c r="DY148" s="345"/>
      <c r="DZ148" s="345"/>
      <c r="EA148" s="345"/>
    </row>
    <row r="149" spans="1:131" hidden="1">
      <c r="A149" s="345"/>
      <c r="B149" s="345"/>
      <c r="C149" s="345"/>
      <c r="D149" s="345"/>
      <c r="E149" s="345"/>
      <c r="F149" s="345"/>
      <c r="G149" s="345"/>
      <c r="H149" s="345"/>
      <c r="I149" s="345"/>
      <c r="J149" s="345"/>
      <c r="K149" s="345"/>
      <c r="L149" s="345"/>
      <c r="M149" s="345"/>
      <c r="N149" s="345"/>
      <c r="O149" s="345"/>
      <c r="P149" s="345"/>
      <c r="Q149" s="345"/>
      <c r="R149" s="345"/>
      <c r="S149" s="345"/>
      <c r="T149" s="345"/>
      <c r="U149" s="345"/>
      <c r="V149" s="345"/>
      <c r="W149" s="345"/>
      <c r="X149" s="345"/>
      <c r="Y149" s="345"/>
      <c r="Z149" s="345"/>
      <c r="AA149" s="345"/>
      <c r="AB149" s="345"/>
      <c r="AC149" s="345"/>
      <c r="AD149" s="345"/>
      <c r="AE149" s="345"/>
      <c r="AF149" s="345"/>
      <c r="AG149" s="345"/>
      <c r="AH149" s="345"/>
      <c r="AI149" s="345"/>
      <c r="AJ149" s="345"/>
      <c r="AK149" s="345"/>
      <c r="AL149" s="345"/>
      <c r="AM149" s="345"/>
      <c r="AN149" s="345"/>
      <c r="AO149" s="345"/>
      <c r="AP149" s="345"/>
      <c r="AQ149" s="345"/>
      <c r="AR149" s="345"/>
      <c r="AS149" s="345"/>
      <c r="AT149" s="345"/>
      <c r="AU149" s="345"/>
      <c r="AV149" s="345"/>
      <c r="AW149" s="345"/>
      <c r="AX149" s="345"/>
      <c r="AY149" s="345"/>
      <c r="AZ149" s="345"/>
      <c r="BA149" s="345"/>
      <c r="BB149" s="345"/>
      <c r="BC149" s="345"/>
      <c r="BD149" s="345"/>
      <c r="BE149" s="345"/>
      <c r="BF149" s="345"/>
      <c r="BG149" s="345"/>
      <c r="BH149" s="345"/>
      <c r="BI149" s="345"/>
      <c r="BJ149" s="345"/>
      <c r="BK149" s="345"/>
      <c r="BL149" s="345"/>
      <c r="BM149" s="345"/>
      <c r="BN149" s="345"/>
      <c r="BO149" s="345"/>
      <c r="BP149" s="345"/>
      <c r="BQ149" s="345"/>
      <c r="BR149" s="345"/>
      <c r="BS149" s="345"/>
      <c r="BT149" s="345"/>
      <c r="BU149" s="345"/>
      <c r="BV149" s="345"/>
      <c r="BW149" s="345"/>
      <c r="BX149" s="345"/>
      <c r="BY149" s="345"/>
      <c r="BZ149" s="345"/>
      <c r="CA149" s="345"/>
      <c r="CB149" s="345"/>
      <c r="CC149" s="345"/>
      <c r="CD149" s="345"/>
      <c r="CE149" s="345"/>
      <c r="CF149" s="345"/>
      <c r="CG149" s="345"/>
      <c r="CH149" s="345"/>
      <c r="CI149" s="345"/>
      <c r="CJ149" s="345"/>
      <c r="CK149" s="345"/>
      <c r="CL149" s="345"/>
      <c r="CM149" s="345"/>
      <c r="CN149" s="345"/>
      <c r="CO149" s="345"/>
      <c r="CP149" s="345"/>
      <c r="CQ149" s="345"/>
      <c r="CR149" s="345"/>
      <c r="CS149" s="345"/>
      <c r="CT149" s="345"/>
      <c r="CU149" s="345"/>
      <c r="CV149" s="345"/>
      <c r="CW149" s="345"/>
      <c r="CX149" s="345"/>
      <c r="CY149" s="345"/>
      <c r="CZ149" s="345"/>
      <c r="DA149" s="345"/>
      <c r="DB149" s="345"/>
      <c r="DC149" s="345"/>
      <c r="DD149" s="345"/>
      <c r="DE149" s="345"/>
      <c r="DF149" s="345"/>
      <c r="DG149" s="345"/>
      <c r="DH149" s="345"/>
      <c r="DI149" s="345"/>
      <c r="DJ149" s="345"/>
      <c r="DK149" s="345"/>
      <c r="DL149" s="345"/>
      <c r="DM149" s="345"/>
      <c r="DN149" s="345"/>
      <c r="DO149" s="345"/>
      <c r="DP149" s="345"/>
      <c r="DQ149" s="345"/>
      <c r="DR149" s="345"/>
      <c r="DS149" s="345"/>
      <c r="DT149" s="345"/>
      <c r="DU149" s="345"/>
      <c r="DV149" s="345"/>
      <c r="DW149" s="345"/>
      <c r="DX149" s="345"/>
      <c r="DY149" s="345"/>
      <c r="DZ149" s="345"/>
      <c r="EA149" s="345"/>
    </row>
    <row r="150" spans="1:131" hidden="1">
      <c r="A150" s="345"/>
      <c r="B150" s="345"/>
      <c r="C150" s="345"/>
      <c r="D150" s="345"/>
      <c r="E150" s="345"/>
      <c r="F150" s="345"/>
      <c r="G150" s="345"/>
      <c r="H150" s="345"/>
      <c r="I150" s="345"/>
      <c r="J150" s="345"/>
      <c r="K150" s="345"/>
      <c r="L150" s="345"/>
      <c r="M150" s="345"/>
      <c r="N150" s="345"/>
      <c r="O150" s="345"/>
      <c r="P150" s="345"/>
      <c r="Q150" s="345"/>
      <c r="R150" s="345"/>
      <c r="S150" s="345"/>
      <c r="T150" s="345"/>
      <c r="U150" s="345"/>
      <c r="V150" s="345"/>
      <c r="W150" s="345"/>
      <c r="X150" s="345"/>
      <c r="Y150" s="345"/>
      <c r="Z150" s="345"/>
      <c r="AA150" s="345"/>
      <c r="AB150" s="345"/>
      <c r="AC150" s="345"/>
      <c r="AD150" s="345"/>
      <c r="AE150" s="345"/>
      <c r="AF150" s="345"/>
      <c r="AG150" s="345"/>
      <c r="AH150" s="345"/>
      <c r="AI150" s="345"/>
      <c r="AJ150" s="345"/>
      <c r="AK150" s="345"/>
      <c r="AL150" s="345"/>
      <c r="AM150" s="345"/>
      <c r="AN150" s="345"/>
      <c r="AO150" s="345"/>
      <c r="AP150" s="345"/>
      <c r="AQ150" s="345"/>
      <c r="AR150" s="345"/>
      <c r="AS150" s="345"/>
      <c r="AT150" s="345"/>
      <c r="AU150" s="345"/>
      <c r="AV150" s="345"/>
      <c r="AW150" s="345"/>
      <c r="AX150" s="345"/>
      <c r="AY150" s="345"/>
      <c r="AZ150" s="345"/>
      <c r="BA150" s="345"/>
      <c r="BB150" s="345"/>
      <c r="BC150" s="345"/>
      <c r="BD150" s="345"/>
      <c r="BE150" s="345"/>
      <c r="BF150" s="345"/>
      <c r="BG150" s="345"/>
      <c r="BH150" s="345"/>
      <c r="BI150" s="345"/>
      <c r="BJ150" s="345"/>
      <c r="BK150" s="345"/>
      <c r="BL150" s="345"/>
      <c r="BM150" s="345"/>
      <c r="BN150" s="345"/>
      <c r="BO150" s="345"/>
      <c r="BP150" s="345"/>
      <c r="BQ150" s="345"/>
      <c r="BR150" s="345"/>
      <c r="BS150" s="345"/>
      <c r="BT150" s="345"/>
      <c r="BU150" s="345"/>
      <c r="BV150" s="345"/>
      <c r="BW150" s="345"/>
      <c r="BX150" s="345"/>
      <c r="BY150" s="345"/>
      <c r="BZ150" s="345"/>
      <c r="CA150" s="345"/>
      <c r="CB150" s="345"/>
      <c r="CC150" s="345"/>
      <c r="CD150" s="345"/>
      <c r="CE150" s="345"/>
      <c r="CF150" s="345"/>
      <c r="CG150" s="345"/>
      <c r="CH150" s="345"/>
      <c r="CI150" s="345"/>
      <c r="CJ150" s="345"/>
      <c r="CK150" s="345"/>
      <c r="CL150" s="345"/>
      <c r="CM150" s="345"/>
      <c r="CN150" s="345"/>
      <c r="CO150" s="345"/>
      <c r="CP150" s="345"/>
      <c r="CQ150" s="345"/>
      <c r="CR150" s="345"/>
      <c r="CS150" s="345"/>
      <c r="CT150" s="345"/>
      <c r="CU150" s="345"/>
      <c r="CV150" s="345"/>
      <c r="CW150" s="345"/>
      <c r="CX150" s="345"/>
      <c r="CY150" s="345"/>
      <c r="CZ150" s="345"/>
      <c r="DA150" s="345"/>
      <c r="DB150" s="345"/>
      <c r="DC150" s="345"/>
      <c r="DD150" s="345"/>
      <c r="DE150" s="345"/>
      <c r="DF150" s="345"/>
      <c r="DG150" s="345"/>
      <c r="DH150" s="345"/>
      <c r="DI150" s="345"/>
      <c r="DJ150" s="345"/>
      <c r="DK150" s="345"/>
      <c r="DL150" s="345"/>
      <c r="DM150" s="345"/>
      <c r="DN150" s="345"/>
      <c r="DO150" s="345"/>
      <c r="DP150" s="345"/>
      <c r="DQ150" s="345"/>
      <c r="DR150" s="345"/>
      <c r="DS150" s="345"/>
      <c r="DT150" s="345"/>
      <c r="DU150" s="345"/>
      <c r="DV150" s="345"/>
      <c r="DW150" s="345"/>
      <c r="DX150" s="345"/>
      <c r="DY150" s="345"/>
      <c r="DZ150" s="345"/>
      <c r="EA150" s="345"/>
    </row>
    <row r="151" spans="1:131" hidden="1">
      <c r="A151" s="345"/>
      <c r="B151" s="345"/>
      <c r="C151" s="345"/>
      <c r="D151" s="345"/>
      <c r="E151" s="345"/>
      <c r="F151" s="345"/>
      <c r="G151" s="345"/>
      <c r="H151" s="345"/>
      <c r="I151" s="345"/>
      <c r="J151" s="345"/>
      <c r="K151" s="345"/>
      <c r="L151" s="345"/>
      <c r="M151" s="345"/>
      <c r="N151" s="345"/>
      <c r="O151" s="345"/>
      <c r="P151" s="345"/>
      <c r="Q151" s="345"/>
      <c r="R151" s="345"/>
      <c r="S151" s="345"/>
      <c r="T151" s="345"/>
      <c r="U151" s="345"/>
      <c r="V151" s="345"/>
      <c r="W151" s="345"/>
      <c r="X151" s="345"/>
      <c r="Y151" s="345"/>
      <c r="Z151" s="345"/>
      <c r="AA151" s="345"/>
      <c r="AB151" s="345"/>
      <c r="AC151" s="345"/>
      <c r="AD151" s="345"/>
      <c r="AE151" s="345"/>
      <c r="AF151" s="345"/>
      <c r="AG151" s="345"/>
      <c r="AH151" s="345"/>
      <c r="AI151" s="345"/>
      <c r="AJ151" s="345"/>
      <c r="AK151" s="345"/>
      <c r="AL151" s="345"/>
      <c r="AM151" s="345"/>
      <c r="AN151" s="345"/>
      <c r="AO151" s="345"/>
      <c r="AP151" s="345"/>
      <c r="AQ151" s="345"/>
      <c r="AR151" s="345"/>
      <c r="AS151" s="345"/>
      <c r="AT151" s="345"/>
      <c r="AU151" s="345"/>
      <c r="AV151" s="345"/>
      <c r="AW151" s="345"/>
      <c r="AX151" s="345"/>
      <c r="AY151" s="345"/>
      <c r="AZ151" s="345"/>
      <c r="BA151" s="345"/>
      <c r="BB151" s="345"/>
      <c r="BC151" s="345"/>
      <c r="BD151" s="345"/>
      <c r="BE151" s="345"/>
      <c r="BF151" s="345"/>
      <c r="BG151" s="345"/>
      <c r="BH151" s="345"/>
      <c r="BI151" s="345"/>
      <c r="BJ151" s="345"/>
      <c r="BK151" s="345"/>
      <c r="BL151" s="345"/>
      <c r="BM151" s="345"/>
      <c r="BN151" s="345"/>
      <c r="BO151" s="345"/>
      <c r="BP151" s="345"/>
      <c r="BQ151" s="345"/>
      <c r="BR151" s="345"/>
      <c r="BS151" s="345"/>
      <c r="BT151" s="345"/>
      <c r="BU151" s="345"/>
      <c r="BV151" s="345"/>
      <c r="BW151" s="345"/>
      <c r="BX151" s="345"/>
      <c r="BY151" s="345"/>
      <c r="BZ151" s="345"/>
      <c r="CA151" s="345"/>
      <c r="CB151" s="345"/>
      <c r="CC151" s="345"/>
      <c r="CD151" s="345"/>
      <c r="CE151" s="345"/>
      <c r="CF151" s="345"/>
      <c r="CG151" s="345"/>
      <c r="CH151" s="345"/>
      <c r="CI151" s="345"/>
      <c r="CJ151" s="345"/>
      <c r="CK151" s="345"/>
      <c r="CL151" s="345"/>
      <c r="CM151" s="345"/>
      <c r="CN151" s="345"/>
      <c r="CO151" s="345"/>
      <c r="CP151" s="345"/>
      <c r="CQ151" s="345"/>
      <c r="CR151" s="345"/>
      <c r="CS151" s="345"/>
      <c r="CT151" s="345"/>
      <c r="CU151" s="345"/>
      <c r="CV151" s="345"/>
      <c r="CW151" s="345"/>
      <c r="CX151" s="345"/>
      <c r="CY151" s="345"/>
      <c r="CZ151" s="345"/>
      <c r="DA151" s="345"/>
      <c r="DB151" s="345"/>
      <c r="DC151" s="345"/>
      <c r="DD151" s="345"/>
      <c r="DE151" s="345"/>
      <c r="DF151" s="345"/>
      <c r="DG151" s="345"/>
      <c r="DH151" s="345"/>
      <c r="DI151" s="345"/>
      <c r="DJ151" s="345"/>
      <c r="DK151" s="345"/>
      <c r="DL151" s="345"/>
      <c r="DM151" s="345"/>
      <c r="DN151" s="345"/>
      <c r="DO151" s="345"/>
      <c r="DP151" s="345"/>
      <c r="DQ151" s="345"/>
      <c r="DR151" s="345"/>
      <c r="DS151" s="345"/>
      <c r="DT151" s="345"/>
      <c r="DU151" s="345"/>
      <c r="DV151" s="345"/>
      <c r="DW151" s="345"/>
      <c r="DX151" s="345"/>
      <c r="DY151" s="345"/>
      <c r="DZ151" s="345"/>
      <c r="EA151" s="345"/>
    </row>
    <row r="152" spans="1:131" hidden="1">
      <c r="A152" s="345"/>
      <c r="B152" s="345"/>
      <c r="C152" s="345"/>
      <c r="D152" s="345"/>
      <c r="E152" s="345"/>
      <c r="F152" s="345"/>
      <c r="G152" s="345"/>
      <c r="H152" s="345"/>
      <c r="I152" s="345"/>
      <c r="J152" s="345"/>
      <c r="K152" s="345"/>
      <c r="L152" s="345"/>
      <c r="M152" s="345"/>
      <c r="N152" s="345"/>
      <c r="O152" s="345"/>
      <c r="P152" s="345"/>
      <c r="Q152" s="345"/>
      <c r="R152" s="345"/>
      <c r="S152" s="345"/>
      <c r="T152" s="345"/>
      <c r="U152" s="345"/>
      <c r="V152" s="345"/>
      <c r="W152" s="345"/>
      <c r="X152" s="345"/>
      <c r="Y152" s="345"/>
      <c r="Z152" s="345"/>
      <c r="AA152" s="345"/>
      <c r="AB152" s="345"/>
      <c r="AC152" s="345"/>
      <c r="AD152" s="345"/>
      <c r="AE152" s="345"/>
      <c r="AF152" s="345"/>
      <c r="AG152" s="345"/>
      <c r="AH152" s="345"/>
      <c r="AI152" s="345"/>
      <c r="AJ152" s="345"/>
      <c r="AK152" s="345"/>
      <c r="AL152" s="345"/>
      <c r="AM152" s="345"/>
      <c r="AN152" s="345"/>
      <c r="AO152" s="345"/>
      <c r="AP152" s="345"/>
      <c r="AQ152" s="345"/>
      <c r="AR152" s="345"/>
      <c r="AS152" s="345"/>
      <c r="AT152" s="345"/>
      <c r="AU152" s="345"/>
      <c r="AV152" s="345"/>
      <c r="AW152" s="345"/>
      <c r="AX152" s="345"/>
      <c r="AY152" s="345"/>
      <c r="AZ152" s="345"/>
      <c r="BA152" s="345"/>
      <c r="BB152" s="345"/>
      <c r="BC152" s="345"/>
      <c r="BD152" s="345"/>
      <c r="BE152" s="345"/>
      <c r="BF152" s="345"/>
      <c r="BG152" s="345"/>
      <c r="BH152" s="345"/>
      <c r="BI152" s="345"/>
      <c r="BJ152" s="345"/>
      <c r="BK152" s="345"/>
      <c r="BL152" s="345"/>
      <c r="BM152" s="345"/>
      <c r="BN152" s="345"/>
      <c r="BO152" s="345"/>
      <c r="BP152" s="345"/>
      <c r="BQ152" s="345"/>
      <c r="BR152" s="345"/>
      <c r="BS152" s="345"/>
      <c r="BT152" s="345"/>
      <c r="BU152" s="345"/>
      <c r="BV152" s="345"/>
      <c r="BW152" s="345"/>
      <c r="BX152" s="345"/>
      <c r="BY152" s="345"/>
      <c r="BZ152" s="345"/>
      <c r="CA152" s="345"/>
      <c r="CB152" s="345"/>
      <c r="CC152" s="345"/>
      <c r="CD152" s="345"/>
      <c r="CE152" s="345"/>
      <c r="CF152" s="345"/>
      <c r="CG152" s="345"/>
      <c r="CH152" s="345"/>
      <c r="CI152" s="345"/>
      <c r="CJ152" s="345"/>
      <c r="CK152" s="345"/>
      <c r="CL152" s="345"/>
      <c r="CM152" s="345"/>
      <c r="CN152" s="345"/>
      <c r="CO152" s="345"/>
      <c r="CP152" s="345"/>
      <c r="CQ152" s="345"/>
      <c r="CR152" s="345"/>
      <c r="CS152" s="345"/>
      <c r="CT152" s="345"/>
      <c r="CU152" s="345"/>
      <c r="CV152" s="345"/>
      <c r="CW152" s="345"/>
      <c r="CX152" s="345"/>
      <c r="CY152" s="345"/>
      <c r="CZ152" s="345"/>
      <c r="DA152" s="345"/>
      <c r="DB152" s="345"/>
      <c r="DC152" s="345"/>
      <c r="DD152" s="345"/>
      <c r="DE152" s="345"/>
      <c r="DF152" s="345"/>
      <c r="DG152" s="345"/>
      <c r="DH152" s="345"/>
      <c r="DI152" s="345"/>
      <c r="DJ152" s="345"/>
      <c r="DK152" s="345"/>
      <c r="DL152" s="345"/>
      <c r="DM152" s="345"/>
      <c r="DN152" s="345"/>
      <c r="DO152" s="345"/>
      <c r="DP152" s="345"/>
      <c r="DQ152" s="345"/>
      <c r="DR152" s="345"/>
      <c r="DS152" s="345"/>
      <c r="DT152" s="345"/>
      <c r="DU152" s="345"/>
      <c r="DV152" s="345"/>
      <c r="DW152" s="345"/>
      <c r="DX152" s="345"/>
      <c r="DY152" s="345"/>
      <c r="DZ152" s="345"/>
      <c r="EA152" s="345"/>
    </row>
    <row r="153" spans="1:131" hidden="1">
      <c r="A153" s="345"/>
      <c r="B153" s="345"/>
      <c r="C153" s="345"/>
      <c r="D153" s="345"/>
      <c r="E153" s="345"/>
      <c r="F153" s="345"/>
      <c r="G153" s="345"/>
      <c r="H153" s="345"/>
      <c r="I153" s="345"/>
      <c r="J153" s="345"/>
      <c r="K153" s="345"/>
      <c r="L153" s="345"/>
      <c r="M153" s="345"/>
      <c r="N153" s="345"/>
      <c r="O153" s="345"/>
      <c r="P153" s="345"/>
      <c r="Q153" s="345"/>
      <c r="R153" s="345"/>
      <c r="S153" s="345"/>
      <c r="T153" s="345"/>
      <c r="U153" s="345"/>
      <c r="V153" s="345"/>
      <c r="W153" s="345"/>
      <c r="X153" s="345"/>
      <c r="Y153" s="345"/>
      <c r="Z153" s="345"/>
      <c r="AA153" s="345"/>
      <c r="AB153" s="345"/>
      <c r="AC153" s="345"/>
      <c r="AD153" s="345"/>
      <c r="AE153" s="345"/>
      <c r="AF153" s="345"/>
      <c r="AG153" s="345"/>
      <c r="AH153" s="345"/>
      <c r="AI153" s="345"/>
      <c r="AJ153" s="345"/>
      <c r="AK153" s="345"/>
      <c r="AL153" s="345"/>
      <c r="AM153" s="345"/>
      <c r="AN153" s="345"/>
      <c r="AO153" s="345"/>
      <c r="AP153" s="345"/>
      <c r="AQ153" s="345"/>
      <c r="AR153" s="345"/>
      <c r="AS153" s="345"/>
      <c r="AT153" s="345"/>
      <c r="AU153" s="345"/>
      <c r="AV153" s="345"/>
      <c r="AW153" s="345"/>
      <c r="AX153" s="345"/>
      <c r="AY153" s="345"/>
      <c r="AZ153" s="345"/>
      <c r="BA153" s="345"/>
      <c r="BB153" s="345"/>
      <c r="BC153" s="345"/>
      <c r="BD153" s="345"/>
      <c r="BE153" s="345"/>
      <c r="BF153" s="345"/>
      <c r="BG153" s="345"/>
      <c r="BH153" s="345"/>
      <c r="BI153" s="345"/>
      <c r="BJ153" s="345"/>
      <c r="BK153" s="345"/>
      <c r="BL153" s="345"/>
      <c r="BM153" s="345"/>
      <c r="BN153" s="345"/>
      <c r="BO153" s="345"/>
      <c r="BP153" s="345"/>
      <c r="BQ153" s="345"/>
      <c r="BR153" s="345"/>
      <c r="BS153" s="345"/>
      <c r="BT153" s="345"/>
      <c r="BU153" s="345"/>
      <c r="BV153" s="345"/>
      <c r="BW153" s="345"/>
      <c r="BX153" s="345"/>
      <c r="BY153" s="345"/>
      <c r="BZ153" s="345"/>
      <c r="CA153" s="345"/>
      <c r="CB153" s="345"/>
      <c r="CC153" s="345"/>
      <c r="CD153" s="345"/>
      <c r="CE153" s="345"/>
      <c r="CF153" s="345"/>
      <c r="CG153" s="345"/>
      <c r="CH153" s="345"/>
      <c r="CI153" s="345"/>
      <c r="CJ153" s="345"/>
      <c r="CK153" s="345"/>
      <c r="CL153" s="345"/>
      <c r="CM153" s="345"/>
      <c r="CN153" s="345"/>
      <c r="CO153" s="345"/>
      <c r="CP153" s="345"/>
      <c r="CQ153" s="345"/>
      <c r="CR153" s="345"/>
      <c r="CS153" s="345"/>
      <c r="CT153" s="345"/>
      <c r="CU153" s="345"/>
      <c r="CV153" s="345"/>
      <c r="CW153" s="345"/>
      <c r="CX153" s="345"/>
      <c r="CY153" s="345"/>
      <c r="CZ153" s="345"/>
      <c r="DA153" s="345"/>
      <c r="DB153" s="345"/>
      <c r="DC153" s="345"/>
      <c r="DD153" s="345"/>
      <c r="DE153" s="345"/>
      <c r="DF153" s="345"/>
      <c r="DG153" s="345"/>
      <c r="DH153" s="345"/>
      <c r="DI153" s="345"/>
      <c r="DJ153" s="345"/>
      <c r="DK153" s="345"/>
      <c r="DL153" s="345"/>
      <c r="DM153" s="345"/>
      <c r="DN153" s="345"/>
      <c r="DO153" s="345"/>
      <c r="DP153" s="345"/>
      <c r="DQ153" s="345"/>
      <c r="DR153" s="345"/>
      <c r="DS153" s="345"/>
      <c r="DT153" s="345"/>
      <c r="DU153" s="345"/>
      <c r="DV153" s="345"/>
      <c r="DW153" s="345"/>
      <c r="DX153" s="345"/>
      <c r="DY153" s="345"/>
      <c r="DZ153" s="345"/>
      <c r="EA153" s="345"/>
    </row>
    <row r="154" spans="1:131" hidden="1">
      <c r="A154" s="345"/>
      <c r="B154" s="345"/>
      <c r="C154" s="345"/>
      <c r="D154" s="345"/>
      <c r="E154" s="345"/>
      <c r="F154" s="345"/>
      <c r="G154" s="345"/>
      <c r="H154" s="345"/>
      <c r="I154" s="345"/>
      <c r="J154" s="345"/>
      <c r="K154" s="345"/>
      <c r="L154" s="345"/>
      <c r="M154" s="345"/>
      <c r="N154" s="345"/>
      <c r="O154" s="345"/>
      <c r="P154" s="345"/>
      <c r="Q154" s="345"/>
      <c r="R154" s="345"/>
      <c r="S154" s="345"/>
      <c r="T154" s="345"/>
      <c r="U154" s="345"/>
      <c r="V154" s="345"/>
      <c r="W154" s="345"/>
      <c r="X154" s="345"/>
      <c r="Y154" s="345"/>
      <c r="Z154" s="345"/>
      <c r="AA154" s="345"/>
      <c r="AB154" s="345"/>
      <c r="AC154" s="345"/>
      <c r="AD154" s="345"/>
      <c r="AE154" s="345"/>
      <c r="AF154" s="345"/>
      <c r="AG154" s="345"/>
      <c r="AH154" s="345"/>
      <c r="AI154" s="345"/>
      <c r="AJ154" s="345"/>
      <c r="AK154" s="345"/>
      <c r="AL154" s="345"/>
      <c r="AM154" s="345"/>
      <c r="AN154" s="345"/>
      <c r="AO154" s="345"/>
      <c r="AP154" s="345"/>
      <c r="AQ154" s="345"/>
      <c r="AR154" s="345"/>
      <c r="AS154" s="345"/>
      <c r="AT154" s="345"/>
      <c r="AU154" s="345"/>
      <c r="AV154" s="345"/>
      <c r="AW154" s="345"/>
      <c r="AX154" s="345"/>
      <c r="AY154" s="345"/>
      <c r="AZ154" s="345"/>
      <c r="BA154" s="345"/>
      <c r="BB154" s="345"/>
      <c r="BC154" s="345"/>
      <c r="BD154" s="345"/>
      <c r="BE154" s="345"/>
      <c r="BF154" s="345"/>
      <c r="BG154" s="345"/>
      <c r="BH154" s="345"/>
      <c r="BI154" s="345"/>
      <c r="BJ154" s="345"/>
      <c r="BK154" s="345"/>
      <c r="BL154" s="345"/>
      <c r="BM154" s="345"/>
      <c r="BN154" s="345"/>
      <c r="BO154" s="345"/>
      <c r="BP154" s="345"/>
      <c r="BQ154" s="345"/>
      <c r="BR154" s="345"/>
      <c r="BS154" s="345"/>
      <c r="BT154" s="345"/>
      <c r="BU154" s="345"/>
      <c r="BV154" s="345"/>
      <c r="BW154" s="345"/>
      <c r="BX154" s="345"/>
      <c r="BY154" s="345"/>
      <c r="BZ154" s="345"/>
      <c r="CA154" s="345"/>
      <c r="CB154" s="345"/>
      <c r="CC154" s="345"/>
      <c r="CD154" s="345"/>
      <c r="CE154" s="345"/>
      <c r="CF154" s="345"/>
      <c r="CG154" s="345"/>
      <c r="CH154" s="345"/>
      <c r="CI154" s="345"/>
      <c r="CJ154" s="345"/>
      <c r="CK154" s="345"/>
      <c r="CL154" s="345"/>
      <c r="CM154" s="345"/>
      <c r="CN154" s="345"/>
      <c r="CO154" s="345"/>
      <c r="CP154" s="345"/>
      <c r="CQ154" s="345"/>
      <c r="CR154" s="345"/>
      <c r="CS154" s="345"/>
      <c r="CT154" s="345"/>
      <c r="CU154" s="345"/>
      <c r="CV154" s="345"/>
      <c r="CW154" s="345"/>
      <c r="CX154" s="345"/>
      <c r="CY154" s="345"/>
      <c r="CZ154" s="345"/>
      <c r="DA154" s="345"/>
      <c r="DB154" s="345"/>
      <c r="DC154" s="345"/>
      <c r="DD154" s="345"/>
      <c r="DE154" s="345"/>
      <c r="DF154" s="345"/>
      <c r="DG154" s="345"/>
      <c r="DH154" s="345"/>
      <c r="DI154" s="345"/>
      <c r="DJ154" s="345"/>
      <c r="DK154" s="345"/>
      <c r="DL154" s="345"/>
      <c r="DM154" s="345"/>
      <c r="DN154" s="345"/>
      <c r="DO154" s="345"/>
      <c r="DP154" s="345"/>
      <c r="DQ154" s="345"/>
      <c r="DR154" s="345"/>
      <c r="DS154" s="345"/>
      <c r="DT154" s="345"/>
      <c r="DU154" s="345"/>
      <c r="DV154" s="345"/>
      <c r="DW154" s="345"/>
      <c r="DX154" s="345"/>
      <c r="DY154" s="345"/>
      <c r="DZ154" s="345"/>
      <c r="EA154" s="345"/>
    </row>
    <row r="155" spans="1:131" hidden="1">
      <c r="A155" s="345"/>
      <c r="B155" s="345"/>
      <c r="C155" s="345"/>
      <c r="D155" s="345"/>
      <c r="E155" s="345"/>
      <c r="F155" s="345"/>
      <c r="G155" s="345"/>
      <c r="H155" s="345"/>
      <c r="I155" s="345"/>
      <c r="J155" s="345"/>
      <c r="K155" s="345"/>
      <c r="L155" s="345"/>
      <c r="M155" s="345"/>
      <c r="N155" s="345"/>
      <c r="O155" s="345"/>
      <c r="P155" s="345"/>
      <c r="Q155" s="345"/>
      <c r="R155" s="345"/>
      <c r="S155" s="345"/>
      <c r="T155" s="345"/>
      <c r="U155" s="345"/>
      <c r="V155" s="345"/>
      <c r="W155" s="345"/>
      <c r="X155" s="345"/>
      <c r="Y155" s="345"/>
      <c r="Z155" s="345"/>
      <c r="AA155" s="345"/>
      <c r="AB155" s="345"/>
      <c r="AC155" s="345"/>
      <c r="AD155" s="345"/>
      <c r="AE155" s="345"/>
      <c r="AF155" s="345"/>
      <c r="AG155" s="345"/>
      <c r="AH155" s="345"/>
      <c r="AI155" s="345"/>
      <c r="AJ155" s="345"/>
      <c r="AK155" s="345"/>
      <c r="AL155" s="345"/>
      <c r="AM155" s="345"/>
      <c r="AN155" s="345"/>
      <c r="AO155" s="345"/>
      <c r="AP155" s="345"/>
      <c r="AQ155" s="345"/>
      <c r="AR155" s="345"/>
      <c r="AS155" s="345"/>
      <c r="AT155" s="345"/>
      <c r="AU155" s="345"/>
      <c r="AV155" s="345"/>
      <c r="AW155" s="345"/>
      <c r="AX155" s="345"/>
      <c r="AY155" s="345"/>
      <c r="AZ155" s="345"/>
      <c r="BA155" s="345"/>
      <c r="BB155" s="345"/>
      <c r="BC155" s="345"/>
      <c r="BD155" s="345"/>
      <c r="BE155" s="345"/>
      <c r="BF155" s="345"/>
      <c r="BG155" s="345"/>
      <c r="BH155" s="345"/>
      <c r="BI155" s="345"/>
      <c r="BJ155" s="345"/>
      <c r="BK155" s="345"/>
      <c r="BL155" s="345"/>
      <c r="BM155" s="345"/>
      <c r="BN155" s="345"/>
      <c r="BO155" s="345"/>
      <c r="BP155" s="345"/>
      <c r="BQ155" s="345"/>
      <c r="BR155" s="345"/>
      <c r="BS155" s="345"/>
      <c r="BT155" s="345"/>
      <c r="BU155" s="345"/>
      <c r="BV155" s="345"/>
      <c r="BW155" s="345"/>
      <c r="BX155" s="345"/>
      <c r="BY155" s="345"/>
      <c r="BZ155" s="345"/>
      <c r="CA155" s="345"/>
      <c r="CB155" s="345"/>
      <c r="CC155" s="345"/>
      <c r="CD155" s="345"/>
      <c r="CE155" s="345"/>
      <c r="CF155" s="345"/>
      <c r="CG155" s="345"/>
      <c r="CH155" s="345"/>
      <c r="CI155" s="345"/>
      <c r="CJ155" s="345"/>
      <c r="CK155" s="345"/>
      <c r="CL155" s="345"/>
      <c r="CM155" s="345"/>
      <c r="CN155" s="345"/>
      <c r="CO155" s="345"/>
      <c r="CP155" s="345"/>
      <c r="CQ155" s="345"/>
      <c r="CR155" s="345"/>
      <c r="CS155" s="345"/>
      <c r="CT155" s="345"/>
      <c r="CU155" s="345"/>
      <c r="CV155" s="345"/>
      <c r="CW155" s="345"/>
      <c r="CX155" s="345"/>
      <c r="CY155" s="345"/>
      <c r="CZ155" s="345"/>
      <c r="DA155" s="345"/>
      <c r="DB155" s="345"/>
      <c r="DC155" s="345"/>
      <c r="DD155" s="345"/>
      <c r="DE155" s="345"/>
      <c r="DF155" s="345"/>
      <c r="DG155" s="345"/>
      <c r="DH155" s="345"/>
      <c r="DI155" s="345"/>
      <c r="DJ155" s="345"/>
      <c r="DK155" s="345"/>
      <c r="DL155" s="345"/>
      <c r="DM155" s="345"/>
      <c r="DN155" s="345"/>
      <c r="DO155" s="345"/>
      <c r="DP155" s="345"/>
      <c r="DQ155" s="345"/>
      <c r="DR155" s="345"/>
      <c r="DS155" s="345"/>
      <c r="DT155" s="345"/>
      <c r="DU155" s="345"/>
      <c r="DV155" s="345"/>
      <c r="DW155" s="345"/>
      <c r="DX155" s="345"/>
      <c r="DY155" s="345"/>
      <c r="DZ155" s="345"/>
      <c r="EA155" s="345"/>
    </row>
    <row r="156" spans="1:131" hidden="1">
      <c r="A156" s="345"/>
      <c r="B156" s="345"/>
      <c r="C156" s="345"/>
      <c r="D156" s="345"/>
      <c r="E156" s="345"/>
      <c r="F156" s="345"/>
      <c r="G156" s="345"/>
      <c r="H156" s="345"/>
      <c r="I156" s="345"/>
      <c r="J156" s="345"/>
      <c r="K156" s="345"/>
      <c r="L156" s="345"/>
      <c r="M156" s="345"/>
      <c r="N156" s="345"/>
      <c r="O156" s="345"/>
      <c r="P156" s="345"/>
      <c r="Q156" s="345"/>
      <c r="R156" s="345"/>
      <c r="S156" s="345"/>
      <c r="T156" s="345"/>
      <c r="U156" s="345"/>
      <c r="V156" s="345"/>
      <c r="W156" s="345"/>
      <c r="X156" s="345"/>
      <c r="Y156" s="345"/>
      <c r="Z156" s="345"/>
      <c r="AA156" s="345"/>
      <c r="AB156" s="345"/>
      <c r="AC156" s="345"/>
      <c r="AD156" s="345"/>
      <c r="AE156" s="345"/>
      <c r="AF156" s="345"/>
      <c r="AG156" s="345"/>
      <c r="AH156" s="345"/>
      <c r="AI156" s="345"/>
      <c r="AJ156" s="345"/>
      <c r="AK156" s="345"/>
      <c r="AL156" s="345"/>
      <c r="AM156" s="345"/>
      <c r="AN156" s="345"/>
      <c r="AO156" s="345"/>
      <c r="AP156" s="345"/>
      <c r="AQ156" s="345"/>
      <c r="AR156" s="345"/>
      <c r="AS156" s="345"/>
      <c r="AT156" s="345"/>
      <c r="AU156" s="345"/>
      <c r="AV156" s="345"/>
      <c r="AW156" s="345"/>
      <c r="AX156" s="345"/>
      <c r="AY156" s="345"/>
      <c r="AZ156" s="345"/>
      <c r="BA156" s="345"/>
      <c r="BB156" s="345"/>
      <c r="BC156" s="345"/>
      <c r="BD156" s="345"/>
      <c r="BE156" s="345"/>
      <c r="BF156" s="345"/>
      <c r="BG156" s="345"/>
      <c r="BH156" s="345"/>
      <c r="BI156" s="345"/>
      <c r="BJ156" s="345"/>
      <c r="BK156" s="345"/>
      <c r="BL156" s="345"/>
      <c r="BM156" s="345"/>
      <c r="BN156" s="345"/>
      <c r="BO156" s="345"/>
      <c r="BP156" s="345"/>
      <c r="BQ156" s="345"/>
      <c r="BR156" s="345"/>
      <c r="BS156" s="345"/>
      <c r="BT156" s="345"/>
      <c r="BU156" s="345"/>
      <c r="BV156" s="345"/>
      <c r="BW156" s="345"/>
      <c r="BX156" s="345"/>
      <c r="BY156" s="345"/>
      <c r="BZ156" s="345"/>
      <c r="CA156" s="345"/>
      <c r="CB156" s="345"/>
      <c r="CC156" s="345"/>
      <c r="CD156" s="345"/>
      <c r="CE156" s="345"/>
      <c r="CF156" s="345"/>
      <c r="CG156" s="345"/>
      <c r="CH156" s="345"/>
      <c r="CI156" s="345"/>
      <c r="CJ156" s="345"/>
      <c r="CK156" s="345"/>
      <c r="CL156" s="345"/>
      <c r="CM156" s="345"/>
      <c r="CN156" s="345"/>
      <c r="CO156" s="345"/>
      <c r="CP156" s="345"/>
      <c r="CQ156" s="345"/>
      <c r="CR156" s="345"/>
      <c r="CS156" s="345"/>
      <c r="CT156" s="345"/>
      <c r="CU156" s="345"/>
      <c r="CV156" s="345"/>
      <c r="CW156" s="345"/>
      <c r="CX156" s="345"/>
      <c r="CY156" s="345"/>
      <c r="CZ156" s="345"/>
      <c r="DA156" s="345"/>
      <c r="DB156" s="345"/>
      <c r="DC156" s="345"/>
      <c r="DD156" s="345"/>
      <c r="DE156" s="345"/>
      <c r="DF156" s="345"/>
      <c r="DG156" s="345"/>
      <c r="DH156" s="345"/>
      <c r="DI156" s="345"/>
      <c r="DJ156" s="345"/>
      <c r="DK156" s="345"/>
      <c r="DL156" s="345"/>
      <c r="DM156" s="345"/>
      <c r="DN156" s="345"/>
      <c r="DO156" s="345"/>
      <c r="DP156" s="345"/>
      <c r="DQ156" s="345"/>
      <c r="DR156" s="345"/>
      <c r="DS156" s="345"/>
      <c r="DT156" s="345"/>
      <c r="DU156" s="345"/>
      <c r="DV156" s="345"/>
      <c r="DW156" s="345"/>
      <c r="DX156" s="345"/>
      <c r="DY156" s="345"/>
      <c r="DZ156" s="345"/>
      <c r="EA156" s="345"/>
    </row>
    <row r="157" spans="1:131" hidden="1">
      <c r="A157" s="345"/>
      <c r="B157" s="345"/>
      <c r="C157" s="345"/>
      <c r="D157" s="345"/>
      <c r="E157" s="345"/>
      <c r="F157" s="345"/>
      <c r="G157" s="345"/>
      <c r="H157" s="345"/>
      <c r="I157" s="345"/>
      <c r="J157" s="345"/>
      <c r="K157" s="345"/>
      <c r="L157" s="345"/>
      <c r="M157" s="345"/>
      <c r="N157" s="345"/>
      <c r="O157" s="345"/>
      <c r="P157" s="345"/>
      <c r="Q157" s="345"/>
      <c r="R157" s="345"/>
      <c r="S157" s="345"/>
      <c r="T157" s="345"/>
      <c r="U157" s="345"/>
      <c r="V157" s="345"/>
      <c r="W157" s="345"/>
      <c r="X157" s="345"/>
      <c r="Y157" s="345"/>
      <c r="Z157" s="345"/>
      <c r="AA157" s="345"/>
      <c r="AB157" s="345"/>
      <c r="AC157" s="345"/>
      <c r="AD157" s="345"/>
      <c r="AE157" s="345"/>
      <c r="AF157" s="345"/>
      <c r="AG157" s="345"/>
      <c r="AH157" s="345"/>
      <c r="AI157" s="345"/>
      <c r="AJ157" s="345"/>
      <c r="AK157" s="345"/>
      <c r="AL157" s="345"/>
      <c r="AM157" s="345"/>
      <c r="AN157" s="345"/>
      <c r="AO157" s="345"/>
      <c r="AP157" s="345"/>
      <c r="AQ157" s="345"/>
      <c r="AR157" s="345"/>
      <c r="AS157" s="345"/>
      <c r="AT157" s="345"/>
      <c r="AU157" s="345"/>
      <c r="AV157" s="345"/>
      <c r="AW157" s="345"/>
      <c r="AX157" s="345"/>
      <c r="AY157" s="345"/>
      <c r="AZ157" s="345"/>
      <c r="BA157" s="345"/>
      <c r="BB157" s="345"/>
      <c r="BC157" s="345"/>
      <c r="BD157" s="345"/>
      <c r="BE157" s="345"/>
      <c r="BF157" s="345"/>
      <c r="BG157" s="345"/>
      <c r="BH157" s="345"/>
      <c r="BI157" s="345"/>
      <c r="BJ157" s="345"/>
      <c r="BK157" s="345"/>
      <c r="BL157" s="345"/>
      <c r="BM157" s="345"/>
      <c r="BN157" s="345"/>
      <c r="BO157" s="345"/>
      <c r="BP157" s="345"/>
      <c r="BQ157" s="345"/>
      <c r="BR157" s="345"/>
      <c r="BS157" s="345"/>
      <c r="BT157" s="345"/>
      <c r="BU157" s="345"/>
      <c r="BV157" s="345"/>
      <c r="BW157" s="345"/>
      <c r="BX157" s="345"/>
      <c r="BY157" s="345"/>
      <c r="BZ157" s="345"/>
      <c r="CA157" s="345"/>
      <c r="CB157" s="345"/>
      <c r="CC157" s="345"/>
      <c r="CD157" s="345"/>
      <c r="CE157" s="345"/>
      <c r="CF157" s="345"/>
      <c r="CG157" s="345"/>
      <c r="CH157" s="345"/>
      <c r="CI157" s="345"/>
      <c r="CJ157" s="345"/>
      <c r="CK157" s="345"/>
      <c r="CL157" s="345"/>
      <c r="CM157" s="345"/>
      <c r="CN157" s="345"/>
      <c r="CO157" s="345"/>
      <c r="CP157" s="345"/>
      <c r="CQ157" s="345"/>
      <c r="CR157" s="345"/>
      <c r="CS157" s="345"/>
      <c r="CT157" s="345"/>
      <c r="CU157" s="345"/>
      <c r="CV157" s="345"/>
      <c r="CW157" s="345"/>
      <c r="CX157" s="345"/>
      <c r="CY157" s="345"/>
      <c r="CZ157" s="345"/>
      <c r="DA157" s="345"/>
      <c r="DB157" s="345"/>
      <c r="DC157" s="345"/>
      <c r="DD157" s="345"/>
      <c r="DE157" s="345"/>
      <c r="DF157" s="345"/>
      <c r="DG157" s="345"/>
      <c r="DH157" s="345"/>
      <c r="DI157" s="345"/>
      <c r="DJ157" s="345"/>
      <c r="DK157" s="345"/>
      <c r="DL157" s="345"/>
      <c r="DM157" s="345"/>
      <c r="DN157" s="345"/>
      <c r="DO157" s="345"/>
      <c r="DP157" s="345"/>
      <c r="DQ157" s="345"/>
      <c r="DR157" s="345"/>
      <c r="DS157" s="345"/>
      <c r="DT157" s="345"/>
      <c r="DU157" s="345"/>
      <c r="DV157" s="345"/>
      <c r="DW157" s="345"/>
      <c r="DX157" s="345"/>
      <c r="DY157" s="345"/>
      <c r="DZ157" s="345"/>
      <c r="EA157" s="345"/>
    </row>
    <row r="158" spans="1:131" hidden="1">
      <c r="A158" s="345"/>
      <c r="B158" s="345"/>
      <c r="C158" s="345"/>
      <c r="D158" s="345"/>
      <c r="E158" s="345"/>
      <c r="F158" s="345"/>
      <c r="G158" s="345"/>
      <c r="H158" s="345"/>
      <c r="I158" s="345"/>
      <c r="J158" s="345"/>
      <c r="K158" s="345"/>
      <c r="L158" s="345"/>
      <c r="M158" s="345"/>
      <c r="N158" s="345"/>
      <c r="O158" s="345"/>
      <c r="P158" s="345"/>
      <c r="Q158" s="345"/>
      <c r="R158" s="345"/>
      <c r="S158" s="345"/>
      <c r="T158" s="345"/>
      <c r="U158" s="345"/>
      <c r="V158" s="345"/>
      <c r="W158" s="345"/>
      <c r="X158" s="345"/>
      <c r="Y158" s="345"/>
      <c r="Z158" s="345"/>
      <c r="AA158" s="345"/>
      <c r="AB158" s="345"/>
      <c r="AC158" s="345"/>
      <c r="AD158" s="345"/>
      <c r="AE158" s="345"/>
      <c r="AF158" s="345"/>
      <c r="AG158" s="345"/>
      <c r="AH158" s="345"/>
      <c r="AI158" s="345"/>
      <c r="AJ158" s="345"/>
      <c r="AK158" s="345"/>
      <c r="AL158" s="345"/>
      <c r="AM158" s="345"/>
      <c r="AN158" s="345"/>
      <c r="AO158" s="345"/>
      <c r="AP158" s="345"/>
      <c r="AQ158" s="345"/>
      <c r="AR158" s="345"/>
      <c r="AS158" s="345"/>
      <c r="AT158" s="345"/>
      <c r="AU158" s="345"/>
      <c r="AV158" s="345"/>
      <c r="AW158" s="345"/>
      <c r="AX158" s="345"/>
      <c r="AY158" s="345"/>
      <c r="AZ158" s="345"/>
      <c r="BA158" s="345"/>
      <c r="BB158" s="345"/>
      <c r="BC158" s="345"/>
      <c r="BD158" s="345"/>
      <c r="BE158" s="345"/>
      <c r="BF158" s="345"/>
      <c r="BG158" s="345"/>
      <c r="BH158" s="345"/>
      <c r="BI158" s="345"/>
      <c r="BJ158" s="345"/>
      <c r="BK158" s="345"/>
      <c r="BL158" s="345"/>
      <c r="BM158" s="345"/>
      <c r="BN158" s="345"/>
      <c r="BO158" s="345"/>
      <c r="BP158" s="345"/>
      <c r="BQ158" s="345"/>
      <c r="BR158" s="345"/>
      <c r="BS158" s="345"/>
      <c r="BT158" s="345"/>
      <c r="BU158" s="345"/>
      <c r="BV158" s="345"/>
      <c r="BW158" s="345"/>
      <c r="BX158" s="345"/>
      <c r="BY158" s="345"/>
      <c r="BZ158" s="345"/>
      <c r="CA158" s="345"/>
      <c r="CB158" s="345"/>
      <c r="CC158" s="345"/>
      <c r="CD158" s="345"/>
      <c r="CE158" s="345"/>
      <c r="CF158" s="345"/>
      <c r="CG158" s="345"/>
      <c r="CH158" s="345"/>
      <c r="CI158" s="345"/>
      <c r="CJ158" s="345"/>
      <c r="CK158" s="345"/>
      <c r="CL158" s="345"/>
      <c r="CM158" s="345"/>
      <c r="CN158" s="345"/>
      <c r="CO158" s="345"/>
      <c r="CP158" s="345"/>
      <c r="CQ158" s="345"/>
      <c r="CR158" s="345"/>
      <c r="CS158" s="345"/>
      <c r="CT158" s="345"/>
      <c r="CU158" s="345"/>
      <c r="CV158" s="345"/>
      <c r="CW158" s="345"/>
      <c r="CX158" s="345"/>
      <c r="CY158" s="345"/>
      <c r="CZ158" s="345"/>
      <c r="DA158" s="345"/>
      <c r="DB158" s="345"/>
      <c r="DC158" s="345"/>
      <c r="DD158" s="345"/>
      <c r="DE158" s="345"/>
      <c r="DF158" s="345"/>
      <c r="DG158" s="345"/>
      <c r="DH158" s="345"/>
      <c r="DI158" s="345"/>
      <c r="DJ158" s="345"/>
      <c r="DK158" s="345"/>
      <c r="DL158" s="345"/>
      <c r="DM158" s="345"/>
      <c r="DN158" s="345"/>
      <c r="DO158" s="345"/>
      <c r="DP158" s="345"/>
      <c r="DQ158" s="345"/>
      <c r="DR158" s="345"/>
      <c r="DS158" s="345"/>
      <c r="DT158" s="345"/>
      <c r="DU158" s="345"/>
      <c r="DV158" s="345"/>
      <c r="DW158" s="345"/>
      <c r="DX158" s="345"/>
      <c r="DY158" s="345"/>
      <c r="DZ158" s="345"/>
      <c r="EA158" s="345"/>
    </row>
    <row r="159" spans="1:131" hidden="1">
      <c r="A159" s="345"/>
      <c r="B159" s="345"/>
      <c r="C159" s="345"/>
      <c r="D159" s="345"/>
      <c r="E159" s="345"/>
      <c r="F159" s="345"/>
      <c r="G159" s="345"/>
      <c r="H159" s="345"/>
      <c r="I159" s="345"/>
      <c r="J159" s="345"/>
      <c r="K159" s="345"/>
      <c r="L159" s="345"/>
      <c r="M159" s="345"/>
      <c r="N159" s="345"/>
      <c r="O159" s="345"/>
      <c r="P159" s="345"/>
      <c r="Q159" s="345"/>
      <c r="R159" s="345"/>
      <c r="S159" s="345"/>
      <c r="T159" s="345"/>
      <c r="U159" s="345"/>
      <c r="V159" s="345"/>
      <c r="W159" s="345"/>
      <c r="X159" s="345"/>
      <c r="Y159" s="345"/>
      <c r="Z159" s="345"/>
      <c r="AA159" s="345"/>
      <c r="AB159" s="345"/>
      <c r="AC159" s="345"/>
      <c r="AD159" s="345"/>
      <c r="AE159" s="345"/>
      <c r="AF159" s="345"/>
      <c r="AG159" s="345"/>
      <c r="AH159" s="345"/>
      <c r="AI159" s="345"/>
      <c r="AJ159" s="345"/>
      <c r="AK159" s="345"/>
      <c r="AL159" s="345"/>
      <c r="AM159" s="345"/>
      <c r="AN159" s="345"/>
      <c r="AO159" s="345"/>
      <c r="AP159" s="345"/>
      <c r="AQ159" s="345"/>
      <c r="AR159" s="345"/>
      <c r="AS159" s="345"/>
      <c r="AT159" s="345"/>
      <c r="AU159" s="345"/>
      <c r="AV159" s="345"/>
      <c r="AW159" s="345"/>
      <c r="AX159" s="345"/>
      <c r="AY159" s="345"/>
      <c r="AZ159" s="345"/>
      <c r="BA159" s="345"/>
      <c r="BB159" s="345"/>
      <c r="BC159" s="345"/>
      <c r="BD159" s="345"/>
      <c r="BE159" s="345"/>
      <c r="BF159" s="345"/>
      <c r="BG159" s="345"/>
      <c r="BH159" s="345"/>
      <c r="BI159" s="345"/>
      <c r="BJ159" s="345"/>
      <c r="BK159" s="345"/>
      <c r="BL159" s="345"/>
      <c r="BM159" s="345"/>
      <c r="BN159" s="345"/>
      <c r="BO159" s="345"/>
      <c r="BP159" s="345"/>
      <c r="BQ159" s="345"/>
      <c r="BR159" s="345"/>
      <c r="BS159" s="345"/>
      <c r="BT159" s="345"/>
      <c r="BU159" s="345"/>
      <c r="BV159" s="345"/>
      <c r="BW159" s="345"/>
      <c r="BX159" s="345"/>
      <c r="BY159" s="345"/>
      <c r="BZ159" s="345"/>
      <c r="CA159" s="345"/>
      <c r="CB159" s="345"/>
      <c r="CC159" s="345"/>
      <c r="CD159" s="345"/>
      <c r="CE159" s="345"/>
      <c r="CF159" s="345"/>
      <c r="CG159" s="345"/>
      <c r="CH159" s="345"/>
      <c r="CI159" s="345"/>
      <c r="CJ159" s="345"/>
      <c r="CK159" s="345"/>
      <c r="CL159" s="345"/>
      <c r="CM159" s="345"/>
      <c r="CN159" s="345"/>
      <c r="CO159" s="345"/>
      <c r="CP159" s="345"/>
      <c r="CQ159" s="345"/>
      <c r="CR159" s="345"/>
      <c r="CS159" s="345"/>
      <c r="CT159" s="345"/>
      <c r="CU159" s="345"/>
      <c r="CV159" s="345"/>
      <c r="CW159" s="345"/>
      <c r="CX159" s="345"/>
      <c r="CY159" s="345"/>
      <c r="CZ159" s="345"/>
      <c r="DA159" s="345"/>
      <c r="DB159" s="345"/>
      <c r="DC159" s="345"/>
      <c r="DD159" s="345"/>
      <c r="DE159" s="345"/>
      <c r="DF159" s="345"/>
      <c r="DG159" s="345"/>
      <c r="DH159" s="345"/>
      <c r="DI159" s="345"/>
      <c r="DJ159" s="345"/>
      <c r="DK159" s="345"/>
      <c r="DL159" s="345"/>
      <c r="DM159" s="345"/>
      <c r="DN159" s="345"/>
      <c r="DO159" s="345"/>
      <c r="DP159" s="345"/>
      <c r="DQ159" s="345"/>
      <c r="DR159" s="345"/>
      <c r="DS159" s="345"/>
      <c r="DT159" s="345"/>
      <c r="DU159" s="345"/>
      <c r="DV159" s="345"/>
      <c r="DW159" s="345"/>
      <c r="DX159" s="345"/>
      <c r="DY159" s="345"/>
      <c r="DZ159" s="345"/>
      <c r="EA159" s="345"/>
    </row>
    <row r="160" spans="1:131" hidden="1">
      <c r="A160" s="345"/>
      <c r="B160" s="345"/>
      <c r="C160" s="345"/>
      <c r="D160" s="345"/>
      <c r="E160" s="345"/>
      <c r="F160" s="345"/>
      <c r="G160" s="345"/>
      <c r="H160" s="345"/>
      <c r="I160" s="345"/>
      <c r="J160" s="345"/>
      <c r="K160" s="345"/>
      <c r="L160" s="345"/>
      <c r="M160" s="345"/>
      <c r="N160" s="345"/>
      <c r="O160" s="345"/>
      <c r="P160" s="345"/>
      <c r="Q160" s="345"/>
      <c r="R160" s="345"/>
      <c r="S160" s="345"/>
      <c r="T160" s="345"/>
      <c r="U160" s="345"/>
      <c r="V160" s="345"/>
      <c r="W160" s="345"/>
      <c r="X160" s="345"/>
      <c r="Y160" s="345"/>
      <c r="Z160" s="345"/>
      <c r="AA160" s="345"/>
      <c r="AB160" s="345"/>
      <c r="AC160" s="345"/>
      <c r="AD160" s="345"/>
      <c r="AE160" s="345"/>
      <c r="AF160" s="345"/>
      <c r="AG160" s="345"/>
      <c r="AH160" s="345"/>
      <c r="AI160" s="345"/>
      <c r="AJ160" s="345"/>
      <c r="AK160" s="345"/>
      <c r="AL160" s="345"/>
      <c r="AM160" s="345"/>
      <c r="AN160" s="345"/>
      <c r="AO160" s="345"/>
      <c r="AP160" s="345"/>
      <c r="AQ160" s="345"/>
      <c r="AR160" s="345"/>
      <c r="AS160" s="345"/>
      <c r="AT160" s="345"/>
      <c r="AU160" s="345"/>
      <c r="AV160" s="345"/>
      <c r="AW160" s="345"/>
      <c r="AX160" s="345"/>
      <c r="AY160" s="345"/>
      <c r="AZ160" s="345"/>
      <c r="BA160" s="345"/>
      <c r="BB160" s="345"/>
      <c r="BC160" s="345"/>
      <c r="BD160" s="345"/>
      <c r="BE160" s="345"/>
      <c r="BF160" s="345"/>
      <c r="BG160" s="345"/>
      <c r="BH160" s="345"/>
      <c r="BI160" s="345"/>
      <c r="BJ160" s="345"/>
      <c r="BK160" s="345"/>
      <c r="BL160" s="345"/>
      <c r="BM160" s="345"/>
      <c r="BN160" s="345"/>
      <c r="BO160" s="345"/>
      <c r="BP160" s="345"/>
      <c r="BQ160" s="345"/>
      <c r="BR160" s="345"/>
      <c r="BS160" s="345"/>
      <c r="BT160" s="345"/>
      <c r="BU160" s="345"/>
      <c r="BV160" s="345"/>
      <c r="BW160" s="345"/>
      <c r="BX160" s="345"/>
      <c r="BY160" s="345"/>
      <c r="BZ160" s="345"/>
      <c r="CA160" s="345"/>
      <c r="CB160" s="345"/>
      <c r="CC160" s="345"/>
      <c r="CD160" s="345"/>
      <c r="CE160" s="345"/>
      <c r="CF160" s="345"/>
      <c r="CG160" s="345"/>
      <c r="CH160" s="345"/>
      <c r="CI160" s="345"/>
      <c r="CJ160" s="345"/>
      <c r="CK160" s="345"/>
      <c r="CL160" s="345"/>
      <c r="CM160" s="345"/>
      <c r="CN160" s="345"/>
      <c r="CO160" s="345"/>
      <c r="CP160" s="345"/>
      <c r="CQ160" s="345"/>
      <c r="CR160" s="345"/>
      <c r="CS160" s="345"/>
      <c r="CT160" s="345"/>
      <c r="CU160" s="345"/>
      <c r="CV160" s="345"/>
      <c r="CW160" s="345"/>
      <c r="CX160" s="345"/>
      <c r="CY160" s="345"/>
      <c r="CZ160" s="345"/>
      <c r="DA160" s="345"/>
      <c r="DB160" s="345"/>
      <c r="DC160" s="345"/>
      <c r="DD160" s="345"/>
      <c r="DE160" s="345"/>
      <c r="DF160" s="345"/>
      <c r="DG160" s="345"/>
      <c r="DH160" s="345"/>
      <c r="DI160" s="345"/>
      <c r="DJ160" s="345"/>
      <c r="DK160" s="345"/>
      <c r="DL160" s="345"/>
      <c r="DM160" s="345"/>
      <c r="DN160" s="345"/>
      <c r="DO160" s="345"/>
      <c r="DP160" s="345"/>
      <c r="DQ160" s="345"/>
      <c r="DR160" s="345"/>
      <c r="DS160" s="345"/>
      <c r="DT160" s="345"/>
      <c r="DU160" s="345"/>
      <c r="DV160" s="345"/>
      <c r="DW160" s="345"/>
      <c r="DX160" s="345"/>
      <c r="DY160" s="345"/>
      <c r="DZ160" s="345"/>
      <c r="EA160" s="345"/>
    </row>
    <row r="161" spans="1:131" hidden="1">
      <c r="A161" s="345"/>
      <c r="B161" s="345"/>
      <c r="C161" s="345"/>
      <c r="D161" s="345"/>
      <c r="E161" s="345"/>
      <c r="F161" s="345"/>
      <c r="G161" s="345"/>
      <c r="H161" s="345"/>
      <c r="I161" s="345"/>
      <c r="J161" s="345"/>
      <c r="K161" s="345"/>
      <c r="L161" s="345"/>
      <c r="M161" s="345"/>
      <c r="N161" s="345"/>
      <c r="O161" s="345"/>
      <c r="P161" s="345"/>
      <c r="Q161" s="345"/>
      <c r="R161" s="345"/>
      <c r="S161" s="345"/>
      <c r="T161" s="345"/>
      <c r="U161" s="345"/>
      <c r="V161" s="345"/>
      <c r="W161" s="345"/>
      <c r="X161" s="345"/>
      <c r="Y161" s="345"/>
      <c r="Z161" s="345"/>
      <c r="AA161" s="345"/>
      <c r="AB161" s="345"/>
      <c r="AC161" s="345"/>
      <c r="AD161" s="345"/>
      <c r="AE161" s="345"/>
      <c r="AF161" s="345"/>
      <c r="AG161" s="345"/>
      <c r="AH161" s="345"/>
      <c r="AI161" s="345"/>
      <c r="AJ161" s="345"/>
      <c r="AK161" s="345"/>
      <c r="AL161" s="345"/>
      <c r="AM161" s="345"/>
      <c r="AN161" s="345"/>
      <c r="AO161" s="345"/>
      <c r="AP161" s="345"/>
      <c r="AQ161" s="345"/>
      <c r="AR161" s="345"/>
      <c r="AS161" s="345"/>
      <c r="AT161" s="345"/>
      <c r="AU161" s="345"/>
      <c r="AV161" s="345"/>
      <c r="AW161" s="345"/>
      <c r="AX161" s="345"/>
      <c r="AY161" s="345"/>
      <c r="AZ161" s="345"/>
      <c r="BA161" s="345"/>
      <c r="BB161" s="345"/>
      <c r="BC161" s="345"/>
      <c r="BD161" s="345"/>
      <c r="BE161" s="345"/>
      <c r="BF161" s="345"/>
      <c r="BG161" s="345"/>
      <c r="BH161" s="345"/>
      <c r="BI161" s="345"/>
      <c r="BJ161" s="345"/>
      <c r="BK161" s="345"/>
      <c r="BL161" s="345"/>
      <c r="BM161" s="345"/>
      <c r="BN161" s="345"/>
      <c r="BO161" s="345"/>
      <c r="BP161" s="345"/>
      <c r="BQ161" s="345"/>
      <c r="BR161" s="345"/>
      <c r="BS161" s="345"/>
      <c r="BT161" s="345"/>
      <c r="BU161" s="345"/>
      <c r="BV161" s="345"/>
      <c r="BW161" s="345"/>
      <c r="BX161" s="345"/>
      <c r="BY161" s="345"/>
      <c r="BZ161" s="345"/>
      <c r="CA161" s="345"/>
      <c r="CB161" s="345"/>
      <c r="CC161" s="345"/>
      <c r="CD161" s="345"/>
      <c r="CE161" s="345"/>
      <c r="CF161" s="345"/>
      <c r="CG161" s="345"/>
      <c r="CH161" s="345"/>
      <c r="CI161" s="345"/>
      <c r="CJ161" s="345"/>
      <c r="CK161" s="345"/>
      <c r="CL161" s="345"/>
      <c r="CM161" s="345"/>
      <c r="CN161" s="345"/>
      <c r="CO161" s="345"/>
      <c r="CP161" s="345"/>
      <c r="CQ161" s="345"/>
      <c r="CR161" s="345"/>
      <c r="CS161" s="345"/>
      <c r="CT161" s="345"/>
      <c r="CU161" s="345"/>
      <c r="CV161" s="345"/>
      <c r="CW161" s="345"/>
      <c r="CX161" s="345"/>
      <c r="CY161" s="345"/>
      <c r="CZ161" s="345"/>
      <c r="DA161" s="345"/>
      <c r="DB161" s="345"/>
      <c r="DC161" s="345"/>
      <c r="DD161" s="345"/>
      <c r="DE161" s="345"/>
      <c r="DF161" s="345"/>
      <c r="DG161" s="345"/>
      <c r="DH161" s="345"/>
      <c r="DI161" s="345"/>
      <c r="DJ161" s="345"/>
      <c r="DK161" s="345"/>
      <c r="DL161" s="345"/>
      <c r="DM161" s="345"/>
      <c r="DN161" s="345"/>
      <c r="DO161" s="345"/>
      <c r="DP161" s="345"/>
      <c r="DQ161" s="345"/>
      <c r="DR161" s="345"/>
      <c r="DS161" s="345"/>
      <c r="DT161" s="345"/>
      <c r="DU161" s="345"/>
      <c r="DV161" s="345"/>
      <c r="DW161" s="345"/>
      <c r="DX161" s="345"/>
      <c r="DY161" s="345"/>
      <c r="DZ161" s="345"/>
      <c r="EA161" s="345"/>
    </row>
    <row r="162" spans="1:131" hidden="1">
      <c r="A162" s="345"/>
      <c r="B162" s="345"/>
      <c r="C162" s="345"/>
      <c r="D162" s="345"/>
      <c r="E162" s="345"/>
      <c r="F162" s="345"/>
      <c r="G162" s="345"/>
      <c r="H162" s="345"/>
      <c r="I162" s="345"/>
      <c r="J162" s="345"/>
      <c r="K162" s="345"/>
      <c r="L162" s="345"/>
      <c r="M162" s="345"/>
      <c r="N162" s="345"/>
      <c r="O162" s="345"/>
      <c r="P162" s="345"/>
      <c r="Q162" s="345"/>
      <c r="R162" s="345"/>
      <c r="S162" s="345"/>
      <c r="T162" s="345"/>
      <c r="U162" s="345"/>
      <c r="V162" s="345"/>
      <c r="W162" s="345"/>
      <c r="X162" s="345"/>
      <c r="Y162" s="345"/>
      <c r="Z162" s="345"/>
      <c r="AA162" s="345"/>
      <c r="AB162" s="345"/>
      <c r="AC162" s="345"/>
      <c r="AD162" s="345"/>
      <c r="AE162" s="345"/>
      <c r="AF162" s="345"/>
      <c r="AG162" s="345"/>
      <c r="AH162" s="345"/>
      <c r="AI162" s="345"/>
      <c r="AJ162" s="345"/>
      <c r="AK162" s="345"/>
      <c r="AL162" s="345"/>
      <c r="AM162" s="345"/>
      <c r="AN162" s="345"/>
      <c r="AO162" s="345"/>
      <c r="AP162" s="345"/>
      <c r="AQ162" s="345"/>
      <c r="AR162" s="345"/>
      <c r="AS162" s="345"/>
      <c r="AT162" s="345"/>
      <c r="AU162" s="345"/>
      <c r="AV162" s="345"/>
      <c r="AW162" s="345"/>
      <c r="AX162" s="345"/>
      <c r="AY162" s="345"/>
      <c r="AZ162" s="345"/>
      <c r="BA162" s="345"/>
      <c r="BB162" s="345"/>
      <c r="BC162" s="345"/>
      <c r="BD162" s="345"/>
      <c r="BE162" s="345"/>
      <c r="BF162" s="345"/>
      <c r="BG162" s="345"/>
      <c r="BH162" s="345"/>
      <c r="BI162" s="345"/>
      <c r="BJ162" s="345"/>
      <c r="BK162" s="345"/>
      <c r="BL162" s="345"/>
      <c r="BM162" s="345"/>
      <c r="BN162" s="345"/>
      <c r="BO162" s="345"/>
      <c r="BP162" s="345"/>
      <c r="BQ162" s="345"/>
      <c r="BR162" s="345"/>
      <c r="BS162" s="345"/>
      <c r="BT162" s="345"/>
      <c r="BU162" s="345"/>
      <c r="BV162" s="345"/>
      <c r="BW162" s="345"/>
      <c r="BX162" s="345"/>
      <c r="BY162" s="345"/>
      <c r="BZ162" s="345"/>
      <c r="CA162" s="345"/>
      <c r="CB162" s="345"/>
      <c r="CC162" s="345"/>
      <c r="CD162" s="345"/>
      <c r="CE162" s="345"/>
      <c r="CF162" s="345"/>
      <c r="CG162" s="345"/>
      <c r="CH162" s="345"/>
      <c r="CI162" s="345"/>
      <c r="CJ162" s="345"/>
      <c r="CK162" s="345"/>
      <c r="CL162" s="345"/>
      <c r="CM162" s="345"/>
      <c r="CN162" s="345"/>
      <c r="CO162" s="345"/>
      <c r="CP162" s="345"/>
      <c r="CQ162" s="345"/>
      <c r="CR162" s="345"/>
      <c r="CS162" s="345"/>
      <c r="CT162" s="345"/>
      <c r="CU162" s="345"/>
      <c r="CV162" s="345"/>
      <c r="CW162" s="345"/>
      <c r="CX162" s="345"/>
      <c r="CY162" s="345"/>
      <c r="CZ162" s="345"/>
      <c r="DA162" s="345"/>
      <c r="DB162" s="345"/>
      <c r="DC162" s="345"/>
      <c r="DD162" s="345"/>
      <c r="DE162" s="345"/>
      <c r="DF162" s="345"/>
      <c r="DG162" s="345"/>
      <c r="DH162" s="345"/>
      <c r="DI162" s="345"/>
      <c r="DJ162" s="345"/>
      <c r="DK162" s="345"/>
      <c r="DL162" s="345"/>
      <c r="DM162" s="345"/>
      <c r="DN162" s="345"/>
      <c r="DO162" s="345"/>
      <c r="DP162" s="345"/>
      <c r="DQ162" s="345"/>
      <c r="DR162" s="345"/>
      <c r="DS162" s="345"/>
      <c r="DT162" s="345"/>
      <c r="DU162" s="345"/>
      <c r="DV162" s="345"/>
      <c r="DW162" s="345"/>
      <c r="DX162" s="345"/>
      <c r="DY162" s="345"/>
      <c r="DZ162" s="345"/>
      <c r="EA162" s="345"/>
    </row>
    <row r="163" spans="1:131" hidden="1">
      <c r="A163" s="345"/>
      <c r="B163" s="345"/>
      <c r="C163" s="345"/>
      <c r="D163" s="345"/>
      <c r="E163" s="345"/>
      <c r="F163" s="345"/>
      <c r="G163" s="345"/>
      <c r="H163" s="345"/>
      <c r="I163" s="345"/>
      <c r="J163" s="345"/>
      <c r="K163" s="345"/>
      <c r="L163" s="345"/>
      <c r="M163" s="345"/>
      <c r="N163" s="345"/>
      <c r="O163" s="345"/>
      <c r="P163" s="345"/>
      <c r="Q163" s="345"/>
      <c r="R163" s="345"/>
      <c r="S163" s="345"/>
      <c r="T163" s="345"/>
      <c r="U163" s="345"/>
      <c r="V163" s="345"/>
      <c r="W163" s="345"/>
      <c r="X163" s="345"/>
      <c r="Y163" s="345"/>
      <c r="Z163" s="345"/>
      <c r="AA163" s="345"/>
      <c r="AB163" s="345"/>
      <c r="AC163" s="345"/>
      <c r="AD163" s="345"/>
      <c r="AE163" s="345"/>
      <c r="AF163" s="345"/>
      <c r="AG163" s="345"/>
      <c r="AH163" s="345"/>
      <c r="AI163" s="345"/>
      <c r="AJ163" s="345"/>
      <c r="AK163" s="345"/>
      <c r="AL163" s="345"/>
      <c r="AM163" s="345"/>
      <c r="AN163" s="345"/>
      <c r="AO163" s="345"/>
      <c r="AP163" s="345"/>
      <c r="AQ163" s="345"/>
      <c r="AR163" s="345"/>
      <c r="AS163" s="345"/>
      <c r="AT163" s="345"/>
      <c r="AU163" s="345"/>
      <c r="AV163" s="345"/>
      <c r="AW163" s="345"/>
      <c r="AX163" s="345"/>
      <c r="AY163" s="345"/>
      <c r="AZ163" s="345"/>
      <c r="BA163" s="345"/>
      <c r="BB163" s="345"/>
      <c r="BC163" s="345"/>
      <c r="BD163" s="345"/>
      <c r="BE163" s="345"/>
      <c r="BF163" s="345"/>
      <c r="BG163" s="345"/>
      <c r="BH163" s="345"/>
      <c r="BI163" s="345"/>
      <c r="BJ163" s="345"/>
      <c r="BK163" s="345"/>
      <c r="BL163" s="345"/>
      <c r="BM163" s="345"/>
      <c r="BN163" s="345"/>
      <c r="BO163" s="345"/>
      <c r="BP163" s="345"/>
      <c r="BQ163" s="345"/>
      <c r="BR163" s="345"/>
      <c r="BS163" s="345"/>
      <c r="BT163" s="345"/>
      <c r="BU163" s="345"/>
      <c r="BV163" s="345"/>
      <c r="BW163" s="345"/>
      <c r="BX163" s="345"/>
      <c r="BY163" s="345"/>
      <c r="BZ163" s="345"/>
      <c r="CA163" s="345"/>
      <c r="CB163" s="345"/>
      <c r="CC163" s="345"/>
      <c r="CD163" s="345"/>
      <c r="CE163" s="345"/>
      <c r="CF163" s="345"/>
      <c r="CG163" s="345"/>
      <c r="CH163" s="345"/>
      <c r="CI163" s="345"/>
      <c r="CJ163" s="345"/>
      <c r="CK163" s="345"/>
      <c r="CL163" s="345"/>
      <c r="CM163" s="345"/>
      <c r="CN163" s="345"/>
      <c r="CO163" s="345"/>
      <c r="CP163" s="345"/>
      <c r="CQ163" s="345"/>
      <c r="CR163" s="345"/>
      <c r="CS163" s="345"/>
      <c r="CT163" s="345"/>
      <c r="CU163" s="345"/>
      <c r="CV163" s="345"/>
      <c r="CW163" s="345"/>
      <c r="CX163" s="345"/>
      <c r="CY163" s="345"/>
      <c r="CZ163" s="345"/>
      <c r="DA163" s="345"/>
      <c r="DB163" s="345"/>
      <c r="DC163" s="345"/>
      <c r="DD163" s="345"/>
      <c r="DE163" s="345"/>
      <c r="DF163" s="345"/>
      <c r="DG163" s="345"/>
      <c r="DH163" s="345"/>
      <c r="DI163" s="345"/>
      <c r="DJ163" s="345"/>
      <c r="DK163" s="345"/>
      <c r="DL163" s="345"/>
      <c r="DM163" s="345"/>
      <c r="DN163" s="345"/>
      <c r="DO163" s="345"/>
      <c r="DP163" s="345"/>
      <c r="DQ163" s="345"/>
      <c r="DR163" s="345"/>
      <c r="DS163" s="345"/>
      <c r="DT163" s="345"/>
      <c r="DU163" s="345"/>
      <c r="DV163" s="345"/>
      <c r="DW163" s="345"/>
      <c r="DX163" s="345"/>
      <c r="DY163" s="345"/>
      <c r="DZ163" s="345"/>
      <c r="EA163" s="345"/>
    </row>
    <row r="164" spans="1:131" hidden="1">
      <c r="A164" s="345"/>
      <c r="B164" s="345"/>
      <c r="C164" s="345"/>
      <c r="D164" s="345"/>
      <c r="E164" s="345"/>
      <c r="F164" s="345"/>
      <c r="G164" s="345"/>
      <c r="H164" s="345"/>
      <c r="I164" s="345"/>
      <c r="J164" s="345"/>
      <c r="K164" s="345"/>
      <c r="L164" s="345"/>
      <c r="M164" s="345"/>
      <c r="N164" s="345"/>
      <c r="O164" s="345"/>
      <c r="P164" s="345"/>
      <c r="Q164" s="345"/>
      <c r="R164" s="345"/>
      <c r="S164" s="345"/>
      <c r="T164" s="345"/>
      <c r="U164" s="345"/>
      <c r="V164" s="345"/>
      <c r="W164" s="345"/>
      <c r="X164" s="345"/>
      <c r="Y164" s="345"/>
      <c r="Z164" s="345"/>
      <c r="AA164" s="345"/>
      <c r="AB164" s="345"/>
      <c r="AC164" s="345"/>
      <c r="AD164" s="345"/>
      <c r="AE164" s="345"/>
      <c r="AF164" s="345"/>
      <c r="AG164" s="345"/>
      <c r="AH164" s="345"/>
      <c r="AI164" s="345"/>
      <c r="AJ164" s="345"/>
      <c r="AK164" s="345"/>
      <c r="AL164" s="345"/>
      <c r="AM164" s="345"/>
      <c r="AN164" s="345"/>
      <c r="AO164" s="345"/>
      <c r="AP164" s="345"/>
      <c r="AQ164" s="345"/>
      <c r="AR164" s="345"/>
      <c r="AS164" s="345"/>
      <c r="AT164" s="345"/>
      <c r="AU164" s="345"/>
      <c r="AV164" s="345"/>
      <c r="AW164" s="345"/>
      <c r="AX164" s="345"/>
      <c r="AY164" s="345"/>
      <c r="AZ164" s="345"/>
      <c r="BA164" s="345"/>
      <c r="BB164" s="345"/>
      <c r="BC164" s="345"/>
      <c r="BD164" s="345"/>
      <c r="BE164" s="345"/>
      <c r="BF164" s="345"/>
      <c r="BG164" s="345"/>
      <c r="BH164" s="345"/>
      <c r="BI164" s="345"/>
      <c r="BJ164" s="345"/>
      <c r="BK164" s="345"/>
      <c r="BL164" s="345"/>
      <c r="BM164" s="345"/>
      <c r="BN164" s="345"/>
      <c r="BO164" s="345"/>
      <c r="BP164" s="345"/>
      <c r="BQ164" s="345"/>
      <c r="BR164" s="345"/>
      <c r="BS164" s="345"/>
      <c r="BT164" s="345"/>
      <c r="BU164" s="345"/>
      <c r="BV164" s="345"/>
      <c r="BW164" s="345"/>
      <c r="BX164" s="345"/>
      <c r="BY164" s="345"/>
      <c r="BZ164" s="345"/>
      <c r="CA164" s="345"/>
      <c r="CB164" s="345"/>
      <c r="CC164" s="345"/>
      <c r="CD164" s="345"/>
      <c r="CE164" s="345"/>
      <c r="CF164" s="345"/>
      <c r="CG164" s="345"/>
      <c r="CH164" s="345"/>
      <c r="CI164" s="345"/>
      <c r="CJ164" s="345"/>
      <c r="CK164" s="345"/>
      <c r="CL164" s="345"/>
      <c r="CM164" s="345"/>
      <c r="CN164" s="345"/>
      <c r="CO164" s="345"/>
      <c r="CP164" s="345"/>
      <c r="CQ164" s="345"/>
      <c r="CR164" s="345"/>
      <c r="CS164" s="345"/>
      <c r="CT164" s="345"/>
      <c r="CU164" s="345"/>
      <c r="CV164" s="345"/>
      <c r="CW164" s="345"/>
      <c r="CX164" s="345"/>
      <c r="CY164" s="345"/>
      <c r="CZ164" s="345"/>
      <c r="DA164" s="345"/>
      <c r="DB164" s="345"/>
      <c r="DC164" s="345"/>
      <c r="DD164" s="345"/>
      <c r="DE164" s="345"/>
      <c r="DF164" s="345"/>
      <c r="DG164" s="345"/>
      <c r="DH164" s="345"/>
      <c r="DI164" s="345"/>
      <c r="DJ164" s="345"/>
      <c r="DK164" s="345"/>
      <c r="DL164" s="345"/>
      <c r="DM164" s="345"/>
      <c r="DN164" s="345"/>
      <c r="DO164" s="345"/>
      <c r="DP164" s="345"/>
      <c r="DQ164" s="345"/>
      <c r="DR164" s="345"/>
      <c r="DS164" s="345"/>
      <c r="DT164" s="345"/>
      <c r="DU164" s="345"/>
      <c r="DV164" s="345"/>
      <c r="DW164" s="345"/>
      <c r="DX164" s="345"/>
      <c r="DY164" s="345"/>
      <c r="DZ164" s="345"/>
      <c r="EA164" s="345"/>
    </row>
    <row r="165" spans="1:131" hidden="1">
      <c r="A165" s="345"/>
      <c r="B165" s="345"/>
      <c r="C165" s="345"/>
      <c r="D165" s="345"/>
      <c r="E165" s="345"/>
      <c r="F165" s="345"/>
      <c r="G165" s="345"/>
      <c r="H165" s="345"/>
      <c r="I165" s="345"/>
      <c r="J165" s="345"/>
      <c r="K165" s="345"/>
      <c r="L165" s="345"/>
      <c r="M165" s="345"/>
      <c r="N165" s="345"/>
      <c r="O165" s="345"/>
      <c r="P165" s="345"/>
      <c r="Q165" s="345"/>
      <c r="R165" s="345"/>
      <c r="S165" s="345"/>
      <c r="T165" s="345"/>
      <c r="U165" s="345"/>
      <c r="V165" s="345"/>
      <c r="W165" s="345"/>
      <c r="X165" s="345"/>
      <c r="Y165" s="345"/>
      <c r="Z165" s="345"/>
      <c r="AA165" s="345"/>
      <c r="AB165" s="345"/>
      <c r="AC165" s="345"/>
      <c r="AD165" s="345"/>
      <c r="AE165" s="345"/>
      <c r="AF165" s="345"/>
      <c r="AG165" s="345"/>
      <c r="AH165" s="345"/>
      <c r="AI165" s="345"/>
      <c r="AJ165" s="345"/>
      <c r="AK165" s="345"/>
      <c r="AL165" s="345"/>
      <c r="AM165" s="345"/>
      <c r="AN165" s="345"/>
      <c r="AO165" s="345"/>
      <c r="AP165" s="345"/>
      <c r="AQ165" s="345"/>
      <c r="AR165" s="345"/>
      <c r="AS165" s="345"/>
      <c r="AT165" s="345"/>
      <c r="AU165" s="345"/>
      <c r="AV165" s="345"/>
      <c r="AW165" s="345"/>
      <c r="AX165" s="345"/>
      <c r="AY165" s="345"/>
      <c r="AZ165" s="345"/>
      <c r="BA165" s="345"/>
      <c r="BB165" s="345"/>
      <c r="BC165" s="345"/>
      <c r="BD165" s="345"/>
      <c r="BE165" s="345"/>
      <c r="BF165" s="345"/>
      <c r="BG165" s="345"/>
      <c r="BH165" s="345"/>
      <c r="BI165" s="345"/>
      <c r="BJ165" s="345"/>
      <c r="BK165" s="345"/>
      <c r="BL165" s="345"/>
      <c r="BM165" s="345"/>
      <c r="BN165" s="345"/>
      <c r="BO165" s="345"/>
      <c r="BP165" s="345"/>
      <c r="BQ165" s="345"/>
      <c r="BR165" s="345"/>
      <c r="BS165" s="345"/>
      <c r="BT165" s="345"/>
      <c r="BU165" s="345"/>
      <c r="BV165" s="345"/>
      <c r="BW165" s="345"/>
      <c r="BX165" s="345"/>
      <c r="BY165" s="345"/>
      <c r="BZ165" s="345"/>
      <c r="CA165" s="345"/>
      <c r="CB165" s="345"/>
      <c r="CC165" s="345"/>
      <c r="CD165" s="345"/>
      <c r="CE165" s="345"/>
      <c r="CF165" s="345"/>
      <c r="CG165" s="345"/>
      <c r="CH165" s="345"/>
      <c r="CI165" s="345"/>
      <c r="CJ165" s="345"/>
      <c r="CK165" s="345"/>
      <c r="CL165" s="345"/>
      <c r="CM165" s="345"/>
      <c r="CN165" s="345"/>
      <c r="CO165" s="345"/>
      <c r="CP165" s="345"/>
      <c r="CQ165" s="345"/>
      <c r="CR165" s="345"/>
      <c r="CS165" s="345"/>
      <c r="CT165" s="345"/>
      <c r="CU165" s="345"/>
      <c r="CV165" s="345"/>
      <c r="CW165" s="345"/>
      <c r="CX165" s="345"/>
      <c r="CY165" s="345"/>
      <c r="CZ165" s="345"/>
      <c r="DA165" s="345"/>
      <c r="DB165" s="345"/>
      <c r="DC165" s="345"/>
      <c r="DD165" s="345"/>
      <c r="DE165" s="345"/>
      <c r="DF165" s="345"/>
      <c r="DG165" s="345"/>
      <c r="DH165" s="345"/>
      <c r="DI165" s="345"/>
      <c r="DJ165" s="345"/>
      <c r="DK165" s="345"/>
      <c r="DL165" s="345"/>
      <c r="DM165" s="345"/>
      <c r="DN165" s="345"/>
      <c r="DO165" s="345"/>
      <c r="DP165" s="345"/>
      <c r="DQ165" s="345"/>
      <c r="DR165" s="345"/>
      <c r="DS165" s="345"/>
      <c r="DT165" s="345"/>
      <c r="DU165" s="345"/>
      <c r="DV165" s="345"/>
      <c r="DW165" s="345"/>
      <c r="DX165" s="345"/>
      <c r="DY165" s="345"/>
      <c r="DZ165" s="345"/>
      <c r="EA165" s="345"/>
    </row>
    <row r="166" spans="1:131" hidden="1">
      <c r="A166" s="345"/>
      <c r="B166" s="345"/>
      <c r="C166" s="345"/>
      <c r="D166" s="345"/>
      <c r="E166" s="345"/>
      <c r="F166" s="345"/>
      <c r="G166" s="345"/>
      <c r="H166" s="345"/>
      <c r="I166" s="345"/>
      <c r="J166" s="345"/>
      <c r="K166" s="345"/>
      <c r="L166" s="345"/>
      <c r="M166" s="345"/>
      <c r="N166" s="345"/>
      <c r="O166" s="345"/>
      <c r="P166" s="345"/>
      <c r="Q166" s="345"/>
      <c r="R166" s="345"/>
      <c r="S166" s="345"/>
      <c r="T166" s="345"/>
      <c r="U166" s="345"/>
      <c r="V166" s="345"/>
      <c r="W166" s="345"/>
      <c r="X166" s="345"/>
      <c r="Y166" s="345"/>
      <c r="Z166" s="345"/>
      <c r="AA166" s="345"/>
      <c r="AB166" s="345"/>
      <c r="AC166" s="345"/>
      <c r="AD166" s="345"/>
      <c r="AE166" s="345"/>
      <c r="AF166" s="345"/>
      <c r="AG166" s="345"/>
      <c r="AH166" s="345"/>
      <c r="AI166" s="345"/>
      <c r="AJ166" s="345"/>
      <c r="AK166" s="345"/>
      <c r="AL166" s="345"/>
      <c r="AM166" s="345"/>
      <c r="AN166" s="345"/>
      <c r="AO166" s="345"/>
      <c r="AP166" s="345"/>
      <c r="AQ166" s="345"/>
      <c r="AR166" s="345"/>
      <c r="AS166" s="345"/>
      <c r="AT166" s="345"/>
      <c r="AU166" s="345"/>
      <c r="AV166" s="345"/>
      <c r="AW166" s="345"/>
      <c r="AX166" s="345"/>
      <c r="AY166" s="345"/>
      <c r="AZ166" s="345"/>
      <c r="BA166" s="345"/>
      <c r="BB166" s="345"/>
      <c r="BC166" s="345"/>
      <c r="BD166" s="345"/>
      <c r="BE166" s="345"/>
      <c r="BF166" s="345"/>
      <c r="BG166" s="345"/>
      <c r="BH166" s="345"/>
      <c r="BI166" s="345"/>
      <c r="BJ166" s="345"/>
      <c r="BK166" s="345"/>
      <c r="BL166" s="345"/>
      <c r="BM166" s="345"/>
      <c r="BN166" s="345"/>
      <c r="BO166" s="345"/>
      <c r="BP166" s="345"/>
      <c r="BQ166" s="345"/>
      <c r="BR166" s="345"/>
      <c r="BS166" s="345"/>
      <c r="BT166" s="345"/>
      <c r="BU166" s="345"/>
      <c r="BV166" s="345"/>
      <c r="BW166" s="345"/>
      <c r="BX166" s="345"/>
      <c r="BY166" s="345"/>
      <c r="BZ166" s="345"/>
      <c r="CA166" s="345"/>
      <c r="CB166" s="345"/>
      <c r="CC166" s="345"/>
      <c r="CD166" s="345"/>
      <c r="CE166" s="345"/>
      <c r="CF166" s="345"/>
      <c r="CG166" s="345"/>
      <c r="CH166" s="345"/>
      <c r="CI166" s="345"/>
      <c r="CJ166" s="345"/>
      <c r="CK166" s="345"/>
      <c r="CL166" s="345"/>
      <c r="CM166" s="345"/>
      <c r="CN166" s="345"/>
      <c r="CO166" s="345"/>
      <c r="CP166" s="345"/>
      <c r="CQ166" s="345"/>
      <c r="CR166" s="345"/>
      <c r="CS166" s="345"/>
      <c r="CT166" s="345"/>
      <c r="CU166" s="345"/>
      <c r="CV166" s="345"/>
      <c r="CW166" s="345"/>
      <c r="CX166" s="345"/>
      <c r="CY166" s="345"/>
      <c r="CZ166" s="345"/>
      <c r="DA166" s="345"/>
      <c r="DB166" s="345"/>
      <c r="DC166" s="345"/>
      <c r="DD166" s="345"/>
      <c r="DE166" s="345"/>
      <c r="DF166" s="345"/>
      <c r="DG166" s="345"/>
      <c r="DH166" s="345"/>
      <c r="DI166" s="345"/>
      <c r="DJ166" s="345"/>
      <c r="DK166" s="345"/>
      <c r="DL166" s="345"/>
      <c r="DM166" s="345"/>
      <c r="DN166" s="345"/>
      <c r="DO166" s="345"/>
      <c r="DP166" s="345"/>
      <c r="DQ166" s="345"/>
      <c r="DR166" s="345"/>
      <c r="DS166" s="345"/>
      <c r="DT166" s="345"/>
      <c r="DU166" s="345"/>
      <c r="DV166" s="345"/>
      <c r="DW166" s="345"/>
      <c r="DX166" s="345"/>
      <c r="DY166" s="345"/>
      <c r="DZ166" s="345"/>
      <c r="EA166" s="345"/>
    </row>
    <row r="167" spans="1:131" hidden="1">
      <c r="A167" s="345"/>
      <c r="B167" s="345"/>
      <c r="C167" s="345"/>
      <c r="D167" s="345"/>
      <c r="E167" s="345"/>
      <c r="F167" s="345"/>
      <c r="G167" s="345"/>
      <c r="H167" s="345"/>
      <c r="I167" s="345"/>
      <c r="J167" s="345"/>
      <c r="K167" s="345"/>
      <c r="L167" s="345"/>
      <c r="M167" s="345"/>
      <c r="N167" s="345"/>
      <c r="O167" s="345"/>
      <c r="P167" s="345"/>
      <c r="Q167" s="345"/>
      <c r="R167" s="345"/>
      <c r="S167" s="345"/>
      <c r="T167" s="345"/>
      <c r="U167" s="345"/>
      <c r="V167" s="345"/>
      <c r="W167" s="345"/>
      <c r="X167" s="345"/>
      <c r="Y167" s="345"/>
      <c r="Z167" s="345"/>
      <c r="AA167" s="345"/>
      <c r="AB167" s="345"/>
      <c r="AC167" s="345"/>
      <c r="AD167" s="345"/>
      <c r="AE167" s="345"/>
      <c r="AF167" s="345"/>
      <c r="AG167" s="345"/>
      <c r="AH167" s="345"/>
      <c r="AI167" s="345"/>
      <c r="AJ167" s="345"/>
      <c r="AK167" s="345"/>
      <c r="AL167" s="345"/>
      <c r="AM167" s="345"/>
      <c r="AN167" s="345"/>
      <c r="AO167" s="345"/>
      <c r="AP167" s="345"/>
      <c r="AQ167" s="345"/>
      <c r="AR167" s="345"/>
      <c r="AS167" s="345"/>
      <c r="AT167" s="345"/>
      <c r="AU167" s="345"/>
      <c r="AV167" s="345"/>
      <c r="AW167" s="345"/>
      <c r="AX167" s="345"/>
      <c r="AY167" s="345"/>
      <c r="AZ167" s="345"/>
      <c r="BA167" s="345"/>
      <c r="BB167" s="345"/>
      <c r="BC167" s="345"/>
      <c r="BD167" s="345"/>
      <c r="BE167" s="345"/>
      <c r="BF167" s="345"/>
      <c r="BG167" s="345"/>
      <c r="BH167" s="345"/>
      <c r="BI167" s="345"/>
      <c r="BJ167" s="345"/>
      <c r="BK167" s="345"/>
      <c r="BL167" s="345"/>
      <c r="BM167" s="345"/>
      <c r="BN167" s="345"/>
      <c r="BO167" s="345"/>
      <c r="BP167" s="345"/>
      <c r="BQ167" s="345"/>
      <c r="BR167" s="345"/>
      <c r="BS167" s="345"/>
      <c r="BT167" s="345"/>
      <c r="BU167" s="345"/>
      <c r="BV167" s="345"/>
      <c r="BW167" s="345"/>
      <c r="BX167" s="345"/>
      <c r="BY167" s="345"/>
      <c r="BZ167" s="345"/>
      <c r="CA167" s="345"/>
      <c r="CB167" s="345"/>
      <c r="CC167" s="345"/>
      <c r="CD167" s="345"/>
      <c r="CE167" s="345"/>
      <c r="CF167" s="345"/>
      <c r="CG167" s="345"/>
      <c r="CH167" s="345"/>
      <c r="CI167" s="345"/>
      <c r="CJ167" s="345"/>
      <c r="CK167" s="345"/>
      <c r="CL167" s="345"/>
      <c r="CM167" s="345"/>
      <c r="CN167" s="345"/>
      <c r="CO167" s="345"/>
      <c r="CP167" s="345"/>
      <c r="CQ167" s="345"/>
      <c r="CR167" s="345"/>
      <c r="CS167" s="345"/>
      <c r="CT167" s="345"/>
      <c r="CU167" s="345"/>
      <c r="CV167" s="345"/>
      <c r="CW167" s="345"/>
      <c r="CX167" s="345"/>
      <c r="CY167" s="345"/>
      <c r="CZ167" s="345"/>
      <c r="DA167" s="345"/>
      <c r="DB167" s="345"/>
      <c r="DC167" s="345"/>
      <c r="DD167" s="345"/>
      <c r="DE167" s="345"/>
      <c r="DF167" s="345"/>
      <c r="DG167" s="345"/>
      <c r="DH167" s="345"/>
      <c r="DI167" s="345"/>
      <c r="DJ167" s="345"/>
      <c r="DK167" s="345"/>
      <c r="DL167" s="345"/>
      <c r="DM167" s="345"/>
      <c r="DN167" s="345"/>
      <c r="DO167" s="345"/>
      <c r="DP167" s="345"/>
      <c r="DQ167" s="345"/>
      <c r="DR167" s="345"/>
      <c r="DS167" s="345"/>
      <c r="DT167" s="345"/>
      <c r="DU167" s="345"/>
      <c r="DV167" s="345"/>
      <c r="DW167" s="345"/>
      <c r="DX167" s="345"/>
      <c r="DY167" s="345"/>
      <c r="DZ167" s="345"/>
      <c r="EA167" s="345"/>
    </row>
    <row r="168" spans="1:131" hidden="1">
      <c r="A168" s="345"/>
      <c r="B168" s="345"/>
      <c r="C168" s="345"/>
      <c r="D168" s="345"/>
      <c r="E168" s="345"/>
      <c r="F168" s="345"/>
      <c r="G168" s="345"/>
      <c r="H168" s="345"/>
      <c r="I168" s="345"/>
      <c r="J168" s="345"/>
      <c r="K168" s="345"/>
      <c r="L168" s="345"/>
      <c r="M168" s="345"/>
      <c r="N168" s="345"/>
      <c r="O168" s="345"/>
      <c r="P168" s="345"/>
      <c r="Q168" s="345"/>
      <c r="R168" s="345"/>
      <c r="S168" s="345"/>
      <c r="T168" s="345"/>
      <c r="U168" s="345"/>
      <c r="V168" s="345"/>
      <c r="W168" s="345"/>
      <c r="X168" s="345"/>
      <c r="Y168" s="345"/>
      <c r="Z168" s="345"/>
      <c r="AA168" s="345"/>
      <c r="AB168" s="345"/>
      <c r="AC168" s="345"/>
      <c r="AD168" s="345"/>
      <c r="AE168" s="345"/>
      <c r="AF168" s="345"/>
      <c r="AG168" s="345"/>
      <c r="AH168" s="345"/>
      <c r="AI168" s="345"/>
      <c r="AJ168" s="345"/>
      <c r="AK168" s="345"/>
      <c r="AL168" s="345"/>
      <c r="AM168" s="345"/>
      <c r="AN168" s="345"/>
      <c r="AO168" s="345"/>
      <c r="AP168" s="345"/>
      <c r="AQ168" s="345"/>
      <c r="AR168" s="345"/>
      <c r="AS168" s="345"/>
      <c r="AT168" s="345"/>
      <c r="AU168" s="345"/>
      <c r="AV168" s="345"/>
      <c r="AW168" s="345"/>
      <c r="AX168" s="345"/>
      <c r="AY168" s="345"/>
      <c r="AZ168" s="345"/>
      <c r="BA168" s="345"/>
      <c r="BB168" s="345"/>
      <c r="BC168" s="345"/>
      <c r="BD168" s="345"/>
      <c r="BE168" s="345"/>
      <c r="BF168" s="345"/>
      <c r="BG168" s="345"/>
      <c r="BH168" s="345"/>
      <c r="BI168" s="345"/>
      <c r="BJ168" s="345"/>
      <c r="BK168" s="345"/>
      <c r="BL168" s="345"/>
      <c r="BM168" s="345"/>
      <c r="BN168" s="345"/>
      <c r="BO168" s="345"/>
      <c r="BP168" s="345"/>
      <c r="BQ168" s="345"/>
      <c r="BR168" s="345"/>
      <c r="BS168" s="345"/>
      <c r="BT168" s="345"/>
      <c r="BU168" s="345"/>
      <c r="BV168" s="345"/>
      <c r="BW168" s="345"/>
      <c r="BX168" s="345"/>
      <c r="BY168" s="345"/>
      <c r="BZ168" s="345"/>
      <c r="CA168" s="345"/>
      <c r="CB168" s="345"/>
      <c r="CC168" s="345"/>
      <c r="CD168" s="345"/>
      <c r="CE168" s="345"/>
      <c r="CF168" s="345"/>
      <c r="CG168" s="345"/>
      <c r="CH168" s="345"/>
      <c r="CI168" s="345"/>
      <c r="CJ168" s="345"/>
      <c r="CK168" s="345"/>
      <c r="CL168" s="345"/>
      <c r="CM168" s="345"/>
      <c r="CN168" s="345"/>
      <c r="CO168" s="345"/>
      <c r="CP168" s="345"/>
      <c r="CQ168" s="345"/>
      <c r="CR168" s="345"/>
      <c r="CS168" s="345"/>
      <c r="CT168" s="345"/>
      <c r="CU168" s="345"/>
      <c r="CV168" s="345"/>
      <c r="CW168" s="345"/>
      <c r="CX168" s="345"/>
      <c r="CY168" s="345"/>
      <c r="CZ168" s="345"/>
      <c r="DA168" s="345"/>
      <c r="DB168" s="345"/>
      <c r="DC168" s="345"/>
      <c r="DD168" s="345"/>
      <c r="DE168" s="345"/>
      <c r="DF168" s="345"/>
      <c r="DG168" s="345"/>
      <c r="DH168" s="345"/>
      <c r="DI168" s="345"/>
      <c r="DJ168" s="345"/>
      <c r="DK168" s="345"/>
      <c r="DL168" s="345"/>
      <c r="DM168" s="345"/>
      <c r="DN168" s="345"/>
      <c r="DO168" s="345"/>
      <c r="DP168" s="345"/>
      <c r="DQ168" s="345"/>
      <c r="DR168" s="345"/>
      <c r="DS168" s="345"/>
      <c r="DT168" s="345"/>
      <c r="DU168" s="345"/>
      <c r="DV168" s="345"/>
      <c r="DW168" s="345"/>
      <c r="DX168" s="345"/>
      <c r="DY168" s="345"/>
      <c r="DZ168" s="345"/>
      <c r="EA168" s="345"/>
    </row>
    <row r="169" spans="1:131" hidden="1">
      <c r="A169" s="345"/>
      <c r="B169" s="345"/>
      <c r="C169" s="345"/>
      <c r="D169" s="345"/>
      <c r="E169" s="345"/>
      <c r="F169" s="345"/>
      <c r="G169" s="345"/>
      <c r="H169" s="345"/>
      <c r="I169" s="345"/>
      <c r="J169" s="345"/>
      <c r="K169" s="345"/>
      <c r="L169" s="345"/>
      <c r="M169" s="345"/>
      <c r="N169" s="345"/>
      <c r="O169" s="345"/>
      <c r="P169" s="345"/>
      <c r="Q169" s="345"/>
      <c r="R169" s="345"/>
      <c r="S169" s="345"/>
      <c r="T169" s="345"/>
      <c r="U169" s="345"/>
      <c r="V169" s="345"/>
      <c r="W169" s="345"/>
      <c r="X169" s="345"/>
      <c r="Y169" s="345"/>
      <c r="Z169" s="345"/>
      <c r="AA169" s="345"/>
      <c r="AB169" s="345"/>
      <c r="AC169" s="345"/>
      <c r="AD169" s="345"/>
      <c r="AE169" s="345"/>
      <c r="AF169" s="345"/>
      <c r="AG169" s="345"/>
      <c r="AH169" s="345"/>
      <c r="AI169" s="345"/>
      <c r="AJ169" s="345"/>
      <c r="AK169" s="345"/>
      <c r="AL169" s="345"/>
      <c r="AM169" s="345"/>
      <c r="AN169" s="345"/>
      <c r="AO169" s="345"/>
      <c r="AP169" s="345"/>
      <c r="AQ169" s="345"/>
      <c r="AR169" s="345"/>
      <c r="AS169" s="345"/>
      <c r="AT169" s="345"/>
      <c r="AU169" s="345"/>
      <c r="AV169" s="345"/>
      <c r="AW169" s="345"/>
      <c r="AX169" s="345"/>
      <c r="AY169" s="345"/>
      <c r="AZ169" s="345"/>
      <c r="BA169" s="345"/>
      <c r="BB169" s="345"/>
      <c r="BC169" s="345"/>
      <c r="BD169" s="345"/>
      <c r="BE169" s="345"/>
      <c r="BF169" s="345"/>
      <c r="BG169" s="345"/>
      <c r="BH169" s="345"/>
      <c r="BI169" s="345"/>
      <c r="BJ169" s="345"/>
      <c r="BK169" s="345"/>
      <c r="BL169" s="345"/>
      <c r="BM169" s="345"/>
      <c r="BN169" s="345"/>
      <c r="BO169" s="345"/>
      <c r="BP169" s="345"/>
      <c r="BQ169" s="345"/>
      <c r="BR169" s="345"/>
      <c r="BS169" s="345"/>
      <c r="BT169" s="345"/>
      <c r="BU169" s="345"/>
      <c r="BV169" s="345"/>
      <c r="BW169" s="345"/>
      <c r="BX169" s="345"/>
      <c r="BY169" s="345"/>
      <c r="BZ169" s="345"/>
      <c r="CA169" s="345"/>
      <c r="CB169" s="345"/>
      <c r="CC169" s="345"/>
      <c r="CD169" s="345"/>
      <c r="CE169" s="345"/>
      <c r="CF169" s="345"/>
      <c r="CG169" s="345"/>
      <c r="CH169" s="345"/>
      <c r="CI169" s="345"/>
      <c r="CJ169" s="345"/>
      <c r="CK169" s="345"/>
      <c r="CL169" s="345"/>
      <c r="CM169" s="345"/>
      <c r="CN169" s="345"/>
      <c r="CO169" s="345"/>
      <c r="CP169" s="345"/>
      <c r="CQ169" s="345"/>
      <c r="CR169" s="345"/>
      <c r="CS169" s="345"/>
      <c r="CT169" s="345"/>
      <c r="CU169" s="345"/>
      <c r="CV169" s="345"/>
      <c r="CW169" s="345"/>
      <c r="CX169" s="345"/>
      <c r="CY169" s="345"/>
      <c r="CZ169" s="345"/>
      <c r="DA169" s="345"/>
      <c r="DB169" s="345"/>
      <c r="DC169" s="345"/>
      <c r="DD169" s="345"/>
      <c r="DE169" s="345"/>
      <c r="DF169" s="345"/>
      <c r="DG169" s="345"/>
      <c r="DH169" s="345"/>
      <c r="DI169" s="345"/>
      <c r="DJ169" s="345"/>
      <c r="DK169" s="345"/>
      <c r="DL169" s="345"/>
      <c r="DM169" s="345"/>
      <c r="DN169" s="345"/>
      <c r="DO169" s="345"/>
      <c r="DP169" s="345"/>
      <c r="DQ169" s="345"/>
      <c r="DR169" s="345"/>
      <c r="DS169" s="345"/>
      <c r="DT169" s="345"/>
      <c r="DU169" s="345"/>
      <c r="DV169" s="345"/>
      <c r="DW169" s="345"/>
      <c r="DX169" s="345"/>
      <c r="DY169" s="345"/>
      <c r="DZ169" s="345"/>
      <c r="EA169" s="345"/>
    </row>
    <row r="170" spans="1:131" hidden="1">
      <c r="A170" s="345"/>
      <c r="B170" s="345"/>
      <c r="C170" s="345"/>
      <c r="D170" s="345"/>
      <c r="E170" s="345"/>
      <c r="F170" s="345"/>
      <c r="G170" s="345"/>
      <c r="H170" s="345"/>
      <c r="I170" s="345"/>
      <c r="J170" s="345"/>
      <c r="K170" s="345"/>
      <c r="L170" s="345"/>
      <c r="M170" s="345"/>
      <c r="N170" s="345"/>
      <c r="O170" s="345"/>
      <c r="P170" s="345"/>
      <c r="Q170" s="345"/>
      <c r="R170" s="345"/>
      <c r="S170" s="345"/>
      <c r="T170" s="345"/>
      <c r="U170" s="345"/>
      <c r="V170" s="345"/>
      <c r="W170" s="345"/>
      <c r="X170" s="345"/>
      <c r="Y170" s="345"/>
      <c r="Z170" s="345"/>
      <c r="AA170" s="345"/>
      <c r="AB170" s="345"/>
      <c r="AC170" s="345"/>
      <c r="AD170" s="345"/>
      <c r="AE170" s="345"/>
      <c r="AF170" s="345"/>
      <c r="AG170" s="345"/>
      <c r="AH170" s="345"/>
      <c r="AI170" s="345"/>
      <c r="AJ170" s="345"/>
      <c r="AK170" s="345"/>
      <c r="AL170" s="345"/>
      <c r="AM170" s="345"/>
      <c r="AN170" s="345"/>
      <c r="AO170" s="345"/>
      <c r="AP170" s="345"/>
      <c r="AQ170" s="345"/>
      <c r="AR170" s="345"/>
      <c r="AS170" s="345"/>
      <c r="AT170" s="345"/>
      <c r="AU170" s="345"/>
      <c r="AV170" s="345"/>
      <c r="AW170" s="345"/>
      <c r="AX170" s="345"/>
      <c r="AY170" s="345"/>
      <c r="AZ170" s="345"/>
      <c r="BA170" s="345"/>
      <c r="BB170" s="345"/>
      <c r="BC170" s="345"/>
      <c r="BD170" s="345"/>
      <c r="BE170" s="345"/>
      <c r="BF170" s="345"/>
      <c r="BG170" s="345"/>
      <c r="BH170" s="345"/>
      <c r="BI170" s="345"/>
      <c r="BJ170" s="345"/>
      <c r="BK170" s="345"/>
      <c r="BL170" s="345"/>
      <c r="BM170" s="345"/>
      <c r="BN170" s="345"/>
      <c r="BO170" s="345"/>
      <c r="BP170" s="345"/>
      <c r="BQ170" s="345"/>
      <c r="BR170" s="345"/>
      <c r="BS170" s="345"/>
      <c r="BT170" s="345"/>
      <c r="BU170" s="345"/>
      <c r="BV170" s="345"/>
      <c r="BW170" s="345"/>
      <c r="BX170" s="345"/>
      <c r="BY170" s="345"/>
      <c r="BZ170" s="345"/>
      <c r="CA170" s="345"/>
      <c r="CB170" s="345"/>
      <c r="CC170" s="345"/>
      <c r="CD170" s="345"/>
      <c r="CE170" s="345"/>
      <c r="CF170" s="345"/>
      <c r="CG170" s="345"/>
      <c r="CH170" s="345"/>
      <c r="CI170" s="345"/>
      <c r="CJ170" s="345"/>
      <c r="CK170" s="345"/>
      <c r="CL170" s="345"/>
      <c r="CM170" s="345"/>
      <c r="CN170" s="345"/>
      <c r="CO170" s="345"/>
      <c r="CP170" s="345"/>
      <c r="CQ170" s="345"/>
      <c r="CR170" s="345"/>
      <c r="CS170" s="345"/>
      <c r="CT170" s="345"/>
      <c r="CU170" s="345"/>
      <c r="CV170" s="345"/>
      <c r="CW170" s="345"/>
      <c r="CX170" s="345"/>
      <c r="CY170" s="345"/>
      <c r="CZ170" s="345"/>
      <c r="DA170" s="345"/>
      <c r="DB170" s="345"/>
      <c r="DC170" s="345"/>
      <c r="DD170" s="345"/>
      <c r="DE170" s="345"/>
      <c r="DF170" s="345"/>
      <c r="DG170" s="345"/>
      <c r="DH170" s="345"/>
      <c r="DI170" s="345"/>
      <c r="DJ170" s="345"/>
      <c r="DK170" s="345"/>
      <c r="DL170" s="345"/>
      <c r="DM170" s="345"/>
      <c r="DN170" s="345"/>
      <c r="DO170" s="345"/>
      <c r="DP170" s="345"/>
      <c r="DQ170" s="345"/>
      <c r="DR170" s="345"/>
      <c r="DS170" s="345"/>
      <c r="DT170" s="345"/>
      <c r="DU170" s="345"/>
      <c r="DV170" s="345"/>
      <c r="DW170" s="345"/>
      <c r="DX170" s="345"/>
      <c r="DY170" s="345"/>
      <c r="DZ170" s="345"/>
      <c r="EA170" s="345"/>
    </row>
    <row r="171" spans="1:131" hidden="1">
      <c r="A171" s="345"/>
      <c r="B171" s="345"/>
      <c r="C171" s="345"/>
      <c r="D171" s="345"/>
      <c r="E171" s="345"/>
      <c r="F171" s="345"/>
      <c r="G171" s="345"/>
      <c r="H171" s="345"/>
      <c r="I171" s="345"/>
      <c r="J171" s="345"/>
      <c r="K171" s="345"/>
      <c r="L171" s="345"/>
      <c r="M171" s="345"/>
      <c r="N171" s="345"/>
      <c r="O171" s="345"/>
      <c r="P171" s="345"/>
      <c r="Q171" s="345"/>
      <c r="R171" s="345"/>
      <c r="S171" s="345"/>
      <c r="T171" s="345"/>
      <c r="U171" s="345"/>
      <c r="V171" s="345"/>
      <c r="W171" s="345"/>
      <c r="X171" s="345"/>
      <c r="Y171" s="345"/>
      <c r="Z171" s="345"/>
      <c r="AA171" s="345"/>
      <c r="AB171" s="345"/>
      <c r="AC171" s="345"/>
      <c r="AD171" s="345"/>
      <c r="AE171" s="345"/>
      <c r="AF171" s="345"/>
      <c r="AG171" s="345"/>
      <c r="AH171" s="345"/>
      <c r="AI171" s="345"/>
      <c r="AJ171" s="345"/>
      <c r="AK171" s="345"/>
      <c r="AL171" s="345"/>
      <c r="AM171" s="345"/>
      <c r="AN171" s="345"/>
      <c r="AO171" s="345"/>
      <c r="AP171" s="345"/>
      <c r="AQ171" s="345"/>
      <c r="AR171" s="345"/>
      <c r="AS171" s="345"/>
      <c r="AT171" s="345"/>
      <c r="AU171" s="345"/>
      <c r="AV171" s="345"/>
      <c r="AW171" s="345"/>
      <c r="AX171" s="345"/>
      <c r="AY171" s="345"/>
      <c r="AZ171" s="345"/>
      <c r="BA171" s="345"/>
      <c r="BB171" s="345"/>
      <c r="BC171" s="345"/>
      <c r="BD171" s="345"/>
      <c r="BE171" s="345"/>
      <c r="BF171" s="345"/>
      <c r="BG171" s="345"/>
      <c r="BH171" s="345"/>
      <c r="BI171" s="345"/>
      <c r="BJ171" s="345"/>
      <c r="BK171" s="345"/>
      <c r="BL171" s="345"/>
      <c r="BM171" s="345"/>
      <c r="BN171" s="345"/>
      <c r="BO171" s="345"/>
      <c r="BP171" s="345"/>
      <c r="BQ171" s="345"/>
      <c r="BR171" s="345"/>
      <c r="BS171" s="345"/>
      <c r="BT171" s="345"/>
      <c r="BU171" s="345"/>
      <c r="BV171" s="345"/>
      <c r="BW171" s="345"/>
      <c r="BX171" s="345"/>
      <c r="BY171" s="345"/>
      <c r="BZ171" s="345"/>
      <c r="CA171" s="345"/>
      <c r="CB171" s="345"/>
      <c r="CC171" s="345"/>
      <c r="CD171" s="345"/>
      <c r="CE171" s="345"/>
      <c r="CF171" s="345"/>
      <c r="CG171" s="345"/>
      <c r="CH171" s="345"/>
      <c r="CI171" s="345"/>
      <c r="CJ171" s="345"/>
      <c r="CK171" s="345"/>
      <c r="CL171" s="345"/>
      <c r="CM171" s="345"/>
      <c r="CN171" s="345"/>
      <c r="CO171" s="345"/>
      <c r="CP171" s="345"/>
      <c r="CQ171" s="345"/>
      <c r="CR171" s="345"/>
      <c r="CS171" s="345"/>
      <c r="CT171" s="345"/>
      <c r="CU171" s="345"/>
      <c r="CV171" s="345"/>
      <c r="CW171" s="345"/>
      <c r="CX171" s="345"/>
      <c r="CY171" s="345"/>
      <c r="CZ171" s="345"/>
      <c r="DA171" s="345"/>
      <c r="DB171" s="345"/>
      <c r="DC171" s="345"/>
      <c r="DD171" s="345"/>
      <c r="DE171" s="345"/>
      <c r="DF171" s="345"/>
      <c r="DG171" s="345"/>
      <c r="DH171" s="345"/>
      <c r="DI171" s="345"/>
      <c r="DJ171" s="345"/>
      <c r="DK171" s="345"/>
      <c r="DL171" s="345"/>
      <c r="DM171" s="345"/>
      <c r="DN171" s="345"/>
      <c r="DO171" s="345"/>
      <c r="DP171" s="345"/>
      <c r="DQ171" s="345"/>
      <c r="DR171" s="345"/>
      <c r="DS171" s="345"/>
      <c r="DT171" s="345"/>
      <c r="DU171" s="345"/>
      <c r="DV171" s="345"/>
      <c r="DW171" s="345"/>
      <c r="DX171" s="345"/>
      <c r="DY171" s="345"/>
      <c r="DZ171" s="345"/>
      <c r="EA171" s="345"/>
    </row>
    <row r="172" spans="1:131" hidden="1">
      <c r="A172" s="345"/>
      <c r="B172" s="345"/>
      <c r="C172" s="345"/>
      <c r="D172" s="345"/>
      <c r="E172" s="345"/>
      <c r="F172" s="345"/>
      <c r="G172" s="345"/>
      <c r="H172" s="345"/>
      <c r="I172" s="345"/>
      <c r="J172" s="345"/>
      <c r="K172" s="345"/>
      <c r="L172" s="345"/>
      <c r="M172" s="345"/>
      <c r="N172" s="345"/>
      <c r="O172" s="345"/>
      <c r="P172" s="345"/>
      <c r="Q172" s="345"/>
      <c r="R172" s="345"/>
      <c r="S172" s="345"/>
      <c r="T172" s="345"/>
      <c r="U172" s="345"/>
      <c r="V172" s="345"/>
      <c r="W172" s="345"/>
      <c r="X172" s="345"/>
      <c r="Y172" s="345"/>
      <c r="Z172" s="345"/>
      <c r="AA172" s="345"/>
      <c r="AB172" s="345"/>
      <c r="AC172" s="345"/>
      <c r="AD172" s="345"/>
      <c r="AE172" s="345"/>
      <c r="AF172" s="345"/>
      <c r="AG172" s="345"/>
      <c r="AH172" s="345"/>
      <c r="AI172" s="345"/>
      <c r="AJ172" s="345"/>
      <c r="AK172" s="345"/>
      <c r="AL172" s="345"/>
      <c r="AM172" s="345"/>
      <c r="AN172" s="345"/>
      <c r="AO172" s="345"/>
      <c r="AP172" s="345"/>
      <c r="AQ172" s="345"/>
      <c r="AR172" s="345"/>
      <c r="AS172" s="345"/>
      <c r="AT172" s="345"/>
      <c r="AU172" s="345"/>
      <c r="AV172" s="345"/>
      <c r="AW172" s="345"/>
      <c r="AX172" s="345"/>
      <c r="AY172" s="345"/>
      <c r="AZ172" s="345"/>
      <c r="BA172" s="345"/>
      <c r="BB172" s="345"/>
      <c r="BC172" s="345"/>
      <c r="BD172" s="345"/>
      <c r="BE172" s="345"/>
      <c r="BF172" s="345"/>
      <c r="BG172" s="345"/>
      <c r="BH172" s="345"/>
      <c r="BI172" s="345"/>
      <c r="BJ172" s="345"/>
      <c r="BK172" s="345"/>
      <c r="BL172" s="345"/>
      <c r="BM172" s="345"/>
      <c r="BN172" s="345"/>
      <c r="BO172" s="345"/>
      <c r="BP172" s="345"/>
      <c r="BQ172" s="345"/>
      <c r="BR172" s="345"/>
      <c r="BS172" s="345"/>
      <c r="BT172" s="345"/>
      <c r="BU172" s="345"/>
      <c r="BV172" s="345"/>
      <c r="BW172" s="345"/>
      <c r="BX172" s="345"/>
      <c r="BY172" s="345"/>
      <c r="BZ172" s="345"/>
      <c r="CA172" s="345"/>
      <c r="CB172" s="345"/>
      <c r="CC172" s="345"/>
      <c r="CD172" s="345"/>
      <c r="CE172" s="345"/>
      <c r="CF172" s="345"/>
      <c r="CG172" s="345"/>
      <c r="CH172" s="345"/>
      <c r="CI172" s="345"/>
      <c r="CJ172" s="345"/>
      <c r="CK172" s="345"/>
      <c r="CL172" s="345"/>
      <c r="CM172" s="345"/>
      <c r="CN172" s="345"/>
      <c r="CO172" s="345"/>
      <c r="CP172" s="345"/>
      <c r="CQ172" s="345"/>
      <c r="CR172" s="345"/>
      <c r="CS172" s="345"/>
      <c r="CT172" s="345"/>
      <c r="CU172" s="345"/>
      <c r="CV172" s="345"/>
      <c r="CW172" s="345"/>
      <c r="CX172" s="345"/>
      <c r="CY172" s="345"/>
      <c r="CZ172" s="345"/>
      <c r="DA172" s="345"/>
      <c r="DB172" s="345"/>
      <c r="DC172" s="345"/>
      <c r="DD172" s="345"/>
      <c r="DE172" s="345"/>
      <c r="DF172" s="345"/>
      <c r="DG172" s="345"/>
      <c r="DH172" s="345"/>
      <c r="DI172" s="345"/>
      <c r="DJ172" s="345"/>
      <c r="DK172" s="345"/>
      <c r="DL172" s="345"/>
      <c r="DM172" s="345"/>
      <c r="DN172" s="345"/>
      <c r="DO172" s="345"/>
      <c r="DP172" s="345"/>
      <c r="DQ172" s="345"/>
      <c r="DR172" s="345"/>
      <c r="DS172" s="345"/>
      <c r="DT172" s="345"/>
      <c r="DU172" s="345"/>
      <c r="DV172" s="345"/>
      <c r="DW172" s="345"/>
      <c r="DX172" s="345"/>
      <c r="DY172" s="345"/>
      <c r="DZ172" s="345"/>
      <c r="EA172" s="345"/>
    </row>
    <row r="173" spans="1:131" hidden="1">
      <c r="A173" s="345"/>
      <c r="B173" s="345"/>
      <c r="C173" s="345"/>
      <c r="D173" s="345"/>
      <c r="E173" s="345"/>
      <c r="F173" s="345"/>
      <c r="G173" s="345"/>
      <c r="H173" s="345"/>
      <c r="I173" s="345"/>
      <c r="J173" s="345"/>
      <c r="K173" s="345"/>
      <c r="L173" s="345"/>
      <c r="M173" s="345"/>
      <c r="N173" s="345"/>
      <c r="O173" s="345"/>
      <c r="P173" s="345"/>
      <c r="Q173" s="345"/>
      <c r="R173" s="345"/>
      <c r="S173" s="345"/>
      <c r="T173" s="345"/>
      <c r="U173" s="345"/>
      <c r="V173" s="345"/>
      <c r="W173" s="345"/>
      <c r="X173" s="345"/>
      <c r="Y173" s="345"/>
      <c r="Z173" s="345"/>
      <c r="AA173" s="345"/>
      <c r="AB173" s="345"/>
      <c r="AC173" s="345"/>
      <c r="AD173" s="345"/>
      <c r="AE173" s="345"/>
      <c r="AF173" s="345"/>
      <c r="AG173" s="345"/>
      <c r="AH173" s="345"/>
      <c r="AI173" s="345"/>
      <c r="AJ173" s="345"/>
      <c r="AK173" s="345"/>
      <c r="AL173" s="345"/>
      <c r="AM173" s="345"/>
      <c r="AN173" s="345"/>
      <c r="AO173" s="345"/>
      <c r="AP173" s="345"/>
      <c r="AQ173" s="345"/>
      <c r="AR173" s="345"/>
      <c r="AS173" s="345"/>
      <c r="AT173" s="345"/>
      <c r="AU173" s="345"/>
      <c r="AV173" s="345"/>
      <c r="AW173" s="345"/>
      <c r="AX173" s="345"/>
      <c r="AY173" s="345"/>
      <c r="AZ173" s="345"/>
      <c r="BA173" s="345"/>
      <c r="BB173" s="345"/>
      <c r="BC173" s="345"/>
      <c r="BD173" s="345"/>
      <c r="BE173" s="345"/>
      <c r="BF173" s="345"/>
      <c r="BG173" s="345"/>
      <c r="BH173" s="345"/>
      <c r="BI173" s="345"/>
      <c r="BJ173" s="345"/>
      <c r="BK173" s="345"/>
      <c r="BL173" s="345"/>
      <c r="BM173" s="345"/>
      <c r="BN173" s="345"/>
      <c r="BO173" s="345"/>
      <c r="BP173" s="345"/>
      <c r="BQ173" s="345"/>
      <c r="BR173" s="345"/>
      <c r="BS173" s="345"/>
      <c r="BT173" s="345"/>
      <c r="BU173" s="345"/>
      <c r="BV173" s="345"/>
      <c r="BW173" s="345"/>
      <c r="BX173" s="345"/>
      <c r="BY173" s="345"/>
      <c r="BZ173" s="345"/>
      <c r="CA173" s="345"/>
      <c r="CB173" s="345"/>
      <c r="CC173" s="345"/>
      <c r="CD173" s="345"/>
      <c r="CE173" s="345"/>
      <c r="CF173" s="345"/>
      <c r="CG173" s="345"/>
      <c r="CH173" s="345"/>
      <c r="CI173" s="345"/>
      <c r="CJ173" s="345"/>
      <c r="CK173" s="345"/>
      <c r="CL173" s="345"/>
      <c r="CM173" s="345"/>
      <c r="CN173" s="345"/>
      <c r="CO173" s="345"/>
      <c r="CP173" s="345"/>
      <c r="CQ173" s="345"/>
      <c r="CR173" s="345"/>
      <c r="CS173" s="345"/>
      <c r="CT173" s="345"/>
      <c r="CU173" s="345"/>
      <c r="CV173" s="345"/>
      <c r="CW173" s="345"/>
      <c r="CX173" s="345"/>
      <c r="CY173" s="345"/>
      <c r="CZ173" s="345"/>
      <c r="DA173" s="345"/>
      <c r="DB173" s="345"/>
      <c r="DC173" s="345"/>
      <c r="DD173" s="345"/>
      <c r="DE173" s="345"/>
      <c r="DF173" s="345"/>
      <c r="DG173" s="345"/>
      <c r="DH173" s="345"/>
      <c r="DI173" s="345"/>
      <c r="DJ173" s="345"/>
      <c r="DK173" s="345"/>
      <c r="DL173" s="345"/>
      <c r="DM173" s="345"/>
      <c r="DN173" s="345"/>
      <c r="DO173" s="345"/>
      <c r="DP173" s="345"/>
      <c r="DQ173" s="345"/>
      <c r="DR173" s="345"/>
      <c r="DS173" s="345"/>
      <c r="DT173" s="345"/>
      <c r="DU173" s="345"/>
      <c r="DV173" s="345"/>
      <c r="DW173" s="345"/>
      <c r="DX173" s="345"/>
      <c r="DY173" s="345"/>
      <c r="DZ173" s="345"/>
      <c r="EA173" s="345"/>
    </row>
    <row r="174" spans="1:131" hidden="1">
      <c r="A174" s="345"/>
      <c r="B174" s="345"/>
      <c r="C174" s="345"/>
      <c r="D174" s="345"/>
      <c r="E174" s="345"/>
      <c r="F174" s="345"/>
      <c r="G174" s="345"/>
      <c r="H174" s="345"/>
      <c r="I174" s="345"/>
      <c r="J174" s="345"/>
      <c r="K174" s="345"/>
      <c r="L174" s="345"/>
      <c r="M174" s="345"/>
      <c r="N174" s="345"/>
      <c r="O174" s="345"/>
      <c r="P174" s="345"/>
      <c r="Q174" s="345"/>
      <c r="R174" s="345"/>
      <c r="S174" s="345"/>
      <c r="T174" s="345"/>
      <c r="U174" s="345"/>
      <c r="V174" s="345"/>
      <c r="W174" s="345"/>
      <c r="X174" s="345"/>
      <c r="Y174" s="345"/>
      <c r="Z174" s="345"/>
      <c r="AA174" s="345"/>
      <c r="AB174" s="345"/>
      <c r="AC174" s="345"/>
      <c r="AD174" s="345"/>
      <c r="AE174" s="345"/>
      <c r="AF174" s="345"/>
      <c r="AG174" s="345"/>
      <c r="AH174" s="345"/>
      <c r="AI174" s="345"/>
      <c r="AJ174" s="345"/>
      <c r="AK174" s="345"/>
      <c r="AL174" s="345"/>
      <c r="AM174" s="345"/>
      <c r="AN174" s="345"/>
      <c r="AO174" s="345"/>
      <c r="AP174" s="345"/>
      <c r="AQ174" s="345"/>
      <c r="AR174" s="345"/>
      <c r="AS174" s="345"/>
      <c r="AT174" s="345"/>
      <c r="AU174" s="345"/>
      <c r="AV174" s="345"/>
      <c r="AW174" s="345"/>
      <c r="AX174" s="345"/>
      <c r="AY174" s="345"/>
      <c r="AZ174" s="345"/>
      <c r="BA174" s="345"/>
      <c r="BB174" s="345"/>
      <c r="BC174" s="345"/>
      <c r="BD174" s="345"/>
      <c r="BE174" s="345"/>
      <c r="BF174" s="345"/>
      <c r="BG174" s="345"/>
      <c r="BH174" s="345"/>
      <c r="BI174" s="345"/>
      <c r="BJ174" s="345"/>
      <c r="BK174" s="345"/>
      <c r="BL174" s="345"/>
      <c r="BM174" s="345"/>
      <c r="BN174" s="345"/>
      <c r="BO174" s="345"/>
      <c r="BP174" s="345"/>
      <c r="BQ174" s="345"/>
      <c r="BR174" s="345"/>
      <c r="BS174" s="345"/>
      <c r="BT174" s="345"/>
      <c r="BU174" s="345"/>
      <c r="BV174" s="345"/>
      <c r="BW174" s="345"/>
      <c r="BX174" s="345"/>
      <c r="BY174" s="345"/>
      <c r="BZ174" s="345"/>
      <c r="CA174" s="345"/>
      <c r="CB174" s="345"/>
      <c r="CC174" s="345"/>
      <c r="CD174" s="345"/>
      <c r="CE174" s="345"/>
      <c r="CF174" s="345"/>
      <c r="CG174" s="345"/>
      <c r="CH174" s="345"/>
      <c r="CI174" s="345"/>
      <c r="CJ174" s="345"/>
      <c r="CK174" s="345"/>
      <c r="CL174" s="345"/>
      <c r="CM174" s="345"/>
      <c r="CN174" s="345"/>
      <c r="CO174" s="345"/>
      <c r="CP174" s="345"/>
      <c r="CQ174" s="345"/>
      <c r="CR174" s="345"/>
      <c r="CS174" s="345"/>
      <c r="CT174" s="345"/>
      <c r="CU174" s="345"/>
      <c r="CV174" s="345"/>
      <c r="CW174" s="345"/>
      <c r="CX174" s="345"/>
      <c r="CY174" s="345"/>
      <c r="CZ174" s="345"/>
      <c r="DA174" s="345"/>
      <c r="DB174" s="345"/>
      <c r="DC174" s="345"/>
      <c r="DD174" s="345"/>
      <c r="DE174" s="345"/>
      <c r="DF174" s="345"/>
      <c r="DG174" s="345"/>
      <c r="DH174" s="345"/>
      <c r="DI174" s="345"/>
      <c r="DJ174" s="345"/>
      <c r="DK174" s="345"/>
      <c r="DL174" s="345"/>
      <c r="DM174" s="345"/>
      <c r="DN174" s="345"/>
      <c r="DO174" s="345"/>
      <c r="DP174" s="345"/>
      <c r="DQ174" s="345"/>
      <c r="DR174" s="345"/>
      <c r="DS174" s="345"/>
      <c r="DT174" s="345"/>
      <c r="DU174" s="345"/>
      <c r="DV174" s="345"/>
      <c r="DW174" s="345"/>
      <c r="DX174" s="345"/>
      <c r="DY174" s="345"/>
      <c r="DZ174" s="345"/>
      <c r="EA174" s="345"/>
    </row>
    <row r="175" spans="1:131" hidden="1">
      <c r="A175" s="345"/>
      <c r="B175" s="345"/>
      <c r="C175" s="345"/>
      <c r="D175" s="345"/>
      <c r="E175" s="345"/>
      <c r="F175" s="345"/>
      <c r="G175" s="345"/>
      <c r="H175" s="345"/>
      <c r="I175" s="345"/>
      <c r="J175" s="345"/>
      <c r="K175" s="345"/>
      <c r="L175" s="345"/>
      <c r="M175" s="345"/>
      <c r="N175" s="345"/>
      <c r="O175" s="345"/>
      <c r="P175" s="345"/>
      <c r="Q175" s="345"/>
      <c r="R175" s="345"/>
      <c r="S175" s="345"/>
      <c r="T175" s="345"/>
      <c r="U175" s="345"/>
      <c r="V175" s="345"/>
      <c r="W175" s="345"/>
      <c r="X175" s="345"/>
      <c r="Y175" s="345"/>
      <c r="Z175" s="345"/>
      <c r="AA175" s="345"/>
      <c r="AB175" s="345"/>
      <c r="AC175" s="345"/>
      <c r="AD175" s="345"/>
      <c r="AE175" s="345"/>
      <c r="AF175" s="345"/>
      <c r="AG175" s="345"/>
      <c r="AH175" s="345"/>
      <c r="AI175" s="345"/>
      <c r="AJ175" s="345"/>
      <c r="AK175" s="345"/>
      <c r="AL175" s="345"/>
      <c r="AM175" s="345"/>
      <c r="AN175" s="345"/>
      <c r="AO175" s="345"/>
      <c r="AP175" s="345"/>
      <c r="AQ175" s="345"/>
      <c r="AR175" s="345"/>
      <c r="AS175" s="345"/>
      <c r="AT175" s="345"/>
      <c r="AU175" s="345"/>
      <c r="AV175" s="345"/>
      <c r="AW175" s="345"/>
      <c r="AX175" s="345"/>
      <c r="AY175" s="345"/>
      <c r="AZ175" s="345"/>
      <c r="BA175" s="345"/>
      <c r="BB175" s="345"/>
      <c r="BC175" s="345"/>
      <c r="BD175" s="345"/>
      <c r="BE175" s="345"/>
      <c r="BF175" s="345"/>
      <c r="BG175" s="345"/>
      <c r="BH175" s="345"/>
      <c r="BI175" s="345"/>
      <c r="BJ175" s="345"/>
      <c r="BK175" s="345"/>
      <c r="BL175" s="345"/>
      <c r="BM175" s="345"/>
      <c r="BN175" s="345"/>
      <c r="BO175" s="345"/>
      <c r="BP175" s="345"/>
      <c r="BQ175" s="345"/>
      <c r="BR175" s="345"/>
      <c r="BS175" s="345"/>
      <c r="BT175" s="345"/>
      <c r="BU175" s="345"/>
      <c r="BV175" s="345"/>
      <c r="BW175" s="345"/>
      <c r="BX175" s="345"/>
      <c r="BY175" s="345"/>
      <c r="BZ175" s="345"/>
      <c r="CA175" s="345"/>
      <c r="CB175" s="345"/>
      <c r="CC175" s="345"/>
      <c r="CD175" s="345"/>
      <c r="CE175" s="345"/>
      <c r="CF175" s="345"/>
      <c r="CG175" s="345"/>
      <c r="CH175" s="345"/>
      <c r="CI175" s="345"/>
      <c r="CJ175" s="345"/>
      <c r="CK175" s="345"/>
      <c r="CL175" s="345"/>
      <c r="CM175" s="345"/>
      <c r="CN175" s="345"/>
      <c r="CO175" s="345"/>
      <c r="CP175" s="345"/>
      <c r="CQ175" s="345"/>
      <c r="CR175" s="345"/>
      <c r="CS175" s="345"/>
      <c r="CT175" s="345"/>
      <c r="CU175" s="345"/>
      <c r="CV175" s="345"/>
      <c r="CW175" s="345"/>
      <c r="CX175" s="345"/>
      <c r="CY175" s="345"/>
      <c r="CZ175" s="345"/>
      <c r="DA175" s="345"/>
      <c r="DB175" s="345"/>
      <c r="DC175" s="345"/>
      <c r="DD175" s="345"/>
      <c r="DE175" s="345"/>
      <c r="DF175" s="345"/>
      <c r="DG175" s="345"/>
      <c r="DH175" s="345"/>
      <c r="DI175" s="345"/>
      <c r="DJ175" s="345"/>
      <c r="DK175" s="345"/>
      <c r="DL175" s="345"/>
      <c r="DM175" s="345"/>
      <c r="DN175" s="345"/>
      <c r="DO175" s="345"/>
      <c r="DP175" s="345"/>
      <c r="DQ175" s="345"/>
      <c r="DR175" s="345"/>
      <c r="DS175" s="345"/>
      <c r="DT175" s="345"/>
      <c r="DU175" s="345"/>
      <c r="DV175" s="345"/>
      <c r="DW175" s="345"/>
      <c r="DX175" s="345"/>
      <c r="DY175" s="345"/>
      <c r="DZ175" s="345"/>
      <c r="EA175" s="345"/>
    </row>
    <row r="176" spans="1:131" hidden="1">
      <c r="A176" s="345"/>
      <c r="B176" s="345"/>
      <c r="C176" s="345"/>
      <c r="D176" s="345"/>
      <c r="E176" s="345"/>
      <c r="F176" s="345"/>
      <c r="G176" s="345"/>
      <c r="H176" s="345"/>
      <c r="I176" s="345"/>
      <c r="J176" s="345"/>
      <c r="K176" s="345"/>
      <c r="L176" s="345"/>
      <c r="M176" s="345"/>
      <c r="N176" s="345"/>
      <c r="O176" s="345"/>
      <c r="P176" s="345"/>
      <c r="Q176" s="345"/>
      <c r="R176" s="345"/>
      <c r="S176" s="345"/>
      <c r="T176" s="345"/>
      <c r="U176" s="345"/>
      <c r="V176" s="345"/>
      <c r="W176" s="345"/>
      <c r="X176" s="345"/>
      <c r="Y176" s="345"/>
      <c r="Z176" s="345"/>
      <c r="AA176" s="345"/>
      <c r="AB176" s="345"/>
      <c r="AC176" s="345"/>
      <c r="AD176" s="345"/>
      <c r="AE176" s="345"/>
      <c r="AF176" s="345"/>
      <c r="AG176" s="345"/>
      <c r="AH176" s="345"/>
      <c r="AI176" s="345"/>
      <c r="AJ176" s="345"/>
      <c r="AK176" s="345"/>
      <c r="AL176" s="345"/>
      <c r="AM176" s="345"/>
      <c r="AN176" s="345"/>
      <c r="AO176" s="345"/>
      <c r="AP176" s="345"/>
      <c r="AQ176" s="345"/>
      <c r="AR176" s="345"/>
      <c r="AS176" s="345"/>
      <c r="AT176" s="345"/>
      <c r="AU176" s="345"/>
      <c r="AV176" s="345"/>
      <c r="AW176" s="345"/>
      <c r="AX176" s="345"/>
      <c r="AY176" s="345"/>
      <c r="AZ176" s="345"/>
      <c r="BA176" s="345"/>
      <c r="BB176" s="345"/>
      <c r="BC176" s="345"/>
      <c r="BD176" s="345"/>
      <c r="BE176" s="345"/>
      <c r="BF176" s="345"/>
      <c r="BG176" s="345"/>
      <c r="BH176" s="345"/>
      <c r="BI176" s="345"/>
      <c r="BJ176" s="345"/>
      <c r="BK176" s="345"/>
      <c r="BL176" s="345"/>
      <c r="BM176" s="345"/>
      <c r="BN176" s="345"/>
      <c r="BO176" s="345"/>
      <c r="BP176" s="345"/>
      <c r="BQ176" s="345"/>
      <c r="BR176" s="345"/>
      <c r="BS176" s="345"/>
      <c r="BT176" s="345"/>
      <c r="BU176" s="345"/>
      <c r="BV176" s="345"/>
      <c r="BW176" s="345"/>
      <c r="BX176" s="345"/>
      <c r="BY176" s="345"/>
      <c r="BZ176" s="345"/>
      <c r="CA176" s="345"/>
      <c r="CB176" s="345"/>
      <c r="CC176" s="345"/>
      <c r="CD176" s="345"/>
      <c r="CE176" s="345"/>
      <c r="CF176" s="345"/>
      <c r="CG176" s="345"/>
      <c r="CH176" s="345"/>
      <c r="CI176" s="345"/>
      <c r="CJ176" s="345"/>
      <c r="CK176" s="345"/>
      <c r="CL176" s="345"/>
      <c r="CM176" s="345"/>
      <c r="CN176" s="345"/>
      <c r="CO176" s="345"/>
      <c r="CP176" s="345"/>
      <c r="CQ176" s="345"/>
      <c r="CR176" s="345"/>
      <c r="CS176" s="345"/>
      <c r="CT176" s="345"/>
      <c r="CU176" s="345"/>
      <c r="CV176" s="345"/>
      <c r="CW176" s="345"/>
      <c r="CX176" s="345"/>
      <c r="CY176" s="345"/>
      <c r="CZ176" s="345"/>
      <c r="DA176" s="345"/>
      <c r="DB176" s="345"/>
      <c r="DC176" s="345"/>
      <c r="DD176" s="345"/>
      <c r="DE176" s="345"/>
      <c r="DF176" s="345"/>
      <c r="DG176" s="345"/>
      <c r="DH176" s="345"/>
      <c r="DI176" s="345"/>
      <c r="DJ176" s="345"/>
      <c r="DK176" s="345"/>
      <c r="DL176" s="345"/>
      <c r="DM176" s="345"/>
      <c r="DN176" s="345"/>
      <c r="DO176" s="345"/>
      <c r="DP176" s="345"/>
      <c r="DQ176" s="345"/>
      <c r="DR176" s="345"/>
      <c r="DS176" s="345"/>
      <c r="DT176" s="345"/>
      <c r="DU176" s="345"/>
      <c r="DV176" s="345"/>
      <c r="DW176" s="345"/>
      <c r="DX176" s="345"/>
      <c r="DY176" s="345"/>
      <c r="DZ176" s="345"/>
      <c r="EA176" s="345"/>
    </row>
    <row r="177" spans="1:131" hidden="1">
      <c r="A177" s="345"/>
      <c r="B177" s="345"/>
      <c r="C177" s="345"/>
      <c r="D177" s="345"/>
      <c r="E177" s="345"/>
      <c r="F177" s="345"/>
      <c r="G177" s="345"/>
      <c r="H177" s="345"/>
      <c r="I177" s="345"/>
      <c r="J177" s="345"/>
      <c r="K177" s="345"/>
      <c r="L177" s="345"/>
      <c r="M177" s="345"/>
      <c r="N177" s="345"/>
      <c r="O177" s="345"/>
      <c r="P177" s="345"/>
      <c r="Q177" s="345"/>
      <c r="R177" s="345"/>
      <c r="S177" s="345"/>
      <c r="T177" s="345"/>
      <c r="U177" s="345"/>
      <c r="V177" s="345"/>
      <c r="W177" s="345"/>
      <c r="X177" s="345"/>
      <c r="Y177" s="345"/>
      <c r="Z177" s="345"/>
      <c r="AA177" s="345"/>
      <c r="AB177" s="345"/>
      <c r="AC177" s="345"/>
      <c r="AD177" s="345"/>
      <c r="AE177" s="345"/>
      <c r="AF177" s="345"/>
      <c r="AG177" s="345"/>
      <c r="AH177" s="345"/>
      <c r="AI177" s="345"/>
      <c r="AJ177" s="345"/>
      <c r="AK177" s="345"/>
      <c r="AL177" s="345"/>
      <c r="AM177" s="345"/>
      <c r="AN177" s="345"/>
      <c r="AO177" s="345"/>
      <c r="AP177" s="345"/>
      <c r="AQ177" s="345"/>
      <c r="AR177" s="345"/>
      <c r="AS177" s="345"/>
      <c r="AT177" s="345"/>
      <c r="AU177" s="345"/>
      <c r="AV177" s="345"/>
      <c r="AW177" s="345"/>
      <c r="AX177" s="345"/>
      <c r="AY177" s="345"/>
      <c r="AZ177" s="345"/>
      <c r="BA177" s="345"/>
      <c r="BB177" s="345"/>
      <c r="BC177" s="345"/>
      <c r="BD177" s="345"/>
      <c r="BE177" s="345"/>
      <c r="BF177" s="345"/>
      <c r="BG177" s="345"/>
      <c r="BH177" s="345"/>
      <c r="BI177" s="345"/>
      <c r="BJ177" s="345"/>
      <c r="BK177" s="345"/>
      <c r="BL177" s="345"/>
      <c r="BM177" s="345"/>
      <c r="BN177" s="345"/>
      <c r="BO177" s="345"/>
      <c r="BP177" s="345"/>
      <c r="BQ177" s="345"/>
      <c r="BR177" s="345"/>
      <c r="BS177" s="345"/>
      <c r="BT177" s="345"/>
      <c r="BU177" s="345"/>
      <c r="BV177" s="345"/>
      <c r="BW177" s="345"/>
      <c r="BX177" s="345"/>
      <c r="BY177" s="345"/>
      <c r="BZ177" s="345"/>
      <c r="CA177" s="345"/>
      <c r="CB177" s="345"/>
      <c r="CC177" s="345"/>
      <c r="CD177" s="345"/>
      <c r="CE177" s="345"/>
      <c r="CF177" s="345"/>
      <c r="CG177" s="345"/>
      <c r="CH177" s="345"/>
      <c r="CI177" s="345"/>
      <c r="CJ177" s="345"/>
      <c r="CK177" s="345"/>
      <c r="CL177" s="345"/>
      <c r="CM177" s="345"/>
      <c r="CN177" s="345"/>
      <c r="CO177" s="345"/>
      <c r="CP177" s="345"/>
      <c r="CQ177" s="345"/>
      <c r="CR177" s="345"/>
      <c r="CS177" s="345"/>
      <c r="CT177" s="345"/>
      <c r="CU177" s="345"/>
      <c r="CV177" s="345"/>
      <c r="CW177" s="345"/>
      <c r="CX177" s="345"/>
      <c r="CY177" s="345"/>
      <c r="CZ177" s="345"/>
      <c r="DA177" s="345"/>
      <c r="DB177" s="345"/>
      <c r="DC177" s="345"/>
      <c r="DD177" s="345"/>
      <c r="DE177" s="345"/>
      <c r="DF177" s="345"/>
      <c r="DG177" s="345"/>
      <c r="DH177" s="345"/>
      <c r="DI177" s="345"/>
      <c r="DJ177" s="345"/>
      <c r="DK177" s="345"/>
      <c r="DL177" s="345"/>
      <c r="DM177" s="345"/>
      <c r="DN177" s="345"/>
      <c r="DO177" s="345"/>
      <c r="DP177" s="345"/>
      <c r="DQ177" s="345"/>
      <c r="DR177" s="345"/>
      <c r="DS177" s="345"/>
      <c r="DT177" s="345"/>
      <c r="DU177" s="345"/>
      <c r="DV177" s="345"/>
      <c r="DW177" s="345"/>
      <c r="DX177" s="345"/>
      <c r="DY177" s="345"/>
      <c r="DZ177" s="345"/>
      <c r="EA177" s="345"/>
    </row>
    <row r="178" spans="1:131" hidden="1">
      <c r="A178" s="345"/>
      <c r="B178" s="345"/>
      <c r="C178" s="345"/>
      <c r="D178" s="345"/>
      <c r="E178" s="345"/>
      <c r="F178" s="345"/>
      <c r="G178" s="345"/>
      <c r="H178" s="345"/>
      <c r="I178" s="345"/>
      <c r="J178" s="345"/>
      <c r="K178" s="345"/>
      <c r="L178" s="345"/>
      <c r="M178" s="345"/>
      <c r="N178" s="345"/>
      <c r="O178" s="345"/>
      <c r="P178" s="345"/>
      <c r="Q178" s="345"/>
      <c r="R178" s="345"/>
      <c r="S178" s="345"/>
      <c r="T178" s="345"/>
      <c r="U178" s="345"/>
      <c r="V178" s="345"/>
      <c r="W178" s="345"/>
      <c r="X178" s="345"/>
      <c r="Y178" s="345"/>
      <c r="Z178" s="345"/>
      <c r="AA178" s="345"/>
      <c r="AB178" s="345"/>
      <c r="AC178" s="345"/>
      <c r="AD178" s="345"/>
      <c r="AE178" s="345"/>
      <c r="AF178" s="345"/>
      <c r="AG178" s="345"/>
      <c r="AH178" s="345"/>
      <c r="AI178" s="345"/>
      <c r="AJ178" s="345"/>
      <c r="AK178" s="345"/>
      <c r="AL178" s="345"/>
      <c r="AM178" s="345"/>
      <c r="AN178" s="345"/>
      <c r="AO178" s="345"/>
      <c r="AP178" s="345"/>
      <c r="AQ178" s="345"/>
      <c r="AR178" s="345"/>
      <c r="AS178" s="345"/>
      <c r="AT178" s="345"/>
      <c r="AU178" s="345"/>
      <c r="AV178" s="345"/>
      <c r="AW178" s="345"/>
      <c r="AX178" s="345"/>
      <c r="AY178" s="345"/>
      <c r="AZ178" s="345"/>
      <c r="BA178" s="345"/>
      <c r="BB178" s="345"/>
      <c r="BC178" s="345"/>
      <c r="BD178" s="345"/>
      <c r="BE178" s="345"/>
      <c r="BF178" s="345"/>
      <c r="BG178" s="345"/>
      <c r="BH178" s="345"/>
      <c r="BI178" s="345"/>
      <c r="BJ178" s="345"/>
      <c r="BK178" s="345"/>
      <c r="BL178" s="345"/>
      <c r="BM178" s="345"/>
      <c r="BN178" s="345"/>
      <c r="BO178" s="345"/>
      <c r="BP178" s="345"/>
      <c r="BQ178" s="345"/>
      <c r="BR178" s="345"/>
      <c r="BS178" s="345"/>
      <c r="BT178" s="345"/>
      <c r="BU178" s="345"/>
      <c r="BV178" s="345"/>
      <c r="BW178" s="345"/>
      <c r="BX178" s="345"/>
      <c r="BY178" s="345"/>
      <c r="BZ178" s="345"/>
      <c r="CA178" s="345"/>
      <c r="CB178" s="345"/>
      <c r="CC178" s="345"/>
      <c r="CD178" s="345"/>
      <c r="CE178" s="345"/>
      <c r="CF178" s="345"/>
      <c r="CG178" s="345"/>
      <c r="CH178" s="345"/>
      <c r="CI178" s="345"/>
      <c r="CJ178" s="345"/>
      <c r="CK178" s="345"/>
      <c r="CL178" s="345"/>
      <c r="CM178" s="345"/>
      <c r="CN178" s="345"/>
      <c r="CO178" s="345"/>
      <c r="CP178" s="345"/>
      <c r="CQ178" s="345"/>
      <c r="CR178" s="345"/>
      <c r="CS178" s="345"/>
      <c r="CT178" s="345"/>
      <c r="CU178" s="345"/>
      <c r="CV178" s="345"/>
      <c r="CW178" s="345"/>
      <c r="CX178" s="345"/>
      <c r="CY178" s="345"/>
      <c r="CZ178" s="345"/>
      <c r="DA178" s="345"/>
      <c r="DB178" s="345"/>
      <c r="DC178" s="345"/>
      <c r="DD178" s="345"/>
      <c r="DE178" s="345"/>
      <c r="DF178" s="345"/>
      <c r="DG178" s="345"/>
      <c r="DH178" s="345"/>
      <c r="DI178" s="345"/>
      <c r="DJ178" s="345"/>
      <c r="DK178" s="345"/>
      <c r="DL178" s="345"/>
      <c r="DM178" s="345"/>
      <c r="DN178" s="345"/>
      <c r="DO178" s="345"/>
      <c r="DP178" s="345"/>
      <c r="DQ178" s="345"/>
      <c r="DR178" s="345"/>
      <c r="DS178" s="345"/>
      <c r="DT178" s="345"/>
      <c r="DU178" s="345"/>
      <c r="DV178" s="345"/>
      <c r="DW178" s="345"/>
      <c r="DX178" s="345"/>
      <c r="DY178" s="345"/>
      <c r="DZ178" s="345"/>
      <c r="EA178" s="345"/>
    </row>
    <row r="179" spans="1:131" hidden="1">
      <c r="A179" s="345"/>
      <c r="B179" s="345"/>
      <c r="C179" s="345"/>
      <c r="D179" s="345"/>
      <c r="E179" s="345"/>
      <c r="F179" s="345"/>
      <c r="G179" s="345"/>
      <c r="H179" s="345"/>
      <c r="I179" s="345"/>
      <c r="J179" s="345"/>
      <c r="K179" s="345"/>
      <c r="L179" s="345"/>
      <c r="M179" s="345"/>
      <c r="N179" s="345"/>
      <c r="O179" s="345"/>
      <c r="P179" s="345"/>
      <c r="Q179" s="345"/>
      <c r="R179" s="345"/>
      <c r="S179" s="345"/>
      <c r="T179" s="345"/>
      <c r="U179" s="345"/>
      <c r="V179" s="345"/>
      <c r="W179" s="345"/>
      <c r="X179" s="345"/>
      <c r="Y179" s="345"/>
      <c r="Z179" s="345"/>
      <c r="AA179" s="345"/>
      <c r="AB179" s="345"/>
      <c r="AC179" s="345"/>
      <c r="AD179" s="345"/>
      <c r="AE179" s="345"/>
      <c r="AF179" s="345"/>
      <c r="AG179" s="345"/>
      <c r="AH179" s="345"/>
      <c r="AI179" s="345"/>
      <c r="AJ179" s="345"/>
      <c r="AK179" s="345"/>
      <c r="AL179" s="345"/>
      <c r="AM179" s="345"/>
      <c r="AN179" s="345"/>
      <c r="AO179" s="345"/>
      <c r="AP179" s="345"/>
      <c r="AQ179" s="345"/>
      <c r="AR179" s="345"/>
      <c r="AS179" s="345"/>
      <c r="AT179" s="345"/>
      <c r="AU179" s="345"/>
      <c r="AV179" s="345"/>
      <c r="AW179" s="345"/>
      <c r="AX179" s="345"/>
      <c r="AY179" s="345"/>
      <c r="AZ179" s="345"/>
      <c r="BA179" s="345"/>
      <c r="BB179" s="345"/>
      <c r="BC179" s="345"/>
      <c r="BD179" s="345"/>
      <c r="BE179" s="345"/>
      <c r="BF179" s="345"/>
      <c r="BG179" s="345"/>
      <c r="BH179" s="345"/>
      <c r="BI179" s="345"/>
      <c r="BJ179" s="345"/>
      <c r="BK179" s="345"/>
      <c r="BL179" s="345"/>
      <c r="BM179" s="345"/>
      <c r="BN179" s="345"/>
      <c r="BO179" s="345"/>
      <c r="BP179" s="345"/>
      <c r="BQ179" s="345"/>
      <c r="BR179" s="345"/>
      <c r="BS179" s="345"/>
      <c r="BT179" s="345"/>
      <c r="BU179" s="345"/>
      <c r="BV179" s="345"/>
      <c r="BW179" s="345"/>
      <c r="BX179" s="345"/>
      <c r="BY179" s="345"/>
      <c r="BZ179" s="345"/>
      <c r="CA179" s="345"/>
      <c r="CB179" s="345"/>
      <c r="CC179" s="345"/>
      <c r="CD179" s="345"/>
      <c r="CE179" s="345"/>
      <c r="CF179" s="345"/>
      <c r="CG179" s="345"/>
      <c r="CH179" s="345"/>
      <c r="CI179" s="345"/>
      <c r="CJ179" s="345"/>
      <c r="CK179" s="345"/>
      <c r="CL179" s="345"/>
      <c r="CM179" s="345"/>
      <c r="CN179" s="345"/>
      <c r="CO179" s="345"/>
      <c r="CP179" s="345"/>
      <c r="CQ179" s="345"/>
      <c r="CR179" s="345"/>
      <c r="CS179" s="345"/>
      <c r="CT179" s="345"/>
      <c r="CU179" s="345"/>
      <c r="CV179" s="345"/>
      <c r="CW179" s="345"/>
      <c r="CX179" s="345"/>
      <c r="CY179" s="345"/>
      <c r="CZ179" s="345"/>
      <c r="DA179" s="345"/>
      <c r="DB179" s="345"/>
      <c r="DC179" s="345"/>
      <c r="DD179" s="345"/>
      <c r="DE179" s="345"/>
      <c r="DF179" s="345"/>
      <c r="DG179" s="345"/>
      <c r="DH179" s="345"/>
      <c r="DI179" s="345"/>
      <c r="DJ179" s="345"/>
      <c r="DK179" s="345"/>
      <c r="DL179" s="345"/>
      <c r="DM179" s="345"/>
      <c r="DN179" s="345"/>
      <c r="DO179" s="345"/>
      <c r="DP179" s="345"/>
      <c r="DQ179" s="345"/>
      <c r="DR179" s="345"/>
      <c r="DS179" s="345"/>
      <c r="DT179" s="345"/>
      <c r="DU179" s="345"/>
      <c r="DV179" s="345"/>
      <c r="DW179" s="345"/>
      <c r="DX179" s="345"/>
      <c r="DY179" s="345"/>
      <c r="DZ179" s="345"/>
      <c r="EA179" s="345"/>
    </row>
    <row r="180" spans="1:131" hidden="1">
      <c r="A180" s="345"/>
      <c r="B180" s="345"/>
      <c r="C180" s="345"/>
      <c r="D180" s="345"/>
      <c r="E180" s="345"/>
      <c r="F180" s="345"/>
      <c r="G180" s="345"/>
      <c r="H180" s="345"/>
      <c r="I180" s="345"/>
      <c r="J180" s="345"/>
      <c r="K180" s="345"/>
      <c r="L180" s="345"/>
      <c r="M180" s="345"/>
      <c r="N180" s="345"/>
      <c r="O180" s="345"/>
      <c r="P180" s="345"/>
      <c r="Q180" s="345"/>
      <c r="R180" s="345"/>
      <c r="S180" s="345"/>
      <c r="T180" s="345"/>
      <c r="U180" s="345"/>
      <c r="V180" s="345"/>
      <c r="W180" s="345"/>
      <c r="X180" s="345"/>
      <c r="Y180" s="345"/>
      <c r="Z180" s="345"/>
      <c r="AA180" s="345"/>
      <c r="AB180" s="345"/>
      <c r="AC180" s="345"/>
      <c r="AD180" s="345"/>
      <c r="AE180" s="345"/>
      <c r="AF180" s="345"/>
      <c r="AG180" s="345"/>
      <c r="AH180" s="345"/>
      <c r="AI180" s="345"/>
      <c r="AJ180" s="345"/>
      <c r="AK180" s="345"/>
      <c r="AL180" s="345"/>
      <c r="AM180" s="345"/>
      <c r="AN180" s="345"/>
      <c r="AO180" s="345"/>
      <c r="AP180" s="345"/>
      <c r="AQ180" s="345"/>
      <c r="AR180" s="345"/>
      <c r="AS180" s="345"/>
      <c r="AT180" s="345"/>
      <c r="AU180" s="345"/>
      <c r="AV180" s="345"/>
      <c r="AW180" s="345"/>
      <c r="AX180" s="345"/>
      <c r="AY180" s="345"/>
      <c r="AZ180" s="345"/>
      <c r="BA180" s="345"/>
      <c r="BB180" s="345"/>
      <c r="BC180" s="345"/>
      <c r="BD180" s="345"/>
      <c r="BE180" s="345"/>
      <c r="BF180" s="345"/>
      <c r="BG180" s="345"/>
      <c r="BH180" s="345"/>
      <c r="BI180" s="345"/>
      <c r="BJ180" s="345"/>
      <c r="BK180" s="345"/>
      <c r="BL180" s="345"/>
      <c r="BM180" s="345"/>
      <c r="BN180" s="345"/>
      <c r="BO180" s="345"/>
      <c r="BP180" s="345"/>
      <c r="BQ180" s="345"/>
      <c r="BR180" s="345"/>
      <c r="BS180" s="345"/>
      <c r="BT180" s="345"/>
      <c r="BU180" s="345"/>
      <c r="BV180" s="345"/>
      <c r="BW180" s="345"/>
      <c r="BX180" s="345"/>
      <c r="BY180" s="345"/>
      <c r="BZ180" s="345"/>
      <c r="CA180" s="345"/>
      <c r="CB180" s="345"/>
      <c r="CC180" s="345"/>
      <c r="CD180" s="345"/>
      <c r="CE180" s="345"/>
      <c r="CF180" s="345"/>
      <c r="CG180" s="345"/>
      <c r="CH180" s="345"/>
      <c r="CI180" s="345"/>
      <c r="CJ180" s="345"/>
      <c r="CK180" s="345"/>
      <c r="CL180" s="345"/>
      <c r="CM180" s="345"/>
      <c r="CN180" s="345"/>
      <c r="CO180" s="345"/>
      <c r="CP180" s="345"/>
      <c r="CQ180" s="345"/>
      <c r="CR180" s="345"/>
      <c r="CS180" s="345"/>
      <c r="CT180" s="345"/>
      <c r="CU180" s="345"/>
      <c r="CV180" s="345"/>
      <c r="CW180" s="345"/>
      <c r="CX180" s="345"/>
      <c r="CY180" s="345"/>
      <c r="CZ180" s="345"/>
      <c r="DA180" s="345"/>
      <c r="DB180" s="345"/>
      <c r="DC180" s="345"/>
      <c r="DD180" s="345"/>
      <c r="DE180" s="345"/>
      <c r="DF180" s="345"/>
      <c r="DG180" s="345"/>
      <c r="DH180" s="345"/>
      <c r="DI180" s="345"/>
      <c r="DJ180" s="345"/>
      <c r="DK180" s="345"/>
      <c r="DL180" s="345"/>
      <c r="DM180" s="345"/>
      <c r="DN180" s="345"/>
      <c r="DO180" s="345"/>
      <c r="DP180" s="345"/>
      <c r="DQ180" s="345"/>
      <c r="DR180" s="345"/>
      <c r="DS180" s="345"/>
      <c r="DT180" s="345"/>
      <c r="DU180" s="345"/>
      <c r="DV180" s="345"/>
      <c r="DW180" s="345"/>
      <c r="DX180" s="345"/>
      <c r="DY180" s="345"/>
      <c r="DZ180" s="345"/>
      <c r="EA180" s="345"/>
    </row>
    <row r="181" spans="1:131" hidden="1">
      <c r="A181" s="345"/>
      <c r="B181" s="345"/>
      <c r="C181" s="345"/>
      <c r="D181" s="345"/>
      <c r="E181" s="345"/>
      <c r="F181" s="345"/>
      <c r="G181" s="345"/>
      <c r="H181" s="345"/>
      <c r="I181" s="345"/>
      <c r="J181" s="345"/>
      <c r="K181" s="345"/>
      <c r="L181" s="345"/>
      <c r="M181" s="345"/>
      <c r="N181" s="345"/>
      <c r="O181" s="345"/>
      <c r="P181" s="345"/>
      <c r="Q181" s="345"/>
      <c r="R181" s="345"/>
      <c r="S181" s="345"/>
      <c r="T181" s="345"/>
      <c r="U181" s="345"/>
      <c r="V181" s="345"/>
      <c r="W181" s="345"/>
      <c r="X181" s="345"/>
      <c r="Y181" s="345"/>
      <c r="Z181" s="345"/>
      <c r="AA181" s="345"/>
      <c r="AB181" s="345"/>
      <c r="AC181" s="345"/>
      <c r="AD181" s="345"/>
      <c r="AE181" s="345"/>
      <c r="AF181" s="345"/>
      <c r="AG181" s="345"/>
      <c r="AH181" s="345"/>
      <c r="AI181" s="345"/>
      <c r="AJ181" s="345"/>
      <c r="AK181" s="345"/>
      <c r="AL181" s="345"/>
      <c r="AM181" s="345"/>
      <c r="AN181" s="345"/>
      <c r="AO181" s="345"/>
      <c r="AP181" s="345"/>
      <c r="AQ181" s="345"/>
      <c r="AR181" s="345"/>
      <c r="AS181" s="345"/>
      <c r="AT181" s="345"/>
      <c r="AU181" s="345"/>
      <c r="AV181" s="345"/>
      <c r="AW181" s="345"/>
      <c r="AX181" s="345"/>
      <c r="AY181" s="345"/>
      <c r="AZ181" s="345"/>
      <c r="BA181" s="345"/>
      <c r="BB181" s="345"/>
      <c r="BC181" s="345"/>
      <c r="BD181" s="345"/>
      <c r="BE181" s="345"/>
      <c r="BF181" s="345"/>
      <c r="BG181" s="345"/>
      <c r="BH181" s="345"/>
      <c r="BI181" s="345"/>
      <c r="BJ181" s="345"/>
      <c r="BK181" s="345"/>
      <c r="BL181" s="345"/>
      <c r="BM181" s="345"/>
      <c r="BN181" s="345"/>
      <c r="BO181" s="345"/>
      <c r="BP181" s="345"/>
      <c r="BQ181" s="345"/>
      <c r="BR181" s="345"/>
      <c r="BS181" s="345"/>
      <c r="BT181" s="345"/>
      <c r="BU181" s="345"/>
      <c r="BV181" s="345"/>
      <c r="BW181" s="345"/>
      <c r="BX181" s="345"/>
      <c r="BY181" s="345"/>
      <c r="BZ181" s="345"/>
      <c r="CA181" s="345"/>
      <c r="CB181" s="345"/>
      <c r="CC181" s="345"/>
      <c r="CD181" s="345"/>
      <c r="CE181" s="345"/>
      <c r="CF181" s="345"/>
      <c r="CG181" s="345"/>
      <c r="CH181" s="345"/>
      <c r="CI181" s="345"/>
      <c r="CJ181" s="345"/>
      <c r="CK181" s="345"/>
      <c r="CL181" s="345"/>
      <c r="CM181" s="345"/>
      <c r="CN181" s="345"/>
      <c r="CO181" s="345"/>
      <c r="CP181" s="345"/>
      <c r="CQ181" s="345"/>
      <c r="CR181" s="345"/>
      <c r="CS181" s="345"/>
      <c r="CT181" s="345"/>
      <c r="CU181" s="345"/>
      <c r="CV181" s="345"/>
      <c r="CW181" s="345"/>
      <c r="CX181" s="345"/>
      <c r="CY181" s="345"/>
      <c r="CZ181" s="345"/>
      <c r="DA181" s="345"/>
      <c r="DB181" s="345"/>
      <c r="DC181" s="345"/>
      <c r="DD181" s="345"/>
      <c r="DE181" s="345"/>
      <c r="DF181" s="345"/>
      <c r="DG181" s="345"/>
      <c r="DH181" s="345"/>
      <c r="DI181" s="345"/>
      <c r="DJ181" s="345"/>
      <c r="DK181" s="345"/>
      <c r="DL181" s="345"/>
      <c r="DM181" s="345"/>
      <c r="DN181" s="345"/>
      <c r="DO181" s="345"/>
      <c r="DP181" s="345"/>
      <c r="DQ181" s="345"/>
      <c r="DR181" s="345"/>
      <c r="DS181" s="345"/>
      <c r="DT181" s="345"/>
      <c r="DU181" s="345"/>
      <c r="DV181" s="345"/>
      <c r="DW181" s="345"/>
      <c r="DX181" s="345"/>
      <c r="DY181" s="345"/>
      <c r="DZ181" s="345"/>
      <c r="EA181" s="345"/>
    </row>
    <row r="182" spans="1:131" hidden="1">
      <c r="A182" s="345"/>
      <c r="B182" s="345"/>
      <c r="C182" s="345"/>
      <c r="D182" s="345"/>
      <c r="E182" s="345"/>
      <c r="F182" s="345"/>
      <c r="G182" s="345"/>
      <c r="H182" s="345"/>
      <c r="I182" s="345"/>
      <c r="J182" s="345"/>
      <c r="K182" s="345"/>
      <c r="L182" s="345"/>
      <c r="M182" s="345"/>
      <c r="N182" s="345"/>
      <c r="O182" s="345"/>
      <c r="P182" s="345"/>
      <c r="Q182" s="345"/>
      <c r="R182" s="345"/>
      <c r="S182" s="345"/>
      <c r="T182" s="345"/>
      <c r="U182" s="345"/>
      <c r="V182" s="345"/>
      <c r="W182" s="345"/>
      <c r="X182" s="345"/>
      <c r="Y182" s="345"/>
      <c r="Z182" s="345"/>
      <c r="AA182" s="345"/>
      <c r="AB182" s="345"/>
      <c r="AC182" s="345"/>
      <c r="AD182" s="345"/>
      <c r="AE182" s="345"/>
      <c r="AF182" s="345"/>
      <c r="AG182" s="345"/>
      <c r="AH182" s="345"/>
      <c r="AI182" s="345"/>
      <c r="AJ182" s="345"/>
      <c r="AK182" s="345"/>
      <c r="AL182" s="345"/>
      <c r="AM182" s="345"/>
      <c r="AN182" s="345"/>
      <c r="AO182" s="345"/>
      <c r="AP182" s="345"/>
      <c r="AQ182" s="345"/>
      <c r="AR182" s="345"/>
      <c r="AS182" s="345"/>
      <c r="AT182" s="345"/>
      <c r="AU182" s="345"/>
      <c r="AV182" s="345"/>
      <c r="AW182" s="345"/>
      <c r="AX182" s="345"/>
      <c r="AY182" s="345"/>
      <c r="AZ182" s="345"/>
      <c r="BA182" s="345"/>
      <c r="BB182" s="345"/>
      <c r="BC182" s="345"/>
      <c r="BD182" s="345"/>
      <c r="BE182" s="345"/>
      <c r="BF182" s="345"/>
      <c r="BG182" s="345"/>
      <c r="BH182" s="345"/>
      <c r="BI182" s="345"/>
      <c r="BJ182" s="345"/>
      <c r="BK182" s="345"/>
      <c r="BL182" s="345"/>
      <c r="BM182" s="345"/>
      <c r="BN182" s="345"/>
      <c r="BO182" s="345"/>
      <c r="BP182" s="345"/>
      <c r="BQ182" s="345"/>
      <c r="BR182" s="345"/>
      <c r="BS182" s="345"/>
      <c r="BT182" s="345"/>
      <c r="BU182" s="345"/>
      <c r="BV182" s="345"/>
      <c r="BW182" s="345"/>
      <c r="BX182" s="345"/>
      <c r="BY182" s="345"/>
      <c r="BZ182" s="345"/>
      <c r="CA182" s="345"/>
      <c r="CB182" s="345"/>
      <c r="CC182" s="345"/>
      <c r="CD182" s="345"/>
      <c r="CE182" s="345"/>
      <c r="CF182" s="345"/>
      <c r="CG182" s="345"/>
      <c r="CH182" s="345"/>
      <c r="CI182" s="345"/>
      <c r="CJ182" s="345"/>
      <c r="CK182" s="345"/>
      <c r="CL182" s="345"/>
      <c r="CM182" s="345"/>
      <c r="CN182" s="345"/>
      <c r="CO182" s="345"/>
      <c r="CP182" s="345"/>
      <c r="CQ182" s="345"/>
      <c r="CR182" s="345"/>
      <c r="CS182" s="345"/>
      <c r="CT182" s="345"/>
      <c r="CU182" s="345"/>
      <c r="CV182" s="345"/>
      <c r="CW182" s="345"/>
      <c r="CX182" s="345"/>
      <c r="CY182" s="345"/>
      <c r="CZ182" s="345"/>
      <c r="DA182" s="345"/>
      <c r="DB182" s="345"/>
      <c r="DC182" s="345"/>
      <c r="DD182" s="345"/>
      <c r="DE182" s="345"/>
      <c r="DF182" s="345"/>
      <c r="DG182" s="345"/>
      <c r="DH182" s="345"/>
      <c r="DI182" s="345"/>
      <c r="DJ182" s="345"/>
      <c r="DK182" s="345"/>
      <c r="DL182" s="345"/>
      <c r="DM182" s="345"/>
      <c r="DN182" s="345"/>
      <c r="DO182" s="345"/>
      <c r="DP182" s="345"/>
      <c r="DQ182" s="345"/>
      <c r="DR182" s="345"/>
      <c r="DS182" s="345"/>
      <c r="DT182" s="345"/>
      <c r="DU182" s="345"/>
      <c r="DV182" s="345"/>
      <c r="DW182" s="345"/>
      <c r="DX182" s="345"/>
      <c r="DY182" s="345"/>
      <c r="DZ182" s="345"/>
      <c r="EA182" s="345"/>
    </row>
    <row r="183" spans="1:131" hidden="1">
      <c r="A183" s="345"/>
      <c r="B183" s="345"/>
      <c r="C183" s="345"/>
      <c r="D183" s="345"/>
      <c r="E183" s="345"/>
      <c r="F183" s="345"/>
      <c r="G183" s="345"/>
      <c r="H183" s="345"/>
      <c r="I183" s="345"/>
      <c r="J183" s="345"/>
      <c r="K183" s="345"/>
      <c r="L183" s="345"/>
      <c r="M183" s="345"/>
      <c r="N183" s="345"/>
      <c r="O183" s="345"/>
      <c r="P183" s="345"/>
      <c r="Q183" s="345"/>
      <c r="R183" s="345"/>
      <c r="S183" s="345"/>
      <c r="T183" s="345"/>
      <c r="U183" s="345"/>
      <c r="V183" s="345"/>
      <c r="W183" s="345"/>
      <c r="X183" s="345"/>
      <c r="Y183" s="345"/>
      <c r="Z183" s="345"/>
      <c r="AA183" s="345"/>
      <c r="AB183" s="345"/>
      <c r="AC183" s="345"/>
      <c r="AD183" s="345"/>
      <c r="AE183" s="345"/>
      <c r="AF183" s="345"/>
      <c r="AG183" s="345"/>
      <c r="AH183" s="345"/>
      <c r="AI183" s="345"/>
      <c r="AJ183" s="345"/>
      <c r="AK183" s="345"/>
      <c r="AL183" s="345"/>
      <c r="AM183" s="345"/>
      <c r="AN183" s="345"/>
      <c r="AO183" s="345"/>
      <c r="AP183" s="345"/>
      <c r="AQ183" s="345"/>
      <c r="AR183" s="345"/>
      <c r="AS183" s="345"/>
      <c r="AT183" s="345"/>
      <c r="AU183" s="345"/>
      <c r="AV183" s="345"/>
      <c r="AW183" s="345"/>
      <c r="AX183" s="345"/>
      <c r="AY183" s="345"/>
      <c r="AZ183" s="345"/>
      <c r="BA183" s="345"/>
      <c r="BB183" s="345"/>
      <c r="BC183" s="345"/>
      <c r="BD183" s="345"/>
      <c r="BE183" s="345"/>
      <c r="BF183" s="345"/>
      <c r="BG183" s="345"/>
      <c r="BH183" s="345"/>
      <c r="BI183" s="345"/>
      <c r="BJ183" s="345"/>
      <c r="BK183" s="345"/>
      <c r="BL183" s="345"/>
      <c r="BM183" s="345"/>
      <c r="BN183" s="345"/>
      <c r="BO183" s="345"/>
      <c r="BP183" s="345"/>
      <c r="BQ183" s="345"/>
      <c r="BR183" s="345"/>
      <c r="BS183" s="345"/>
      <c r="BT183" s="345"/>
      <c r="BU183" s="345"/>
      <c r="BV183" s="345"/>
      <c r="BW183" s="345"/>
      <c r="BX183" s="345"/>
      <c r="BY183" s="345"/>
      <c r="BZ183" s="345"/>
      <c r="CA183" s="345"/>
      <c r="CB183" s="345"/>
      <c r="CC183" s="345"/>
      <c r="CD183" s="345"/>
      <c r="CE183" s="345"/>
      <c r="CF183" s="345"/>
      <c r="CG183" s="345"/>
      <c r="CH183" s="345"/>
      <c r="CI183" s="345"/>
      <c r="CJ183" s="345"/>
      <c r="CK183" s="345"/>
      <c r="CL183" s="345"/>
      <c r="CM183" s="345"/>
      <c r="CN183" s="345"/>
      <c r="CO183" s="345"/>
      <c r="CP183" s="345"/>
      <c r="CQ183" s="345"/>
      <c r="CR183" s="345"/>
      <c r="CS183" s="345"/>
      <c r="CT183" s="345"/>
      <c r="CU183" s="345"/>
      <c r="CV183" s="345"/>
      <c r="CW183" s="345"/>
      <c r="CX183" s="345"/>
      <c r="CY183" s="345"/>
      <c r="CZ183" s="345"/>
      <c r="DA183" s="345"/>
      <c r="DB183" s="345"/>
      <c r="DC183" s="345"/>
      <c r="DD183" s="345"/>
      <c r="DE183" s="345"/>
      <c r="DF183" s="345"/>
      <c r="DG183" s="345"/>
      <c r="DH183" s="345"/>
      <c r="DI183" s="345"/>
      <c r="DJ183" s="345"/>
      <c r="DK183" s="345"/>
      <c r="DL183" s="345"/>
      <c r="DM183" s="345"/>
      <c r="DN183" s="345"/>
      <c r="DO183" s="345"/>
      <c r="DP183" s="345"/>
      <c r="DQ183" s="345"/>
      <c r="DR183" s="345"/>
      <c r="DS183" s="345"/>
      <c r="DT183" s="345"/>
      <c r="DU183" s="345"/>
      <c r="DV183" s="345"/>
      <c r="DW183" s="345"/>
      <c r="DX183" s="345"/>
      <c r="DY183" s="345"/>
      <c r="DZ183" s="345"/>
      <c r="EA183" s="345"/>
    </row>
    <row r="184" spans="1:131" hidden="1">
      <c r="A184" s="345"/>
      <c r="B184" s="345"/>
      <c r="C184" s="345"/>
      <c r="D184" s="345"/>
      <c r="E184" s="345"/>
      <c r="F184" s="345"/>
      <c r="G184" s="345"/>
      <c r="H184" s="345"/>
      <c r="I184" s="345"/>
      <c r="J184" s="345"/>
      <c r="K184" s="345"/>
      <c r="L184" s="345"/>
      <c r="M184" s="345"/>
      <c r="N184" s="345"/>
      <c r="O184" s="345"/>
      <c r="P184" s="345"/>
      <c r="Q184" s="345"/>
      <c r="R184" s="345"/>
      <c r="S184" s="345"/>
      <c r="T184" s="345"/>
      <c r="U184" s="345"/>
      <c r="V184" s="345"/>
      <c r="W184" s="345"/>
      <c r="X184" s="345"/>
      <c r="Y184" s="345"/>
      <c r="Z184" s="345"/>
      <c r="AA184" s="345"/>
      <c r="AB184" s="345"/>
      <c r="AC184" s="345"/>
      <c r="AD184" s="345"/>
      <c r="AE184" s="345"/>
      <c r="AF184" s="345"/>
      <c r="AG184" s="345"/>
      <c r="AH184" s="345"/>
      <c r="AI184" s="345"/>
      <c r="AJ184" s="345"/>
      <c r="AK184" s="345"/>
      <c r="AL184" s="345"/>
      <c r="AM184" s="345"/>
      <c r="AN184" s="345"/>
      <c r="AO184" s="345"/>
      <c r="AP184" s="345"/>
      <c r="AQ184" s="345"/>
      <c r="AR184" s="345"/>
      <c r="AS184" s="345"/>
      <c r="AT184" s="345"/>
      <c r="AU184" s="345"/>
      <c r="AV184" s="345"/>
      <c r="AW184" s="345"/>
      <c r="AX184" s="345"/>
      <c r="AY184" s="345"/>
      <c r="AZ184" s="345"/>
      <c r="BA184" s="345"/>
      <c r="BB184" s="345"/>
      <c r="BC184" s="345"/>
      <c r="BD184" s="345"/>
      <c r="BE184" s="345"/>
      <c r="BF184" s="345"/>
      <c r="BG184" s="345"/>
      <c r="BH184" s="345"/>
      <c r="BI184" s="345"/>
      <c r="BJ184" s="345"/>
      <c r="BK184" s="345"/>
      <c r="BL184" s="345"/>
      <c r="BM184" s="345"/>
      <c r="BN184" s="345"/>
      <c r="BO184" s="345"/>
      <c r="BP184" s="345"/>
      <c r="BQ184" s="345"/>
      <c r="BR184" s="345"/>
      <c r="BS184" s="345"/>
      <c r="BT184" s="345"/>
      <c r="BU184" s="345"/>
      <c r="BV184" s="345"/>
      <c r="BW184" s="345"/>
      <c r="BX184" s="345"/>
      <c r="BY184" s="345"/>
      <c r="BZ184" s="345"/>
      <c r="CA184" s="345"/>
      <c r="CB184" s="345"/>
      <c r="CC184" s="345"/>
      <c r="CD184" s="345"/>
      <c r="CE184" s="345"/>
      <c r="CF184" s="345"/>
      <c r="CG184" s="345"/>
      <c r="CH184" s="345"/>
      <c r="CI184" s="345"/>
      <c r="CJ184" s="345"/>
      <c r="CK184" s="345"/>
      <c r="CL184" s="345"/>
      <c r="CM184" s="345"/>
      <c r="CN184" s="345"/>
      <c r="CO184" s="345"/>
      <c r="CP184" s="345"/>
      <c r="CQ184" s="345"/>
      <c r="CR184" s="345"/>
      <c r="CS184" s="345"/>
      <c r="CT184" s="345"/>
      <c r="CU184" s="345"/>
      <c r="CV184" s="345"/>
      <c r="CW184" s="345"/>
      <c r="CX184" s="345"/>
      <c r="CY184" s="345"/>
      <c r="CZ184" s="345"/>
      <c r="DA184" s="345"/>
      <c r="DB184" s="345"/>
      <c r="DC184" s="345"/>
      <c r="DD184" s="345"/>
      <c r="DE184" s="345"/>
      <c r="DF184" s="345"/>
      <c r="DG184" s="345"/>
      <c r="DH184" s="345"/>
      <c r="DI184" s="345"/>
      <c r="DJ184" s="345"/>
      <c r="DK184" s="345"/>
      <c r="DL184" s="345"/>
      <c r="DM184" s="345"/>
      <c r="DN184" s="345"/>
      <c r="DO184" s="345"/>
      <c r="DP184" s="345"/>
      <c r="DQ184" s="345"/>
      <c r="DR184" s="345"/>
      <c r="DS184" s="345"/>
      <c r="DT184" s="345"/>
      <c r="DU184" s="345"/>
      <c r="DV184" s="345"/>
      <c r="DW184" s="345"/>
      <c r="DX184" s="345"/>
      <c r="DY184" s="345"/>
      <c r="DZ184" s="345"/>
      <c r="EA184" s="345"/>
    </row>
    <row r="185" spans="1:131" hidden="1">
      <c r="A185" s="345"/>
      <c r="B185" s="345"/>
      <c r="C185" s="345"/>
      <c r="D185" s="345"/>
      <c r="E185" s="345"/>
      <c r="F185" s="345"/>
      <c r="G185" s="345"/>
      <c r="H185" s="345"/>
      <c r="I185" s="345"/>
      <c r="J185" s="345"/>
      <c r="K185" s="345"/>
      <c r="L185" s="345"/>
      <c r="M185" s="345"/>
      <c r="N185" s="345"/>
      <c r="O185" s="345"/>
      <c r="P185" s="345"/>
      <c r="Q185" s="345"/>
      <c r="R185" s="345"/>
      <c r="S185" s="345"/>
      <c r="T185" s="345"/>
      <c r="U185" s="345"/>
      <c r="V185" s="345"/>
      <c r="W185" s="345"/>
      <c r="X185" s="345"/>
      <c r="Y185" s="345"/>
      <c r="Z185" s="345"/>
      <c r="AA185" s="345"/>
      <c r="AB185" s="345"/>
      <c r="AC185" s="345"/>
      <c r="AD185" s="345"/>
      <c r="AE185" s="345"/>
      <c r="AF185" s="345"/>
      <c r="AG185" s="345"/>
      <c r="AH185" s="345"/>
      <c r="AI185" s="345"/>
      <c r="AJ185" s="345"/>
      <c r="AK185" s="345"/>
      <c r="AL185" s="345"/>
      <c r="AM185" s="345"/>
      <c r="AN185" s="345"/>
      <c r="AO185" s="345"/>
      <c r="AP185" s="345"/>
      <c r="AQ185" s="345"/>
      <c r="AR185" s="345"/>
      <c r="AS185" s="345"/>
      <c r="AT185" s="345"/>
      <c r="AU185" s="345"/>
      <c r="AV185" s="345"/>
      <c r="AW185" s="345"/>
      <c r="AX185" s="345"/>
      <c r="AY185" s="345"/>
      <c r="AZ185" s="345"/>
      <c r="BA185" s="345"/>
      <c r="BB185" s="345"/>
      <c r="BC185" s="345"/>
      <c r="BD185" s="345"/>
      <c r="BE185" s="345"/>
      <c r="BF185" s="345"/>
      <c r="BG185" s="345"/>
      <c r="BH185" s="345"/>
      <c r="BI185" s="345"/>
      <c r="BJ185" s="345"/>
      <c r="BK185" s="345"/>
      <c r="BL185" s="345"/>
      <c r="BM185" s="345"/>
      <c r="BN185" s="345"/>
      <c r="BO185" s="345"/>
      <c r="BP185" s="345"/>
      <c r="BQ185" s="345"/>
      <c r="BR185" s="345"/>
      <c r="BS185" s="345"/>
      <c r="BT185" s="345"/>
      <c r="BU185" s="345"/>
      <c r="BV185" s="345"/>
      <c r="BW185" s="345"/>
      <c r="BX185" s="345"/>
      <c r="BY185" s="345"/>
      <c r="BZ185" s="345"/>
      <c r="CA185" s="345"/>
      <c r="CB185" s="345"/>
      <c r="CC185" s="345"/>
      <c r="CD185" s="345"/>
      <c r="CE185" s="345"/>
      <c r="CF185" s="345"/>
      <c r="CG185" s="345"/>
      <c r="CH185" s="345"/>
      <c r="CI185" s="345"/>
      <c r="CJ185" s="345"/>
      <c r="CK185" s="345"/>
      <c r="CL185" s="345"/>
      <c r="CM185" s="345"/>
      <c r="CN185" s="345"/>
      <c r="CO185" s="345"/>
      <c r="CP185" s="345"/>
      <c r="CQ185" s="345"/>
      <c r="CR185" s="345"/>
      <c r="CS185" s="345"/>
      <c r="CT185" s="345"/>
      <c r="CU185" s="345"/>
      <c r="CV185" s="345"/>
      <c r="CW185" s="345"/>
      <c r="CX185" s="345"/>
      <c r="CY185" s="345"/>
      <c r="CZ185" s="345"/>
      <c r="DA185" s="345"/>
      <c r="DB185" s="345"/>
      <c r="DC185" s="345"/>
      <c r="DD185" s="345"/>
      <c r="DE185" s="345"/>
      <c r="DF185" s="345"/>
      <c r="DG185" s="345"/>
      <c r="DH185" s="345"/>
      <c r="DI185" s="345"/>
      <c r="DJ185" s="345"/>
      <c r="DK185" s="345"/>
      <c r="DL185" s="345"/>
      <c r="DM185" s="345"/>
      <c r="DN185" s="345"/>
      <c r="DO185" s="345"/>
      <c r="DP185" s="345"/>
      <c r="DQ185" s="345"/>
      <c r="DR185" s="345"/>
      <c r="DS185" s="345"/>
      <c r="DT185" s="345"/>
      <c r="DU185" s="345"/>
      <c r="DV185" s="345"/>
      <c r="DW185" s="345"/>
      <c r="DX185" s="345"/>
      <c r="DY185" s="345"/>
      <c r="DZ185" s="345"/>
      <c r="EA185" s="345"/>
    </row>
    <row r="186" spans="1:131" hidden="1">
      <c r="A186" s="345"/>
      <c r="B186" s="345"/>
      <c r="C186" s="345"/>
      <c r="D186" s="345"/>
      <c r="E186" s="345"/>
      <c r="F186" s="345"/>
      <c r="G186" s="345"/>
      <c r="H186" s="345"/>
      <c r="I186" s="345"/>
      <c r="J186" s="345"/>
      <c r="K186" s="345"/>
      <c r="L186" s="345"/>
      <c r="M186" s="345"/>
      <c r="N186" s="345"/>
      <c r="O186" s="345"/>
      <c r="P186" s="345"/>
      <c r="Q186" s="345"/>
      <c r="R186" s="345"/>
      <c r="S186" s="345"/>
      <c r="T186" s="345"/>
      <c r="U186" s="345"/>
      <c r="V186" s="345"/>
      <c r="W186" s="345"/>
      <c r="X186" s="345"/>
      <c r="Y186" s="345"/>
      <c r="Z186" s="345"/>
      <c r="AA186" s="345"/>
      <c r="AB186" s="345"/>
      <c r="AC186" s="345"/>
      <c r="AD186" s="345"/>
      <c r="AE186" s="345"/>
      <c r="AF186" s="345"/>
      <c r="AG186" s="345"/>
      <c r="AH186" s="345"/>
      <c r="AI186" s="345"/>
      <c r="AJ186" s="345"/>
      <c r="AK186" s="345"/>
      <c r="AL186" s="345"/>
      <c r="AM186" s="345"/>
      <c r="AN186" s="345"/>
      <c r="AO186" s="345"/>
      <c r="AP186" s="345"/>
      <c r="AQ186" s="345"/>
      <c r="AR186" s="345"/>
      <c r="AS186" s="345"/>
      <c r="AT186" s="345"/>
      <c r="AU186" s="345"/>
      <c r="AV186" s="345"/>
      <c r="AW186" s="345"/>
      <c r="AX186" s="345"/>
      <c r="AY186" s="345"/>
      <c r="AZ186" s="345"/>
      <c r="BA186" s="345"/>
      <c r="BB186" s="345"/>
      <c r="BC186" s="345"/>
      <c r="BD186" s="345"/>
      <c r="BE186" s="345"/>
      <c r="BF186" s="345"/>
      <c r="BG186" s="345"/>
      <c r="BH186" s="345"/>
      <c r="BI186" s="345"/>
      <c r="BJ186" s="345"/>
      <c r="BK186" s="345"/>
      <c r="BL186" s="345"/>
      <c r="BM186" s="345"/>
      <c r="BN186" s="345"/>
      <c r="BO186" s="345"/>
      <c r="BP186" s="345"/>
      <c r="BQ186" s="345"/>
      <c r="BR186" s="345"/>
      <c r="BS186" s="345"/>
      <c r="BT186" s="345"/>
      <c r="BU186" s="345"/>
      <c r="BV186" s="345"/>
      <c r="BW186" s="345"/>
      <c r="BX186" s="345"/>
      <c r="BY186" s="345"/>
      <c r="BZ186" s="345"/>
      <c r="CA186" s="345"/>
      <c r="CB186" s="345"/>
      <c r="CC186" s="345"/>
      <c r="CD186" s="345"/>
      <c r="CE186" s="345"/>
      <c r="CF186" s="345"/>
      <c r="CG186" s="345"/>
      <c r="CH186" s="345"/>
      <c r="CI186" s="345"/>
      <c r="CJ186" s="345"/>
      <c r="CK186" s="345"/>
      <c r="CL186" s="345"/>
      <c r="CM186" s="345"/>
      <c r="CN186" s="345"/>
      <c r="CO186" s="345"/>
      <c r="CP186" s="345"/>
      <c r="CQ186" s="345"/>
      <c r="CR186" s="345"/>
      <c r="CS186" s="345"/>
      <c r="CT186" s="345"/>
      <c r="CU186" s="345"/>
      <c r="CV186" s="345"/>
      <c r="CW186" s="345"/>
      <c r="CX186" s="345"/>
      <c r="CY186" s="345"/>
      <c r="CZ186" s="345"/>
      <c r="DA186" s="345"/>
      <c r="DB186" s="345"/>
      <c r="DC186" s="345"/>
      <c r="DD186" s="345"/>
      <c r="DE186" s="345"/>
      <c r="DF186" s="345"/>
      <c r="DG186" s="345"/>
      <c r="DH186" s="345"/>
      <c r="DI186" s="345"/>
      <c r="DJ186" s="345"/>
      <c r="DK186" s="345"/>
      <c r="DL186" s="345"/>
      <c r="DM186" s="345"/>
      <c r="DN186" s="345"/>
      <c r="DO186" s="345"/>
      <c r="DP186" s="345"/>
      <c r="DQ186" s="345"/>
      <c r="DR186" s="345"/>
      <c r="DS186" s="345"/>
      <c r="DT186" s="345"/>
      <c r="DU186" s="345"/>
      <c r="DV186" s="345"/>
      <c r="DW186" s="345"/>
      <c r="DX186" s="345"/>
      <c r="DY186" s="345"/>
      <c r="DZ186" s="345"/>
      <c r="EA186" s="345"/>
    </row>
    <row r="187" spans="1:131" hidden="1">
      <c r="A187" s="345"/>
      <c r="B187" s="345"/>
      <c r="C187" s="345"/>
      <c r="D187" s="345"/>
      <c r="E187" s="345"/>
      <c r="F187" s="345"/>
      <c r="G187" s="345"/>
      <c r="H187" s="345"/>
      <c r="I187" s="345"/>
      <c r="J187" s="345"/>
      <c r="K187" s="345"/>
      <c r="L187" s="345"/>
      <c r="M187" s="345"/>
      <c r="N187" s="345"/>
      <c r="O187" s="345"/>
      <c r="P187" s="345"/>
      <c r="Q187" s="345"/>
      <c r="R187" s="345"/>
      <c r="S187" s="345"/>
      <c r="T187" s="345"/>
      <c r="U187" s="345"/>
      <c r="V187" s="345"/>
      <c r="W187" s="345"/>
      <c r="X187" s="345"/>
      <c r="Y187" s="345"/>
      <c r="Z187" s="345"/>
      <c r="AA187" s="345"/>
      <c r="AB187" s="345"/>
      <c r="AC187" s="345"/>
      <c r="AD187" s="345"/>
      <c r="AE187" s="345"/>
      <c r="AF187" s="345"/>
      <c r="AG187" s="345"/>
      <c r="AH187" s="345"/>
      <c r="AI187" s="345"/>
      <c r="AJ187" s="345"/>
      <c r="AK187" s="345"/>
      <c r="AL187" s="345"/>
      <c r="AM187" s="345"/>
      <c r="AN187" s="345"/>
      <c r="AO187" s="345"/>
      <c r="AP187" s="345"/>
      <c r="AQ187" s="345"/>
      <c r="AR187" s="345"/>
      <c r="AS187" s="345"/>
      <c r="AT187" s="345"/>
      <c r="AU187" s="345"/>
      <c r="AV187" s="345"/>
      <c r="AW187" s="345"/>
      <c r="AX187" s="345"/>
      <c r="AY187" s="345"/>
      <c r="AZ187" s="345"/>
      <c r="BA187" s="345"/>
      <c r="BB187" s="345"/>
      <c r="BC187" s="345"/>
      <c r="BD187" s="345"/>
      <c r="BE187" s="345"/>
      <c r="BF187" s="345"/>
      <c r="BG187" s="345"/>
      <c r="BH187" s="345"/>
      <c r="BI187" s="345"/>
      <c r="BJ187" s="345"/>
      <c r="BK187" s="345"/>
      <c r="BL187" s="345"/>
      <c r="BM187" s="345"/>
      <c r="BN187" s="345"/>
      <c r="BO187" s="345"/>
      <c r="BP187" s="345"/>
      <c r="BQ187" s="345"/>
      <c r="BR187" s="345"/>
      <c r="BS187" s="345"/>
      <c r="BT187" s="345"/>
      <c r="BU187" s="345"/>
      <c r="BV187" s="345"/>
      <c r="BW187" s="345"/>
      <c r="BX187" s="345"/>
      <c r="BY187" s="345"/>
      <c r="BZ187" s="345"/>
      <c r="CA187" s="345"/>
      <c r="CB187" s="345"/>
      <c r="CC187" s="345"/>
      <c r="CD187" s="345"/>
      <c r="CE187" s="345"/>
      <c r="CF187" s="345"/>
      <c r="CG187" s="345"/>
      <c r="CH187" s="345"/>
      <c r="CI187" s="345"/>
      <c r="CJ187" s="345"/>
      <c r="CK187" s="345"/>
      <c r="CL187" s="345"/>
      <c r="CM187" s="345"/>
      <c r="CN187" s="345"/>
      <c r="CO187" s="345"/>
      <c r="CP187" s="345"/>
      <c r="CQ187" s="345"/>
      <c r="CR187" s="345"/>
      <c r="CS187" s="345"/>
      <c r="CT187" s="345"/>
      <c r="CU187" s="345"/>
      <c r="CV187" s="345"/>
      <c r="CW187" s="345"/>
      <c r="CX187" s="345"/>
      <c r="CY187" s="345"/>
      <c r="CZ187" s="345"/>
      <c r="DA187" s="345"/>
      <c r="DB187" s="345"/>
      <c r="DC187" s="345"/>
      <c r="DD187" s="345"/>
      <c r="DE187" s="345"/>
      <c r="DF187" s="345"/>
      <c r="DG187" s="345"/>
      <c r="DH187" s="345"/>
      <c r="DI187" s="345"/>
      <c r="DJ187" s="345"/>
      <c r="DK187" s="345"/>
      <c r="DL187" s="345"/>
      <c r="DM187" s="345"/>
      <c r="DN187" s="345"/>
      <c r="DO187" s="345"/>
      <c r="DP187" s="345"/>
      <c r="DQ187" s="345"/>
      <c r="DR187" s="345"/>
      <c r="DS187" s="345"/>
      <c r="DT187" s="345"/>
      <c r="DU187" s="345"/>
      <c r="DV187" s="345"/>
      <c r="DW187" s="345"/>
      <c r="DX187" s="345"/>
      <c r="DY187" s="345"/>
      <c r="DZ187" s="345"/>
      <c r="EA187" s="345"/>
    </row>
    <row r="188" spans="1:131" hidden="1">
      <c r="A188" s="345"/>
      <c r="B188" s="345"/>
      <c r="C188" s="345"/>
      <c r="D188" s="345"/>
      <c r="E188" s="345"/>
      <c r="F188" s="345"/>
      <c r="G188" s="345"/>
      <c r="H188" s="345"/>
      <c r="I188" s="345"/>
      <c r="J188" s="345"/>
      <c r="K188" s="345"/>
      <c r="L188" s="345"/>
      <c r="M188" s="345"/>
      <c r="N188" s="345"/>
      <c r="O188" s="345"/>
      <c r="P188" s="345"/>
      <c r="Q188" s="345"/>
      <c r="R188" s="345"/>
      <c r="S188" s="345"/>
      <c r="T188" s="345"/>
      <c r="U188" s="345"/>
      <c r="V188" s="345"/>
      <c r="W188" s="345"/>
      <c r="X188" s="345"/>
      <c r="Y188" s="345"/>
      <c r="Z188" s="345"/>
      <c r="AA188" s="345"/>
      <c r="AB188" s="345"/>
      <c r="AC188" s="345"/>
      <c r="AD188" s="345"/>
      <c r="AE188" s="345"/>
      <c r="AF188" s="345"/>
      <c r="AG188" s="345"/>
      <c r="AH188" s="345"/>
      <c r="AI188" s="345"/>
      <c r="AJ188" s="345"/>
      <c r="AK188" s="345"/>
      <c r="AL188" s="345"/>
      <c r="AM188" s="345"/>
      <c r="AN188" s="345"/>
      <c r="AO188" s="345"/>
      <c r="AP188" s="345"/>
      <c r="AQ188" s="345"/>
      <c r="AR188" s="345"/>
      <c r="AS188" s="345"/>
      <c r="AT188" s="345"/>
      <c r="AU188" s="345"/>
      <c r="AV188" s="345"/>
      <c r="AW188" s="345"/>
      <c r="AX188" s="345"/>
      <c r="AY188" s="345"/>
      <c r="AZ188" s="345"/>
      <c r="BA188" s="345"/>
      <c r="BB188" s="345"/>
      <c r="BC188" s="345"/>
      <c r="BD188" s="345"/>
      <c r="BE188" s="345"/>
      <c r="BF188" s="345"/>
      <c r="BG188" s="345"/>
      <c r="BH188" s="345"/>
      <c r="BI188" s="345"/>
      <c r="BJ188" s="345"/>
      <c r="BK188" s="345"/>
      <c r="BL188" s="345"/>
      <c r="BM188" s="345"/>
      <c r="BN188" s="345"/>
      <c r="BO188" s="345"/>
      <c r="BP188" s="345"/>
      <c r="BQ188" s="345"/>
      <c r="BR188" s="345"/>
      <c r="BS188" s="345"/>
      <c r="BT188" s="345"/>
      <c r="BU188" s="345"/>
      <c r="BV188" s="345"/>
      <c r="BW188" s="345"/>
      <c r="BX188" s="345"/>
      <c r="BY188" s="345"/>
      <c r="BZ188" s="345"/>
      <c r="CA188" s="345"/>
      <c r="CB188" s="345"/>
      <c r="CC188" s="345"/>
      <c r="CD188" s="345"/>
      <c r="CE188" s="345"/>
      <c r="CF188" s="345"/>
      <c r="CG188" s="345"/>
      <c r="CH188" s="345"/>
      <c r="CI188" s="345"/>
      <c r="CJ188" s="345"/>
      <c r="CK188" s="345"/>
      <c r="CL188" s="345"/>
      <c r="CM188" s="345"/>
      <c r="CN188" s="345"/>
      <c r="CO188" s="345"/>
      <c r="CP188" s="345"/>
      <c r="CQ188" s="345"/>
      <c r="CR188" s="345"/>
      <c r="CS188" s="345"/>
      <c r="CT188" s="345"/>
      <c r="CU188" s="345"/>
      <c r="CV188" s="345"/>
      <c r="CW188" s="345"/>
      <c r="CX188" s="345"/>
      <c r="CY188" s="345"/>
      <c r="CZ188" s="345"/>
      <c r="DA188" s="345"/>
      <c r="DB188" s="345"/>
      <c r="DC188" s="345"/>
      <c r="DD188" s="345"/>
      <c r="DE188" s="345"/>
      <c r="DF188" s="345"/>
      <c r="DG188" s="345"/>
      <c r="DH188" s="345"/>
      <c r="DI188" s="345"/>
      <c r="DJ188" s="345"/>
      <c r="DK188" s="345"/>
      <c r="DL188" s="345"/>
      <c r="DM188" s="345"/>
      <c r="DN188" s="345"/>
      <c r="DO188" s="345"/>
      <c r="DP188" s="345"/>
      <c r="DQ188" s="345"/>
      <c r="DR188" s="345"/>
      <c r="DS188" s="345"/>
      <c r="DT188" s="345"/>
      <c r="DU188" s="345"/>
      <c r="DV188" s="345"/>
      <c r="DW188" s="345"/>
      <c r="DX188" s="345"/>
      <c r="DY188" s="345"/>
      <c r="DZ188" s="345"/>
      <c r="EA188" s="345"/>
    </row>
    <row r="189" spans="1:131" hidden="1">
      <c r="A189" s="345"/>
      <c r="B189" s="345"/>
      <c r="C189" s="345"/>
      <c r="D189" s="345"/>
      <c r="E189" s="345"/>
      <c r="F189" s="345"/>
      <c r="G189" s="345"/>
      <c r="H189" s="345"/>
      <c r="I189" s="345"/>
      <c r="J189" s="345"/>
      <c r="K189" s="345"/>
      <c r="L189" s="345"/>
      <c r="M189" s="345"/>
      <c r="N189" s="345"/>
      <c r="O189" s="345"/>
      <c r="P189" s="345"/>
      <c r="Q189" s="345"/>
      <c r="R189" s="345"/>
      <c r="S189" s="345"/>
      <c r="T189" s="345"/>
      <c r="U189" s="345"/>
      <c r="V189" s="345"/>
      <c r="W189" s="345"/>
      <c r="X189" s="345"/>
      <c r="Y189" s="345"/>
      <c r="Z189" s="345"/>
      <c r="AA189" s="345"/>
      <c r="AB189" s="345"/>
      <c r="AC189" s="345"/>
      <c r="AD189" s="345"/>
      <c r="AE189" s="345"/>
      <c r="AF189" s="345"/>
      <c r="AG189" s="345"/>
      <c r="AH189" s="345"/>
      <c r="AI189" s="345"/>
      <c r="AJ189" s="345"/>
      <c r="AK189" s="345"/>
      <c r="AL189" s="345"/>
      <c r="AM189" s="345"/>
      <c r="AN189" s="345"/>
      <c r="AO189" s="345"/>
      <c r="AP189" s="345"/>
      <c r="AQ189" s="345"/>
      <c r="AR189" s="345"/>
      <c r="AS189" s="345"/>
      <c r="AT189" s="345"/>
      <c r="AU189" s="345"/>
      <c r="AV189" s="345"/>
      <c r="AW189" s="345"/>
      <c r="AX189" s="345"/>
      <c r="AY189" s="345"/>
      <c r="AZ189" s="345"/>
      <c r="BA189" s="345"/>
      <c r="BB189" s="345"/>
      <c r="BC189" s="345"/>
      <c r="BD189" s="345"/>
      <c r="BE189" s="345"/>
      <c r="BF189" s="345"/>
      <c r="BG189" s="345"/>
      <c r="BH189" s="345"/>
      <c r="BI189" s="345"/>
      <c r="BJ189" s="345"/>
      <c r="BK189" s="345"/>
      <c r="BL189" s="345"/>
      <c r="BM189" s="345"/>
      <c r="BN189" s="345"/>
      <c r="BO189" s="345"/>
      <c r="BP189" s="345"/>
      <c r="BQ189" s="345"/>
      <c r="BR189" s="345"/>
      <c r="BS189" s="345"/>
      <c r="BT189" s="345"/>
      <c r="BU189" s="345"/>
      <c r="BV189" s="345"/>
      <c r="BW189" s="345"/>
      <c r="BX189" s="345"/>
      <c r="BY189" s="345"/>
      <c r="BZ189" s="345"/>
      <c r="CA189" s="345"/>
      <c r="CB189" s="345"/>
      <c r="CC189" s="345"/>
      <c r="CD189" s="345"/>
      <c r="CE189" s="345"/>
      <c r="CF189" s="345"/>
      <c r="CG189" s="345"/>
      <c r="CH189" s="345"/>
      <c r="CI189" s="345"/>
      <c r="CJ189" s="345"/>
      <c r="CK189" s="345"/>
      <c r="CL189" s="345"/>
      <c r="CM189" s="345"/>
      <c r="CN189" s="345"/>
      <c r="CO189" s="345"/>
      <c r="CP189" s="345"/>
      <c r="CQ189" s="345"/>
      <c r="CR189" s="345"/>
      <c r="CS189" s="345"/>
      <c r="CT189" s="345"/>
      <c r="CU189" s="345"/>
      <c r="CV189" s="345"/>
      <c r="CW189" s="345"/>
      <c r="CX189" s="345"/>
      <c r="CY189" s="345"/>
      <c r="CZ189" s="345"/>
      <c r="DA189" s="345"/>
      <c r="DB189" s="345"/>
      <c r="DC189" s="345"/>
      <c r="DD189" s="345"/>
      <c r="DE189" s="345"/>
      <c r="DF189" s="345"/>
      <c r="DG189" s="345"/>
      <c r="DH189" s="345"/>
      <c r="DI189" s="345"/>
      <c r="DJ189" s="345"/>
      <c r="DK189" s="345"/>
      <c r="DL189" s="345"/>
      <c r="DM189" s="345"/>
      <c r="DN189" s="345"/>
      <c r="DO189" s="345"/>
      <c r="DP189" s="345"/>
      <c r="DQ189" s="345"/>
      <c r="DR189" s="345"/>
      <c r="DS189" s="345"/>
      <c r="DT189" s="345"/>
      <c r="DU189" s="345"/>
      <c r="DV189" s="345"/>
      <c r="DW189" s="345"/>
      <c r="DX189" s="345"/>
      <c r="DY189" s="345"/>
      <c r="DZ189" s="345"/>
      <c r="EA189" s="345"/>
    </row>
    <row r="190" spans="1:131" hidden="1">
      <c r="A190" s="345"/>
      <c r="B190" s="345"/>
      <c r="C190" s="345"/>
      <c r="D190" s="345"/>
      <c r="E190" s="345"/>
      <c r="F190" s="345"/>
      <c r="G190" s="345"/>
      <c r="H190" s="345"/>
      <c r="I190" s="345"/>
      <c r="J190" s="345"/>
      <c r="K190" s="345"/>
      <c r="L190" s="345"/>
      <c r="M190" s="345"/>
      <c r="N190" s="345"/>
      <c r="O190" s="345"/>
      <c r="P190" s="345"/>
      <c r="Q190" s="345"/>
      <c r="R190" s="345"/>
      <c r="S190" s="345"/>
      <c r="T190" s="345"/>
      <c r="U190" s="345"/>
      <c r="V190" s="345"/>
      <c r="W190" s="345"/>
      <c r="X190" s="345"/>
      <c r="Y190" s="345"/>
      <c r="Z190" s="345"/>
      <c r="AA190" s="345"/>
      <c r="AB190" s="345"/>
      <c r="AC190" s="345"/>
      <c r="AD190" s="345"/>
      <c r="AE190" s="345"/>
      <c r="AF190" s="345"/>
      <c r="AG190" s="345"/>
      <c r="AH190" s="345"/>
      <c r="AI190" s="345"/>
      <c r="AJ190" s="345"/>
      <c r="AK190" s="345"/>
      <c r="AL190" s="345"/>
      <c r="AM190" s="345"/>
      <c r="AN190" s="345"/>
      <c r="AO190" s="345"/>
      <c r="AP190" s="345"/>
      <c r="AQ190" s="345"/>
      <c r="AR190" s="345"/>
      <c r="AS190" s="345"/>
      <c r="AT190" s="345"/>
      <c r="AU190" s="345"/>
      <c r="AV190" s="345"/>
      <c r="AW190" s="345"/>
      <c r="AX190" s="345"/>
      <c r="AY190" s="345"/>
      <c r="AZ190" s="345"/>
      <c r="BA190" s="345"/>
      <c r="BB190" s="345"/>
      <c r="BC190" s="345"/>
      <c r="BD190" s="345"/>
      <c r="BE190" s="345"/>
      <c r="BF190" s="345"/>
      <c r="BG190" s="345"/>
      <c r="BH190" s="345"/>
      <c r="BI190" s="345"/>
      <c r="BJ190" s="345"/>
      <c r="BK190" s="345"/>
      <c r="BL190" s="345"/>
      <c r="BM190" s="345"/>
      <c r="BN190" s="345"/>
      <c r="BO190" s="345"/>
      <c r="BP190" s="345"/>
      <c r="BQ190" s="345"/>
      <c r="BR190" s="345"/>
      <c r="BS190" s="345"/>
      <c r="BT190" s="345"/>
      <c r="BU190" s="345"/>
      <c r="BV190" s="345"/>
      <c r="BW190" s="345"/>
      <c r="BX190" s="345"/>
      <c r="BY190" s="345"/>
      <c r="BZ190" s="345"/>
      <c r="CA190" s="345"/>
      <c r="CB190" s="345"/>
      <c r="CC190" s="345"/>
      <c r="CD190" s="345"/>
      <c r="CE190" s="345"/>
      <c r="CF190" s="345"/>
      <c r="CG190" s="345"/>
      <c r="CH190" s="345"/>
      <c r="CI190" s="345"/>
      <c r="CJ190" s="345"/>
      <c r="CK190" s="345"/>
      <c r="CL190" s="345"/>
      <c r="CM190" s="345"/>
      <c r="CN190" s="345"/>
      <c r="CO190" s="345"/>
      <c r="CP190" s="345"/>
      <c r="CQ190" s="345"/>
      <c r="CR190" s="345"/>
      <c r="CS190" s="345"/>
      <c r="CT190" s="345"/>
      <c r="CU190" s="345"/>
      <c r="CV190" s="345"/>
      <c r="CW190" s="345"/>
      <c r="CX190" s="345"/>
      <c r="CY190" s="345"/>
      <c r="CZ190" s="345"/>
      <c r="DA190" s="345"/>
      <c r="DB190" s="345"/>
      <c r="DC190" s="345"/>
      <c r="DD190" s="345"/>
      <c r="DE190" s="345"/>
      <c r="DF190" s="345"/>
      <c r="DG190" s="345"/>
      <c r="DH190" s="345"/>
      <c r="DI190" s="345"/>
      <c r="DJ190" s="345"/>
      <c r="DK190" s="345"/>
      <c r="DL190" s="345"/>
      <c r="DM190" s="345"/>
      <c r="DN190" s="345"/>
      <c r="DO190" s="345"/>
      <c r="DP190" s="345"/>
      <c r="DQ190" s="345"/>
      <c r="DR190" s="345"/>
      <c r="DS190" s="345"/>
      <c r="DT190" s="345"/>
      <c r="DU190" s="345"/>
      <c r="DV190" s="345"/>
      <c r="DW190" s="345"/>
      <c r="DX190" s="345"/>
      <c r="DY190" s="345"/>
      <c r="DZ190" s="345"/>
      <c r="EA190" s="345"/>
    </row>
    <row r="191" spans="1:131" hidden="1">
      <c r="A191" s="345"/>
      <c r="B191" s="345"/>
      <c r="C191" s="345"/>
      <c r="D191" s="345"/>
      <c r="E191" s="345"/>
      <c r="F191" s="345"/>
      <c r="G191" s="345"/>
      <c r="H191" s="345"/>
      <c r="I191" s="345"/>
      <c r="J191" s="345"/>
      <c r="K191" s="345"/>
      <c r="L191" s="345"/>
      <c r="M191" s="345"/>
      <c r="N191" s="345"/>
      <c r="O191" s="345"/>
      <c r="P191" s="345"/>
      <c r="Q191" s="345"/>
      <c r="R191" s="345"/>
      <c r="S191" s="345"/>
      <c r="T191" s="345"/>
      <c r="U191" s="345"/>
      <c r="V191" s="345"/>
      <c r="W191" s="345"/>
      <c r="X191" s="345"/>
      <c r="Y191" s="345"/>
      <c r="Z191" s="345"/>
      <c r="AA191" s="345"/>
      <c r="AB191" s="345"/>
      <c r="AC191" s="345"/>
      <c r="AD191" s="345"/>
      <c r="AE191" s="345"/>
      <c r="AF191" s="345"/>
      <c r="AG191" s="345"/>
      <c r="AH191" s="345"/>
      <c r="AI191" s="345"/>
      <c r="AJ191" s="345"/>
      <c r="AK191" s="345"/>
      <c r="AL191" s="345"/>
      <c r="AM191" s="345"/>
      <c r="AN191" s="345"/>
      <c r="AO191" s="345"/>
      <c r="AP191" s="345"/>
      <c r="AQ191" s="345"/>
      <c r="AR191" s="345"/>
      <c r="AS191" s="345"/>
      <c r="AT191" s="345"/>
      <c r="AU191" s="345"/>
      <c r="AV191" s="345"/>
      <c r="AW191" s="345"/>
      <c r="AX191" s="345"/>
      <c r="AY191" s="345"/>
      <c r="AZ191" s="345"/>
      <c r="BA191" s="345"/>
      <c r="BB191" s="345"/>
      <c r="BC191" s="345"/>
      <c r="BD191" s="345"/>
      <c r="BE191" s="345"/>
      <c r="BF191" s="345"/>
      <c r="BG191" s="345"/>
      <c r="BH191" s="345"/>
      <c r="BI191" s="345"/>
      <c r="BJ191" s="345"/>
      <c r="BK191" s="345"/>
      <c r="BL191" s="345"/>
      <c r="BM191" s="345"/>
      <c r="BN191" s="345"/>
      <c r="BO191" s="345"/>
      <c r="BP191" s="345"/>
      <c r="BQ191" s="345"/>
      <c r="BR191" s="345"/>
      <c r="BS191" s="345"/>
      <c r="BT191" s="345"/>
      <c r="BU191" s="345"/>
      <c r="BV191" s="345"/>
      <c r="BW191" s="345"/>
      <c r="BX191" s="345"/>
      <c r="BY191" s="345"/>
      <c r="BZ191" s="345"/>
      <c r="CA191" s="345"/>
      <c r="CB191" s="345"/>
      <c r="CC191" s="345"/>
      <c r="CD191" s="345"/>
      <c r="CE191" s="345"/>
      <c r="CF191" s="345"/>
      <c r="CG191" s="345"/>
      <c r="CH191" s="345"/>
      <c r="CI191" s="345"/>
      <c r="CJ191" s="345"/>
      <c r="CK191" s="345"/>
      <c r="CL191" s="345"/>
      <c r="CM191" s="345"/>
      <c r="CN191" s="345"/>
      <c r="CO191" s="345"/>
      <c r="CP191" s="345"/>
      <c r="CQ191" s="345"/>
      <c r="CR191" s="345"/>
      <c r="CS191" s="345"/>
      <c r="CT191" s="345"/>
      <c r="CU191" s="345"/>
      <c r="CV191" s="345"/>
      <c r="CW191" s="345"/>
      <c r="CX191" s="345"/>
      <c r="CY191" s="345"/>
      <c r="CZ191" s="345"/>
      <c r="DA191" s="345"/>
      <c r="DB191" s="345"/>
      <c r="DC191" s="345"/>
      <c r="DD191" s="345"/>
      <c r="DE191" s="345"/>
      <c r="DF191" s="345"/>
      <c r="DG191" s="345"/>
      <c r="DH191" s="345"/>
      <c r="DI191" s="345"/>
      <c r="DJ191" s="345"/>
      <c r="DK191" s="345"/>
      <c r="DL191" s="345"/>
      <c r="DM191" s="345"/>
      <c r="DN191" s="345"/>
      <c r="DO191" s="345"/>
      <c r="DP191" s="345"/>
      <c r="DQ191" s="345"/>
      <c r="DR191" s="345"/>
      <c r="DS191" s="345"/>
      <c r="DT191" s="345"/>
      <c r="DU191" s="345"/>
      <c r="DV191" s="345"/>
      <c r="DW191" s="345"/>
      <c r="DX191" s="345"/>
      <c r="DY191" s="345"/>
      <c r="DZ191" s="345"/>
      <c r="EA191" s="345"/>
    </row>
    <row r="192" spans="1:131" hidden="1">
      <c r="A192" s="345"/>
      <c r="B192" s="345"/>
      <c r="C192" s="345"/>
      <c r="D192" s="345"/>
      <c r="E192" s="345"/>
      <c r="F192" s="345"/>
      <c r="G192" s="345"/>
      <c r="H192" s="345"/>
      <c r="I192" s="345"/>
      <c r="J192" s="345"/>
      <c r="K192" s="345"/>
      <c r="L192" s="345"/>
      <c r="M192" s="345"/>
      <c r="N192" s="345"/>
      <c r="O192" s="345"/>
      <c r="P192" s="345"/>
      <c r="Q192" s="345"/>
      <c r="R192" s="345"/>
      <c r="S192" s="345"/>
      <c r="T192" s="345"/>
      <c r="U192" s="345"/>
      <c r="V192" s="345"/>
      <c r="W192" s="345"/>
      <c r="X192" s="345"/>
      <c r="Y192" s="345"/>
      <c r="Z192" s="345"/>
      <c r="AA192" s="345"/>
      <c r="AB192" s="345"/>
      <c r="AC192" s="345"/>
      <c r="AD192" s="345"/>
      <c r="AE192" s="345"/>
      <c r="AF192" s="345"/>
      <c r="AG192" s="345"/>
      <c r="AH192" s="345"/>
      <c r="AI192" s="345"/>
      <c r="AJ192" s="345"/>
      <c r="AK192" s="345"/>
      <c r="AL192" s="345"/>
      <c r="AM192" s="345"/>
      <c r="AN192" s="345"/>
      <c r="AO192" s="345"/>
      <c r="AP192" s="345"/>
      <c r="AQ192" s="345"/>
      <c r="AR192" s="345"/>
      <c r="AS192" s="345"/>
      <c r="AT192" s="345"/>
      <c r="AU192" s="345"/>
      <c r="AV192" s="345"/>
      <c r="AW192" s="345"/>
      <c r="AX192" s="345"/>
      <c r="AY192" s="345"/>
      <c r="AZ192" s="345"/>
      <c r="BA192" s="345"/>
      <c r="BB192" s="345"/>
      <c r="BC192" s="345"/>
      <c r="BD192" s="345"/>
      <c r="BE192" s="345"/>
      <c r="BF192" s="345"/>
      <c r="BG192" s="345"/>
      <c r="BH192" s="345"/>
      <c r="BI192" s="345"/>
      <c r="BJ192" s="345"/>
      <c r="BK192" s="345"/>
      <c r="BL192" s="345"/>
      <c r="BM192" s="345"/>
      <c r="BN192" s="345"/>
      <c r="BO192" s="345"/>
      <c r="BP192" s="345"/>
      <c r="BQ192" s="345"/>
      <c r="BR192" s="345"/>
      <c r="BS192" s="345"/>
      <c r="BT192" s="345"/>
      <c r="BU192" s="345"/>
      <c r="BV192" s="345"/>
      <c r="BW192" s="345"/>
      <c r="BX192" s="345"/>
      <c r="BY192" s="345"/>
      <c r="BZ192" s="345"/>
      <c r="CA192" s="345"/>
      <c r="CB192" s="345"/>
      <c r="CC192" s="345"/>
      <c r="CD192" s="345"/>
      <c r="CE192" s="345"/>
      <c r="CF192" s="345"/>
      <c r="CG192" s="345"/>
      <c r="CH192" s="345"/>
      <c r="CI192" s="345"/>
      <c r="CJ192" s="345"/>
      <c r="CK192" s="345"/>
      <c r="CL192" s="345"/>
      <c r="CM192" s="345"/>
      <c r="CN192" s="345"/>
      <c r="CO192" s="345"/>
      <c r="CP192" s="345"/>
      <c r="CQ192" s="345"/>
      <c r="CR192" s="345"/>
      <c r="CS192" s="345"/>
      <c r="CT192" s="345"/>
      <c r="CU192" s="345"/>
      <c r="CV192" s="345"/>
      <c r="CW192" s="345"/>
      <c r="CX192" s="345"/>
      <c r="CY192" s="345"/>
      <c r="CZ192" s="345"/>
      <c r="DA192" s="345"/>
      <c r="DB192" s="345"/>
      <c r="DC192" s="345"/>
      <c r="DD192" s="345"/>
      <c r="DE192" s="345"/>
      <c r="DF192" s="345"/>
      <c r="DG192" s="345"/>
      <c r="DH192" s="345"/>
      <c r="DI192" s="345"/>
      <c r="DJ192" s="345"/>
      <c r="DK192" s="345"/>
      <c r="DL192" s="345"/>
      <c r="DM192" s="345"/>
      <c r="DN192" s="345"/>
      <c r="DO192" s="345"/>
      <c r="DP192" s="345"/>
      <c r="DQ192" s="345"/>
      <c r="DR192" s="345"/>
      <c r="DS192" s="345"/>
      <c r="DT192" s="345"/>
      <c r="DU192" s="345"/>
      <c r="DV192" s="345"/>
      <c r="DW192" s="345"/>
      <c r="DX192" s="345"/>
      <c r="DY192" s="345"/>
      <c r="DZ192" s="345"/>
      <c r="EA192" s="345"/>
    </row>
    <row r="193" spans="1:131" hidden="1">
      <c r="A193" s="345"/>
      <c r="B193" s="345"/>
      <c r="C193" s="345"/>
      <c r="D193" s="345"/>
      <c r="E193" s="345"/>
      <c r="F193" s="345"/>
      <c r="G193" s="345"/>
      <c r="H193" s="345"/>
      <c r="I193" s="345"/>
      <c r="J193" s="345"/>
      <c r="K193" s="345"/>
      <c r="L193" s="345"/>
      <c r="M193" s="345"/>
      <c r="N193" s="345"/>
      <c r="O193" s="345"/>
      <c r="P193" s="345"/>
      <c r="Q193" s="345"/>
      <c r="R193" s="345"/>
      <c r="S193" s="345"/>
      <c r="T193" s="345"/>
      <c r="U193" s="345"/>
      <c r="V193" s="345"/>
      <c r="W193" s="345"/>
      <c r="X193" s="345"/>
      <c r="Y193" s="345"/>
      <c r="Z193" s="345"/>
      <c r="AA193" s="345"/>
      <c r="AB193" s="345"/>
      <c r="AC193" s="345"/>
      <c r="AD193" s="345"/>
      <c r="AE193" s="345"/>
      <c r="AF193" s="345"/>
      <c r="AG193" s="345"/>
      <c r="AH193" s="345"/>
      <c r="AI193" s="345"/>
      <c r="AJ193" s="345"/>
      <c r="AK193" s="345"/>
      <c r="AL193" s="345"/>
      <c r="AM193" s="345"/>
      <c r="AN193" s="345"/>
      <c r="AO193" s="345"/>
      <c r="AP193" s="345"/>
      <c r="AQ193" s="345"/>
      <c r="AR193" s="345"/>
      <c r="AS193" s="345"/>
      <c r="AT193" s="345"/>
      <c r="AU193" s="345"/>
      <c r="AV193" s="345"/>
      <c r="AW193" s="345"/>
      <c r="AX193" s="345"/>
      <c r="AY193" s="345"/>
      <c r="AZ193" s="345"/>
      <c r="BA193" s="345"/>
      <c r="BB193" s="345"/>
      <c r="BC193" s="345"/>
      <c r="BD193" s="345"/>
      <c r="BE193" s="345"/>
      <c r="BF193" s="345"/>
      <c r="BG193" s="345"/>
      <c r="BH193" s="345"/>
      <c r="BI193" s="345"/>
      <c r="BJ193" s="345"/>
      <c r="BK193" s="345"/>
      <c r="BL193" s="345"/>
      <c r="BM193" s="345"/>
      <c r="BN193" s="345"/>
      <c r="BO193" s="345"/>
      <c r="BP193" s="345"/>
      <c r="BQ193" s="345"/>
      <c r="BR193" s="345"/>
      <c r="BS193" s="345"/>
      <c r="BT193" s="345"/>
      <c r="BU193" s="345"/>
      <c r="BV193" s="345"/>
      <c r="BW193" s="345"/>
      <c r="BX193" s="345"/>
      <c r="BY193" s="345"/>
      <c r="BZ193" s="345"/>
      <c r="CA193" s="345"/>
      <c r="CB193" s="345"/>
      <c r="CC193" s="345"/>
      <c r="CD193" s="345"/>
      <c r="CE193" s="345"/>
      <c r="CF193" s="345"/>
      <c r="CG193" s="345"/>
      <c r="CH193" s="345"/>
      <c r="CI193" s="345"/>
      <c r="CJ193" s="345"/>
      <c r="CK193" s="345"/>
      <c r="CL193" s="345"/>
      <c r="CM193" s="345"/>
      <c r="CN193" s="345"/>
      <c r="CO193" s="345"/>
      <c r="CP193" s="345"/>
      <c r="CQ193" s="345"/>
      <c r="CR193" s="345"/>
      <c r="CS193" s="345"/>
      <c r="CT193" s="345"/>
      <c r="CU193" s="345"/>
      <c r="CV193" s="345"/>
      <c r="CW193" s="345"/>
      <c r="CX193" s="345"/>
      <c r="CY193" s="345"/>
      <c r="CZ193" s="345"/>
      <c r="DA193" s="345"/>
      <c r="DB193" s="345"/>
      <c r="DC193" s="345"/>
      <c r="DD193" s="345"/>
      <c r="DE193" s="345"/>
      <c r="DF193" s="345"/>
      <c r="DG193" s="345"/>
      <c r="DH193" s="345"/>
      <c r="DI193" s="345"/>
      <c r="DJ193" s="345"/>
      <c r="DK193" s="345"/>
      <c r="DL193" s="345"/>
      <c r="DM193" s="345"/>
      <c r="DN193" s="345"/>
      <c r="DO193" s="345"/>
      <c r="DP193" s="345"/>
      <c r="DQ193" s="345"/>
      <c r="DR193" s="345"/>
      <c r="DS193" s="345"/>
      <c r="DT193" s="345"/>
      <c r="DU193" s="345"/>
      <c r="DV193" s="345"/>
      <c r="DW193" s="345"/>
      <c r="DX193" s="345"/>
      <c r="DY193" s="345"/>
      <c r="DZ193" s="345"/>
      <c r="EA193" s="345"/>
    </row>
    <row r="194" spans="1:131" hidden="1">
      <c r="A194" s="345"/>
      <c r="B194" s="345"/>
      <c r="C194" s="345"/>
      <c r="D194" s="345"/>
      <c r="E194" s="345"/>
      <c r="F194" s="345"/>
      <c r="G194" s="345"/>
      <c r="H194" s="345"/>
      <c r="I194" s="345"/>
      <c r="J194" s="345"/>
      <c r="K194" s="345"/>
      <c r="L194" s="345"/>
      <c r="M194" s="345"/>
      <c r="N194" s="345"/>
      <c r="O194" s="345"/>
      <c r="P194" s="345"/>
      <c r="Q194" s="345"/>
      <c r="R194" s="345"/>
      <c r="S194" s="345"/>
      <c r="T194" s="345"/>
      <c r="U194" s="345"/>
      <c r="V194" s="345"/>
      <c r="W194" s="345"/>
      <c r="X194" s="345"/>
      <c r="Y194" s="345"/>
      <c r="Z194" s="345"/>
      <c r="AA194" s="345"/>
      <c r="AB194" s="345"/>
      <c r="AC194" s="345"/>
      <c r="AD194" s="345"/>
      <c r="AE194" s="345"/>
      <c r="AF194" s="345"/>
      <c r="AG194" s="345"/>
      <c r="AH194" s="345"/>
      <c r="AI194" s="345"/>
      <c r="AJ194" s="345"/>
      <c r="AK194" s="345"/>
      <c r="AL194" s="345"/>
      <c r="AM194" s="345"/>
      <c r="AN194" s="345"/>
      <c r="AO194" s="345"/>
      <c r="AP194" s="345"/>
      <c r="AQ194" s="345"/>
      <c r="AR194" s="345"/>
      <c r="AS194" s="345"/>
      <c r="AT194" s="345"/>
      <c r="AU194" s="345"/>
      <c r="AV194" s="345"/>
      <c r="AW194" s="345"/>
      <c r="AX194" s="345"/>
      <c r="AY194" s="345"/>
      <c r="AZ194" s="345"/>
      <c r="BA194" s="345"/>
      <c r="BB194" s="345"/>
      <c r="BC194" s="345"/>
      <c r="BD194" s="345"/>
      <c r="BE194" s="345"/>
      <c r="BF194" s="345"/>
      <c r="BG194" s="345"/>
      <c r="BH194" s="345"/>
      <c r="BI194" s="345"/>
      <c r="BJ194" s="345"/>
      <c r="BK194" s="345"/>
      <c r="BL194" s="345"/>
      <c r="BM194" s="345"/>
      <c r="BN194" s="345"/>
      <c r="BO194" s="345"/>
      <c r="BP194" s="345"/>
      <c r="BQ194" s="345"/>
      <c r="BR194" s="345"/>
      <c r="BS194" s="345"/>
      <c r="BT194" s="345"/>
      <c r="BU194" s="345"/>
      <c r="BV194" s="345"/>
      <c r="BW194" s="345"/>
      <c r="BX194" s="345"/>
      <c r="BY194" s="345"/>
      <c r="BZ194" s="345"/>
      <c r="CA194" s="345"/>
      <c r="CB194" s="345"/>
      <c r="CC194" s="345"/>
      <c r="CD194" s="345"/>
      <c r="CE194" s="345"/>
      <c r="CF194" s="345"/>
      <c r="CG194" s="345"/>
      <c r="CH194" s="345"/>
      <c r="CI194" s="345"/>
      <c r="CJ194" s="345"/>
      <c r="CK194" s="345"/>
      <c r="CL194" s="345"/>
      <c r="CM194" s="345"/>
      <c r="CN194" s="345"/>
      <c r="CO194" s="345"/>
      <c r="CP194" s="345"/>
      <c r="CQ194" s="345"/>
      <c r="CR194" s="345"/>
      <c r="CS194" s="345"/>
      <c r="CT194" s="345"/>
      <c r="CU194" s="345"/>
      <c r="CV194" s="345"/>
      <c r="CW194" s="345"/>
      <c r="CX194" s="345"/>
      <c r="CY194" s="345"/>
      <c r="CZ194" s="345"/>
      <c r="DA194" s="345"/>
      <c r="DB194" s="345"/>
      <c r="DC194" s="345"/>
      <c r="DD194" s="345"/>
      <c r="DE194" s="345"/>
      <c r="DF194" s="345"/>
      <c r="DG194" s="345"/>
      <c r="DH194" s="345"/>
      <c r="DI194" s="345"/>
      <c r="DJ194" s="345"/>
      <c r="DK194" s="345"/>
      <c r="DL194" s="345"/>
      <c r="DM194" s="345"/>
      <c r="DN194" s="345"/>
      <c r="DO194" s="345"/>
      <c r="DP194" s="345"/>
      <c r="DQ194" s="345"/>
      <c r="DR194" s="345"/>
      <c r="DS194" s="345"/>
      <c r="DT194" s="345"/>
      <c r="DU194" s="345"/>
      <c r="DV194" s="345"/>
      <c r="DW194" s="345"/>
      <c r="DX194" s="345"/>
      <c r="DY194" s="345"/>
      <c r="DZ194" s="345"/>
      <c r="EA194" s="345"/>
    </row>
    <row r="195" spans="1:131" hidden="1">
      <c r="A195" s="345"/>
      <c r="B195" s="345"/>
      <c r="C195" s="345"/>
      <c r="D195" s="345"/>
      <c r="E195" s="345"/>
      <c r="F195" s="345"/>
      <c r="G195" s="345"/>
      <c r="H195" s="345"/>
      <c r="I195" s="345"/>
      <c r="J195" s="345"/>
      <c r="K195" s="345"/>
      <c r="L195" s="345"/>
      <c r="M195" s="345"/>
      <c r="N195" s="345"/>
      <c r="O195" s="345"/>
      <c r="P195" s="345"/>
      <c r="Q195" s="345"/>
      <c r="R195" s="345"/>
      <c r="S195" s="345"/>
      <c r="T195" s="345"/>
      <c r="U195" s="345"/>
      <c r="V195" s="345"/>
      <c r="W195" s="345"/>
      <c r="X195" s="345"/>
      <c r="Y195" s="345"/>
      <c r="Z195" s="345"/>
      <c r="AA195" s="345"/>
      <c r="AB195" s="345"/>
      <c r="AC195" s="345"/>
      <c r="AD195" s="345"/>
      <c r="AE195" s="345"/>
      <c r="AF195" s="345"/>
      <c r="AG195" s="345"/>
      <c r="AH195" s="345"/>
      <c r="AI195" s="345"/>
      <c r="AJ195" s="345"/>
      <c r="AK195" s="345"/>
      <c r="AL195" s="345"/>
      <c r="AM195" s="345"/>
      <c r="AN195" s="345"/>
      <c r="AO195" s="345"/>
      <c r="AP195" s="345"/>
      <c r="AQ195" s="345"/>
      <c r="AR195" s="345"/>
      <c r="AS195" s="345"/>
      <c r="AT195" s="345"/>
      <c r="AU195" s="345"/>
      <c r="AV195" s="345"/>
      <c r="AW195" s="345"/>
      <c r="AX195" s="345"/>
      <c r="AY195" s="345"/>
      <c r="AZ195" s="345"/>
      <c r="BA195" s="345"/>
      <c r="BB195" s="345"/>
      <c r="BC195" s="345"/>
      <c r="BD195" s="345"/>
      <c r="BE195" s="345"/>
      <c r="BF195" s="345"/>
      <c r="BG195" s="345"/>
      <c r="BH195" s="345"/>
      <c r="BI195" s="345"/>
      <c r="BJ195" s="345"/>
      <c r="BK195" s="345"/>
      <c r="BL195" s="345"/>
      <c r="BM195" s="345"/>
      <c r="BN195" s="345"/>
      <c r="BO195" s="345"/>
      <c r="BP195" s="345"/>
      <c r="BQ195" s="345"/>
      <c r="BR195" s="345"/>
      <c r="BS195" s="345"/>
      <c r="BT195" s="345"/>
      <c r="BU195" s="345"/>
      <c r="BV195" s="345"/>
      <c r="BW195" s="345"/>
      <c r="BX195" s="345"/>
      <c r="BY195" s="345"/>
      <c r="BZ195" s="345"/>
      <c r="CA195" s="345"/>
      <c r="CB195" s="345"/>
      <c r="CC195" s="345"/>
      <c r="CD195" s="345"/>
      <c r="CE195" s="345"/>
      <c r="CF195" s="345"/>
      <c r="CG195" s="345"/>
      <c r="CH195" s="345"/>
      <c r="CI195" s="345"/>
      <c r="CJ195" s="345"/>
      <c r="CK195" s="345"/>
      <c r="CL195" s="345"/>
      <c r="CM195" s="345"/>
      <c r="CN195" s="345"/>
      <c r="CO195" s="345"/>
      <c r="CP195" s="345"/>
      <c r="CQ195" s="345"/>
      <c r="CR195" s="345"/>
      <c r="CS195" s="345"/>
      <c r="CT195" s="345"/>
      <c r="CU195" s="345"/>
      <c r="CV195" s="345"/>
      <c r="CW195" s="345"/>
      <c r="CX195" s="345"/>
      <c r="CY195" s="345"/>
      <c r="CZ195" s="345"/>
      <c r="DA195" s="345"/>
      <c r="DB195" s="345"/>
      <c r="DC195" s="345"/>
      <c r="DD195" s="345"/>
      <c r="DE195" s="345"/>
      <c r="DF195" s="345"/>
      <c r="DG195" s="345"/>
      <c r="DH195" s="345"/>
      <c r="DI195" s="345"/>
      <c r="DJ195" s="345"/>
      <c r="DK195" s="345"/>
      <c r="DL195" s="345"/>
      <c r="DM195" s="345"/>
      <c r="DN195" s="345"/>
      <c r="DO195" s="345"/>
      <c r="DP195" s="345"/>
      <c r="DQ195" s="345"/>
      <c r="DR195" s="345"/>
      <c r="DS195" s="345"/>
      <c r="DT195" s="345"/>
      <c r="DU195" s="345"/>
      <c r="DV195" s="345"/>
      <c r="DW195" s="345"/>
      <c r="DX195" s="345"/>
      <c r="DY195" s="345"/>
      <c r="DZ195" s="345"/>
      <c r="EA195" s="345"/>
    </row>
    <row r="196" spans="1:131" hidden="1">
      <c r="A196" s="345"/>
      <c r="B196" s="345"/>
      <c r="C196" s="345"/>
      <c r="D196" s="345"/>
      <c r="E196" s="345"/>
      <c r="F196" s="345"/>
      <c r="G196" s="345"/>
      <c r="H196" s="345"/>
      <c r="I196" s="345"/>
      <c r="J196" s="345"/>
      <c r="K196" s="345"/>
      <c r="L196" s="345"/>
      <c r="M196" s="345"/>
      <c r="N196" s="345"/>
      <c r="O196" s="345"/>
      <c r="P196" s="345"/>
      <c r="Q196" s="345"/>
      <c r="R196" s="345"/>
      <c r="S196" s="345"/>
      <c r="T196" s="345"/>
      <c r="U196" s="345"/>
      <c r="V196" s="345"/>
      <c r="W196" s="345"/>
      <c r="X196" s="345"/>
      <c r="Y196" s="345"/>
      <c r="Z196" s="345"/>
      <c r="AA196" s="345"/>
      <c r="AB196" s="345"/>
      <c r="AC196" s="345"/>
      <c r="AD196" s="345"/>
      <c r="AE196" s="345"/>
      <c r="AF196" s="345"/>
      <c r="AG196" s="345"/>
      <c r="AH196" s="345"/>
      <c r="AI196" s="345"/>
      <c r="AJ196" s="345"/>
      <c r="AK196" s="345"/>
      <c r="AL196" s="345"/>
      <c r="AM196" s="345"/>
      <c r="AN196" s="345"/>
      <c r="AO196" s="345"/>
      <c r="AP196" s="345"/>
      <c r="AQ196" s="345"/>
      <c r="AR196" s="345"/>
      <c r="AS196" s="345"/>
      <c r="AT196" s="345"/>
      <c r="AU196" s="345"/>
      <c r="AV196" s="345"/>
      <c r="AW196" s="345"/>
      <c r="AX196" s="345"/>
      <c r="AY196" s="345"/>
      <c r="AZ196" s="345"/>
      <c r="BA196" s="345"/>
      <c r="BB196" s="345"/>
      <c r="BC196" s="345"/>
      <c r="BD196" s="345"/>
      <c r="BE196" s="345"/>
      <c r="BF196" s="345"/>
      <c r="BG196" s="345"/>
      <c r="BH196" s="345"/>
      <c r="BI196" s="345"/>
      <c r="BJ196" s="345"/>
      <c r="BK196" s="345"/>
      <c r="BL196" s="345"/>
      <c r="BM196" s="345"/>
      <c r="BN196" s="345"/>
      <c r="BO196" s="345"/>
      <c r="BP196" s="345"/>
      <c r="BQ196" s="345"/>
      <c r="BR196" s="345"/>
      <c r="BS196" s="345"/>
      <c r="BT196" s="345"/>
      <c r="BU196" s="345"/>
      <c r="BV196" s="345"/>
      <c r="BW196" s="345"/>
      <c r="BX196" s="345"/>
      <c r="BY196" s="345"/>
      <c r="BZ196" s="345"/>
      <c r="CA196" s="345"/>
      <c r="CB196" s="345"/>
      <c r="CC196" s="345"/>
      <c r="CD196" s="345"/>
      <c r="CE196" s="345"/>
      <c r="CF196" s="345"/>
      <c r="CG196" s="345"/>
      <c r="CH196" s="345"/>
      <c r="CI196" s="345"/>
      <c r="CJ196" s="345"/>
      <c r="CK196" s="345"/>
      <c r="CL196" s="345"/>
      <c r="CM196" s="345"/>
      <c r="CN196" s="345"/>
      <c r="CO196" s="345"/>
      <c r="CP196" s="345"/>
      <c r="CQ196" s="345"/>
      <c r="CR196" s="345"/>
      <c r="CS196" s="345"/>
      <c r="CT196" s="345"/>
      <c r="CU196" s="345"/>
      <c r="CV196" s="345"/>
      <c r="CW196" s="345"/>
      <c r="CX196" s="345"/>
      <c r="CY196" s="345"/>
      <c r="CZ196" s="345"/>
      <c r="DA196" s="345"/>
      <c r="DB196" s="345"/>
      <c r="DC196" s="345"/>
      <c r="DD196" s="345"/>
      <c r="DE196" s="345"/>
      <c r="DF196" s="345"/>
      <c r="DG196" s="345"/>
      <c r="DH196" s="345"/>
      <c r="DI196" s="345"/>
      <c r="DJ196" s="345"/>
      <c r="DK196" s="345"/>
      <c r="DL196" s="345"/>
      <c r="DM196" s="345"/>
      <c r="DN196" s="345"/>
      <c r="DO196" s="345"/>
      <c r="DP196" s="345"/>
      <c r="DQ196" s="345"/>
      <c r="DR196" s="345"/>
      <c r="DS196" s="345"/>
      <c r="DT196" s="345"/>
      <c r="DU196" s="345"/>
      <c r="DV196" s="345"/>
      <c r="DW196" s="345"/>
      <c r="DX196" s="345"/>
      <c r="DY196" s="345"/>
      <c r="DZ196" s="345"/>
      <c r="EA196" s="345"/>
    </row>
    <row r="197" spans="1:131" hidden="1">
      <c r="A197" s="345"/>
      <c r="B197" s="345"/>
      <c r="C197" s="345"/>
      <c r="D197" s="345"/>
      <c r="E197" s="345"/>
      <c r="F197" s="345"/>
      <c r="G197" s="345"/>
      <c r="H197" s="345"/>
      <c r="I197" s="345"/>
      <c r="J197" s="345"/>
      <c r="K197" s="345"/>
      <c r="L197" s="345"/>
      <c r="M197" s="345"/>
      <c r="N197" s="345"/>
      <c r="O197" s="345"/>
      <c r="P197" s="345"/>
      <c r="Q197" s="345"/>
      <c r="R197" s="345"/>
      <c r="S197" s="345"/>
      <c r="T197" s="345"/>
      <c r="U197" s="345"/>
      <c r="V197" s="345"/>
      <c r="W197" s="345"/>
      <c r="X197" s="345"/>
      <c r="Y197" s="345"/>
      <c r="Z197" s="345"/>
      <c r="AA197" s="345"/>
      <c r="AB197" s="345"/>
      <c r="AC197" s="345"/>
      <c r="AD197" s="345"/>
      <c r="AE197" s="345"/>
      <c r="AF197" s="345"/>
      <c r="AG197" s="345"/>
      <c r="AH197" s="345"/>
      <c r="AI197" s="345"/>
      <c r="AJ197" s="345"/>
      <c r="AK197" s="345"/>
      <c r="AL197" s="345"/>
      <c r="AM197" s="345"/>
      <c r="AN197" s="345"/>
      <c r="AO197" s="345"/>
      <c r="AP197" s="345"/>
      <c r="AQ197" s="345"/>
      <c r="AR197" s="345"/>
      <c r="AS197" s="345"/>
      <c r="AT197" s="345"/>
      <c r="AU197" s="345"/>
      <c r="AV197" s="345"/>
      <c r="AW197" s="345"/>
      <c r="AX197" s="345"/>
      <c r="AY197" s="345"/>
      <c r="AZ197" s="345"/>
      <c r="BA197" s="345"/>
      <c r="BB197" s="345"/>
      <c r="BC197" s="345"/>
      <c r="BD197" s="345"/>
      <c r="BE197" s="345"/>
      <c r="BF197" s="345"/>
      <c r="BG197" s="345"/>
      <c r="BH197" s="345"/>
      <c r="BI197" s="345"/>
      <c r="BJ197" s="345"/>
      <c r="BK197" s="345"/>
      <c r="BL197" s="345"/>
      <c r="BM197" s="345"/>
      <c r="BN197" s="345"/>
      <c r="BO197" s="345"/>
      <c r="BP197" s="345"/>
      <c r="BQ197" s="345"/>
      <c r="BR197" s="345"/>
      <c r="BS197" s="345"/>
      <c r="BT197" s="345"/>
      <c r="BU197" s="345"/>
      <c r="BV197" s="345"/>
      <c r="BW197" s="345"/>
      <c r="BX197" s="345"/>
      <c r="BY197" s="345"/>
      <c r="BZ197" s="345"/>
      <c r="CA197" s="345"/>
      <c r="CB197" s="345"/>
      <c r="CC197" s="345"/>
      <c r="CD197" s="345"/>
      <c r="CE197" s="345"/>
      <c r="CF197" s="345"/>
      <c r="CG197" s="345"/>
      <c r="CH197" s="345"/>
      <c r="CI197" s="345"/>
      <c r="CJ197" s="345"/>
      <c r="CK197" s="345"/>
      <c r="CL197" s="345"/>
      <c r="CM197" s="345"/>
      <c r="CN197" s="345"/>
      <c r="CO197" s="345"/>
      <c r="CP197" s="345"/>
      <c r="CQ197" s="345"/>
      <c r="CR197" s="345"/>
      <c r="CS197" s="345"/>
      <c r="CT197" s="345"/>
      <c r="CU197" s="345"/>
      <c r="CV197" s="345"/>
      <c r="CW197" s="345"/>
      <c r="CX197" s="345"/>
      <c r="CY197" s="345"/>
      <c r="CZ197" s="345"/>
      <c r="DA197" s="345"/>
      <c r="DB197" s="345"/>
      <c r="DC197" s="345"/>
      <c r="DD197" s="345"/>
      <c r="DE197" s="345"/>
      <c r="DF197" s="345"/>
      <c r="DG197" s="345"/>
      <c r="DH197" s="345"/>
      <c r="DI197" s="345"/>
      <c r="DJ197" s="345"/>
      <c r="DK197" s="345"/>
      <c r="DL197" s="345"/>
      <c r="DM197" s="345"/>
      <c r="DN197" s="345"/>
      <c r="DO197" s="345"/>
      <c r="DP197" s="345"/>
      <c r="DQ197" s="345"/>
      <c r="DR197" s="345"/>
      <c r="DS197" s="345"/>
      <c r="DT197" s="345"/>
      <c r="DU197" s="345"/>
      <c r="DV197" s="345"/>
      <c r="DW197" s="345"/>
      <c r="DX197" s="345"/>
      <c r="DY197" s="345"/>
      <c r="DZ197" s="345"/>
      <c r="EA197" s="345"/>
    </row>
    <row r="198" spans="1:131" hidden="1">
      <c r="A198" s="345"/>
      <c r="B198" s="345"/>
      <c r="C198" s="345"/>
      <c r="D198" s="345"/>
      <c r="E198" s="345"/>
      <c r="F198" s="345"/>
      <c r="G198" s="345"/>
      <c r="H198" s="345"/>
      <c r="I198" s="345"/>
      <c r="J198" s="345"/>
      <c r="K198" s="345"/>
      <c r="L198" s="345"/>
      <c r="M198" s="345"/>
      <c r="N198" s="345"/>
      <c r="O198" s="345"/>
      <c r="P198" s="345"/>
      <c r="Q198" s="345"/>
      <c r="R198" s="345"/>
      <c r="S198" s="345"/>
      <c r="T198" s="345"/>
      <c r="U198" s="345"/>
      <c r="V198" s="345"/>
      <c r="W198" s="345"/>
      <c r="X198" s="345"/>
      <c r="Y198" s="345"/>
      <c r="Z198" s="345"/>
      <c r="AA198" s="345"/>
      <c r="AB198" s="345"/>
      <c r="AC198" s="345"/>
      <c r="AD198" s="345"/>
      <c r="AE198" s="345"/>
      <c r="AF198" s="345"/>
      <c r="AG198" s="345"/>
      <c r="AH198" s="345"/>
      <c r="AI198" s="345"/>
      <c r="AJ198" s="345"/>
      <c r="AK198" s="345"/>
      <c r="AL198" s="345"/>
      <c r="AM198" s="345"/>
      <c r="AN198" s="345"/>
      <c r="AO198" s="345"/>
      <c r="AP198" s="345"/>
      <c r="AQ198" s="345"/>
      <c r="AR198" s="345"/>
      <c r="AS198" s="345"/>
      <c r="AT198" s="345"/>
      <c r="AU198" s="345"/>
      <c r="AV198" s="345"/>
      <c r="AW198" s="345"/>
      <c r="AX198" s="345"/>
      <c r="AY198" s="345"/>
      <c r="AZ198" s="345"/>
      <c r="BA198" s="345"/>
      <c r="BB198" s="345"/>
      <c r="BC198" s="345"/>
      <c r="BD198" s="345"/>
      <c r="BE198" s="345"/>
      <c r="BF198" s="345"/>
      <c r="BG198" s="345"/>
      <c r="BH198" s="345"/>
      <c r="BI198" s="345"/>
      <c r="BJ198" s="345"/>
      <c r="BK198" s="345"/>
      <c r="BL198" s="345"/>
      <c r="BM198" s="345"/>
      <c r="BN198" s="345"/>
      <c r="BO198" s="345"/>
      <c r="BP198" s="345"/>
      <c r="BQ198" s="345"/>
      <c r="BR198" s="345"/>
      <c r="BS198" s="345"/>
      <c r="BT198" s="345"/>
      <c r="BU198" s="345"/>
      <c r="BV198" s="345"/>
      <c r="BW198" s="345"/>
      <c r="BX198" s="345"/>
      <c r="BY198" s="345"/>
      <c r="BZ198" s="345"/>
      <c r="CA198" s="345"/>
      <c r="CB198" s="345"/>
      <c r="CC198" s="345"/>
      <c r="CD198" s="345"/>
      <c r="CE198" s="345"/>
      <c r="CF198" s="345"/>
      <c r="CG198" s="345"/>
      <c r="CH198" s="345"/>
      <c r="CI198" s="345"/>
      <c r="CJ198" s="345"/>
      <c r="CK198" s="345"/>
      <c r="CL198" s="345"/>
      <c r="CM198" s="345"/>
      <c r="CN198" s="345"/>
      <c r="CO198" s="345"/>
      <c r="CP198" s="345"/>
      <c r="CQ198" s="345"/>
      <c r="CR198" s="345"/>
      <c r="CS198" s="345"/>
      <c r="CT198" s="345"/>
      <c r="CU198" s="345"/>
      <c r="CV198" s="345"/>
      <c r="CW198" s="345"/>
      <c r="CX198" s="345"/>
      <c r="CY198" s="345"/>
      <c r="CZ198" s="345"/>
      <c r="DA198" s="345"/>
      <c r="DB198" s="345"/>
      <c r="DC198" s="345"/>
      <c r="DD198" s="345"/>
      <c r="DE198" s="345"/>
      <c r="DF198" s="345"/>
      <c r="DG198" s="345"/>
      <c r="DH198" s="345"/>
      <c r="DI198" s="345"/>
      <c r="DJ198" s="345"/>
      <c r="DK198" s="345"/>
      <c r="DL198" s="345"/>
      <c r="DM198" s="345"/>
      <c r="DN198" s="345"/>
      <c r="DO198" s="345"/>
      <c r="DP198" s="345"/>
      <c r="DQ198" s="345"/>
      <c r="DR198" s="345"/>
      <c r="DS198" s="345"/>
      <c r="DT198" s="345"/>
      <c r="DU198" s="345"/>
      <c r="DV198" s="345"/>
      <c r="DW198" s="345"/>
      <c r="DX198" s="345"/>
      <c r="DY198" s="345"/>
      <c r="DZ198" s="345"/>
      <c r="EA198" s="345"/>
    </row>
    <row r="199" spans="1:131" hidden="1">
      <c r="A199" s="345"/>
      <c r="B199" s="345"/>
      <c r="C199" s="345"/>
      <c r="D199" s="345"/>
      <c r="E199" s="345"/>
      <c r="F199" s="345"/>
      <c r="G199" s="345"/>
      <c r="H199" s="345"/>
      <c r="I199" s="345"/>
      <c r="J199" s="345"/>
      <c r="K199" s="345"/>
      <c r="L199" s="345"/>
      <c r="M199" s="345"/>
      <c r="N199" s="345"/>
      <c r="O199" s="345"/>
      <c r="P199" s="345"/>
      <c r="Q199" s="345"/>
      <c r="R199" s="345"/>
      <c r="S199" s="345"/>
      <c r="T199" s="345"/>
      <c r="U199" s="345"/>
      <c r="V199" s="345"/>
      <c r="W199" s="345"/>
      <c r="X199" s="345"/>
      <c r="Y199" s="345"/>
      <c r="Z199" s="345"/>
      <c r="AA199" s="345"/>
      <c r="AB199" s="345"/>
      <c r="AC199" s="345"/>
      <c r="AD199" s="345"/>
      <c r="AE199" s="345"/>
      <c r="AF199" s="345"/>
      <c r="AG199" s="345"/>
      <c r="AH199" s="345"/>
      <c r="AI199" s="345"/>
      <c r="AJ199" s="345"/>
      <c r="AK199" s="345"/>
      <c r="AL199" s="345"/>
      <c r="AM199" s="345"/>
      <c r="AN199" s="345"/>
      <c r="AO199" s="345"/>
      <c r="AP199" s="345"/>
      <c r="AQ199" s="345"/>
      <c r="AR199" s="345"/>
      <c r="AS199" s="345"/>
      <c r="AT199" s="345"/>
      <c r="AU199" s="345"/>
      <c r="AV199" s="345"/>
      <c r="AW199" s="345"/>
      <c r="AX199" s="345"/>
      <c r="AY199" s="345"/>
      <c r="AZ199" s="345"/>
      <c r="BA199" s="345"/>
      <c r="BB199" s="345"/>
      <c r="BC199" s="345"/>
      <c r="BD199" s="345"/>
      <c r="BE199" s="345"/>
      <c r="BF199" s="345"/>
      <c r="BG199" s="345"/>
      <c r="BH199" s="345"/>
      <c r="BI199" s="345"/>
      <c r="BJ199" s="345"/>
      <c r="BK199" s="345"/>
      <c r="BL199" s="345"/>
      <c r="BM199" s="345"/>
      <c r="BN199" s="345"/>
      <c r="BO199" s="345"/>
      <c r="BP199" s="345"/>
      <c r="BQ199" s="345"/>
      <c r="BR199" s="345"/>
      <c r="BS199" s="345"/>
      <c r="BT199" s="345"/>
      <c r="BU199" s="345"/>
      <c r="BV199" s="345"/>
      <c r="BW199" s="345"/>
      <c r="BX199" s="345"/>
      <c r="BY199" s="345"/>
      <c r="BZ199" s="345"/>
      <c r="CA199" s="345"/>
      <c r="CB199" s="345"/>
      <c r="CC199" s="345"/>
      <c r="CD199" s="345"/>
      <c r="CE199" s="345"/>
      <c r="CF199" s="345"/>
      <c r="CG199" s="345"/>
      <c r="CH199" s="345"/>
      <c r="CI199" s="345"/>
      <c r="CJ199" s="345"/>
      <c r="CK199" s="345"/>
      <c r="CL199" s="345"/>
      <c r="CM199" s="345"/>
      <c r="CN199" s="345"/>
      <c r="CO199" s="345"/>
      <c r="CP199" s="345"/>
      <c r="CQ199" s="345"/>
      <c r="CR199" s="345"/>
      <c r="CS199" s="345"/>
      <c r="CT199" s="345"/>
      <c r="CU199" s="345"/>
      <c r="CV199" s="345"/>
      <c r="CW199" s="345"/>
      <c r="CX199" s="345"/>
      <c r="CY199" s="345"/>
      <c r="CZ199" s="345"/>
      <c r="DA199" s="345"/>
      <c r="DB199" s="345"/>
      <c r="DC199" s="345"/>
      <c r="DD199" s="345"/>
      <c r="DE199" s="345"/>
      <c r="DF199" s="345"/>
      <c r="DG199" s="345"/>
      <c r="DH199" s="345"/>
      <c r="DI199" s="345"/>
      <c r="DJ199" s="345"/>
      <c r="DK199" s="345"/>
      <c r="DL199" s="345"/>
      <c r="DM199" s="345"/>
      <c r="DN199" s="345"/>
      <c r="DO199" s="345"/>
      <c r="DP199" s="345"/>
      <c r="DQ199" s="345"/>
      <c r="DR199" s="345"/>
      <c r="DS199" s="345"/>
      <c r="DT199" s="345"/>
      <c r="DU199" s="345"/>
      <c r="DV199" s="345"/>
      <c r="DW199" s="345"/>
      <c r="DX199" s="345"/>
      <c r="DY199" s="345"/>
      <c r="DZ199" s="345"/>
      <c r="EA199" s="345"/>
    </row>
    <row r="200" spans="1:131" hidden="1">
      <c r="A200" s="345"/>
      <c r="B200" s="345"/>
      <c r="C200" s="345"/>
      <c r="D200" s="345"/>
      <c r="E200" s="345"/>
      <c r="F200" s="345"/>
      <c r="G200" s="345"/>
      <c r="H200" s="345"/>
      <c r="I200" s="345"/>
      <c r="J200" s="345"/>
      <c r="K200" s="345"/>
      <c r="L200" s="345"/>
      <c r="M200" s="345"/>
      <c r="N200" s="345"/>
      <c r="O200" s="345"/>
      <c r="P200" s="345"/>
      <c r="Q200" s="345"/>
      <c r="R200" s="345"/>
      <c r="S200" s="345"/>
      <c r="T200" s="345"/>
      <c r="U200" s="345"/>
      <c r="V200" s="345"/>
      <c r="W200" s="345"/>
      <c r="X200" s="345"/>
      <c r="Y200" s="345"/>
      <c r="Z200" s="345"/>
      <c r="AA200" s="345"/>
      <c r="AB200" s="345"/>
      <c r="AC200" s="345"/>
      <c r="AD200" s="345"/>
      <c r="AE200" s="345"/>
      <c r="AF200" s="345"/>
      <c r="AG200" s="345"/>
      <c r="AH200" s="345"/>
      <c r="AI200" s="345"/>
      <c r="AJ200" s="345"/>
      <c r="AK200" s="345"/>
      <c r="AL200" s="345"/>
      <c r="AM200" s="345"/>
      <c r="AN200" s="345"/>
      <c r="AO200" s="345"/>
      <c r="AP200" s="345"/>
      <c r="AQ200" s="345"/>
      <c r="AR200" s="345"/>
      <c r="AS200" s="345"/>
      <c r="AT200" s="345"/>
      <c r="AU200" s="345"/>
      <c r="AV200" s="345"/>
      <c r="AW200" s="345"/>
      <c r="AX200" s="345"/>
      <c r="AY200" s="345"/>
      <c r="AZ200" s="345"/>
      <c r="BA200" s="345"/>
      <c r="BB200" s="345"/>
      <c r="BC200" s="345"/>
      <c r="BD200" s="345"/>
      <c r="BE200" s="345"/>
      <c r="BF200" s="345"/>
      <c r="BG200" s="345"/>
      <c r="BH200" s="345"/>
      <c r="BI200" s="345"/>
      <c r="BJ200" s="345"/>
      <c r="BK200" s="345"/>
      <c r="BL200" s="345"/>
      <c r="BM200" s="345"/>
      <c r="BN200" s="345"/>
      <c r="BO200" s="345"/>
      <c r="BP200" s="345"/>
      <c r="BQ200" s="345"/>
      <c r="BR200" s="345"/>
      <c r="BS200" s="345"/>
      <c r="BT200" s="345"/>
      <c r="BU200" s="345"/>
      <c r="BV200" s="345"/>
      <c r="BW200" s="345"/>
      <c r="BX200" s="345"/>
      <c r="BY200" s="345"/>
      <c r="BZ200" s="345"/>
      <c r="CA200" s="345"/>
      <c r="CB200" s="345"/>
      <c r="CC200" s="345"/>
      <c r="CD200" s="345"/>
      <c r="CE200" s="345"/>
      <c r="CF200" s="345"/>
      <c r="CG200" s="345"/>
      <c r="CH200" s="345"/>
      <c r="CI200" s="345"/>
      <c r="CJ200" s="345"/>
      <c r="CK200" s="345"/>
      <c r="CL200" s="345"/>
      <c r="CM200" s="345"/>
      <c r="CN200" s="345"/>
      <c r="CO200" s="345"/>
      <c r="CP200" s="345"/>
      <c r="CQ200" s="345"/>
      <c r="CR200" s="345"/>
      <c r="CS200" s="345"/>
      <c r="CT200" s="345"/>
      <c r="CU200" s="345"/>
      <c r="CV200" s="345"/>
      <c r="CW200" s="345"/>
      <c r="CX200" s="345"/>
      <c r="CY200" s="345"/>
      <c r="CZ200" s="345"/>
      <c r="DA200" s="345"/>
      <c r="DB200" s="345"/>
      <c r="DC200" s="345"/>
      <c r="DD200" s="345"/>
      <c r="DE200" s="345"/>
      <c r="DF200" s="345"/>
      <c r="DG200" s="345"/>
      <c r="DH200" s="345"/>
      <c r="DI200" s="345"/>
      <c r="DJ200" s="345"/>
      <c r="DK200" s="345"/>
      <c r="DL200" s="345"/>
      <c r="DM200" s="345"/>
      <c r="DN200" s="345"/>
      <c r="DO200" s="345"/>
      <c r="DP200" s="345"/>
      <c r="DQ200" s="345"/>
      <c r="DR200" s="345"/>
      <c r="DS200" s="345"/>
      <c r="DT200" s="345"/>
      <c r="DU200" s="345"/>
      <c r="DV200" s="345"/>
      <c r="DW200" s="345"/>
      <c r="DX200" s="345"/>
      <c r="DY200" s="345"/>
      <c r="DZ200" s="345"/>
      <c r="EA200" s="345"/>
    </row>
    <row r="201" spans="1:131" hidden="1">
      <c r="A201" s="345"/>
      <c r="B201" s="345"/>
      <c r="C201" s="345"/>
      <c r="D201" s="345"/>
      <c r="E201" s="345"/>
      <c r="F201" s="345"/>
      <c r="G201" s="345"/>
      <c r="H201" s="345"/>
      <c r="I201" s="345"/>
      <c r="J201" s="345"/>
      <c r="K201" s="345"/>
      <c r="L201" s="345"/>
      <c r="M201" s="345"/>
      <c r="N201" s="345"/>
      <c r="O201" s="345"/>
      <c r="P201" s="345"/>
      <c r="Q201" s="345"/>
      <c r="R201" s="345"/>
      <c r="S201" s="345"/>
      <c r="T201" s="345"/>
      <c r="U201" s="345"/>
      <c r="V201" s="345"/>
      <c r="W201" s="345"/>
      <c r="X201" s="345"/>
      <c r="Y201" s="345"/>
      <c r="Z201" s="345"/>
      <c r="AA201" s="345"/>
      <c r="AB201" s="345"/>
      <c r="AC201" s="345"/>
      <c r="AD201" s="345"/>
      <c r="AE201" s="345"/>
      <c r="AF201" s="345"/>
      <c r="AG201" s="345"/>
      <c r="AH201" s="345"/>
      <c r="AI201" s="345"/>
      <c r="AJ201" s="345"/>
      <c r="AK201" s="345"/>
      <c r="AL201" s="345"/>
      <c r="AM201" s="345"/>
      <c r="AN201" s="345"/>
      <c r="AO201" s="345"/>
      <c r="AP201" s="345"/>
      <c r="AQ201" s="345"/>
      <c r="AR201" s="345"/>
      <c r="AS201" s="345"/>
      <c r="AT201" s="345"/>
      <c r="AU201" s="345"/>
      <c r="AV201" s="345"/>
      <c r="AW201" s="345"/>
      <c r="AX201" s="345"/>
      <c r="AY201" s="345"/>
      <c r="AZ201" s="345"/>
      <c r="BA201" s="345"/>
      <c r="BB201" s="345"/>
      <c r="BC201" s="345"/>
      <c r="BD201" s="345"/>
      <c r="BE201" s="345"/>
      <c r="BF201" s="345"/>
      <c r="BG201" s="345"/>
      <c r="BH201" s="345"/>
      <c r="BI201" s="345"/>
      <c r="BJ201" s="345"/>
      <c r="BK201" s="345"/>
      <c r="BL201" s="345"/>
      <c r="BM201" s="345"/>
      <c r="BN201" s="345"/>
      <c r="BO201" s="345"/>
      <c r="BP201" s="345"/>
      <c r="BQ201" s="345"/>
      <c r="BR201" s="345"/>
      <c r="BS201" s="345"/>
      <c r="BT201" s="345"/>
      <c r="BU201" s="345"/>
      <c r="BV201" s="345"/>
      <c r="BW201" s="345"/>
      <c r="BX201" s="345"/>
      <c r="BY201" s="345"/>
      <c r="BZ201" s="345"/>
      <c r="CA201" s="345"/>
      <c r="CB201" s="345"/>
      <c r="CC201" s="345"/>
      <c r="CD201" s="345"/>
      <c r="CE201" s="345"/>
      <c r="CF201" s="345"/>
      <c r="CG201" s="345"/>
      <c r="CH201" s="345"/>
      <c r="CI201" s="345"/>
      <c r="CJ201" s="345"/>
      <c r="CK201" s="345"/>
      <c r="CL201" s="345"/>
      <c r="CM201" s="345"/>
      <c r="CN201" s="345"/>
      <c r="CO201" s="345"/>
      <c r="CP201" s="345"/>
      <c r="CQ201" s="345"/>
      <c r="CR201" s="345"/>
      <c r="CS201" s="345"/>
      <c r="CT201" s="345"/>
      <c r="CU201" s="345"/>
      <c r="CV201" s="345"/>
      <c r="CW201" s="345"/>
      <c r="CX201" s="345"/>
      <c r="CY201" s="345"/>
      <c r="CZ201" s="345"/>
      <c r="DA201" s="345"/>
      <c r="DB201" s="345"/>
      <c r="DC201" s="345"/>
      <c r="DD201" s="345"/>
      <c r="DE201" s="345"/>
      <c r="DF201" s="345"/>
      <c r="DG201" s="345"/>
      <c r="DH201" s="345"/>
      <c r="DI201" s="345"/>
      <c r="DJ201" s="345"/>
      <c r="DK201" s="345"/>
      <c r="DL201" s="345"/>
      <c r="DM201" s="345"/>
      <c r="DN201" s="345"/>
      <c r="DO201" s="345"/>
      <c r="DP201" s="345"/>
      <c r="DQ201" s="345"/>
      <c r="DR201" s="345"/>
      <c r="DS201" s="345"/>
      <c r="DT201" s="345"/>
      <c r="DU201" s="345"/>
      <c r="DV201" s="345"/>
      <c r="DW201" s="345"/>
      <c r="DX201" s="345"/>
      <c r="DY201" s="345"/>
      <c r="DZ201" s="345"/>
      <c r="EA201" s="345"/>
    </row>
    <row r="202" spans="1:131" hidden="1">
      <c r="A202" s="345"/>
      <c r="B202" s="345"/>
      <c r="C202" s="345"/>
      <c r="D202" s="345"/>
      <c r="E202" s="345"/>
      <c r="F202" s="345"/>
      <c r="G202" s="345"/>
      <c r="H202" s="345"/>
      <c r="I202" s="345"/>
      <c r="J202" s="345"/>
      <c r="K202" s="345"/>
      <c r="L202" s="345"/>
      <c r="M202" s="345"/>
      <c r="N202" s="345"/>
      <c r="O202" s="345"/>
      <c r="P202" s="345"/>
      <c r="Q202" s="345"/>
      <c r="R202" s="345"/>
      <c r="S202" s="345"/>
      <c r="T202" s="345"/>
      <c r="U202" s="345"/>
      <c r="V202" s="345"/>
      <c r="W202" s="345"/>
      <c r="X202" s="345"/>
      <c r="Y202" s="345"/>
      <c r="Z202" s="345"/>
      <c r="AA202" s="345"/>
      <c r="AB202" s="345"/>
      <c r="AC202" s="345"/>
      <c r="AD202" s="345"/>
      <c r="AE202" s="345"/>
      <c r="AF202" s="345"/>
      <c r="AG202" s="345"/>
      <c r="AH202" s="345"/>
      <c r="AI202" s="345"/>
      <c r="AJ202" s="345"/>
      <c r="AK202" s="345"/>
      <c r="AL202" s="345"/>
      <c r="AM202" s="345"/>
      <c r="AN202" s="345"/>
      <c r="AO202" s="345"/>
      <c r="AP202" s="345"/>
      <c r="AQ202" s="345"/>
      <c r="AR202" s="345"/>
      <c r="AS202" s="345"/>
      <c r="AT202" s="345"/>
      <c r="AU202" s="345"/>
      <c r="AV202" s="345"/>
      <c r="AW202" s="345"/>
      <c r="AX202" s="345"/>
      <c r="AY202" s="345"/>
      <c r="AZ202" s="345"/>
      <c r="BA202" s="345"/>
      <c r="BB202" s="345"/>
      <c r="BC202" s="345"/>
      <c r="BD202" s="345"/>
      <c r="BE202" s="345"/>
      <c r="BF202" s="345"/>
      <c r="BG202" s="345"/>
      <c r="BH202" s="345"/>
      <c r="BI202" s="345"/>
      <c r="BJ202" s="345"/>
      <c r="BK202" s="345"/>
      <c r="BL202" s="345"/>
      <c r="BM202" s="345"/>
      <c r="BN202" s="345"/>
      <c r="BO202" s="345"/>
      <c r="BP202" s="345"/>
      <c r="BQ202" s="345"/>
      <c r="BR202" s="345"/>
      <c r="BS202" s="345"/>
      <c r="BT202" s="345"/>
      <c r="BU202" s="345"/>
      <c r="BV202" s="345"/>
      <c r="BW202" s="345"/>
      <c r="BX202" s="345"/>
      <c r="BY202" s="345"/>
      <c r="BZ202" s="345"/>
      <c r="CA202" s="345"/>
      <c r="CB202" s="345"/>
      <c r="CC202" s="345"/>
      <c r="CD202" s="345"/>
      <c r="CE202" s="345"/>
      <c r="CF202" s="345"/>
      <c r="CG202" s="345"/>
      <c r="CH202" s="345"/>
      <c r="CI202" s="345"/>
      <c r="CJ202" s="345"/>
      <c r="CK202" s="345"/>
      <c r="CL202" s="345"/>
      <c r="CM202" s="345"/>
      <c r="CN202" s="345"/>
      <c r="CO202" s="345"/>
      <c r="CP202" s="345"/>
      <c r="CQ202" s="345"/>
      <c r="CR202" s="345"/>
      <c r="CS202" s="345"/>
      <c r="CT202" s="345"/>
      <c r="CU202" s="345"/>
      <c r="CV202" s="345"/>
      <c r="CW202" s="345"/>
      <c r="CX202" s="345"/>
      <c r="CY202" s="345"/>
      <c r="CZ202" s="345"/>
      <c r="DA202" s="345"/>
      <c r="DB202" s="345"/>
      <c r="DC202" s="345"/>
      <c r="DD202" s="345"/>
      <c r="DE202" s="345"/>
      <c r="DF202" s="345"/>
      <c r="DG202" s="345"/>
      <c r="DH202" s="345"/>
      <c r="DI202" s="345"/>
      <c r="DJ202" s="345"/>
      <c r="DK202" s="345"/>
      <c r="DL202" s="345"/>
      <c r="DM202" s="345"/>
      <c r="DN202" s="345"/>
      <c r="DO202" s="345"/>
      <c r="DP202" s="345"/>
      <c r="DQ202" s="345"/>
      <c r="DR202" s="345"/>
      <c r="DS202" s="345"/>
      <c r="DT202" s="345"/>
      <c r="DU202" s="345"/>
      <c r="DV202" s="345"/>
      <c r="DW202" s="345"/>
      <c r="DX202" s="345"/>
      <c r="DY202" s="345"/>
      <c r="DZ202" s="345"/>
      <c r="EA202" s="345"/>
    </row>
    <row r="203" spans="1:131" hidden="1">
      <c r="A203" s="345"/>
      <c r="B203" s="345"/>
      <c r="C203" s="345"/>
      <c r="D203" s="345"/>
      <c r="E203" s="345"/>
      <c r="F203" s="345"/>
      <c r="G203" s="345"/>
      <c r="H203" s="345"/>
      <c r="I203" s="345"/>
      <c r="J203" s="345"/>
      <c r="K203" s="345"/>
      <c r="L203" s="345"/>
      <c r="M203" s="345"/>
      <c r="N203" s="345"/>
      <c r="O203" s="345"/>
      <c r="P203" s="345"/>
      <c r="Q203" s="345"/>
      <c r="R203" s="345"/>
      <c r="S203" s="345"/>
      <c r="T203" s="345"/>
      <c r="U203" s="345"/>
      <c r="V203" s="345"/>
      <c r="W203" s="345"/>
      <c r="X203" s="345"/>
      <c r="Y203" s="345"/>
      <c r="Z203" s="345"/>
      <c r="AA203" s="345"/>
      <c r="AB203" s="345"/>
      <c r="AC203" s="345"/>
      <c r="AD203" s="345"/>
      <c r="AE203" s="345"/>
      <c r="AF203" s="345"/>
      <c r="AG203" s="345"/>
      <c r="AH203" s="345"/>
      <c r="AI203" s="345"/>
      <c r="AJ203" s="345"/>
      <c r="AK203" s="345"/>
      <c r="AL203" s="345"/>
      <c r="AM203" s="345"/>
      <c r="AN203" s="345"/>
      <c r="AO203" s="345"/>
      <c r="AP203" s="345"/>
      <c r="AQ203" s="345"/>
      <c r="AR203" s="345"/>
      <c r="AS203" s="345"/>
      <c r="AT203" s="345"/>
      <c r="AU203" s="345"/>
      <c r="AV203" s="345"/>
      <c r="AW203" s="345"/>
      <c r="AX203" s="345"/>
      <c r="AY203" s="345"/>
      <c r="AZ203" s="345"/>
      <c r="BA203" s="345"/>
      <c r="BB203" s="345"/>
      <c r="BC203" s="345"/>
      <c r="BD203" s="345"/>
      <c r="BE203" s="345"/>
      <c r="BF203" s="345"/>
      <c r="BG203" s="345"/>
      <c r="BH203" s="345"/>
      <c r="BI203" s="345"/>
      <c r="BJ203" s="345"/>
      <c r="BK203" s="345"/>
      <c r="BL203" s="345"/>
      <c r="BM203" s="345"/>
      <c r="BN203" s="345"/>
      <c r="BO203" s="345"/>
      <c r="BP203" s="345"/>
      <c r="BQ203" s="345"/>
      <c r="BR203" s="345"/>
      <c r="BS203" s="345"/>
      <c r="BT203" s="345"/>
      <c r="BU203" s="345"/>
      <c r="BV203" s="345"/>
      <c r="BW203" s="345"/>
      <c r="BX203" s="345"/>
      <c r="BY203" s="345"/>
      <c r="BZ203" s="345"/>
      <c r="CA203" s="345"/>
      <c r="CB203" s="345"/>
      <c r="CC203" s="345"/>
      <c r="CD203" s="345"/>
      <c r="CE203" s="345"/>
      <c r="CF203" s="345"/>
      <c r="CG203" s="345"/>
      <c r="CH203" s="345"/>
      <c r="CI203" s="345"/>
      <c r="CJ203" s="345"/>
      <c r="CK203" s="345"/>
      <c r="CL203" s="345"/>
      <c r="CM203" s="345"/>
      <c r="CN203" s="345"/>
      <c r="CO203" s="345"/>
      <c r="CP203" s="345"/>
      <c r="CQ203" s="345"/>
      <c r="CR203" s="345"/>
      <c r="CS203" s="345"/>
      <c r="CT203" s="345"/>
      <c r="CU203" s="345"/>
      <c r="CV203" s="345"/>
      <c r="CW203" s="345"/>
      <c r="CX203" s="345"/>
      <c r="CY203" s="345"/>
      <c r="CZ203" s="345"/>
      <c r="DA203" s="345"/>
      <c r="DB203" s="345"/>
      <c r="DC203" s="345"/>
      <c r="DD203" s="345"/>
      <c r="DE203" s="345"/>
      <c r="DF203" s="345"/>
      <c r="DG203" s="345"/>
      <c r="DH203" s="345"/>
      <c r="DI203" s="345"/>
      <c r="DJ203" s="345"/>
      <c r="DK203" s="345"/>
      <c r="DL203" s="345"/>
      <c r="DM203" s="345"/>
      <c r="DN203" s="345"/>
      <c r="DO203" s="345"/>
      <c r="DP203" s="345"/>
      <c r="DQ203" s="345"/>
      <c r="DR203" s="345"/>
      <c r="DS203" s="345"/>
      <c r="DT203" s="345"/>
      <c r="DU203" s="345"/>
      <c r="DV203" s="345"/>
      <c r="DW203" s="345"/>
      <c r="DX203" s="345"/>
      <c r="DY203" s="345"/>
      <c r="DZ203" s="345"/>
      <c r="EA203" s="345"/>
    </row>
    <row r="204" spans="1:131" hidden="1">
      <c r="A204" s="345"/>
      <c r="B204" s="345"/>
      <c r="C204" s="345"/>
      <c r="D204" s="345"/>
      <c r="E204" s="345"/>
      <c r="F204" s="345"/>
      <c r="G204" s="345"/>
      <c r="H204" s="345"/>
      <c r="I204" s="345"/>
      <c r="J204" s="345"/>
      <c r="K204" s="345"/>
      <c r="L204" s="345"/>
      <c r="M204" s="345"/>
      <c r="N204" s="345"/>
      <c r="O204" s="345"/>
      <c r="P204" s="345"/>
      <c r="Q204" s="345"/>
      <c r="R204" s="345"/>
      <c r="S204" s="345"/>
      <c r="T204" s="345"/>
      <c r="U204" s="345"/>
      <c r="V204" s="345"/>
      <c r="W204" s="345"/>
      <c r="X204" s="345"/>
      <c r="Y204" s="345"/>
      <c r="Z204" s="345"/>
      <c r="AA204" s="345"/>
      <c r="AB204" s="345"/>
      <c r="AC204" s="345"/>
      <c r="AD204" s="345"/>
      <c r="AE204" s="345"/>
      <c r="AF204" s="345"/>
      <c r="AG204" s="345"/>
      <c r="AH204" s="345"/>
      <c r="AI204" s="345"/>
      <c r="AJ204" s="345"/>
      <c r="AK204" s="345"/>
      <c r="AL204" s="345"/>
      <c r="AM204" s="345"/>
      <c r="AN204" s="345"/>
      <c r="AO204" s="345"/>
      <c r="AP204" s="345"/>
      <c r="AQ204" s="345"/>
      <c r="AR204" s="345"/>
      <c r="AS204" s="345"/>
      <c r="AT204" s="345"/>
      <c r="AU204" s="345"/>
      <c r="AV204" s="345"/>
      <c r="AW204" s="345"/>
      <c r="AX204" s="345"/>
      <c r="AY204" s="345"/>
      <c r="AZ204" s="345"/>
      <c r="BA204" s="345"/>
      <c r="BB204" s="345"/>
      <c r="BC204" s="345"/>
      <c r="BD204" s="345"/>
      <c r="BE204" s="345"/>
      <c r="BF204" s="345"/>
      <c r="BG204" s="345"/>
      <c r="BH204" s="345"/>
      <c r="BI204" s="345"/>
      <c r="BJ204" s="345"/>
      <c r="BK204" s="345"/>
      <c r="BL204" s="345"/>
      <c r="BM204" s="345"/>
      <c r="BN204" s="345"/>
      <c r="BO204" s="345"/>
      <c r="BP204" s="345"/>
      <c r="BQ204" s="345"/>
      <c r="BR204" s="345"/>
      <c r="BS204" s="345"/>
      <c r="BT204" s="345"/>
      <c r="BU204" s="345"/>
      <c r="BV204" s="345"/>
      <c r="BW204" s="345"/>
      <c r="BX204" s="345"/>
      <c r="BY204" s="345"/>
      <c r="BZ204" s="345"/>
      <c r="CA204" s="345"/>
      <c r="CB204" s="345"/>
      <c r="CC204" s="345"/>
      <c r="CD204" s="345"/>
      <c r="CE204" s="345"/>
      <c r="CF204" s="345"/>
      <c r="CG204" s="345"/>
      <c r="CH204" s="345"/>
      <c r="CI204" s="345"/>
      <c r="CJ204" s="345"/>
      <c r="CK204" s="345"/>
      <c r="CL204" s="345"/>
      <c r="CM204" s="345"/>
      <c r="CN204" s="345"/>
      <c r="CO204" s="345"/>
      <c r="CP204" s="345"/>
      <c r="CQ204" s="345"/>
      <c r="CR204" s="345"/>
      <c r="CS204" s="345"/>
      <c r="CT204" s="345"/>
      <c r="CU204" s="345"/>
      <c r="CV204" s="345"/>
      <c r="CW204" s="345"/>
      <c r="CX204" s="345"/>
      <c r="CY204" s="345"/>
      <c r="CZ204" s="345"/>
      <c r="DA204" s="345"/>
      <c r="DB204" s="345"/>
      <c r="DC204" s="345"/>
      <c r="DD204" s="345"/>
      <c r="DE204" s="345"/>
      <c r="DF204" s="345"/>
      <c r="DG204" s="345"/>
      <c r="DH204" s="345"/>
      <c r="DI204" s="345"/>
      <c r="DJ204" s="345"/>
      <c r="DK204" s="345"/>
      <c r="DL204" s="345"/>
      <c r="DM204" s="345"/>
      <c r="DN204" s="345"/>
      <c r="DO204" s="345"/>
      <c r="DP204" s="345"/>
      <c r="DQ204" s="345"/>
      <c r="DR204" s="345"/>
      <c r="DS204" s="345"/>
      <c r="DT204" s="345"/>
      <c r="DU204" s="345"/>
      <c r="DV204" s="345"/>
      <c r="DW204" s="345"/>
      <c r="DX204" s="345"/>
      <c r="DY204" s="345"/>
      <c r="DZ204" s="345"/>
      <c r="EA204" s="345"/>
    </row>
    <row r="205" spans="1:131" hidden="1">
      <c r="A205" s="345"/>
      <c r="B205" s="345"/>
      <c r="C205" s="345"/>
      <c r="D205" s="345"/>
      <c r="E205" s="345"/>
      <c r="F205" s="345"/>
      <c r="G205" s="345"/>
      <c r="H205" s="345"/>
      <c r="I205" s="345"/>
      <c r="J205" s="345"/>
      <c r="K205" s="345"/>
      <c r="L205" s="345"/>
      <c r="M205" s="345"/>
      <c r="N205" s="345"/>
      <c r="O205" s="345"/>
      <c r="P205" s="345"/>
      <c r="Q205" s="345"/>
      <c r="R205" s="345"/>
      <c r="S205" s="345"/>
      <c r="T205" s="345"/>
      <c r="U205" s="345"/>
      <c r="V205" s="345"/>
      <c r="W205" s="345"/>
      <c r="X205" s="345"/>
      <c r="Y205" s="345"/>
      <c r="Z205" s="345"/>
      <c r="AA205" s="345"/>
      <c r="AB205" s="345"/>
      <c r="AC205" s="345"/>
      <c r="AD205" s="345"/>
      <c r="AE205" s="345"/>
      <c r="AF205" s="345"/>
      <c r="AG205" s="345"/>
      <c r="AH205" s="345"/>
      <c r="AI205" s="345"/>
      <c r="AJ205" s="345"/>
      <c r="AK205" s="345"/>
      <c r="AL205" s="345"/>
      <c r="AM205" s="345"/>
      <c r="AN205" s="345"/>
      <c r="AO205" s="345"/>
      <c r="AP205" s="345"/>
      <c r="AQ205" s="345"/>
      <c r="AR205" s="345"/>
      <c r="AS205" s="345"/>
      <c r="AT205" s="345"/>
      <c r="AU205" s="345"/>
      <c r="AV205" s="345"/>
      <c r="AW205" s="345"/>
      <c r="AX205" s="345"/>
      <c r="AY205" s="345"/>
      <c r="AZ205" s="345"/>
      <c r="BA205" s="345"/>
      <c r="BB205" s="345"/>
      <c r="BC205" s="345"/>
      <c r="BD205" s="345"/>
      <c r="BE205" s="345"/>
      <c r="BF205" s="345"/>
      <c r="BG205" s="345"/>
      <c r="BH205" s="345"/>
      <c r="BI205" s="345"/>
      <c r="BJ205" s="345"/>
      <c r="BK205" s="345"/>
      <c r="BL205" s="345"/>
      <c r="BM205" s="345"/>
      <c r="BN205" s="345"/>
      <c r="BO205" s="345"/>
      <c r="BP205" s="345"/>
      <c r="BQ205" s="345"/>
      <c r="BR205" s="345"/>
      <c r="BS205" s="345"/>
      <c r="BT205" s="345"/>
      <c r="BU205" s="345"/>
      <c r="BV205" s="345"/>
      <c r="BW205" s="345"/>
      <c r="BX205" s="345"/>
      <c r="BY205" s="345"/>
      <c r="BZ205" s="345"/>
      <c r="CA205" s="345"/>
      <c r="CB205" s="345"/>
      <c r="CC205" s="345"/>
      <c r="CD205" s="345"/>
      <c r="CE205" s="345"/>
      <c r="CF205" s="345"/>
      <c r="CG205" s="345"/>
      <c r="CH205" s="345"/>
      <c r="CI205" s="345"/>
      <c r="CJ205" s="345"/>
      <c r="CK205" s="345"/>
      <c r="CL205" s="345"/>
      <c r="CM205" s="345"/>
      <c r="CN205" s="345"/>
      <c r="CO205" s="345"/>
      <c r="CP205" s="345"/>
      <c r="CQ205" s="345"/>
      <c r="CR205" s="345"/>
      <c r="CS205" s="345"/>
      <c r="CT205" s="345"/>
      <c r="CU205" s="345"/>
      <c r="CV205" s="345"/>
      <c r="CW205" s="345"/>
      <c r="CX205" s="345"/>
      <c r="CY205" s="345"/>
      <c r="CZ205" s="345"/>
      <c r="DA205" s="345"/>
      <c r="DB205" s="345"/>
      <c r="DC205" s="345"/>
      <c r="DD205" s="345"/>
      <c r="DE205" s="345"/>
      <c r="DF205" s="345"/>
      <c r="DG205" s="345"/>
      <c r="DH205" s="345"/>
      <c r="DI205" s="345"/>
      <c r="DJ205" s="345"/>
      <c r="DK205" s="345"/>
      <c r="DL205" s="345"/>
      <c r="DM205" s="345"/>
      <c r="DN205" s="345"/>
      <c r="DO205" s="345"/>
      <c r="DP205" s="345"/>
      <c r="DQ205" s="345"/>
      <c r="DR205" s="345"/>
      <c r="DS205" s="345"/>
      <c r="DT205" s="345"/>
      <c r="DU205" s="345"/>
      <c r="DV205" s="345"/>
      <c r="DW205" s="345"/>
      <c r="DX205" s="345"/>
      <c r="DY205" s="345"/>
      <c r="DZ205" s="345"/>
      <c r="EA205" s="345"/>
    </row>
    <row r="206" spans="1:131" hidden="1">
      <c r="A206" s="345"/>
      <c r="B206" s="345"/>
      <c r="C206" s="345"/>
      <c r="D206" s="345"/>
      <c r="E206" s="345"/>
      <c r="F206" s="345"/>
      <c r="G206" s="345"/>
      <c r="H206" s="345"/>
      <c r="I206" s="345"/>
      <c r="J206" s="345"/>
      <c r="K206" s="345"/>
      <c r="L206" s="345"/>
      <c r="M206" s="345"/>
      <c r="N206" s="345"/>
      <c r="O206" s="345"/>
      <c r="P206" s="345"/>
      <c r="Q206" s="345"/>
      <c r="R206" s="345"/>
      <c r="S206" s="345"/>
      <c r="T206" s="345"/>
      <c r="U206" s="345"/>
      <c r="V206" s="345"/>
      <c r="W206" s="345"/>
      <c r="X206" s="345"/>
      <c r="Y206" s="345"/>
      <c r="Z206" s="345"/>
      <c r="AA206" s="345"/>
      <c r="AB206" s="345"/>
      <c r="AC206" s="345"/>
      <c r="AD206" s="345"/>
      <c r="AE206" s="345"/>
      <c r="AF206" s="345"/>
      <c r="AG206" s="345"/>
      <c r="AH206" s="345"/>
      <c r="AI206" s="345"/>
      <c r="AJ206" s="345"/>
      <c r="AK206" s="345"/>
      <c r="AL206" s="345"/>
      <c r="AM206" s="345"/>
      <c r="AN206" s="345"/>
      <c r="AO206" s="345"/>
      <c r="AP206" s="345"/>
      <c r="AQ206" s="345"/>
      <c r="AR206" s="345"/>
      <c r="AS206" s="345"/>
      <c r="AT206" s="345"/>
      <c r="AU206" s="345"/>
      <c r="AV206" s="345"/>
      <c r="AW206" s="345"/>
      <c r="AX206" s="345"/>
      <c r="AY206" s="345"/>
      <c r="AZ206" s="345"/>
      <c r="BA206" s="345"/>
      <c r="BB206" s="345"/>
      <c r="BC206" s="345"/>
      <c r="BD206" s="345"/>
      <c r="BE206" s="345"/>
      <c r="BF206" s="345"/>
      <c r="BG206" s="345"/>
      <c r="BH206" s="345"/>
      <c r="BI206" s="345"/>
      <c r="BJ206" s="345"/>
      <c r="BK206" s="345"/>
      <c r="BL206" s="345"/>
      <c r="BM206" s="345"/>
      <c r="BN206" s="345"/>
      <c r="BO206" s="345"/>
      <c r="BP206" s="345"/>
      <c r="BQ206" s="345"/>
      <c r="BR206" s="345"/>
      <c r="BS206" s="345"/>
      <c r="BT206" s="345"/>
      <c r="BU206" s="345"/>
      <c r="BV206" s="345"/>
      <c r="BW206" s="345"/>
      <c r="BX206" s="345"/>
      <c r="BY206" s="345"/>
      <c r="BZ206" s="345"/>
      <c r="CA206" s="345"/>
      <c r="CB206" s="345"/>
      <c r="CC206" s="345"/>
      <c r="CD206" s="345"/>
      <c r="CE206" s="345"/>
      <c r="CF206" s="345"/>
      <c r="CG206" s="345"/>
      <c r="CH206" s="345"/>
      <c r="CI206" s="345"/>
      <c r="CJ206" s="345"/>
      <c r="CK206" s="345"/>
      <c r="CL206" s="345"/>
      <c r="CM206" s="345"/>
      <c r="CN206" s="345"/>
      <c r="CO206" s="345"/>
      <c r="CP206" s="345"/>
      <c r="CQ206" s="345"/>
      <c r="CR206" s="345"/>
      <c r="CS206" s="345"/>
      <c r="CT206" s="345"/>
      <c r="CU206" s="345"/>
      <c r="CV206" s="345"/>
      <c r="CW206" s="345"/>
      <c r="CX206" s="345"/>
      <c r="CY206" s="345"/>
      <c r="CZ206" s="345"/>
      <c r="DA206" s="345"/>
      <c r="DB206" s="345"/>
      <c r="DC206" s="345"/>
      <c r="DD206" s="345"/>
      <c r="DE206" s="345"/>
      <c r="DF206" s="345"/>
      <c r="DG206" s="345"/>
      <c r="DH206" s="345"/>
      <c r="DI206" s="345"/>
      <c r="DJ206" s="345"/>
      <c r="DK206" s="345"/>
      <c r="DL206" s="345"/>
      <c r="DM206" s="345"/>
      <c r="DN206" s="345"/>
      <c r="DO206" s="345"/>
      <c r="DP206" s="345"/>
      <c r="DQ206" s="345"/>
      <c r="DR206" s="345"/>
      <c r="DS206" s="345"/>
      <c r="DT206" s="345"/>
      <c r="DU206" s="345"/>
      <c r="DV206" s="345"/>
      <c r="DW206" s="345"/>
      <c r="DX206" s="345"/>
      <c r="DY206" s="345"/>
      <c r="DZ206" s="345"/>
      <c r="EA206" s="345"/>
    </row>
    <row r="207" spans="1:131" hidden="1">
      <c r="A207" s="345"/>
      <c r="B207" s="345"/>
      <c r="C207" s="345"/>
      <c r="D207" s="345"/>
      <c r="E207" s="345"/>
      <c r="F207" s="345"/>
      <c r="G207" s="345"/>
      <c r="H207" s="345"/>
      <c r="I207" s="345"/>
      <c r="J207" s="345"/>
      <c r="K207" s="345"/>
      <c r="L207" s="345"/>
      <c r="M207" s="345"/>
      <c r="N207" s="345"/>
      <c r="O207" s="345"/>
      <c r="P207" s="345"/>
      <c r="Q207" s="345"/>
      <c r="R207" s="345"/>
      <c r="S207" s="345"/>
      <c r="T207" s="345"/>
      <c r="U207" s="345"/>
      <c r="V207" s="345"/>
      <c r="W207" s="345"/>
      <c r="X207" s="345"/>
      <c r="Y207" s="345"/>
      <c r="Z207" s="345"/>
      <c r="AA207" s="345"/>
      <c r="AB207" s="345"/>
      <c r="AC207" s="345"/>
      <c r="AD207" s="345"/>
      <c r="AE207" s="345"/>
      <c r="AF207" s="345"/>
      <c r="AG207" s="345"/>
      <c r="AH207" s="345"/>
      <c r="AI207" s="345"/>
      <c r="AJ207" s="345"/>
      <c r="AK207" s="345"/>
      <c r="AL207" s="345"/>
      <c r="AM207" s="345"/>
      <c r="AN207" s="345"/>
      <c r="AO207" s="345"/>
      <c r="AP207" s="345"/>
      <c r="AQ207" s="345"/>
      <c r="AR207" s="345"/>
      <c r="AS207" s="345"/>
      <c r="AT207" s="345"/>
      <c r="AU207" s="345"/>
      <c r="AV207" s="345"/>
      <c r="AW207" s="345"/>
      <c r="AX207" s="345"/>
      <c r="AY207" s="345"/>
      <c r="AZ207" s="345"/>
      <c r="BA207" s="345"/>
      <c r="BB207" s="345"/>
      <c r="BC207" s="345"/>
      <c r="BD207" s="345"/>
      <c r="BE207" s="345"/>
      <c r="BF207" s="345"/>
      <c r="BG207" s="345"/>
      <c r="BH207" s="345"/>
      <c r="BI207" s="345"/>
      <c r="BJ207" s="345"/>
      <c r="BK207" s="345"/>
      <c r="BL207" s="345"/>
      <c r="BM207" s="345"/>
      <c r="BN207" s="345"/>
      <c r="BO207" s="345"/>
      <c r="BP207" s="345"/>
      <c r="BQ207" s="345"/>
      <c r="BR207" s="345"/>
      <c r="BS207" s="345"/>
      <c r="BT207" s="345"/>
      <c r="BU207" s="345"/>
      <c r="BV207" s="345"/>
      <c r="BW207" s="345"/>
      <c r="BX207" s="345"/>
      <c r="BY207" s="345"/>
      <c r="BZ207" s="345"/>
      <c r="CA207" s="345"/>
      <c r="CB207" s="345"/>
      <c r="CC207" s="345"/>
      <c r="CD207" s="345"/>
      <c r="CE207" s="345"/>
      <c r="CF207" s="345"/>
      <c r="CG207" s="345"/>
      <c r="CH207" s="345"/>
      <c r="CI207" s="345"/>
      <c r="CJ207" s="345"/>
      <c r="CK207" s="345"/>
      <c r="CL207" s="345"/>
      <c r="CM207" s="345"/>
      <c r="CN207" s="345"/>
      <c r="CO207" s="345"/>
      <c r="CP207" s="345"/>
      <c r="CQ207" s="345"/>
      <c r="CR207" s="345"/>
      <c r="CS207" s="345"/>
      <c r="CT207" s="345"/>
      <c r="CU207" s="345"/>
      <c r="CV207" s="345"/>
      <c r="CW207" s="345"/>
      <c r="CX207" s="345"/>
      <c r="CY207" s="345"/>
      <c r="CZ207" s="345"/>
      <c r="DA207" s="345"/>
      <c r="DB207" s="345"/>
      <c r="DC207" s="345"/>
      <c r="DD207" s="345"/>
      <c r="DE207" s="345"/>
      <c r="DF207" s="345"/>
      <c r="DG207" s="345"/>
      <c r="DH207" s="345"/>
      <c r="DI207" s="345"/>
      <c r="DJ207" s="345"/>
      <c r="DK207" s="345"/>
      <c r="DL207" s="345"/>
      <c r="DM207" s="345"/>
      <c r="DN207" s="345"/>
      <c r="DO207" s="345"/>
      <c r="DP207" s="345"/>
      <c r="DQ207" s="345"/>
      <c r="DR207" s="345"/>
      <c r="DS207" s="345"/>
      <c r="DT207" s="345"/>
      <c r="DU207" s="345"/>
      <c r="DV207" s="345"/>
      <c r="DW207" s="345"/>
      <c r="DX207" s="345"/>
      <c r="DY207" s="345"/>
      <c r="DZ207" s="345"/>
      <c r="EA207" s="345"/>
    </row>
    <row r="208" spans="1:131" hidden="1">
      <c r="A208" s="345"/>
      <c r="B208" s="345"/>
      <c r="C208" s="345"/>
      <c r="D208" s="345"/>
      <c r="E208" s="345"/>
      <c r="F208" s="345"/>
      <c r="G208" s="345"/>
      <c r="H208" s="345"/>
      <c r="I208" s="345"/>
      <c r="J208" s="345"/>
      <c r="K208" s="345"/>
      <c r="L208" s="345"/>
      <c r="M208" s="345"/>
      <c r="N208" s="345"/>
      <c r="O208" s="345"/>
      <c r="P208" s="345"/>
      <c r="Q208" s="345"/>
      <c r="R208" s="345"/>
      <c r="S208" s="345"/>
      <c r="T208" s="345"/>
      <c r="U208" s="345"/>
      <c r="V208" s="345"/>
      <c r="W208" s="345"/>
      <c r="X208" s="345"/>
      <c r="Y208" s="345"/>
      <c r="Z208" s="345"/>
      <c r="AA208" s="345"/>
      <c r="AB208" s="345"/>
      <c r="AC208" s="345"/>
      <c r="AD208" s="345"/>
      <c r="AE208" s="345"/>
      <c r="AF208" s="345"/>
      <c r="AG208" s="345"/>
      <c r="AH208" s="345"/>
      <c r="AI208" s="345"/>
      <c r="AJ208" s="345"/>
      <c r="AK208" s="345"/>
      <c r="AL208" s="345"/>
      <c r="AM208" s="345"/>
      <c r="AN208" s="345"/>
      <c r="AO208" s="345"/>
      <c r="AP208" s="345"/>
      <c r="AQ208" s="345"/>
      <c r="AR208" s="345"/>
      <c r="AS208" s="345"/>
      <c r="AT208" s="345"/>
      <c r="AU208" s="345"/>
      <c r="AV208" s="345"/>
      <c r="AW208" s="345"/>
      <c r="AX208" s="345"/>
      <c r="AY208" s="345"/>
      <c r="AZ208" s="345"/>
      <c r="BA208" s="345"/>
      <c r="BB208" s="345"/>
      <c r="BC208" s="345"/>
      <c r="BD208" s="345"/>
      <c r="BE208" s="345"/>
      <c r="BF208" s="345"/>
      <c r="BG208" s="345"/>
      <c r="BH208" s="345"/>
      <c r="BI208" s="345"/>
      <c r="BJ208" s="345"/>
      <c r="BK208" s="345"/>
      <c r="BL208" s="345"/>
      <c r="BM208" s="345"/>
      <c r="BN208" s="345"/>
      <c r="BO208" s="345"/>
      <c r="BP208" s="345"/>
      <c r="BQ208" s="345"/>
      <c r="BR208" s="345"/>
      <c r="BS208" s="345"/>
      <c r="BT208" s="345"/>
      <c r="BU208" s="345"/>
      <c r="BV208" s="345"/>
      <c r="BW208" s="345"/>
      <c r="BX208" s="345"/>
      <c r="BY208" s="345"/>
      <c r="BZ208" s="345"/>
      <c r="CA208" s="345"/>
      <c r="CB208" s="345"/>
      <c r="CC208" s="345"/>
      <c r="CD208" s="345"/>
      <c r="CE208" s="345"/>
      <c r="CF208" s="345"/>
      <c r="CG208" s="345"/>
      <c r="CH208" s="345"/>
      <c r="CI208" s="345"/>
      <c r="CJ208" s="345"/>
      <c r="CK208" s="345"/>
      <c r="CL208" s="345"/>
      <c r="CM208" s="345"/>
      <c r="CN208" s="345"/>
      <c r="CO208" s="345"/>
      <c r="CP208" s="345"/>
      <c r="CQ208" s="345"/>
      <c r="CR208" s="345"/>
      <c r="CS208" s="345"/>
      <c r="CT208" s="345"/>
      <c r="CU208" s="345"/>
      <c r="CV208" s="345"/>
      <c r="CW208" s="345"/>
      <c r="CX208" s="345"/>
      <c r="CY208" s="345"/>
      <c r="CZ208" s="345"/>
      <c r="DA208" s="345"/>
      <c r="DB208" s="345"/>
      <c r="DC208" s="345"/>
      <c r="DD208" s="345"/>
      <c r="DE208" s="345"/>
      <c r="DF208" s="345"/>
      <c r="DG208" s="345"/>
      <c r="DH208" s="345"/>
      <c r="DI208" s="345"/>
      <c r="DJ208" s="345"/>
      <c r="DK208" s="345"/>
      <c r="DL208" s="345"/>
      <c r="DM208" s="345"/>
      <c r="DN208" s="345"/>
      <c r="DO208" s="345"/>
      <c r="DP208" s="345"/>
      <c r="DQ208" s="345"/>
      <c r="DR208" s="345"/>
      <c r="DS208" s="345"/>
      <c r="DT208" s="345"/>
      <c r="DU208" s="345"/>
      <c r="DV208" s="345"/>
      <c r="DW208" s="345"/>
      <c r="DX208" s="345"/>
      <c r="DY208" s="345"/>
      <c r="DZ208" s="345"/>
      <c r="EA208" s="345"/>
    </row>
    <row r="209" spans="1:131" hidden="1">
      <c r="A209" s="345"/>
      <c r="B209" s="345"/>
      <c r="C209" s="345"/>
      <c r="D209" s="345"/>
      <c r="E209" s="345"/>
      <c r="F209" s="345"/>
      <c r="G209" s="345"/>
      <c r="H209" s="345"/>
      <c r="I209" s="345"/>
      <c r="J209" s="345"/>
      <c r="K209" s="345"/>
      <c r="L209" s="345"/>
      <c r="M209" s="345"/>
      <c r="N209" s="345"/>
      <c r="O209" s="345"/>
      <c r="P209" s="345"/>
      <c r="Q209" s="345"/>
      <c r="R209" s="345"/>
      <c r="S209" s="345"/>
      <c r="T209" s="345"/>
      <c r="U209" s="345"/>
      <c r="V209" s="345"/>
      <c r="W209" s="345"/>
      <c r="X209" s="345"/>
      <c r="Y209" s="345"/>
      <c r="Z209" s="345"/>
      <c r="AA209" s="345"/>
      <c r="AB209" s="345"/>
      <c r="AC209" s="345"/>
      <c r="AD209" s="345"/>
      <c r="AE209" s="345"/>
      <c r="AF209" s="345"/>
      <c r="AG209" s="345"/>
      <c r="AH209" s="345"/>
      <c r="AI209" s="345"/>
      <c r="AJ209" s="345"/>
      <c r="AK209" s="345"/>
      <c r="AL209" s="345"/>
      <c r="AM209" s="345"/>
      <c r="AN209" s="345"/>
      <c r="AO209" s="345"/>
      <c r="AP209" s="345"/>
      <c r="AQ209" s="345"/>
      <c r="AR209" s="345"/>
      <c r="AS209" s="345"/>
      <c r="AT209" s="345"/>
      <c r="AU209" s="345"/>
      <c r="AV209" s="345"/>
      <c r="AW209" s="345"/>
      <c r="AX209" s="345"/>
      <c r="AY209" s="345"/>
      <c r="AZ209" s="345"/>
      <c r="BA209" s="345"/>
      <c r="BB209" s="345"/>
      <c r="BC209" s="345"/>
      <c r="BD209" s="345"/>
      <c r="BE209" s="345"/>
      <c r="BF209" s="345"/>
      <c r="BG209" s="345"/>
      <c r="BH209" s="345"/>
      <c r="BI209" s="345"/>
      <c r="BJ209" s="345"/>
      <c r="BK209" s="345"/>
      <c r="BL209" s="345"/>
      <c r="BM209" s="345"/>
      <c r="BN209" s="345"/>
      <c r="BO209" s="345"/>
      <c r="BP209" s="345"/>
      <c r="BQ209" s="345"/>
      <c r="BR209" s="345"/>
      <c r="BS209" s="345"/>
      <c r="BT209" s="345"/>
      <c r="BU209" s="345"/>
      <c r="BV209" s="345"/>
      <c r="BW209" s="345"/>
      <c r="BX209" s="345"/>
      <c r="BY209" s="345"/>
      <c r="BZ209" s="345"/>
      <c r="CA209" s="345"/>
      <c r="CB209" s="345"/>
      <c r="CC209" s="345"/>
      <c r="CD209" s="345"/>
      <c r="CE209" s="345"/>
      <c r="CF209" s="345"/>
      <c r="CG209" s="345"/>
      <c r="CH209" s="345"/>
      <c r="CI209" s="345"/>
      <c r="CJ209" s="345"/>
      <c r="CK209" s="345"/>
      <c r="CL209" s="345"/>
      <c r="CM209" s="345"/>
      <c r="CN209" s="345"/>
      <c r="CO209" s="345"/>
      <c r="CP209" s="345"/>
      <c r="CQ209" s="345"/>
      <c r="CR209" s="345"/>
      <c r="CS209" s="345"/>
      <c r="CT209" s="345"/>
      <c r="CU209" s="345"/>
      <c r="CV209" s="345"/>
      <c r="CW209" s="345"/>
      <c r="CX209" s="345"/>
      <c r="CY209" s="345"/>
      <c r="CZ209" s="345"/>
      <c r="DA209" s="345"/>
      <c r="DB209" s="345"/>
      <c r="DC209" s="345"/>
      <c r="DD209" s="345"/>
      <c r="DE209" s="345"/>
      <c r="DF209" s="345"/>
      <c r="DG209" s="345"/>
      <c r="DH209" s="345"/>
      <c r="DI209" s="345"/>
      <c r="DJ209" s="345"/>
      <c r="DK209" s="345"/>
      <c r="DL209" s="345"/>
      <c r="DM209" s="345"/>
      <c r="DN209" s="345"/>
      <c r="DO209" s="345"/>
      <c r="DP209" s="345"/>
      <c r="DQ209" s="345"/>
      <c r="DR209" s="345"/>
      <c r="DS209" s="345"/>
      <c r="DT209" s="345"/>
      <c r="DU209" s="345"/>
      <c r="DV209" s="345"/>
      <c r="DW209" s="345"/>
      <c r="DX209" s="345"/>
      <c r="DY209" s="345"/>
      <c r="DZ209" s="345"/>
      <c r="EA209" s="345"/>
    </row>
    <row r="210" spans="1:131" hidden="1">
      <c r="A210" s="345"/>
      <c r="B210" s="345"/>
      <c r="C210" s="345"/>
      <c r="D210" s="345"/>
      <c r="E210" s="345"/>
      <c r="F210" s="345"/>
      <c r="G210" s="345"/>
      <c r="H210" s="345"/>
      <c r="I210" s="345"/>
      <c r="J210" s="345"/>
      <c r="K210" s="345"/>
      <c r="L210" s="345"/>
      <c r="M210" s="345"/>
      <c r="N210" s="345"/>
      <c r="O210" s="345"/>
      <c r="P210" s="345"/>
      <c r="Q210" s="345"/>
      <c r="R210" s="345"/>
      <c r="S210" s="345"/>
      <c r="T210" s="345"/>
      <c r="U210" s="345"/>
      <c r="V210" s="345"/>
      <c r="W210" s="345"/>
      <c r="X210" s="345"/>
      <c r="Y210" s="345"/>
      <c r="Z210" s="345"/>
      <c r="AA210" s="345"/>
      <c r="AB210" s="345"/>
      <c r="AC210" s="345"/>
      <c r="AD210" s="345"/>
      <c r="AE210" s="345"/>
      <c r="AF210" s="345"/>
      <c r="AG210" s="345"/>
      <c r="AH210" s="345"/>
      <c r="AI210" s="345"/>
      <c r="AJ210" s="345"/>
      <c r="AK210" s="345"/>
      <c r="AL210" s="345"/>
      <c r="AM210" s="345"/>
      <c r="AN210" s="345"/>
      <c r="AO210" s="345"/>
      <c r="AP210" s="345"/>
      <c r="AQ210" s="345"/>
      <c r="AR210" s="345"/>
      <c r="AS210" s="345"/>
      <c r="AT210" s="345"/>
      <c r="AU210" s="345"/>
      <c r="AV210" s="345"/>
      <c r="AW210" s="345"/>
      <c r="AX210" s="345"/>
      <c r="AY210" s="345"/>
      <c r="AZ210" s="345"/>
      <c r="BA210" s="345"/>
      <c r="BB210" s="345"/>
      <c r="BC210" s="345"/>
      <c r="BD210" s="345"/>
      <c r="BE210" s="345"/>
      <c r="BF210" s="345"/>
      <c r="BG210" s="345"/>
      <c r="BH210" s="345"/>
      <c r="BI210" s="345"/>
      <c r="BJ210" s="345"/>
      <c r="BK210" s="345"/>
      <c r="BL210" s="345"/>
      <c r="BM210" s="345"/>
      <c r="BN210" s="345"/>
      <c r="BO210" s="345"/>
      <c r="BP210" s="345"/>
      <c r="BQ210" s="345"/>
      <c r="BR210" s="345"/>
      <c r="BS210" s="345"/>
      <c r="BT210" s="345"/>
      <c r="BU210" s="345"/>
      <c r="BV210" s="345"/>
      <c r="BW210" s="345"/>
      <c r="BX210" s="345"/>
      <c r="BY210" s="345"/>
      <c r="BZ210" s="345"/>
      <c r="CA210" s="345"/>
      <c r="CB210" s="345"/>
      <c r="CC210" s="345"/>
      <c r="CD210" s="345"/>
      <c r="CE210" s="345"/>
      <c r="CF210" s="345"/>
      <c r="CG210" s="345"/>
      <c r="CH210" s="345"/>
      <c r="CI210" s="345"/>
      <c r="CJ210" s="345"/>
      <c r="CK210" s="345"/>
      <c r="CL210" s="345"/>
      <c r="CM210" s="345"/>
      <c r="CN210" s="345"/>
      <c r="CO210" s="345"/>
      <c r="CP210" s="345"/>
      <c r="CQ210" s="345"/>
      <c r="CR210" s="345"/>
      <c r="CS210" s="345"/>
      <c r="CT210" s="345"/>
      <c r="CU210" s="345"/>
      <c r="CV210" s="345"/>
      <c r="CW210" s="345"/>
      <c r="CX210" s="345"/>
      <c r="CY210" s="345"/>
      <c r="CZ210" s="345"/>
      <c r="DA210" s="345"/>
      <c r="DB210" s="345"/>
      <c r="DC210" s="345"/>
      <c r="DD210" s="345"/>
      <c r="DE210" s="345"/>
      <c r="DF210" s="345"/>
      <c r="DG210" s="345"/>
      <c r="DH210" s="345"/>
      <c r="DI210" s="345"/>
      <c r="DJ210" s="345"/>
      <c r="DK210" s="345"/>
      <c r="DL210" s="345"/>
      <c r="DM210" s="345"/>
      <c r="DN210" s="345"/>
      <c r="DO210" s="345"/>
      <c r="DP210" s="345"/>
      <c r="DQ210" s="345"/>
      <c r="DR210" s="345"/>
      <c r="DS210" s="345"/>
      <c r="DT210" s="345"/>
      <c r="DU210" s="345"/>
      <c r="DV210" s="345"/>
      <c r="DW210" s="345"/>
      <c r="DX210" s="345"/>
      <c r="DY210" s="345"/>
      <c r="DZ210" s="345"/>
      <c r="EA210" s="345"/>
    </row>
    <row r="211" spans="1:131" hidden="1">
      <c r="A211" s="345"/>
      <c r="B211" s="345"/>
      <c r="C211" s="345"/>
      <c r="D211" s="345"/>
      <c r="E211" s="345"/>
      <c r="F211" s="345"/>
      <c r="G211" s="345"/>
      <c r="H211" s="345"/>
      <c r="I211" s="345"/>
      <c r="J211" s="345"/>
      <c r="K211" s="345"/>
      <c r="L211" s="345"/>
      <c r="M211" s="345"/>
      <c r="N211" s="345"/>
      <c r="O211" s="345"/>
      <c r="P211" s="345"/>
      <c r="Q211" s="345"/>
      <c r="R211" s="345"/>
      <c r="S211" s="345"/>
      <c r="T211" s="345"/>
      <c r="U211" s="345"/>
      <c r="V211" s="345"/>
      <c r="W211" s="345"/>
      <c r="X211" s="345"/>
      <c r="Y211" s="345"/>
      <c r="Z211" s="345"/>
      <c r="AA211" s="345"/>
      <c r="AB211" s="345"/>
      <c r="AC211" s="345"/>
      <c r="AD211" s="345"/>
      <c r="AE211" s="345"/>
      <c r="AF211" s="345"/>
      <c r="AG211" s="345"/>
      <c r="AH211" s="345"/>
      <c r="AI211" s="345"/>
      <c r="AJ211" s="345"/>
      <c r="AK211" s="345"/>
      <c r="AL211" s="345"/>
      <c r="AM211" s="345"/>
      <c r="AN211" s="345"/>
      <c r="AO211" s="345"/>
      <c r="AP211" s="345"/>
      <c r="AQ211" s="345"/>
      <c r="AR211" s="345"/>
      <c r="AS211" s="345"/>
      <c r="AT211" s="345"/>
      <c r="AU211" s="345"/>
      <c r="AV211" s="345"/>
      <c r="AW211" s="345"/>
      <c r="AX211" s="345"/>
      <c r="AY211" s="345"/>
      <c r="AZ211" s="345"/>
      <c r="BA211" s="345"/>
      <c r="BB211" s="345"/>
      <c r="BC211" s="345"/>
      <c r="BD211" s="345"/>
      <c r="BE211" s="345"/>
      <c r="BF211" s="345"/>
      <c r="BG211" s="345"/>
      <c r="BH211" s="345"/>
      <c r="BI211" s="345"/>
      <c r="BJ211" s="345"/>
      <c r="BK211" s="345"/>
      <c r="BL211" s="345"/>
      <c r="BM211" s="345"/>
      <c r="BN211" s="345"/>
      <c r="BO211" s="345"/>
      <c r="BP211" s="345"/>
      <c r="BQ211" s="345"/>
      <c r="BR211" s="345"/>
      <c r="BS211" s="345"/>
      <c r="BT211" s="345"/>
      <c r="BU211" s="345"/>
      <c r="BV211" s="345"/>
      <c r="BW211" s="345"/>
      <c r="BX211" s="345"/>
      <c r="BY211" s="345"/>
      <c r="BZ211" s="345"/>
      <c r="CA211" s="345"/>
      <c r="CB211" s="345"/>
      <c r="CC211" s="345"/>
      <c r="CD211" s="345"/>
      <c r="CE211" s="345"/>
      <c r="CF211" s="345"/>
      <c r="CG211" s="345"/>
      <c r="CH211" s="345"/>
      <c r="CI211" s="345"/>
      <c r="CJ211" s="345"/>
      <c r="CK211" s="345"/>
      <c r="CL211" s="345"/>
      <c r="CM211" s="345"/>
      <c r="CN211" s="345"/>
      <c r="CO211" s="345"/>
      <c r="CP211" s="345"/>
      <c r="CQ211" s="345"/>
      <c r="CR211" s="345"/>
      <c r="CS211" s="345"/>
      <c r="CT211" s="345"/>
      <c r="CU211" s="345"/>
      <c r="CV211" s="345"/>
      <c r="CW211" s="345"/>
      <c r="CX211" s="345"/>
      <c r="CY211" s="345"/>
      <c r="CZ211" s="345"/>
      <c r="DA211" s="345"/>
      <c r="DB211" s="345"/>
      <c r="DC211" s="345"/>
      <c r="DD211" s="345"/>
      <c r="DE211" s="345"/>
      <c r="DF211" s="345"/>
      <c r="DG211" s="345"/>
      <c r="DH211" s="345"/>
      <c r="DI211" s="345"/>
      <c r="DJ211" s="345"/>
      <c r="DK211" s="345"/>
      <c r="DL211" s="345"/>
      <c r="DM211" s="345"/>
      <c r="DN211" s="345"/>
      <c r="DO211" s="345"/>
      <c r="DP211" s="345"/>
      <c r="DQ211" s="345"/>
      <c r="DR211" s="345"/>
      <c r="DS211" s="345"/>
      <c r="DT211" s="345"/>
      <c r="DU211" s="345"/>
      <c r="DV211" s="345"/>
      <c r="DW211" s="345"/>
      <c r="DX211" s="345"/>
      <c r="DY211" s="345"/>
      <c r="DZ211" s="345"/>
      <c r="EA211" s="345"/>
    </row>
    <row r="212" spans="1:131" hidden="1">
      <c r="A212" s="345"/>
      <c r="B212" s="345"/>
      <c r="C212" s="345"/>
      <c r="D212" s="345"/>
      <c r="E212" s="345"/>
      <c r="F212" s="345"/>
      <c r="G212" s="345"/>
      <c r="H212" s="345"/>
      <c r="I212" s="345"/>
      <c r="J212" s="345"/>
      <c r="K212" s="345"/>
      <c r="L212" s="345"/>
      <c r="M212" s="345"/>
      <c r="N212" s="345"/>
      <c r="O212" s="345"/>
      <c r="P212" s="345"/>
      <c r="Q212" s="345"/>
      <c r="R212" s="345"/>
      <c r="S212" s="345"/>
      <c r="T212" s="345"/>
      <c r="U212" s="345"/>
      <c r="V212" s="345"/>
      <c r="W212" s="345"/>
      <c r="X212" s="345"/>
      <c r="Y212" s="345"/>
      <c r="Z212" s="345"/>
      <c r="AA212" s="345"/>
      <c r="AB212" s="345"/>
      <c r="AC212" s="345"/>
      <c r="AD212" s="345"/>
      <c r="AE212" s="345"/>
      <c r="AF212" s="345"/>
      <c r="AG212" s="345"/>
      <c r="AH212" s="345"/>
      <c r="AI212" s="345"/>
      <c r="AJ212" s="345"/>
      <c r="AK212" s="345"/>
      <c r="AL212" s="345"/>
      <c r="AM212" s="345"/>
      <c r="AN212" s="345"/>
      <c r="AO212" s="345"/>
      <c r="AP212" s="345"/>
      <c r="AQ212" s="345"/>
      <c r="AR212" s="345"/>
      <c r="AS212" s="345"/>
      <c r="AT212" s="345"/>
      <c r="AU212" s="345"/>
      <c r="AV212" s="345"/>
      <c r="AW212" s="345"/>
      <c r="AX212" s="345"/>
      <c r="AY212" s="345"/>
      <c r="AZ212" s="345"/>
      <c r="BA212" s="345"/>
      <c r="BB212" s="345"/>
      <c r="BC212" s="345"/>
      <c r="BD212" s="345"/>
      <c r="BE212" s="345"/>
      <c r="BF212" s="345"/>
      <c r="BG212" s="345"/>
      <c r="BH212" s="345"/>
      <c r="BI212" s="345"/>
      <c r="BJ212" s="345"/>
      <c r="BK212" s="345"/>
      <c r="BL212" s="345"/>
      <c r="BM212" s="345"/>
      <c r="BN212" s="345"/>
      <c r="BO212" s="345"/>
      <c r="BP212" s="345"/>
      <c r="BQ212" s="345"/>
      <c r="BR212" s="345"/>
      <c r="BS212" s="345"/>
      <c r="BT212" s="345"/>
      <c r="BU212" s="345"/>
      <c r="BV212" s="345"/>
      <c r="BW212" s="345"/>
      <c r="BX212" s="345"/>
      <c r="BY212" s="345"/>
      <c r="BZ212" s="345"/>
      <c r="CA212" s="345"/>
      <c r="CB212" s="345"/>
      <c r="CC212" s="345"/>
      <c r="CD212" s="345"/>
      <c r="CE212" s="345"/>
      <c r="CF212" s="345"/>
      <c r="CG212" s="345"/>
      <c r="CH212" s="345"/>
      <c r="CI212" s="345"/>
      <c r="CJ212" s="345"/>
      <c r="CK212" s="345"/>
      <c r="CL212" s="345"/>
      <c r="CM212" s="345"/>
      <c r="CN212" s="345"/>
      <c r="CO212" s="345"/>
      <c r="CP212" s="345"/>
      <c r="CQ212" s="345"/>
      <c r="CR212" s="345"/>
      <c r="CS212" s="345"/>
      <c r="CT212" s="345"/>
      <c r="CU212" s="345"/>
      <c r="CV212" s="345"/>
      <c r="CW212" s="345"/>
      <c r="CX212" s="345"/>
      <c r="CY212" s="345"/>
      <c r="CZ212" s="345"/>
      <c r="DA212" s="345"/>
      <c r="DB212" s="345"/>
      <c r="DC212" s="345"/>
      <c r="DD212" s="345"/>
      <c r="DE212" s="345"/>
      <c r="DF212" s="345"/>
      <c r="DG212" s="345"/>
      <c r="DH212" s="345"/>
      <c r="DI212" s="345"/>
      <c r="DJ212" s="345"/>
      <c r="DK212" s="345"/>
      <c r="DL212" s="345"/>
      <c r="DM212" s="345"/>
      <c r="DN212" s="345"/>
      <c r="DO212" s="345"/>
      <c r="DP212" s="345"/>
      <c r="DQ212" s="345"/>
      <c r="DR212" s="345"/>
      <c r="DS212" s="345"/>
      <c r="DT212" s="345"/>
      <c r="DU212" s="345"/>
      <c r="DV212" s="345"/>
      <c r="DW212" s="345"/>
      <c r="DX212" s="345"/>
      <c r="DY212" s="345"/>
      <c r="DZ212" s="345"/>
      <c r="EA212" s="345"/>
    </row>
    <row r="213" spans="1:131" hidden="1">
      <c r="A213" s="345"/>
      <c r="B213" s="345"/>
      <c r="C213" s="345"/>
      <c r="D213" s="345"/>
      <c r="E213" s="345"/>
      <c r="F213" s="345"/>
      <c r="G213" s="345"/>
      <c r="H213" s="345"/>
      <c r="I213" s="345"/>
      <c r="J213" s="345"/>
      <c r="K213" s="345"/>
      <c r="L213" s="345"/>
      <c r="M213" s="345"/>
      <c r="N213" s="345"/>
      <c r="O213" s="345"/>
      <c r="P213" s="345"/>
      <c r="Q213" s="345"/>
      <c r="R213" s="345"/>
      <c r="S213" s="345"/>
      <c r="T213" s="345"/>
      <c r="U213" s="345"/>
      <c r="V213" s="345"/>
      <c r="W213" s="345"/>
      <c r="X213" s="345"/>
      <c r="Y213" s="345"/>
      <c r="Z213" s="345"/>
      <c r="AA213" s="345"/>
      <c r="AB213" s="345"/>
      <c r="AC213" s="345"/>
      <c r="AD213" s="345"/>
      <c r="AE213" s="345"/>
      <c r="AF213" s="345"/>
      <c r="AG213" s="345"/>
      <c r="AH213" s="345"/>
      <c r="AI213" s="345"/>
      <c r="AJ213" s="345"/>
      <c r="AK213" s="345"/>
      <c r="AL213" s="345"/>
      <c r="AM213" s="345"/>
      <c r="AN213" s="345"/>
      <c r="AO213" s="345"/>
      <c r="AP213" s="345"/>
      <c r="AQ213" s="345"/>
      <c r="AR213" s="345"/>
      <c r="AS213" s="345"/>
      <c r="AT213" s="345"/>
      <c r="AU213" s="345"/>
      <c r="AV213" s="345"/>
      <c r="AW213" s="345"/>
      <c r="AX213" s="345"/>
      <c r="AY213" s="345"/>
      <c r="AZ213" s="345"/>
      <c r="BA213" s="345"/>
      <c r="BB213" s="345"/>
      <c r="BC213" s="345"/>
      <c r="BD213" s="345"/>
      <c r="BE213" s="345"/>
      <c r="BF213" s="345"/>
      <c r="BG213" s="345"/>
      <c r="BH213" s="345"/>
      <c r="BI213" s="345"/>
      <c r="BJ213" s="345"/>
      <c r="BK213" s="345"/>
      <c r="BL213" s="345"/>
      <c r="BM213" s="345"/>
      <c r="BN213" s="345"/>
      <c r="BO213" s="345"/>
      <c r="BP213" s="345"/>
      <c r="BQ213" s="345"/>
      <c r="BR213" s="345"/>
      <c r="BS213" s="345"/>
      <c r="BT213" s="345"/>
      <c r="BU213" s="345"/>
      <c r="BV213" s="345"/>
      <c r="BW213" s="345"/>
      <c r="BX213" s="345"/>
      <c r="BY213" s="345"/>
      <c r="BZ213" s="345"/>
      <c r="CA213" s="345"/>
      <c r="CB213" s="345"/>
      <c r="CC213" s="345"/>
      <c r="CD213" s="345"/>
      <c r="CE213" s="345"/>
      <c r="CF213" s="345"/>
      <c r="CG213" s="345"/>
      <c r="CH213" s="345"/>
      <c r="CI213" s="345"/>
      <c r="CJ213" s="345"/>
      <c r="CK213" s="345"/>
      <c r="CL213" s="345"/>
      <c r="CM213" s="345"/>
      <c r="CN213" s="345"/>
      <c r="CO213" s="345"/>
      <c r="CP213" s="345"/>
      <c r="CQ213" s="345"/>
      <c r="CR213" s="345"/>
      <c r="CS213" s="345"/>
      <c r="CT213" s="345"/>
      <c r="CU213" s="345"/>
      <c r="CV213" s="345"/>
      <c r="CW213" s="345"/>
      <c r="CX213" s="345"/>
      <c r="CY213" s="345"/>
      <c r="CZ213" s="345"/>
      <c r="DA213" s="345"/>
      <c r="DB213" s="345"/>
      <c r="DC213" s="345"/>
      <c r="DD213" s="345"/>
      <c r="DE213" s="345"/>
      <c r="DF213" s="345"/>
      <c r="DG213" s="345"/>
      <c r="DH213" s="345"/>
      <c r="DI213" s="345"/>
      <c r="DJ213" s="345"/>
      <c r="DK213" s="345"/>
      <c r="DL213" s="345"/>
      <c r="DM213" s="345"/>
      <c r="DN213" s="345"/>
      <c r="DO213" s="345"/>
      <c r="DP213" s="345"/>
      <c r="DQ213" s="345"/>
      <c r="DR213" s="345"/>
      <c r="DS213" s="345"/>
      <c r="DT213" s="345"/>
      <c r="DU213" s="345"/>
      <c r="DV213" s="345"/>
      <c r="DW213" s="345"/>
      <c r="DX213" s="345"/>
      <c r="DY213" s="345"/>
      <c r="DZ213" s="345"/>
      <c r="EA213" s="345"/>
    </row>
    <row r="214" spans="1:131" hidden="1">
      <c r="A214" s="345"/>
      <c r="B214" s="345"/>
      <c r="C214" s="345"/>
      <c r="D214" s="345"/>
      <c r="E214" s="345"/>
      <c r="F214" s="345"/>
      <c r="G214" s="345"/>
      <c r="H214" s="345"/>
      <c r="I214" s="345"/>
      <c r="J214" s="345"/>
      <c r="K214" s="345"/>
      <c r="L214" s="345"/>
      <c r="M214" s="345"/>
      <c r="N214" s="345"/>
      <c r="O214" s="345"/>
      <c r="P214" s="345"/>
      <c r="Q214" s="345"/>
      <c r="R214" s="345"/>
      <c r="S214" s="345"/>
      <c r="T214" s="345"/>
      <c r="U214" s="345"/>
      <c r="V214" s="345"/>
      <c r="W214" s="345"/>
      <c r="X214" s="345"/>
      <c r="Y214" s="345"/>
      <c r="Z214" s="345"/>
      <c r="AA214" s="345"/>
      <c r="AB214" s="345"/>
      <c r="AC214" s="345"/>
      <c r="AD214" s="345"/>
      <c r="AE214" s="345"/>
      <c r="AF214" s="345"/>
      <c r="AG214" s="345"/>
      <c r="AH214" s="345"/>
      <c r="AI214" s="345"/>
      <c r="AJ214" s="345"/>
      <c r="AK214" s="345"/>
      <c r="AL214" s="345"/>
      <c r="AM214" s="345"/>
      <c r="AN214" s="345"/>
      <c r="AO214" s="345"/>
      <c r="AP214" s="345"/>
      <c r="AQ214" s="345"/>
      <c r="AR214" s="345"/>
      <c r="AS214" s="345"/>
      <c r="AT214" s="345"/>
      <c r="AU214" s="345"/>
      <c r="AV214" s="345"/>
      <c r="AW214" s="345"/>
      <c r="AX214" s="345"/>
      <c r="AY214" s="345"/>
      <c r="AZ214" s="345"/>
      <c r="BA214" s="345"/>
      <c r="BB214" s="345"/>
      <c r="BC214" s="345"/>
      <c r="BD214" s="345"/>
      <c r="BE214" s="345"/>
      <c r="BF214" s="345"/>
      <c r="BG214" s="345"/>
      <c r="BH214" s="345"/>
      <c r="BI214" s="345"/>
      <c r="BJ214" s="345"/>
      <c r="BK214" s="345"/>
      <c r="BL214" s="345"/>
      <c r="BM214" s="345"/>
      <c r="BN214" s="345"/>
      <c r="BO214" s="345"/>
      <c r="BP214" s="345"/>
      <c r="BQ214" s="345"/>
      <c r="BR214" s="345"/>
      <c r="BS214" s="345"/>
      <c r="BT214" s="345"/>
      <c r="BU214" s="345"/>
      <c r="BV214" s="345"/>
      <c r="BW214" s="345"/>
      <c r="BX214" s="345"/>
      <c r="BY214" s="345"/>
      <c r="BZ214" s="345"/>
      <c r="CA214" s="345"/>
      <c r="CB214" s="345"/>
      <c r="CC214" s="345"/>
      <c r="CD214" s="345"/>
      <c r="CE214" s="345"/>
      <c r="CF214" s="345"/>
      <c r="CG214" s="345"/>
      <c r="CH214" s="345"/>
      <c r="CI214" s="345"/>
      <c r="CJ214" s="345"/>
      <c r="CK214" s="345"/>
      <c r="CL214" s="345"/>
      <c r="CM214" s="345"/>
      <c r="CN214" s="345"/>
      <c r="CO214" s="345"/>
      <c r="CP214" s="345"/>
      <c r="CQ214" s="345"/>
      <c r="CR214" s="345"/>
      <c r="CS214" s="345"/>
      <c r="CT214" s="345"/>
      <c r="CU214" s="345"/>
      <c r="CV214" s="345"/>
      <c r="CW214" s="345"/>
      <c r="CX214" s="345"/>
      <c r="CY214" s="345"/>
      <c r="CZ214" s="345"/>
      <c r="DA214" s="345"/>
      <c r="DB214" s="345"/>
      <c r="DC214" s="345"/>
      <c r="DD214" s="345"/>
      <c r="DE214" s="345"/>
      <c r="DF214" s="345"/>
      <c r="DG214" s="345"/>
      <c r="DH214" s="345"/>
      <c r="DI214" s="345"/>
      <c r="DJ214" s="345"/>
      <c r="DK214" s="345"/>
      <c r="DL214" s="345"/>
      <c r="DM214" s="345"/>
      <c r="DN214" s="345"/>
      <c r="DO214" s="345"/>
      <c r="DP214" s="345"/>
      <c r="DQ214" s="345"/>
      <c r="DR214" s="345"/>
      <c r="DS214" s="345"/>
      <c r="DT214" s="345"/>
      <c r="DU214" s="345"/>
      <c r="DV214" s="345"/>
      <c r="DW214" s="345"/>
      <c r="DX214" s="345"/>
      <c r="DY214" s="345"/>
      <c r="DZ214" s="345"/>
      <c r="EA214" s="345"/>
    </row>
    <row r="215" spans="1:131" hidden="1">
      <c r="A215" s="345"/>
      <c r="B215" s="345"/>
      <c r="C215" s="345"/>
      <c r="D215" s="345"/>
      <c r="E215" s="345"/>
      <c r="F215" s="345"/>
      <c r="G215" s="345"/>
      <c r="H215" s="345"/>
      <c r="I215" s="345"/>
      <c r="J215" s="345"/>
      <c r="K215" s="345"/>
      <c r="L215" s="345"/>
      <c r="M215" s="345"/>
      <c r="N215" s="345"/>
      <c r="O215" s="345"/>
      <c r="P215" s="345"/>
      <c r="Q215" s="345"/>
      <c r="R215" s="345"/>
      <c r="S215" s="345"/>
      <c r="T215" s="345"/>
      <c r="U215" s="345"/>
      <c r="V215" s="345"/>
      <c r="W215" s="345"/>
      <c r="X215" s="345"/>
      <c r="Y215" s="345"/>
      <c r="Z215" s="345"/>
      <c r="AA215" s="345"/>
      <c r="AB215" s="345"/>
      <c r="AC215" s="345"/>
      <c r="AD215" s="345"/>
      <c r="AE215" s="345"/>
      <c r="AF215" s="345"/>
      <c r="AG215" s="345"/>
      <c r="AH215" s="345"/>
      <c r="AI215" s="345"/>
      <c r="AJ215" s="345"/>
      <c r="AK215" s="345"/>
      <c r="AL215" s="345"/>
      <c r="AM215" s="345"/>
      <c r="AN215" s="345"/>
      <c r="AO215" s="345"/>
      <c r="AP215" s="345"/>
      <c r="AQ215" s="345"/>
      <c r="AR215" s="345"/>
      <c r="AS215" s="345"/>
      <c r="AT215" s="345"/>
      <c r="AU215" s="345"/>
      <c r="AV215" s="345"/>
      <c r="AW215" s="345"/>
      <c r="AX215" s="345"/>
      <c r="AY215" s="345"/>
      <c r="AZ215" s="345"/>
      <c r="BA215" s="345"/>
      <c r="BB215" s="345"/>
      <c r="BC215" s="345"/>
      <c r="BD215" s="345"/>
      <c r="BE215" s="345"/>
      <c r="BF215" s="345"/>
      <c r="BG215" s="345"/>
      <c r="BH215" s="345"/>
      <c r="BI215" s="345"/>
      <c r="BJ215" s="345"/>
      <c r="BK215" s="345"/>
      <c r="BL215" s="345"/>
      <c r="BM215" s="345"/>
      <c r="BN215" s="345"/>
      <c r="BO215" s="345"/>
      <c r="BP215" s="345"/>
      <c r="BQ215" s="345"/>
      <c r="BR215" s="345"/>
      <c r="BS215" s="345"/>
      <c r="BT215" s="345"/>
      <c r="BU215" s="345"/>
      <c r="BV215" s="345"/>
      <c r="BW215" s="345"/>
      <c r="BX215" s="345"/>
      <c r="BY215" s="345"/>
      <c r="BZ215" s="345"/>
      <c r="CA215" s="345"/>
      <c r="CB215" s="345"/>
      <c r="CC215" s="345"/>
      <c r="CD215" s="345"/>
      <c r="CE215" s="345"/>
      <c r="CF215" s="345"/>
      <c r="CG215" s="345"/>
      <c r="CH215" s="345"/>
      <c r="CI215" s="345"/>
      <c r="CJ215" s="345"/>
      <c r="CK215" s="345"/>
      <c r="CL215" s="345"/>
      <c r="CM215" s="345"/>
      <c r="CN215" s="345"/>
      <c r="CO215" s="345"/>
      <c r="CP215" s="345"/>
      <c r="CQ215" s="345"/>
      <c r="CR215" s="345"/>
      <c r="CS215" s="345"/>
      <c r="CT215" s="345"/>
      <c r="CU215" s="345"/>
      <c r="CV215" s="345"/>
      <c r="CW215" s="345"/>
      <c r="CX215" s="345"/>
      <c r="CY215" s="345"/>
      <c r="CZ215" s="345"/>
      <c r="DA215" s="345"/>
      <c r="DB215" s="345"/>
      <c r="DC215" s="345"/>
      <c r="DD215" s="345"/>
      <c r="DE215" s="345"/>
      <c r="DF215" s="345"/>
      <c r="DG215" s="345"/>
      <c r="DH215" s="345"/>
      <c r="DI215" s="345"/>
      <c r="DJ215" s="345"/>
      <c r="DK215" s="345"/>
      <c r="DL215" s="345"/>
      <c r="DM215" s="345"/>
      <c r="DN215" s="345"/>
      <c r="DO215" s="345"/>
      <c r="DP215" s="345"/>
      <c r="DQ215" s="345"/>
      <c r="DR215" s="345"/>
      <c r="DS215" s="345"/>
      <c r="DT215" s="345"/>
      <c r="DU215" s="345"/>
      <c r="DV215" s="345"/>
      <c r="DW215" s="345"/>
      <c r="DX215" s="345"/>
      <c r="DY215" s="345"/>
      <c r="DZ215" s="345"/>
      <c r="EA215" s="345"/>
    </row>
    <row r="216" spans="1:131" hidden="1">
      <c r="A216" s="345"/>
      <c r="B216" s="345"/>
      <c r="C216" s="345"/>
      <c r="D216" s="345"/>
      <c r="E216" s="345"/>
      <c r="F216" s="345"/>
      <c r="G216" s="345"/>
      <c r="H216" s="345"/>
      <c r="I216" s="345"/>
      <c r="J216" s="345"/>
      <c r="K216" s="345"/>
      <c r="L216" s="345"/>
      <c r="M216" s="345"/>
      <c r="N216" s="345"/>
      <c r="O216" s="345"/>
      <c r="P216" s="345"/>
      <c r="Q216" s="345"/>
      <c r="R216" s="345"/>
      <c r="S216" s="345"/>
      <c r="T216" s="345"/>
      <c r="U216" s="345"/>
      <c r="V216" s="345"/>
      <c r="W216" s="345"/>
      <c r="X216" s="345"/>
      <c r="Y216" s="345"/>
      <c r="Z216" s="345"/>
      <c r="AA216" s="345"/>
      <c r="AB216" s="345"/>
      <c r="AC216" s="345"/>
      <c r="AD216" s="345"/>
      <c r="AE216" s="345"/>
      <c r="AF216" s="345"/>
      <c r="AG216" s="345"/>
      <c r="AH216" s="345"/>
      <c r="AI216" s="345"/>
      <c r="AJ216" s="345"/>
      <c r="AK216" s="345"/>
      <c r="AL216" s="345"/>
      <c r="AM216" s="345"/>
      <c r="AN216" s="345"/>
      <c r="AO216" s="345"/>
      <c r="AP216" s="345"/>
      <c r="AQ216" s="345"/>
      <c r="AR216" s="345"/>
      <c r="AS216" s="345"/>
      <c r="AT216" s="345"/>
      <c r="AU216" s="345"/>
      <c r="AV216" s="345"/>
      <c r="AW216" s="345"/>
      <c r="AX216" s="345"/>
      <c r="AY216" s="345"/>
      <c r="AZ216" s="345"/>
      <c r="BA216" s="345"/>
      <c r="BB216" s="345"/>
      <c r="BC216" s="345"/>
      <c r="BD216" s="345"/>
      <c r="BE216" s="345"/>
      <c r="BF216" s="345"/>
      <c r="BG216" s="345"/>
      <c r="BH216" s="345"/>
      <c r="BI216" s="345"/>
      <c r="BJ216" s="345"/>
      <c r="BK216" s="345"/>
      <c r="BL216" s="345"/>
      <c r="BM216" s="345"/>
      <c r="BN216" s="345"/>
      <c r="BO216" s="345"/>
      <c r="BP216" s="345"/>
      <c r="BQ216" s="345"/>
      <c r="BR216" s="345"/>
      <c r="BS216" s="345"/>
      <c r="BT216" s="345"/>
      <c r="BU216" s="345"/>
      <c r="BV216" s="345"/>
      <c r="BW216" s="345"/>
      <c r="BX216" s="345"/>
      <c r="BY216" s="345"/>
      <c r="BZ216" s="345"/>
      <c r="CA216" s="345"/>
      <c r="CB216" s="345"/>
      <c r="CC216" s="345"/>
      <c r="CD216" s="345"/>
      <c r="CE216" s="345"/>
      <c r="CF216" s="345"/>
      <c r="CG216" s="345"/>
      <c r="CH216" s="345"/>
      <c r="CI216" s="345"/>
      <c r="CJ216" s="345"/>
      <c r="CK216" s="345"/>
      <c r="CL216" s="345"/>
      <c r="CM216" s="345"/>
      <c r="CN216" s="345"/>
      <c r="CO216" s="345"/>
      <c r="CP216" s="345"/>
      <c r="CQ216" s="345"/>
      <c r="CR216" s="345"/>
      <c r="CS216" s="345"/>
      <c r="CT216" s="345"/>
      <c r="CU216" s="345"/>
      <c r="CV216" s="345"/>
      <c r="CW216" s="345"/>
      <c r="CX216" s="345"/>
      <c r="CY216" s="345"/>
      <c r="CZ216" s="345"/>
      <c r="DA216" s="345"/>
      <c r="DB216" s="345"/>
      <c r="DC216" s="345"/>
      <c r="DD216" s="345"/>
      <c r="DE216" s="345"/>
      <c r="DF216" s="345"/>
      <c r="DG216" s="345"/>
      <c r="DH216" s="345"/>
      <c r="DI216" s="345"/>
      <c r="DJ216" s="345"/>
      <c r="DK216" s="345"/>
      <c r="DL216" s="345"/>
      <c r="DM216" s="345"/>
      <c r="DN216" s="345"/>
      <c r="DO216" s="345"/>
      <c r="DP216" s="345"/>
      <c r="DQ216" s="345"/>
      <c r="DR216" s="345"/>
      <c r="DS216" s="345"/>
      <c r="DT216" s="345"/>
      <c r="DU216" s="345"/>
      <c r="DV216" s="345"/>
      <c r="DW216" s="345"/>
      <c r="DX216" s="345"/>
      <c r="DY216" s="345"/>
      <c r="DZ216" s="345"/>
      <c r="EA216" s="345"/>
    </row>
    <row r="217" spans="1:131" hidden="1">
      <c r="A217" s="345"/>
      <c r="B217" s="345"/>
      <c r="C217" s="345"/>
      <c r="D217" s="345"/>
      <c r="E217" s="345"/>
      <c r="F217" s="345"/>
      <c r="G217" s="345"/>
      <c r="H217" s="345"/>
      <c r="I217" s="345"/>
      <c r="J217" s="345"/>
      <c r="K217" s="345"/>
      <c r="L217" s="345"/>
      <c r="M217" s="345"/>
      <c r="N217" s="345"/>
      <c r="O217" s="345"/>
      <c r="P217" s="345"/>
      <c r="Q217" s="345"/>
      <c r="R217" s="345"/>
      <c r="S217" s="345"/>
      <c r="T217" s="345"/>
      <c r="U217" s="345"/>
      <c r="V217" s="345"/>
      <c r="W217" s="345"/>
      <c r="X217" s="345"/>
      <c r="Y217" s="345"/>
      <c r="Z217" s="345"/>
      <c r="AA217" s="345"/>
      <c r="AB217" s="345"/>
      <c r="AC217" s="345"/>
      <c r="AD217" s="345"/>
      <c r="AE217" s="345"/>
      <c r="AF217" s="345"/>
      <c r="AG217" s="345"/>
      <c r="AH217" s="345"/>
      <c r="AI217" s="345"/>
      <c r="AJ217" s="345"/>
      <c r="AK217" s="345"/>
      <c r="AL217" s="345"/>
      <c r="AM217" s="345"/>
      <c r="AN217" s="345"/>
      <c r="AO217" s="345"/>
      <c r="AP217" s="345"/>
      <c r="AQ217" s="345"/>
      <c r="AR217" s="345"/>
      <c r="AS217" s="345"/>
      <c r="AT217" s="345"/>
      <c r="AU217" s="345"/>
      <c r="AV217" s="345"/>
      <c r="AW217" s="345"/>
      <c r="AX217" s="345"/>
      <c r="AY217" s="345"/>
      <c r="AZ217" s="345"/>
      <c r="BA217" s="345"/>
      <c r="BB217" s="345"/>
      <c r="BC217" s="345"/>
      <c r="BD217" s="345"/>
      <c r="BE217" s="345"/>
      <c r="BF217" s="345"/>
      <c r="BG217" s="345"/>
      <c r="BH217" s="345"/>
      <c r="BI217" s="345"/>
      <c r="BJ217" s="345"/>
      <c r="BK217" s="345"/>
      <c r="BL217" s="345"/>
      <c r="BM217" s="345"/>
      <c r="BN217" s="345"/>
      <c r="BO217" s="345"/>
      <c r="BP217" s="345"/>
      <c r="BQ217" s="345"/>
      <c r="BR217" s="345"/>
      <c r="BS217" s="345"/>
      <c r="BT217" s="345"/>
      <c r="BU217" s="345"/>
      <c r="BV217" s="345"/>
      <c r="BW217" s="345"/>
      <c r="BX217" s="345"/>
      <c r="BY217" s="345"/>
      <c r="BZ217" s="345"/>
      <c r="CA217" s="345"/>
      <c r="CB217" s="345"/>
      <c r="CC217" s="345"/>
      <c r="CD217" s="345"/>
      <c r="CE217" s="345"/>
      <c r="CF217" s="345"/>
      <c r="CG217" s="345"/>
      <c r="CH217" s="345"/>
      <c r="CI217" s="345"/>
      <c r="CJ217" s="345"/>
      <c r="CK217" s="345"/>
      <c r="CL217" s="345"/>
      <c r="CM217" s="345"/>
      <c r="CN217" s="345"/>
      <c r="CO217" s="345"/>
      <c r="CP217" s="345"/>
      <c r="CQ217" s="345"/>
      <c r="CR217" s="345"/>
      <c r="CS217" s="345"/>
      <c r="CT217" s="345"/>
      <c r="CU217" s="345"/>
      <c r="CV217" s="345"/>
      <c r="CW217" s="345"/>
      <c r="CX217" s="345"/>
      <c r="CY217" s="345"/>
      <c r="CZ217" s="345"/>
      <c r="DA217" s="345"/>
      <c r="DB217" s="345"/>
      <c r="DC217" s="345"/>
      <c r="DD217" s="345"/>
      <c r="DE217" s="345"/>
      <c r="DF217" s="345"/>
      <c r="DG217" s="345"/>
      <c r="DH217" s="345"/>
      <c r="DI217" s="345"/>
      <c r="DJ217" s="345"/>
      <c r="DK217" s="345"/>
      <c r="DL217" s="345"/>
      <c r="DM217" s="345"/>
      <c r="DN217" s="345"/>
      <c r="DO217" s="345"/>
      <c r="DP217" s="345"/>
      <c r="DQ217" s="345"/>
      <c r="DR217" s="345"/>
      <c r="DS217" s="345"/>
      <c r="DT217" s="345"/>
      <c r="DU217" s="345"/>
      <c r="DV217" s="345"/>
      <c r="DW217" s="345"/>
      <c r="DX217" s="345"/>
      <c r="DY217" s="345"/>
      <c r="DZ217" s="345"/>
      <c r="EA217" s="345"/>
    </row>
    <row r="218" spans="1:131" hidden="1">
      <c r="A218" s="345"/>
      <c r="B218" s="345"/>
      <c r="C218" s="345"/>
      <c r="D218" s="345"/>
      <c r="E218" s="345"/>
      <c r="F218" s="345"/>
      <c r="G218" s="345"/>
      <c r="H218" s="345"/>
      <c r="I218" s="345"/>
      <c r="J218" s="345"/>
      <c r="K218" s="345"/>
      <c r="L218" s="345"/>
      <c r="M218" s="345"/>
      <c r="N218" s="345"/>
      <c r="O218" s="345"/>
      <c r="P218" s="345"/>
      <c r="Q218" s="345"/>
      <c r="R218" s="345"/>
      <c r="S218" s="345"/>
      <c r="T218" s="345"/>
      <c r="U218" s="345"/>
      <c r="V218" s="345"/>
      <c r="W218" s="345"/>
      <c r="X218" s="345"/>
      <c r="Y218" s="345"/>
      <c r="Z218" s="345"/>
      <c r="AA218" s="345"/>
      <c r="AB218" s="345"/>
      <c r="AC218" s="345"/>
      <c r="AD218" s="345"/>
      <c r="AE218" s="345"/>
      <c r="AF218" s="345"/>
      <c r="AG218" s="345"/>
      <c r="AH218" s="345"/>
      <c r="AI218" s="345"/>
      <c r="AJ218" s="345"/>
      <c r="AK218" s="345"/>
      <c r="AL218" s="345"/>
      <c r="AM218" s="345"/>
      <c r="AN218" s="345"/>
      <c r="AO218" s="345"/>
      <c r="AP218" s="345"/>
      <c r="AQ218" s="345"/>
      <c r="AR218" s="345"/>
      <c r="AS218" s="345"/>
      <c r="AT218" s="345"/>
      <c r="AU218" s="345"/>
      <c r="AV218" s="345"/>
      <c r="AW218" s="345"/>
      <c r="AX218" s="345"/>
      <c r="AY218" s="345"/>
      <c r="AZ218" s="345"/>
      <c r="BA218" s="345"/>
      <c r="BB218" s="345"/>
      <c r="BC218" s="345"/>
      <c r="BD218" s="345"/>
      <c r="BE218" s="345"/>
      <c r="BF218" s="345"/>
      <c r="BG218" s="345"/>
      <c r="BH218" s="345"/>
      <c r="BI218" s="345"/>
      <c r="BJ218" s="345"/>
      <c r="BK218" s="345"/>
      <c r="BL218" s="345"/>
      <c r="BM218" s="345"/>
      <c r="BN218" s="345"/>
      <c r="BO218" s="345"/>
      <c r="BP218" s="345"/>
      <c r="BQ218" s="345"/>
      <c r="BR218" s="345"/>
      <c r="BS218" s="345"/>
      <c r="BT218" s="345"/>
      <c r="BU218" s="345"/>
      <c r="BV218" s="345"/>
      <c r="BW218" s="345"/>
      <c r="BX218" s="345"/>
      <c r="BY218" s="345"/>
      <c r="BZ218" s="345"/>
      <c r="CA218" s="345"/>
      <c r="CB218" s="345"/>
      <c r="CC218" s="345"/>
      <c r="CD218" s="345"/>
      <c r="CE218" s="345"/>
      <c r="CF218" s="345"/>
      <c r="CG218" s="345"/>
      <c r="CH218" s="345"/>
      <c r="CI218" s="345"/>
      <c r="CJ218" s="345"/>
      <c r="CK218" s="345"/>
      <c r="CL218" s="345"/>
      <c r="CM218" s="345"/>
      <c r="CN218" s="345"/>
      <c r="CO218" s="345"/>
      <c r="CP218" s="345"/>
      <c r="CQ218" s="345"/>
      <c r="CR218" s="345"/>
      <c r="CS218" s="345"/>
      <c r="CT218" s="345"/>
      <c r="CU218" s="345"/>
      <c r="CV218" s="345"/>
      <c r="CW218" s="345"/>
      <c r="CX218" s="345"/>
      <c r="CY218" s="345"/>
      <c r="CZ218" s="345"/>
      <c r="DA218" s="345"/>
      <c r="DB218" s="345"/>
      <c r="DC218" s="345"/>
      <c r="DD218" s="345"/>
      <c r="DE218" s="345"/>
      <c r="DF218" s="345"/>
      <c r="DG218" s="345"/>
      <c r="DH218" s="345"/>
      <c r="DI218" s="345"/>
      <c r="DJ218" s="345"/>
      <c r="DK218" s="345"/>
      <c r="DL218" s="345"/>
      <c r="DM218" s="345"/>
      <c r="DN218" s="345"/>
      <c r="DO218" s="345"/>
      <c r="DP218" s="345"/>
      <c r="DQ218" s="345"/>
      <c r="DR218" s="345"/>
      <c r="DS218" s="345"/>
      <c r="DT218" s="345"/>
      <c r="DU218" s="345"/>
      <c r="DV218" s="345"/>
      <c r="DW218" s="345"/>
      <c r="DX218" s="345"/>
      <c r="DY218" s="345"/>
      <c r="DZ218" s="345"/>
      <c r="EA218" s="345"/>
    </row>
    <row r="219" spans="1:131" hidden="1">
      <c r="A219" s="345"/>
      <c r="B219" s="345"/>
      <c r="C219" s="345"/>
      <c r="D219" s="345"/>
      <c r="E219" s="345"/>
      <c r="F219" s="345"/>
      <c r="G219" s="345"/>
      <c r="H219" s="345"/>
      <c r="I219" s="345"/>
      <c r="J219" s="345"/>
      <c r="K219" s="345"/>
      <c r="L219" s="345"/>
      <c r="M219" s="345"/>
      <c r="N219" s="345"/>
      <c r="O219" s="345"/>
      <c r="P219" s="345"/>
      <c r="Q219" s="345"/>
      <c r="R219" s="345"/>
      <c r="S219" s="345"/>
      <c r="T219" s="345"/>
      <c r="U219" s="345"/>
      <c r="V219" s="345"/>
      <c r="W219" s="345"/>
      <c r="X219" s="345"/>
      <c r="Y219" s="345"/>
      <c r="Z219" s="345"/>
      <c r="AA219" s="345"/>
      <c r="AB219" s="345"/>
      <c r="AC219" s="345"/>
      <c r="AD219" s="345"/>
      <c r="AE219" s="345"/>
      <c r="AF219" s="345"/>
      <c r="AG219" s="345"/>
      <c r="AH219" s="345"/>
      <c r="AI219" s="345"/>
      <c r="AJ219" s="345"/>
      <c r="AK219" s="345"/>
      <c r="AL219" s="345"/>
      <c r="AM219" s="345"/>
      <c r="AN219" s="345"/>
      <c r="AO219" s="345"/>
      <c r="AP219" s="345"/>
      <c r="AQ219" s="345"/>
      <c r="AR219" s="345"/>
      <c r="AS219" s="345"/>
      <c r="AT219" s="345"/>
      <c r="AU219" s="345"/>
      <c r="AV219" s="345"/>
      <c r="AW219" s="345"/>
      <c r="AX219" s="345"/>
      <c r="AY219" s="345"/>
      <c r="AZ219" s="345"/>
      <c r="BA219" s="345"/>
      <c r="BB219" s="345"/>
      <c r="BC219" s="345"/>
      <c r="BD219" s="345"/>
      <c r="BE219" s="345"/>
      <c r="BF219" s="345"/>
      <c r="BG219" s="345"/>
      <c r="BH219" s="345"/>
      <c r="BI219" s="345"/>
      <c r="BJ219" s="345"/>
      <c r="BK219" s="345"/>
      <c r="BL219" s="345"/>
      <c r="BM219" s="345"/>
      <c r="BN219" s="345"/>
      <c r="BO219" s="345"/>
      <c r="BP219" s="345"/>
      <c r="BQ219" s="345"/>
      <c r="BR219" s="345"/>
      <c r="BS219" s="345"/>
      <c r="BT219" s="345"/>
      <c r="BU219" s="345"/>
      <c r="BV219" s="345"/>
      <c r="BW219" s="345"/>
      <c r="BX219" s="345"/>
      <c r="BY219" s="345"/>
      <c r="BZ219" s="345"/>
      <c r="CA219" s="345"/>
      <c r="CB219" s="345"/>
      <c r="CC219" s="345"/>
      <c r="CD219" s="345"/>
      <c r="CE219" s="345"/>
      <c r="CF219" s="345"/>
      <c r="CG219" s="345"/>
      <c r="CH219" s="345"/>
      <c r="CI219" s="345"/>
      <c r="CJ219" s="345"/>
      <c r="CK219" s="345"/>
      <c r="CL219" s="345"/>
      <c r="CM219" s="345"/>
      <c r="CN219" s="345"/>
      <c r="CO219" s="345"/>
      <c r="CP219" s="345"/>
      <c r="CQ219" s="345"/>
      <c r="CR219" s="345"/>
      <c r="CS219" s="345"/>
      <c r="CT219" s="345"/>
      <c r="CU219" s="345"/>
      <c r="CV219" s="345"/>
      <c r="CW219" s="345"/>
      <c r="CX219" s="345"/>
      <c r="CY219" s="345"/>
      <c r="CZ219" s="345"/>
      <c r="DA219" s="345"/>
      <c r="DB219" s="345"/>
      <c r="DC219" s="345"/>
      <c r="DD219" s="345"/>
      <c r="DE219" s="345"/>
      <c r="DF219" s="345"/>
      <c r="DG219" s="345"/>
      <c r="DH219" s="345"/>
      <c r="DI219" s="345"/>
      <c r="DJ219" s="345"/>
      <c r="DK219" s="345"/>
      <c r="DL219" s="345"/>
      <c r="DM219" s="345"/>
      <c r="DN219" s="345"/>
      <c r="DO219" s="345"/>
      <c r="DP219" s="345"/>
      <c r="DQ219" s="345"/>
      <c r="DR219" s="345"/>
      <c r="DS219" s="345"/>
      <c r="DT219" s="345"/>
      <c r="DU219" s="345"/>
      <c r="DV219" s="345"/>
      <c r="DW219" s="345"/>
      <c r="DX219" s="345"/>
      <c r="DY219" s="345"/>
      <c r="DZ219" s="345"/>
      <c r="EA219" s="345"/>
    </row>
    <row r="220" spans="1:131" hidden="1">
      <c r="A220" s="345"/>
      <c r="B220" s="345"/>
      <c r="C220" s="345"/>
      <c r="D220" s="345"/>
      <c r="E220" s="345"/>
      <c r="F220" s="345"/>
      <c r="G220" s="345"/>
      <c r="H220" s="345"/>
      <c r="I220" s="345"/>
      <c r="J220" s="345"/>
      <c r="K220" s="345"/>
      <c r="L220" s="345"/>
      <c r="M220" s="345"/>
      <c r="N220" s="345"/>
      <c r="O220" s="345"/>
      <c r="P220" s="345"/>
      <c r="Q220" s="345"/>
      <c r="R220" s="345"/>
      <c r="S220" s="345"/>
      <c r="T220" s="345"/>
      <c r="U220" s="345"/>
      <c r="V220" s="345"/>
      <c r="W220" s="345"/>
      <c r="X220" s="345"/>
      <c r="Y220" s="345"/>
      <c r="Z220" s="345"/>
      <c r="AA220" s="345"/>
      <c r="AB220" s="345"/>
      <c r="AC220" s="345"/>
      <c r="AD220" s="345"/>
      <c r="AE220" s="345"/>
      <c r="AF220" s="345"/>
      <c r="AG220" s="345"/>
      <c r="AH220" s="345"/>
      <c r="AI220" s="345"/>
      <c r="AJ220" s="345"/>
      <c r="AK220" s="345"/>
      <c r="AL220" s="345"/>
      <c r="AM220" s="345"/>
      <c r="AN220" s="345"/>
      <c r="AO220" s="345"/>
      <c r="AP220" s="345"/>
      <c r="AQ220" s="345"/>
      <c r="AR220" s="345"/>
      <c r="AS220" s="345"/>
      <c r="AT220" s="345"/>
      <c r="AU220" s="345"/>
      <c r="AV220" s="345"/>
      <c r="AW220" s="345"/>
      <c r="AX220" s="345"/>
      <c r="AY220" s="345"/>
      <c r="AZ220" s="345"/>
      <c r="BA220" s="345"/>
      <c r="BB220" s="345"/>
      <c r="BC220" s="345"/>
      <c r="BD220" s="345"/>
      <c r="BE220" s="345"/>
      <c r="BF220" s="345"/>
      <c r="BG220" s="345"/>
      <c r="BH220" s="345"/>
      <c r="BI220" s="345"/>
      <c r="BJ220" s="345"/>
      <c r="BK220" s="345"/>
      <c r="BL220" s="345"/>
      <c r="BM220" s="345"/>
      <c r="BN220" s="345"/>
      <c r="BO220" s="345"/>
      <c r="BP220" s="345"/>
      <c r="BQ220" s="345"/>
      <c r="BR220" s="345"/>
      <c r="BS220" s="345"/>
      <c r="BT220" s="345"/>
      <c r="BU220" s="345"/>
      <c r="BV220" s="345"/>
      <c r="BW220" s="345"/>
      <c r="BX220" s="345"/>
      <c r="BY220" s="345"/>
      <c r="BZ220" s="345"/>
      <c r="CA220" s="345"/>
      <c r="CB220" s="345"/>
      <c r="CC220" s="345"/>
      <c r="CD220" s="345"/>
      <c r="CE220" s="345"/>
      <c r="CF220" s="345"/>
      <c r="CG220" s="345"/>
      <c r="CH220" s="345"/>
      <c r="CI220" s="345"/>
      <c r="CJ220" s="345"/>
      <c r="CK220" s="345"/>
      <c r="CL220" s="345"/>
      <c r="CM220" s="345"/>
      <c r="CN220" s="345"/>
      <c r="CO220" s="345"/>
      <c r="CP220" s="345"/>
      <c r="CQ220" s="345"/>
      <c r="CR220" s="345"/>
      <c r="CS220" s="345"/>
      <c r="CT220" s="345"/>
      <c r="CU220" s="345"/>
      <c r="CV220" s="345"/>
      <c r="CW220" s="345"/>
      <c r="CX220" s="345"/>
      <c r="CY220" s="345"/>
      <c r="CZ220" s="345"/>
      <c r="DA220" s="345"/>
      <c r="DB220" s="345"/>
      <c r="DC220" s="345"/>
      <c r="DD220" s="345"/>
      <c r="DE220" s="345"/>
      <c r="DF220" s="345"/>
      <c r="DG220" s="345"/>
      <c r="DH220" s="345"/>
      <c r="DI220" s="345"/>
      <c r="DJ220" s="345"/>
      <c r="DK220" s="345"/>
      <c r="DL220" s="345"/>
      <c r="DM220" s="345"/>
      <c r="DN220" s="345"/>
      <c r="DO220" s="345"/>
      <c r="DP220" s="345"/>
      <c r="DQ220" s="345"/>
      <c r="DR220" s="345"/>
      <c r="DS220" s="345"/>
      <c r="DT220" s="345"/>
      <c r="DU220" s="345"/>
      <c r="DV220" s="345"/>
      <c r="DW220" s="345"/>
      <c r="DX220" s="345"/>
      <c r="DY220" s="345"/>
      <c r="DZ220" s="345"/>
      <c r="EA220" s="345"/>
    </row>
    <row r="221" spans="1:131" hidden="1">
      <c r="A221" s="345"/>
      <c r="B221" s="345"/>
      <c r="C221" s="345"/>
      <c r="D221" s="345"/>
      <c r="E221" s="345"/>
      <c r="F221" s="345"/>
      <c r="G221" s="345"/>
      <c r="H221" s="345"/>
      <c r="I221" s="345"/>
      <c r="J221" s="345"/>
      <c r="K221" s="345"/>
      <c r="L221" s="345"/>
      <c r="M221" s="345"/>
      <c r="N221" s="345"/>
      <c r="O221" s="345"/>
      <c r="P221" s="345"/>
      <c r="Q221" s="345"/>
      <c r="R221" s="345"/>
      <c r="S221" s="345"/>
      <c r="T221" s="345"/>
      <c r="U221" s="345"/>
      <c r="V221" s="345"/>
      <c r="W221" s="345"/>
      <c r="X221" s="345"/>
      <c r="Y221" s="345"/>
      <c r="Z221" s="345"/>
      <c r="AA221" s="345"/>
      <c r="AB221" s="345"/>
      <c r="AC221" s="345"/>
      <c r="AD221" s="345"/>
      <c r="AE221" s="345"/>
      <c r="AF221" s="345"/>
      <c r="AG221" s="345"/>
      <c r="AH221" s="345"/>
      <c r="AI221" s="345"/>
      <c r="AJ221" s="345"/>
      <c r="AK221" s="345"/>
      <c r="AL221" s="345"/>
      <c r="AM221" s="345"/>
      <c r="AN221" s="345"/>
      <c r="AO221" s="345"/>
      <c r="AP221" s="345"/>
      <c r="AQ221" s="345"/>
      <c r="AR221" s="345"/>
      <c r="AS221" s="345"/>
      <c r="AT221" s="345"/>
      <c r="AU221" s="345"/>
      <c r="AV221" s="345"/>
      <c r="AW221" s="345"/>
      <c r="AX221" s="345"/>
      <c r="AY221" s="345"/>
      <c r="AZ221" s="345"/>
      <c r="BA221" s="345"/>
      <c r="BB221" s="345"/>
      <c r="BC221" s="345"/>
      <c r="BD221" s="345"/>
      <c r="BE221" s="345"/>
      <c r="BF221" s="345"/>
      <c r="BG221" s="345"/>
      <c r="BH221" s="345"/>
      <c r="BI221" s="345"/>
      <c r="BJ221" s="345"/>
      <c r="BK221" s="345"/>
      <c r="BL221" s="345"/>
      <c r="BM221" s="345"/>
      <c r="BN221" s="345"/>
      <c r="BO221" s="345"/>
      <c r="BP221" s="345"/>
      <c r="BQ221" s="345"/>
      <c r="BR221" s="345"/>
      <c r="BS221" s="345"/>
      <c r="BT221" s="345"/>
      <c r="BU221" s="345"/>
      <c r="BV221" s="345"/>
      <c r="BW221" s="345"/>
      <c r="BX221" s="345"/>
      <c r="BY221" s="345"/>
      <c r="BZ221" s="345"/>
      <c r="CA221" s="345"/>
      <c r="CB221" s="345"/>
      <c r="CC221" s="345"/>
      <c r="CD221" s="345"/>
      <c r="CE221" s="345"/>
      <c r="CF221" s="345"/>
      <c r="CG221" s="345"/>
      <c r="CH221" s="345"/>
      <c r="CI221" s="345"/>
      <c r="CJ221" s="345"/>
      <c r="CK221" s="345"/>
      <c r="CL221" s="345"/>
      <c r="CM221" s="345"/>
      <c r="CN221" s="345"/>
      <c r="CO221" s="345"/>
      <c r="CP221" s="345"/>
      <c r="CQ221" s="345"/>
      <c r="CR221" s="345"/>
      <c r="CS221" s="345"/>
      <c r="CT221" s="345"/>
      <c r="CU221" s="345"/>
      <c r="CV221" s="345"/>
      <c r="CW221" s="345"/>
      <c r="CX221" s="345"/>
      <c r="CY221" s="345"/>
      <c r="CZ221" s="345"/>
      <c r="DA221" s="345"/>
      <c r="DB221" s="345"/>
      <c r="DC221" s="345"/>
      <c r="DD221" s="345"/>
      <c r="DE221" s="345"/>
      <c r="DF221" s="345"/>
      <c r="DG221" s="345"/>
      <c r="DH221" s="345"/>
      <c r="DI221" s="345"/>
      <c r="DJ221" s="345"/>
      <c r="DK221" s="345"/>
      <c r="DL221" s="345"/>
      <c r="DM221" s="345"/>
      <c r="DN221" s="345"/>
      <c r="DO221" s="345"/>
      <c r="DP221" s="345"/>
      <c r="DQ221" s="345"/>
      <c r="DR221" s="345"/>
      <c r="DS221" s="345"/>
      <c r="DT221" s="345"/>
      <c r="DU221" s="345"/>
      <c r="DV221" s="345"/>
      <c r="DW221" s="345"/>
      <c r="DX221" s="345"/>
      <c r="DY221" s="345"/>
      <c r="DZ221" s="345"/>
      <c r="EA221" s="345"/>
    </row>
    <row r="222" spans="1:131" hidden="1">
      <c r="A222" s="345"/>
      <c r="B222" s="345"/>
      <c r="C222" s="345"/>
      <c r="D222" s="345"/>
      <c r="E222" s="345"/>
      <c r="F222" s="345"/>
      <c r="G222" s="345"/>
      <c r="H222" s="345"/>
      <c r="I222" s="345"/>
      <c r="J222" s="345"/>
      <c r="K222" s="345"/>
      <c r="L222" s="345"/>
      <c r="M222" s="345"/>
      <c r="N222" s="345"/>
      <c r="O222" s="345"/>
      <c r="P222" s="345"/>
      <c r="Q222" s="345"/>
      <c r="R222" s="345"/>
      <c r="S222" s="345"/>
      <c r="T222" s="345"/>
      <c r="U222" s="345"/>
      <c r="V222" s="345"/>
      <c r="W222" s="345"/>
      <c r="X222" s="345"/>
      <c r="Y222" s="345"/>
      <c r="Z222" s="345"/>
      <c r="AA222" s="345"/>
      <c r="AB222" s="345"/>
      <c r="AC222" s="345"/>
      <c r="AD222" s="345"/>
      <c r="AE222" s="345"/>
      <c r="AF222" s="345"/>
      <c r="AG222" s="345"/>
      <c r="AH222" s="345"/>
      <c r="AI222" s="345"/>
      <c r="AJ222" s="345"/>
      <c r="AK222" s="345"/>
      <c r="AL222" s="345"/>
      <c r="AM222" s="345"/>
      <c r="AN222" s="345"/>
      <c r="AO222" s="345"/>
      <c r="AP222" s="345"/>
      <c r="AQ222" s="345"/>
      <c r="AR222" s="345"/>
      <c r="AS222" s="345"/>
      <c r="AT222" s="345"/>
      <c r="AU222" s="345"/>
      <c r="AV222" s="345"/>
      <c r="AW222" s="345"/>
      <c r="AX222" s="345"/>
      <c r="AY222" s="345"/>
      <c r="AZ222" s="345"/>
      <c r="BA222" s="345"/>
      <c r="BB222" s="345"/>
      <c r="BC222" s="345"/>
      <c r="BD222" s="345"/>
      <c r="BE222" s="345"/>
      <c r="BF222" s="345"/>
      <c r="BG222" s="345"/>
      <c r="BH222" s="345"/>
      <c r="BI222" s="345"/>
      <c r="BJ222" s="345"/>
      <c r="BK222" s="345"/>
      <c r="BL222" s="345"/>
      <c r="BM222" s="345"/>
      <c r="BN222" s="345"/>
      <c r="BO222" s="345"/>
      <c r="BP222" s="345"/>
      <c r="BQ222" s="345"/>
      <c r="BR222" s="345"/>
      <c r="BS222" s="345"/>
      <c r="BT222" s="345"/>
      <c r="BU222" s="345"/>
      <c r="BV222" s="345"/>
      <c r="BW222" s="345"/>
      <c r="BX222" s="345"/>
      <c r="BY222" s="345"/>
      <c r="BZ222" s="345"/>
      <c r="CA222" s="345"/>
      <c r="CB222" s="345"/>
      <c r="CC222" s="345"/>
      <c r="CD222" s="345"/>
      <c r="CE222" s="345"/>
      <c r="CF222" s="345"/>
      <c r="CG222" s="345"/>
      <c r="CH222" s="345"/>
      <c r="CI222" s="345"/>
      <c r="CJ222" s="345"/>
      <c r="CK222" s="345"/>
      <c r="CL222" s="345"/>
      <c r="CM222" s="345"/>
      <c r="CN222" s="345"/>
      <c r="CO222" s="345"/>
      <c r="CP222" s="345"/>
      <c r="CQ222" s="345"/>
      <c r="CR222" s="345"/>
      <c r="CS222" s="345"/>
      <c r="CT222" s="345"/>
      <c r="CU222" s="345"/>
      <c r="CV222" s="345"/>
      <c r="CW222" s="345"/>
      <c r="CX222" s="345"/>
      <c r="CY222" s="345"/>
      <c r="CZ222" s="345"/>
      <c r="DA222" s="345"/>
      <c r="DB222" s="345"/>
      <c r="DC222" s="345"/>
      <c r="DD222" s="345"/>
      <c r="DE222" s="345"/>
      <c r="DF222" s="345"/>
      <c r="DG222" s="345"/>
      <c r="DH222" s="345"/>
      <c r="DI222" s="345"/>
      <c r="DJ222" s="345"/>
      <c r="DK222" s="345"/>
      <c r="DL222" s="345"/>
      <c r="DM222" s="345"/>
      <c r="DN222" s="345"/>
      <c r="DO222" s="345"/>
      <c r="DP222" s="345"/>
      <c r="DQ222" s="345"/>
      <c r="DR222" s="345"/>
      <c r="DS222" s="345"/>
      <c r="DT222" s="345"/>
      <c r="DU222" s="345"/>
      <c r="DV222" s="345"/>
      <c r="DW222" s="345"/>
      <c r="DX222" s="345"/>
      <c r="DY222" s="345"/>
      <c r="DZ222" s="345"/>
      <c r="EA222" s="345"/>
    </row>
    <row r="223" spans="1:131" hidden="1">
      <c r="A223" s="345"/>
      <c r="B223" s="345"/>
      <c r="C223" s="345"/>
      <c r="D223" s="345"/>
      <c r="E223" s="345"/>
      <c r="F223" s="345"/>
      <c r="G223" s="345"/>
      <c r="H223" s="345"/>
      <c r="I223" s="345"/>
      <c r="J223" s="345"/>
      <c r="K223" s="345"/>
      <c r="L223" s="345"/>
      <c r="M223" s="345"/>
      <c r="N223" s="345"/>
      <c r="O223" s="345"/>
      <c r="P223" s="345"/>
      <c r="Q223" s="345"/>
      <c r="R223" s="345"/>
      <c r="S223" s="345"/>
      <c r="T223" s="345"/>
      <c r="U223" s="345"/>
      <c r="V223" s="345"/>
      <c r="W223" s="345"/>
      <c r="X223" s="345"/>
      <c r="Y223" s="345"/>
      <c r="Z223" s="345"/>
      <c r="AA223" s="345"/>
      <c r="AB223" s="345"/>
      <c r="AC223" s="345"/>
      <c r="AD223" s="345"/>
      <c r="AE223" s="345"/>
      <c r="AF223" s="345"/>
      <c r="AG223" s="345"/>
      <c r="AH223" s="345"/>
      <c r="AI223" s="345"/>
      <c r="AJ223" s="345"/>
      <c r="AK223" s="345"/>
      <c r="AL223" s="345"/>
      <c r="AM223" s="345"/>
      <c r="AN223" s="345"/>
      <c r="AO223" s="345"/>
      <c r="AP223" s="345"/>
      <c r="AQ223" s="345"/>
      <c r="AR223" s="345"/>
      <c r="AS223" s="345"/>
      <c r="AT223" s="345"/>
      <c r="AU223" s="345"/>
      <c r="AV223" s="345"/>
      <c r="AW223" s="345"/>
      <c r="AX223" s="345"/>
      <c r="AY223" s="345"/>
      <c r="AZ223" s="345"/>
      <c r="BA223" s="345"/>
      <c r="BB223" s="345"/>
      <c r="BC223" s="345"/>
      <c r="BD223" s="345"/>
      <c r="BE223" s="345"/>
      <c r="BF223" s="345"/>
      <c r="BG223" s="345"/>
      <c r="BH223" s="345"/>
      <c r="BI223" s="345"/>
      <c r="BJ223" s="345"/>
      <c r="BK223" s="345"/>
      <c r="BL223" s="345"/>
      <c r="BM223" s="345"/>
      <c r="BN223" s="345"/>
      <c r="BO223" s="345"/>
      <c r="BP223" s="345"/>
      <c r="BQ223" s="345"/>
      <c r="BR223" s="345"/>
      <c r="BS223" s="345"/>
      <c r="BT223" s="345"/>
      <c r="BU223" s="345"/>
      <c r="BV223" s="345"/>
      <c r="BW223" s="345"/>
      <c r="BX223" s="345"/>
      <c r="BY223" s="345"/>
      <c r="BZ223" s="345"/>
      <c r="CA223" s="345"/>
      <c r="CB223" s="345"/>
      <c r="CC223" s="345"/>
      <c r="CD223" s="345"/>
      <c r="CE223" s="345"/>
      <c r="CF223" s="345"/>
      <c r="CG223" s="345"/>
      <c r="CH223" s="345"/>
      <c r="CI223" s="345"/>
      <c r="CJ223" s="345"/>
      <c r="CK223" s="345"/>
      <c r="CL223" s="345"/>
      <c r="CM223" s="345"/>
      <c r="CN223" s="345"/>
      <c r="CO223" s="345"/>
      <c r="CP223" s="345"/>
      <c r="CQ223" s="345"/>
      <c r="CR223" s="345"/>
      <c r="CS223" s="345"/>
      <c r="CT223" s="345"/>
      <c r="CU223" s="345"/>
      <c r="CV223" s="345"/>
      <c r="CW223" s="345"/>
      <c r="CX223" s="345"/>
      <c r="CY223" s="345"/>
      <c r="CZ223" s="345"/>
      <c r="DA223" s="345"/>
      <c r="DB223" s="345"/>
      <c r="DC223" s="345"/>
      <c r="DD223" s="345"/>
      <c r="DE223" s="345"/>
      <c r="DF223" s="345"/>
      <c r="DG223" s="345"/>
      <c r="DH223" s="345"/>
      <c r="DI223" s="345"/>
      <c r="DJ223" s="345"/>
      <c r="DK223" s="345"/>
      <c r="DL223" s="345"/>
      <c r="DM223" s="345"/>
      <c r="DN223" s="345"/>
      <c r="DO223" s="345"/>
      <c r="DP223" s="345"/>
      <c r="DQ223" s="345"/>
      <c r="DR223" s="345"/>
      <c r="DS223" s="345"/>
      <c r="DT223" s="345"/>
      <c r="DU223" s="345"/>
      <c r="DV223" s="345"/>
      <c r="DW223" s="345"/>
      <c r="DX223" s="345"/>
      <c r="DY223" s="345"/>
      <c r="DZ223" s="345"/>
      <c r="EA223" s="345"/>
    </row>
    <row r="224" spans="1:131" hidden="1">
      <c r="A224" s="345"/>
      <c r="B224" s="345"/>
      <c r="C224" s="345"/>
      <c r="D224" s="345"/>
      <c r="E224" s="345"/>
      <c r="F224" s="345"/>
      <c r="G224" s="345"/>
      <c r="H224" s="345"/>
      <c r="I224" s="345"/>
      <c r="J224" s="345"/>
      <c r="K224" s="345"/>
      <c r="L224" s="345"/>
      <c r="M224" s="345"/>
      <c r="N224" s="345"/>
      <c r="O224" s="345"/>
      <c r="P224" s="345"/>
      <c r="Q224" s="345"/>
      <c r="R224" s="345"/>
      <c r="S224" s="345"/>
      <c r="T224" s="345"/>
      <c r="U224" s="345"/>
      <c r="V224" s="345"/>
      <c r="W224" s="345"/>
      <c r="X224" s="345"/>
      <c r="Y224" s="345"/>
      <c r="Z224" s="345"/>
      <c r="AA224" s="345"/>
      <c r="AB224" s="345"/>
      <c r="AC224" s="345"/>
      <c r="AD224" s="345"/>
      <c r="AE224" s="345"/>
      <c r="AF224" s="345"/>
      <c r="AG224" s="345"/>
      <c r="AH224" s="345"/>
      <c r="AI224" s="345"/>
      <c r="AJ224" s="345"/>
      <c r="AK224" s="345"/>
      <c r="AL224" s="345"/>
      <c r="AM224" s="345"/>
      <c r="AN224" s="345"/>
      <c r="AO224" s="345"/>
      <c r="AP224" s="345"/>
      <c r="AQ224" s="345"/>
      <c r="AR224" s="345"/>
      <c r="AS224" s="345"/>
      <c r="AT224" s="345"/>
      <c r="AU224" s="345"/>
      <c r="AV224" s="345"/>
      <c r="AW224" s="345"/>
      <c r="AX224" s="345"/>
      <c r="AY224" s="345"/>
      <c r="AZ224" s="345"/>
      <c r="BA224" s="345"/>
      <c r="BB224" s="345"/>
      <c r="BC224" s="345"/>
      <c r="BD224" s="345"/>
      <c r="BE224" s="345"/>
      <c r="BF224" s="345"/>
      <c r="BG224" s="345"/>
      <c r="BH224" s="345"/>
      <c r="BI224" s="345"/>
      <c r="BJ224" s="345"/>
      <c r="BK224" s="345"/>
      <c r="BL224" s="345"/>
      <c r="BM224" s="345"/>
      <c r="BN224" s="345"/>
      <c r="BO224" s="345"/>
      <c r="BP224" s="345"/>
      <c r="BQ224" s="345"/>
      <c r="BR224" s="345"/>
      <c r="BS224" s="345"/>
      <c r="BT224" s="345"/>
      <c r="BU224" s="345"/>
      <c r="BV224" s="345"/>
      <c r="BW224" s="345"/>
      <c r="BX224" s="345"/>
      <c r="BY224" s="345"/>
      <c r="BZ224" s="345"/>
      <c r="CA224" s="345"/>
      <c r="CB224" s="345"/>
      <c r="CC224" s="345"/>
      <c r="CD224" s="345"/>
      <c r="CE224" s="345"/>
      <c r="CF224" s="345"/>
      <c r="CG224" s="345"/>
      <c r="CH224" s="345"/>
      <c r="CI224" s="345"/>
      <c r="CJ224" s="345"/>
      <c r="CK224" s="345"/>
      <c r="CL224" s="345"/>
      <c r="CM224" s="345"/>
      <c r="CN224" s="345"/>
      <c r="CO224" s="345"/>
      <c r="CP224" s="345"/>
      <c r="CQ224" s="345"/>
      <c r="CR224" s="345"/>
      <c r="CS224" s="345"/>
      <c r="CT224" s="345"/>
      <c r="CU224" s="345"/>
      <c r="CV224" s="345"/>
      <c r="CW224" s="345"/>
      <c r="CX224" s="345"/>
      <c r="CY224" s="345"/>
      <c r="CZ224" s="345"/>
      <c r="DA224" s="345"/>
      <c r="DB224" s="345"/>
      <c r="DC224" s="345"/>
      <c r="DD224" s="345"/>
      <c r="DE224" s="345"/>
      <c r="DF224" s="345"/>
      <c r="DG224" s="345"/>
      <c r="DH224" s="345"/>
      <c r="DI224" s="345"/>
      <c r="DJ224" s="345"/>
      <c r="DK224" s="345"/>
      <c r="DL224" s="345"/>
      <c r="DM224" s="345"/>
      <c r="DN224" s="345"/>
      <c r="DO224" s="345"/>
      <c r="DP224" s="345"/>
      <c r="DQ224" s="345"/>
      <c r="DR224" s="345"/>
      <c r="DS224" s="345"/>
      <c r="DT224" s="345"/>
      <c r="DU224" s="345"/>
      <c r="DV224" s="345"/>
      <c r="DW224" s="345"/>
      <c r="DX224" s="345"/>
      <c r="DY224" s="345"/>
      <c r="DZ224" s="345"/>
      <c r="EA224" s="345"/>
    </row>
    <row r="225" spans="1:131" hidden="1">
      <c r="A225" s="345"/>
      <c r="B225" s="345"/>
      <c r="C225" s="345"/>
      <c r="D225" s="345"/>
      <c r="E225" s="345"/>
      <c r="F225" s="345"/>
      <c r="G225" s="345"/>
      <c r="H225" s="345"/>
      <c r="I225" s="345"/>
      <c r="J225" s="345"/>
      <c r="K225" s="345"/>
      <c r="L225" s="345"/>
      <c r="M225" s="345"/>
      <c r="N225" s="345"/>
      <c r="O225" s="345"/>
      <c r="P225" s="345"/>
      <c r="Q225" s="345"/>
      <c r="R225" s="345"/>
      <c r="S225" s="345"/>
      <c r="T225" s="345"/>
      <c r="U225" s="345"/>
      <c r="V225" s="345"/>
      <c r="W225" s="345"/>
      <c r="X225" s="345"/>
      <c r="Y225" s="345"/>
      <c r="Z225" s="345"/>
      <c r="AA225" s="345"/>
      <c r="AB225" s="345"/>
      <c r="AC225" s="345"/>
      <c r="AD225" s="345"/>
      <c r="AE225" s="345"/>
      <c r="AF225" s="345"/>
      <c r="AG225" s="345"/>
      <c r="AH225" s="345"/>
      <c r="AI225" s="345"/>
      <c r="AJ225" s="345"/>
      <c r="AK225" s="345"/>
      <c r="AL225" s="345"/>
      <c r="AM225" s="345"/>
      <c r="AN225" s="345"/>
      <c r="AO225" s="345"/>
      <c r="AP225" s="345"/>
      <c r="AQ225" s="345"/>
      <c r="AR225" s="345"/>
      <c r="AS225" s="345"/>
      <c r="AT225" s="345"/>
      <c r="AU225" s="345"/>
      <c r="AV225" s="345"/>
      <c r="AW225" s="345"/>
      <c r="AX225" s="345"/>
      <c r="AY225" s="345"/>
      <c r="AZ225" s="345"/>
      <c r="BA225" s="345"/>
      <c r="BB225" s="345"/>
      <c r="BC225" s="345"/>
      <c r="BD225" s="345"/>
      <c r="BE225" s="345"/>
      <c r="BF225" s="345"/>
      <c r="BG225" s="345"/>
      <c r="BH225" s="345"/>
      <c r="BI225" s="345"/>
      <c r="BJ225" s="345"/>
      <c r="BK225" s="345"/>
      <c r="BL225" s="345"/>
      <c r="BM225" s="345"/>
      <c r="BN225" s="345"/>
      <c r="BO225" s="345"/>
      <c r="BP225" s="345"/>
      <c r="BQ225" s="345"/>
      <c r="BR225" s="345"/>
      <c r="BS225" s="345"/>
      <c r="BT225" s="345"/>
      <c r="BU225" s="345"/>
      <c r="BV225" s="345"/>
      <c r="BW225" s="345"/>
      <c r="BX225" s="345"/>
      <c r="BY225" s="345"/>
      <c r="BZ225" s="345"/>
      <c r="CA225" s="345"/>
      <c r="CB225" s="345"/>
      <c r="CC225" s="345"/>
      <c r="CD225" s="345"/>
      <c r="CE225" s="345"/>
      <c r="CF225" s="345"/>
      <c r="CG225" s="345"/>
      <c r="CH225" s="345"/>
      <c r="CI225" s="345"/>
      <c r="CJ225" s="345"/>
      <c r="CK225" s="345"/>
      <c r="CL225" s="345"/>
      <c r="CM225" s="345"/>
      <c r="CN225" s="345"/>
      <c r="CO225" s="345"/>
      <c r="CP225" s="345"/>
      <c r="CQ225" s="345"/>
      <c r="CR225" s="345"/>
      <c r="CS225" s="345"/>
      <c r="CT225" s="345"/>
      <c r="CU225" s="345"/>
      <c r="CV225" s="345"/>
      <c r="CW225" s="345"/>
      <c r="CX225" s="345"/>
      <c r="CY225" s="345"/>
      <c r="CZ225" s="345"/>
      <c r="DA225" s="345"/>
      <c r="DB225" s="345"/>
      <c r="DC225" s="345"/>
      <c r="DD225" s="345"/>
      <c r="DE225" s="345"/>
      <c r="DF225" s="345"/>
      <c r="DG225" s="345"/>
      <c r="DH225" s="345"/>
      <c r="DI225" s="345"/>
      <c r="DJ225" s="345"/>
      <c r="DK225" s="345"/>
      <c r="DL225" s="345"/>
      <c r="DM225" s="345"/>
      <c r="DN225" s="345"/>
      <c r="DO225" s="345"/>
      <c r="DP225" s="345"/>
      <c r="DQ225" s="345"/>
      <c r="DR225" s="345"/>
      <c r="DS225" s="345"/>
      <c r="DT225" s="345"/>
      <c r="DU225" s="345"/>
      <c r="DV225" s="345"/>
      <c r="DW225" s="345"/>
      <c r="DX225" s="345"/>
      <c r="DY225" s="345"/>
      <c r="DZ225" s="345"/>
      <c r="EA225" s="345"/>
    </row>
    <row r="226" spans="1:131" hidden="1">
      <c r="A226" s="345"/>
      <c r="B226" s="345"/>
      <c r="C226" s="345"/>
      <c r="D226" s="345"/>
      <c r="E226" s="345"/>
      <c r="F226" s="345"/>
      <c r="G226" s="345"/>
      <c r="H226" s="345"/>
      <c r="I226" s="345"/>
      <c r="J226" s="345"/>
      <c r="K226" s="345"/>
      <c r="L226" s="345"/>
      <c r="M226" s="345"/>
      <c r="N226" s="345"/>
      <c r="O226" s="345"/>
      <c r="P226" s="345"/>
      <c r="Q226" s="345"/>
      <c r="R226" s="345"/>
      <c r="S226" s="345"/>
      <c r="T226" s="345"/>
      <c r="U226" s="345"/>
      <c r="V226" s="345"/>
      <c r="W226" s="345"/>
      <c r="X226" s="345"/>
      <c r="Y226" s="345"/>
      <c r="Z226" s="345"/>
      <c r="AA226" s="345"/>
      <c r="AB226" s="345"/>
      <c r="AC226" s="345"/>
      <c r="AD226" s="345"/>
      <c r="AE226" s="345"/>
      <c r="AF226" s="345"/>
      <c r="AG226" s="345"/>
      <c r="AH226" s="345"/>
      <c r="AI226" s="345"/>
      <c r="AJ226" s="345"/>
      <c r="AK226" s="345"/>
      <c r="AL226" s="345"/>
      <c r="AM226" s="345"/>
      <c r="AN226" s="345"/>
      <c r="AO226" s="345"/>
      <c r="AP226" s="345"/>
      <c r="AQ226" s="345"/>
      <c r="AR226" s="345"/>
      <c r="AS226" s="345"/>
      <c r="AT226" s="345"/>
      <c r="AU226" s="345"/>
      <c r="AV226" s="345"/>
      <c r="AW226" s="345"/>
      <c r="AX226" s="345"/>
      <c r="AY226" s="345"/>
      <c r="AZ226" s="345"/>
      <c r="BA226" s="345"/>
      <c r="BB226" s="345"/>
      <c r="BC226" s="345"/>
      <c r="BD226" s="345"/>
      <c r="BE226" s="345"/>
      <c r="BF226" s="345"/>
      <c r="BG226" s="345"/>
      <c r="BH226" s="345"/>
      <c r="BI226" s="345"/>
      <c r="BJ226" s="345"/>
      <c r="BK226" s="345"/>
      <c r="BL226" s="345"/>
      <c r="BM226" s="345"/>
      <c r="BN226" s="345"/>
      <c r="BO226" s="345"/>
      <c r="BP226" s="345"/>
      <c r="BQ226" s="345"/>
      <c r="BR226" s="345"/>
      <c r="BS226" s="345"/>
      <c r="BT226" s="345"/>
      <c r="BU226" s="345"/>
      <c r="BV226" s="345"/>
      <c r="BW226" s="345"/>
      <c r="BX226" s="345"/>
      <c r="BY226" s="345"/>
      <c r="BZ226" s="345"/>
      <c r="CA226" s="345"/>
      <c r="CB226" s="345"/>
      <c r="CC226" s="345"/>
      <c r="CD226" s="345"/>
      <c r="CE226" s="345"/>
      <c r="CF226" s="345"/>
      <c r="CG226" s="345"/>
      <c r="CH226" s="345"/>
      <c r="CI226" s="345"/>
      <c r="CJ226" s="345"/>
      <c r="CK226" s="345"/>
      <c r="CL226" s="345"/>
      <c r="CM226" s="345"/>
      <c r="CN226" s="345"/>
      <c r="CO226" s="345"/>
      <c r="CP226" s="345"/>
      <c r="CQ226" s="345"/>
      <c r="CR226" s="345"/>
      <c r="CS226" s="345"/>
      <c r="CT226" s="345"/>
      <c r="CU226" s="345"/>
      <c r="CV226" s="345"/>
      <c r="CW226" s="345"/>
      <c r="CX226" s="345"/>
      <c r="CY226" s="345"/>
      <c r="CZ226" s="345"/>
      <c r="DA226" s="345"/>
      <c r="DB226" s="345"/>
      <c r="DC226" s="345"/>
      <c r="DD226" s="345"/>
      <c r="DE226" s="345"/>
      <c r="DF226" s="345"/>
      <c r="DG226" s="345"/>
      <c r="DH226" s="345"/>
      <c r="DI226" s="345"/>
      <c r="DJ226" s="345"/>
      <c r="DK226" s="345"/>
      <c r="DL226" s="345"/>
      <c r="DM226" s="345"/>
      <c r="DN226" s="345"/>
      <c r="DO226" s="345"/>
      <c r="DP226" s="345"/>
      <c r="DQ226" s="345"/>
      <c r="DR226" s="345"/>
      <c r="DS226" s="345"/>
      <c r="DT226" s="345"/>
      <c r="DU226" s="345"/>
      <c r="DV226" s="345"/>
      <c r="DW226" s="345"/>
      <c r="DX226" s="345"/>
      <c r="DY226" s="345"/>
      <c r="DZ226" s="345"/>
      <c r="EA226" s="345"/>
    </row>
    <row r="227" spans="1:131" hidden="1">
      <c r="A227" s="345"/>
      <c r="B227" s="345"/>
      <c r="C227" s="345"/>
      <c r="D227" s="345"/>
      <c r="E227" s="345"/>
      <c r="F227" s="345"/>
      <c r="G227" s="345"/>
      <c r="H227" s="345"/>
      <c r="I227" s="345"/>
      <c r="J227" s="345"/>
      <c r="K227" s="345"/>
      <c r="L227" s="345"/>
      <c r="M227" s="345"/>
      <c r="N227" s="345"/>
      <c r="O227" s="345"/>
      <c r="P227" s="345"/>
      <c r="Q227" s="345"/>
      <c r="R227" s="345"/>
      <c r="S227" s="345"/>
      <c r="T227" s="345"/>
      <c r="U227" s="345"/>
      <c r="V227" s="345"/>
      <c r="W227" s="345"/>
      <c r="X227" s="345"/>
      <c r="Y227" s="345"/>
      <c r="Z227" s="345"/>
      <c r="AA227" s="345"/>
      <c r="AB227" s="345"/>
      <c r="AC227" s="345"/>
      <c r="AD227" s="345"/>
      <c r="AE227" s="345"/>
      <c r="AF227" s="345"/>
      <c r="AG227" s="345"/>
      <c r="AH227" s="345"/>
      <c r="AI227" s="345"/>
      <c r="AJ227" s="345"/>
      <c r="AK227" s="345"/>
      <c r="AL227" s="345"/>
      <c r="AM227" s="345"/>
      <c r="AN227" s="345"/>
      <c r="AO227" s="345"/>
      <c r="AP227" s="345"/>
      <c r="AQ227" s="345"/>
      <c r="AR227" s="345"/>
      <c r="AS227" s="345"/>
      <c r="AT227" s="345"/>
      <c r="AU227" s="345"/>
      <c r="AV227" s="345"/>
      <c r="AW227" s="345"/>
      <c r="AX227" s="345"/>
      <c r="AY227" s="345"/>
      <c r="AZ227" s="345"/>
      <c r="BA227" s="345"/>
      <c r="BB227" s="345"/>
      <c r="BC227" s="345"/>
      <c r="BD227" s="345"/>
      <c r="BE227" s="345"/>
      <c r="BF227" s="345"/>
      <c r="BG227" s="345"/>
      <c r="BH227" s="345"/>
      <c r="BI227" s="345"/>
      <c r="BJ227" s="345"/>
      <c r="BK227" s="345"/>
      <c r="BL227" s="345"/>
      <c r="BM227" s="345"/>
      <c r="BN227" s="345"/>
      <c r="BO227" s="345"/>
      <c r="BP227" s="345"/>
      <c r="BQ227" s="345"/>
      <c r="BR227" s="345"/>
      <c r="BS227" s="345"/>
      <c r="BT227" s="345"/>
      <c r="BU227" s="345"/>
      <c r="BV227" s="345"/>
      <c r="BW227" s="345"/>
      <c r="BX227" s="345"/>
      <c r="BY227" s="345"/>
      <c r="BZ227" s="345"/>
      <c r="CA227" s="345"/>
      <c r="CB227" s="345"/>
      <c r="CC227" s="345"/>
      <c r="CD227" s="345"/>
      <c r="CE227" s="345"/>
      <c r="CF227" s="345"/>
      <c r="CG227" s="345"/>
      <c r="CH227" s="345"/>
      <c r="CI227" s="345"/>
      <c r="CJ227" s="345"/>
      <c r="CK227" s="345"/>
      <c r="CL227" s="345"/>
      <c r="CM227" s="345"/>
      <c r="CN227" s="345"/>
      <c r="CO227" s="345"/>
      <c r="CP227" s="345"/>
      <c r="CQ227" s="345"/>
      <c r="CR227" s="345"/>
      <c r="CS227" s="345"/>
      <c r="CT227" s="345"/>
      <c r="CU227" s="345"/>
      <c r="CV227" s="345"/>
      <c r="CW227" s="345"/>
      <c r="CX227" s="345"/>
      <c r="CY227" s="345"/>
      <c r="CZ227" s="345"/>
      <c r="DA227" s="345"/>
      <c r="DB227" s="345"/>
      <c r="DC227" s="345"/>
      <c r="DD227" s="345"/>
      <c r="DE227" s="345"/>
      <c r="DF227" s="345"/>
      <c r="DG227" s="345"/>
      <c r="DH227" s="345"/>
      <c r="DI227" s="345"/>
      <c r="DJ227" s="345"/>
      <c r="DK227" s="345"/>
      <c r="DL227" s="345"/>
      <c r="DM227" s="345"/>
      <c r="DN227" s="345"/>
      <c r="DO227" s="345"/>
      <c r="DP227" s="345"/>
      <c r="DQ227" s="345"/>
      <c r="DR227" s="345"/>
      <c r="DS227" s="345"/>
      <c r="DT227" s="345"/>
      <c r="DU227" s="345"/>
      <c r="DV227" s="345"/>
      <c r="DW227" s="345"/>
      <c r="DX227" s="345"/>
      <c r="DY227" s="345"/>
      <c r="DZ227" s="345"/>
      <c r="EA227" s="345"/>
    </row>
    <row r="228" spans="1:131" hidden="1">
      <c r="A228" s="345"/>
      <c r="B228" s="345"/>
      <c r="C228" s="345"/>
      <c r="D228" s="345"/>
      <c r="E228" s="345"/>
      <c r="F228" s="345"/>
      <c r="G228" s="345"/>
      <c r="H228" s="345"/>
      <c r="I228" s="345"/>
      <c r="J228" s="345"/>
      <c r="K228" s="345"/>
      <c r="L228" s="345"/>
      <c r="M228" s="345"/>
      <c r="N228" s="345"/>
      <c r="O228" s="345"/>
      <c r="P228" s="345"/>
      <c r="Q228" s="345"/>
      <c r="R228" s="345"/>
      <c r="S228" s="345"/>
      <c r="T228" s="345"/>
      <c r="U228" s="345"/>
      <c r="V228" s="345"/>
      <c r="W228" s="345"/>
      <c r="X228" s="345"/>
      <c r="Y228" s="345"/>
      <c r="Z228" s="345"/>
      <c r="AA228" s="345"/>
      <c r="AB228" s="345"/>
      <c r="AC228" s="345"/>
      <c r="AD228" s="345"/>
      <c r="AE228" s="345"/>
      <c r="AF228" s="345"/>
      <c r="AG228" s="345"/>
      <c r="AH228" s="345"/>
      <c r="AI228" s="345"/>
      <c r="AJ228" s="345"/>
      <c r="AK228" s="345"/>
      <c r="AL228" s="345"/>
      <c r="AM228" s="345"/>
      <c r="AN228" s="345"/>
      <c r="AO228" s="345"/>
      <c r="AP228" s="345"/>
      <c r="AQ228" s="345"/>
      <c r="AR228" s="345"/>
      <c r="AS228" s="345"/>
      <c r="AT228" s="345"/>
      <c r="AU228" s="345"/>
      <c r="AV228" s="345"/>
      <c r="AW228" s="345"/>
      <c r="AX228" s="345"/>
      <c r="AY228" s="345"/>
      <c r="AZ228" s="345"/>
      <c r="BA228" s="345"/>
      <c r="BB228" s="345"/>
      <c r="BC228" s="345"/>
      <c r="BD228" s="345"/>
      <c r="BE228" s="345"/>
      <c r="BF228" s="345"/>
      <c r="BG228" s="345"/>
      <c r="BH228" s="345"/>
      <c r="BI228" s="345"/>
      <c r="BJ228" s="345"/>
      <c r="BK228" s="345"/>
      <c r="BL228" s="345"/>
      <c r="BM228" s="345"/>
      <c r="BN228" s="345"/>
      <c r="BO228" s="345"/>
      <c r="BP228" s="345"/>
      <c r="BQ228" s="345"/>
      <c r="BR228" s="345"/>
      <c r="BS228" s="345"/>
      <c r="BT228" s="345"/>
      <c r="BU228" s="345"/>
      <c r="BV228" s="345"/>
      <c r="BW228" s="345"/>
      <c r="BX228" s="345"/>
      <c r="BY228" s="345"/>
      <c r="BZ228" s="345"/>
      <c r="CA228" s="345"/>
      <c r="CB228" s="345"/>
      <c r="CC228" s="345"/>
      <c r="CD228" s="345"/>
      <c r="CE228" s="345"/>
      <c r="CF228" s="345"/>
      <c r="CG228" s="345"/>
      <c r="CH228" s="345"/>
      <c r="CI228" s="345"/>
      <c r="CJ228" s="345"/>
      <c r="CK228" s="345"/>
      <c r="CL228" s="345"/>
      <c r="CM228" s="345"/>
      <c r="CN228" s="345"/>
      <c r="CO228" s="345"/>
      <c r="CP228" s="345"/>
      <c r="CQ228" s="345"/>
      <c r="CR228" s="345"/>
      <c r="CS228" s="345"/>
      <c r="CT228" s="345"/>
      <c r="CU228" s="345"/>
      <c r="CV228" s="345"/>
      <c r="CW228" s="345"/>
      <c r="CX228" s="345"/>
      <c r="CY228" s="345"/>
      <c r="CZ228" s="345"/>
      <c r="DA228" s="345"/>
      <c r="DB228" s="345"/>
      <c r="DC228" s="345"/>
      <c r="DD228" s="345"/>
      <c r="DE228" s="345"/>
      <c r="DF228" s="345"/>
      <c r="DG228" s="345"/>
      <c r="DH228" s="345"/>
      <c r="DI228" s="345"/>
      <c r="DJ228" s="345"/>
      <c r="DK228" s="345"/>
      <c r="DL228" s="345"/>
      <c r="DM228" s="345"/>
      <c r="DN228" s="345"/>
      <c r="DO228" s="345"/>
      <c r="DP228" s="345"/>
      <c r="DQ228" s="345"/>
      <c r="DR228" s="345"/>
      <c r="DS228" s="345"/>
      <c r="DT228" s="345"/>
      <c r="DU228" s="345"/>
      <c r="DV228" s="345"/>
      <c r="DW228" s="345"/>
      <c r="DX228" s="345"/>
      <c r="DY228" s="345"/>
      <c r="DZ228" s="345"/>
      <c r="EA228" s="345"/>
    </row>
    <row r="229" spans="1:131" hidden="1">
      <c r="A229" s="345"/>
      <c r="B229" s="345"/>
      <c r="C229" s="345"/>
      <c r="D229" s="345"/>
      <c r="E229" s="345"/>
      <c r="F229" s="345"/>
      <c r="G229" s="345"/>
      <c r="H229" s="345"/>
      <c r="I229" s="345"/>
      <c r="J229" s="345"/>
      <c r="K229" s="345"/>
      <c r="L229" s="345"/>
      <c r="M229" s="345"/>
      <c r="N229" s="345"/>
      <c r="O229" s="345"/>
      <c r="P229" s="345"/>
      <c r="Q229" s="345"/>
      <c r="R229" s="345"/>
      <c r="S229" s="345"/>
      <c r="T229" s="345"/>
      <c r="U229" s="345"/>
      <c r="V229" s="345"/>
      <c r="W229" s="345"/>
      <c r="X229" s="345"/>
      <c r="Y229" s="345"/>
      <c r="Z229" s="345"/>
      <c r="AA229" s="345"/>
      <c r="AB229" s="345"/>
      <c r="AC229" s="345"/>
      <c r="AD229" s="345"/>
      <c r="AE229" s="345"/>
      <c r="AF229" s="345"/>
      <c r="AG229" s="345"/>
      <c r="AH229" s="345"/>
      <c r="AI229" s="345"/>
      <c r="AJ229" s="345"/>
      <c r="AK229" s="345"/>
      <c r="AL229" s="345"/>
      <c r="AM229" s="345"/>
      <c r="AN229" s="345"/>
      <c r="AO229" s="345"/>
      <c r="AP229" s="345"/>
      <c r="AQ229" s="345"/>
      <c r="AR229" s="345"/>
      <c r="AS229" s="345"/>
      <c r="AT229" s="345"/>
      <c r="AU229" s="345"/>
      <c r="AV229" s="345"/>
      <c r="AW229" s="345"/>
      <c r="AX229" s="345"/>
      <c r="AY229" s="345"/>
      <c r="AZ229" s="345"/>
      <c r="BA229" s="345"/>
      <c r="BB229" s="345"/>
      <c r="BC229" s="345"/>
      <c r="BD229" s="345"/>
      <c r="BE229" s="345"/>
      <c r="BF229" s="345"/>
      <c r="BG229" s="345"/>
      <c r="BH229" s="345"/>
      <c r="BI229" s="345"/>
      <c r="BJ229" s="345"/>
      <c r="BK229" s="345"/>
      <c r="BL229" s="345"/>
      <c r="BM229" s="345"/>
      <c r="BN229" s="345"/>
      <c r="BO229" s="345"/>
      <c r="BP229" s="345"/>
      <c r="BQ229" s="345"/>
      <c r="BR229" s="345"/>
      <c r="BS229" s="345"/>
      <c r="BT229" s="345"/>
      <c r="BU229" s="345"/>
      <c r="BV229" s="345"/>
      <c r="BW229" s="345"/>
      <c r="BX229" s="345"/>
      <c r="BY229" s="345"/>
      <c r="BZ229" s="345"/>
      <c r="CA229" s="345"/>
      <c r="CB229" s="345"/>
      <c r="CC229" s="345"/>
      <c r="CD229" s="345"/>
      <c r="CE229" s="345"/>
      <c r="CF229" s="345"/>
      <c r="CG229" s="345"/>
      <c r="CH229" s="345"/>
      <c r="CI229" s="345"/>
      <c r="CJ229" s="345"/>
      <c r="CK229" s="345"/>
      <c r="CL229" s="345"/>
      <c r="CM229" s="345"/>
      <c r="CN229" s="345"/>
      <c r="CO229" s="345"/>
      <c r="CP229" s="345"/>
      <c r="CQ229" s="345"/>
      <c r="CR229" s="345"/>
      <c r="CS229" s="345"/>
      <c r="CT229" s="345"/>
      <c r="CU229" s="345"/>
      <c r="CV229" s="345"/>
      <c r="CW229" s="345"/>
      <c r="CX229" s="345"/>
      <c r="CY229" s="345"/>
      <c r="CZ229" s="345"/>
      <c r="DA229" s="345"/>
      <c r="DB229" s="345"/>
      <c r="DC229" s="345"/>
      <c r="DD229" s="345"/>
      <c r="DE229" s="345"/>
      <c r="DF229" s="345"/>
      <c r="DG229" s="345"/>
      <c r="DH229" s="345"/>
      <c r="DI229" s="345"/>
      <c r="DJ229" s="345"/>
      <c r="DK229" s="345"/>
      <c r="DL229" s="345"/>
      <c r="DM229" s="345"/>
      <c r="DN229" s="345"/>
      <c r="DO229" s="345"/>
      <c r="DP229" s="345"/>
      <c r="DQ229" s="345"/>
      <c r="DR229" s="345"/>
      <c r="DS229" s="345"/>
      <c r="DT229" s="345"/>
      <c r="DU229" s="345"/>
      <c r="DV229" s="345"/>
      <c r="DW229" s="345"/>
      <c r="DX229" s="345"/>
      <c r="DY229" s="345"/>
      <c r="DZ229" s="345"/>
      <c r="EA229" s="345"/>
    </row>
    <row r="230" spans="1:131" hidden="1">
      <c r="A230" s="345"/>
      <c r="B230" s="345"/>
      <c r="C230" s="345"/>
      <c r="D230" s="345"/>
      <c r="E230" s="345"/>
      <c r="F230" s="345"/>
      <c r="G230" s="345"/>
      <c r="H230" s="345"/>
      <c r="I230" s="345"/>
      <c r="J230" s="345"/>
      <c r="K230" s="345"/>
      <c r="L230" s="345"/>
      <c r="M230" s="345"/>
      <c r="N230" s="345"/>
      <c r="O230" s="345"/>
      <c r="P230" s="345"/>
      <c r="Q230" s="345"/>
      <c r="R230" s="345"/>
      <c r="S230" s="345"/>
      <c r="T230" s="345"/>
      <c r="U230" s="345"/>
      <c r="V230" s="345"/>
      <c r="W230" s="345"/>
      <c r="X230" s="345"/>
      <c r="Y230" s="345"/>
      <c r="Z230" s="345"/>
      <c r="AA230" s="345"/>
      <c r="AB230" s="345"/>
      <c r="AC230" s="345"/>
      <c r="AD230" s="345"/>
      <c r="AE230" s="345"/>
      <c r="AF230" s="345"/>
      <c r="AG230" s="345"/>
      <c r="AH230" s="345"/>
      <c r="AI230" s="345"/>
      <c r="AJ230" s="345"/>
      <c r="AK230" s="345"/>
      <c r="AL230" s="345"/>
      <c r="AM230" s="345"/>
      <c r="AN230" s="345"/>
      <c r="AO230" s="345"/>
      <c r="AP230" s="345"/>
      <c r="AQ230" s="345"/>
      <c r="AR230" s="345"/>
      <c r="AS230" s="345"/>
      <c r="AT230" s="345"/>
      <c r="AU230" s="345"/>
      <c r="AV230" s="345"/>
      <c r="AW230" s="345"/>
      <c r="AX230" s="345"/>
      <c r="AY230" s="345"/>
      <c r="AZ230" s="345"/>
      <c r="BA230" s="345"/>
      <c r="BB230" s="345"/>
      <c r="BC230" s="345"/>
      <c r="BD230" s="345"/>
      <c r="BE230" s="345"/>
      <c r="BF230" s="345"/>
      <c r="BG230" s="345"/>
      <c r="BH230" s="345"/>
      <c r="BI230" s="345"/>
      <c r="BJ230" s="345"/>
      <c r="BK230" s="345"/>
      <c r="BL230" s="345"/>
      <c r="BM230" s="345"/>
      <c r="BN230" s="345"/>
      <c r="BO230" s="345"/>
      <c r="BP230" s="345"/>
      <c r="BQ230" s="345"/>
      <c r="BR230" s="345"/>
      <c r="BS230" s="345"/>
      <c r="BT230" s="345"/>
      <c r="BU230" s="345"/>
      <c r="BV230" s="345"/>
      <c r="BW230" s="345"/>
      <c r="BX230" s="345"/>
      <c r="BY230" s="345"/>
      <c r="BZ230" s="345"/>
      <c r="CA230" s="345"/>
      <c r="CB230" s="345"/>
      <c r="CC230" s="345"/>
      <c r="CD230" s="345"/>
      <c r="CE230" s="345"/>
      <c r="CF230" s="345"/>
      <c r="CG230" s="345"/>
      <c r="CH230" s="345"/>
      <c r="CI230" s="345"/>
      <c r="CJ230" s="345"/>
      <c r="CK230" s="345"/>
      <c r="CL230" s="345"/>
      <c r="CM230" s="345"/>
      <c r="CN230" s="345"/>
      <c r="CO230" s="345"/>
      <c r="CP230" s="345"/>
      <c r="CQ230" s="345"/>
      <c r="CR230" s="345"/>
      <c r="CS230" s="345"/>
      <c r="CT230" s="345"/>
      <c r="CU230" s="345"/>
      <c r="CV230" s="345"/>
      <c r="CW230" s="345"/>
      <c r="CX230" s="345"/>
      <c r="CY230" s="345"/>
      <c r="CZ230" s="345"/>
      <c r="DA230" s="345"/>
      <c r="DB230" s="345"/>
      <c r="DC230" s="345"/>
      <c r="DD230" s="345"/>
      <c r="DE230" s="345"/>
      <c r="DF230" s="345"/>
      <c r="DG230" s="345"/>
      <c r="DH230" s="345"/>
      <c r="DI230" s="345"/>
      <c r="DJ230" s="345"/>
      <c r="DK230" s="345"/>
      <c r="DL230" s="345"/>
      <c r="DM230" s="345"/>
      <c r="DN230" s="345"/>
      <c r="DO230" s="345"/>
      <c r="DP230" s="345"/>
      <c r="DQ230" s="345"/>
      <c r="DR230" s="345"/>
      <c r="DS230" s="345"/>
      <c r="DT230" s="345"/>
      <c r="DU230" s="345"/>
      <c r="DV230" s="345"/>
      <c r="DW230" s="345"/>
      <c r="DX230" s="345"/>
      <c r="DY230" s="345"/>
      <c r="DZ230" s="345"/>
      <c r="EA230" s="345"/>
    </row>
    <row r="231" spans="1:131" hidden="1">
      <c r="A231" s="345"/>
      <c r="B231" s="345"/>
      <c r="C231" s="345"/>
      <c r="D231" s="345"/>
      <c r="E231" s="345"/>
      <c r="F231" s="345"/>
      <c r="G231" s="345"/>
      <c r="H231" s="345"/>
      <c r="I231" s="345"/>
      <c r="J231" s="345"/>
      <c r="K231" s="345"/>
      <c r="L231" s="345"/>
      <c r="M231" s="345"/>
      <c r="N231" s="345"/>
      <c r="O231" s="345"/>
      <c r="P231" s="345"/>
      <c r="Q231" s="345"/>
      <c r="R231" s="345"/>
      <c r="S231" s="345"/>
      <c r="T231" s="345"/>
      <c r="U231" s="345"/>
      <c r="V231" s="345"/>
      <c r="W231" s="345"/>
      <c r="X231" s="345"/>
      <c r="Y231" s="345"/>
      <c r="Z231" s="345"/>
      <c r="AA231" s="345"/>
      <c r="AB231" s="345"/>
      <c r="AC231" s="345"/>
      <c r="AD231" s="345"/>
      <c r="AE231" s="345"/>
      <c r="AF231" s="345"/>
      <c r="AG231" s="345"/>
      <c r="AH231" s="345"/>
      <c r="AI231" s="345"/>
      <c r="AJ231" s="345"/>
      <c r="AK231" s="345"/>
      <c r="AL231" s="345"/>
      <c r="AM231" s="345"/>
      <c r="AN231" s="345"/>
      <c r="AO231" s="345"/>
      <c r="AP231" s="345"/>
      <c r="AQ231" s="345"/>
      <c r="AR231" s="345"/>
      <c r="AS231" s="345"/>
      <c r="AT231" s="345"/>
      <c r="AU231" s="345"/>
      <c r="AV231" s="345"/>
      <c r="AW231" s="345"/>
      <c r="AX231" s="345"/>
      <c r="AY231" s="345"/>
      <c r="AZ231" s="345"/>
      <c r="BA231" s="345"/>
      <c r="BB231" s="345"/>
      <c r="BC231" s="345"/>
      <c r="BD231" s="345"/>
      <c r="BE231" s="345"/>
      <c r="BF231" s="345"/>
      <c r="BG231" s="345"/>
      <c r="BH231" s="345"/>
      <c r="BI231" s="345"/>
      <c r="BJ231" s="345"/>
      <c r="BK231" s="345"/>
      <c r="BL231" s="345"/>
      <c r="BM231" s="345"/>
      <c r="BN231" s="345"/>
      <c r="BO231" s="345"/>
      <c r="BP231" s="345"/>
      <c r="BQ231" s="345"/>
      <c r="BR231" s="345"/>
      <c r="BS231" s="345"/>
      <c r="BT231" s="345"/>
      <c r="BU231" s="345"/>
      <c r="BV231" s="345"/>
      <c r="BW231" s="345"/>
      <c r="BX231" s="345"/>
      <c r="BY231" s="345"/>
      <c r="BZ231" s="345"/>
      <c r="CA231" s="345"/>
      <c r="CB231" s="345"/>
      <c r="CC231" s="345"/>
      <c r="CD231" s="345"/>
      <c r="CE231" s="345"/>
      <c r="CF231" s="345"/>
      <c r="CG231" s="345"/>
      <c r="CH231" s="345"/>
      <c r="CI231" s="345"/>
      <c r="CJ231" s="345"/>
      <c r="CK231" s="345"/>
      <c r="CL231" s="345"/>
      <c r="CM231" s="345"/>
      <c r="CN231" s="345"/>
      <c r="CO231" s="345"/>
      <c r="CP231" s="345"/>
      <c r="CQ231" s="345"/>
      <c r="CR231" s="345"/>
      <c r="CS231" s="345"/>
      <c r="CT231" s="345"/>
      <c r="CU231" s="345"/>
      <c r="CV231" s="345"/>
      <c r="CW231" s="345"/>
      <c r="CX231" s="345"/>
      <c r="CY231" s="345"/>
      <c r="CZ231" s="345"/>
      <c r="DA231" s="345"/>
      <c r="DB231" s="345"/>
      <c r="DC231" s="345"/>
      <c r="DD231" s="345"/>
      <c r="DE231" s="345"/>
      <c r="DF231" s="345"/>
      <c r="DG231" s="345"/>
      <c r="DH231" s="345"/>
      <c r="DI231" s="345"/>
      <c r="DJ231" s="345"/>
      <c r="DK231" s="345"/>
      <c r="DL231" s="345"/>
      <c r="DM231" s="345"/>
      <c r="DN231" s="345"/>
      <c r="DO231" s="345"/>
      <c r="DP231" s="345"/>
      <c r="DQ231" s="345"/>
      <c r="DR231" s="345"/>
      <c r="DS231" s="345"/>
      <c r="DT231" s="345"/>
      <c r="DU231" s="345"/>
      <c r="DV231" s="345"/>
      <c r="DW231" s="345"/>
      <c r="DX231" s="345"/>
      <c r="DY231" s="345"/>
      <c r="DZ231" s="345"/>
      <c r="EA231" s="345"/>
    </row>
    <row r="232" spans="1:131" hidden="1">
      <c r="A232" s="345"/>
      <c r="B232" s="345"/>
      <c r="C232" s="345"/>
      <c r="D232" s="345"/>
      <c r="E232" s="345"/>
      <c r="F232" s="345"/>
      <c r="G232" s="345"/>
      <c r="H232" s="345"/>
      <c r="I232" s="345"/>
      <c r="J232" s="345"/>
      <c r="K232" s="345"/>
      <c r="L232" s="345"/>
      <c r="M232" s="345"/>
      <c r="N232" s="345"/>
      <c r="O232" s="345"/>
      <c r="P232" s="345"/>
      <c r="Q232" s="345"/>
      <c r="R232" s="345"/>
      <c r="S232" s="345"/>
      <c r="T232" s="345"/>
      <c r="U232" s="345"/>
      <c r="V232" s="345"/>
      <c r="W232" s="345"/>
      <c r="X232" s="345"/>
      <c r="Y232" s="345"/>
      <c r="Z232" s="345"/>
      <c r="AA232" s="345"/>
      <c r="AB232" s="345"/>
      <c r="AC232" s="345"/>
      <c r="AD232" s="345"/>
      <c r="AE232" s="345"/>
      <c r="AF232" s="345"/>
      <c r="AG232" s="345"/>
      <c r="AH232" s="345"/>
      <c r="AI232" s="345"/>
      <c r="AJ232" s="345"/>
      <c r="AK232" s="345"/>
      <c r="AL232" s="345"/>
      <c r="AM232" s="345"/>
      <c r="AN232" s="345"/>
      <c r="AO232" s="345"/>
      <c r="AP232" s="345"/>
      <c r="AQ232" s="345"/>
      <c r="AR232" s="345"/>
      <c r="AS232" s="345"/>
      <c r="AT232" s="345"/>
      <c r="AU232" s="345"/>
      <c r="AV232" s="345"/>
      <c r="AW232" s="345"/>
      <c r="AX232" s="345"/>
      <c r="AY232" s="345"/>
      <c r="AZ232" s="345"/>
      <c r="BA232" s="345"/>
      <c r="BB232" s="345"/>
      <c r="BC232" s="345"/>
      <c r="BD232" s="345"/>
      <c r="BE232" s="345"/>
      <c r="BF232" s="345"/>
      <c r="BG232" s="345"/>
      <c r="BH232" s="345"/>
      <c r="BI232" s="345"/>
      <c r="BJ232" s="345"/>
      <c r="BK232" s="345"/>
      <c r="BL232" s="345"/>
      <c r="BM232" s="345"/>
      <c r="BN232" s="345"/>
      <c r="BO232" s="345"/>
      <c r="BP232" s="345"/>
      <c r="BQ232" s="345"/>
      <c r="BR232" s="345"/>
      <c r="BS232" s="345"/>
      <c r="BT232" s="345"/>
      <c r="BU232" s="345"/>
      <c r="BV232" s="345"/>
      <c r="BW232" s="345"/>
      <c r="BX232" s="345"/>
      <c r="BY232" s="345"/>
      <c r="BZ232" s="345"/>
      <c r="CA232" s="345"/>
      <c r="CB232" s="345"/>
      <c r="CC232" s="345"/>
      <c r="CD232" s="345"/>
      <c r="CE232" s="345"/>
      <c r="CF232" s="345"/>
      <c r="CG232" s="345"/>
      <c r="CH232" s="345"/>
      <c r="CI232" s="345"/>
      <c r="CJ232" s="345"/>
      <c r="CK232" s="345"/>
      <c r="CL232" s="345"/>
      <c r="CM232" s="345"/>
      <c r="CN232" s="345"/>
      <c r="CO232" s="345"/>
      <c r="CP232" s="345"/>
      <c r="CQ232" s="345"/>
      <c r="CR232" s="345"/>
      <c r="CS232" s="345"/>
      <c r="CT232" s="345"/>
      <c r="CU232" s="345"/>
      <c r="CV232" s="345"/>
      <c r="CW232" s="345"/>
      <c r="CX232" s="345"/>
      <c r="CY232" s="345"/>
      <c r="CZ232" s="345"/>
      <c r="DA232" s="345"/>
      <c r="DB232" s="345"/>
      <c r="DC232" s="345"/>
      <c r="DD232" s="345"/>
      <c r="DE232" s="345"/>
      <c r="DF232" s="345"/>
      <c r="DG232" s="345"/>
      <c r="DH232" s="345"/>
      <c r="DI232" s="345"/>
      <c r="DJ232" s="345"/>
      <c r="DK232" s="345"/>
      <c r="DL232" s="345"/>
      <c r="DM232" s="345"/>
      <c r="DN232" s="345"/>
      <c r="DO232" s="345"/>
      <c r="DP232" s="345"/>
      <c r="DQ232" s="345"/>
      <c r="DR232" s="345"/>
      <c r="DS232" s="345"/>
      <c r="DT232" s="345"/>
      <c r="DU232" s="345"/>
      <c r="DV232" s="345"/>
      <c r="DW232" s="345"/>
      <c r="DX232" s="345"/>
      <c r="DY232" s="345"/>
      <c r="DZ232" s="345"/>
      <c r="EA232" s="345"/>
    </row>
    <row r="233" spans="1:131" hidden="1">
      <c r="A233" s="345"/>
      <c r="B233" s="345"/>
      <c r="C233" s="345"/>
      <c r="D233" s="345"/>
      <c r="E233" s="345"/>
      <c r="F233" s="345"/>
      <c r="G233" s="345"/>
      <c r="H233" s="345"/>
      <c r="I233" s="345"/>
      <c r="J233" s="345"/>
      <c r="K233" s="345"/>
      <c r="L233" s="345"/>
      <c r="M233" s="345"/>
      <c r="N233" s="345"/>
      <c r="O233" s="345"/>
      <c r="P233" s="345"/>
      <c r="Q233" s="345"/>
      <c r="R233" s="345"/>
      <c r="S233" s="345"/>
      <c r="T233" s="345"/>
      <c r="U233" s="345"/>
      <c r="V233" s="345"/>
      <c r="W233" s="345"/>
      <c r="X233" s="345"/>
      <c r="Y233" s="345"/>
      <c r="Z233" s="345"/>
      <c r="AA233" s="345"/>
      <c r="AB233" s="345"/>
      <c r="AC233" s="345"/>
      <c r="AD233" s="345"/>
      <c r="AE233" s="345"/>
      <c r="AF233" s="345"/>
      <c r="AG233" s="345"/>
      <c r="AH233" s="345"/>
      <c r="AI233" s="345"/>
      <c r="AJ233" s="345"/>
      <c r="AK233" s="345"/>
      <c r="AL233" s="345"/>
      <c r="AM233" s="345"/>
      <c r="AN233" s="345"/>
      <c r="AO233" s="345"/>
      <c r="AP233" s="345"/>
      <c r="AQ233" s="345"/>
      <c r="AR233" s="345"/>
      <c r="AS233" s="345"/>
      <c r="AT233" s="345"/>
      <c r="AU233" s="345"/>
      <c r="AV233" s="345"/>
      <c r="AW233" s="345"/>
      <c r="AX233" s="345"/>
      <c r="AY233" s="345"/>
      <c r="AZ233" s="345"/>
      <c r="BA233" s="345"/>
      <c r="BB233" s="345"/>
      <c r="BC233" s="345"/>
      <c r="BD233" s="345"/>
      <c r="BE233" s="345"/>
      <c r="BF233" s="345"/>
      <c r="BG233" s="345"/>
      <c r="BH233" s="345"/>
      <c r="BI233" s="345"/>
      <c r="BJ233" s="345"/>
      <c r="BK233" s="345"/>
      <c r="BL233" s="345"/>
      <c r="BM233" s="345"/>
      <c r="BN233" s="345"/>
      <c r="BO233" s="345"/>
      <c r="BP233" s="345"/>
      <c r="BQ233" s="345"/>
      <c r="BR233" s="345"/>
      <c r="BS233" s="345"/>
      <c r="BT233" s="345"/>
      <c r="BU233" s="345"/>
      <c r="BV233" s="345"/>
      <c r="BW233" s="345"/>
      <c r="BX233" s="345"/>
      <c r="BY233" s="345"/>
      <c r="BZ233" s="345"/>
      <c r="CA233" s="345"/>
      <c r="CB233" s="345"/>
      <c r="CC233" s="345"/>
      <c r="CD233" s="345"/>
      <c r="CE233" s="345"/>
      <c r="CF233" s="345"/>
      <c r="CG233" s="345"/>
      <c r="CH233" s="345"/>
      <c r="CI233" s="345"/>
      <c r="CJ233" s="345"/>
      <c r="CK233" s="345"/>
      <c r="CL233" s="345"/>
      <c r="CM233" s="345"/>
      <c r="CN233" s="345"/>
      <c r="CO233" s="345"/>
      <c r="CP233" s="345"/>
      <c r="CQ233" s="345"/>
      <c r="CR233" s="345"/>
      <c r="CS233" s="345"/>
      <c r="CT233" s="345"/>
      <c r="CU233" s="345"/>
      <c r="CV233" s="345"/>
      <c r="CW233" s="345"/>
      <c r="CX233" s="345"/>
      <c r="CY233" s="345"/>
      <c r="CZ233" s="345"/>
      <c r="DA233" s="345"/>
      <c r="DB233" s="345"/>
      <c r="DC233" s="345"/>
      <c r="DD233" s="345"/>
      <c r="DE233" s="345"/>
      <c r="DF233" s="345"/>
      <c r="DG233" s="345"/>
      <c r="DH233" s="345"/>
      <c r="DI233" s="345"/>
      <c r="DJ233" s="345"/>
      <c r="DK233" s="345"/>
      <c r="DL233" s="345"/>
      <c r="DM233" s="345"/>
      <c r="DN233" s="345"/>
      <c r="DO233" s="345"/>
      <c r="DP233" s="345"/>
      <c r="DQ233" s="345"/>
      <c r="DR233" s="345"/>
      <c r="DS233" s="345"/>
      <c r="DT233" s="345"/>
      <c r="DU233" s="345"/>
      <c r="DV233" s="345"/>
      <c r="DW233" s="345"/>
      <c r="DX233" s="345"/>
      <c r="DY233" s="345"/>
      <c r="DZ233" s="345"/>
      <c r="EA233" s="345"/>
    </row>
    <row r="234" spans="1:131" hidden="1">
      <c r="A234" s="345"/>
      <c r="B234" s="345"/>
      <c r="C234" s="345"/>
      <c r="D234" s="345"/>
      <c r="E234" s="345"/>
      <c r="F234" s="345"/>
      <c r="G234" s="345"/>
      <c r="H234" s="345"/>
      <c r="I234" s="345"/>
      <c r="J234" s="345"/>
      <c r="K234" s="345"/>
      <c r="L234" s="345"/>
      <c r="M234" s="345"/>
      <c r="N234" s="345"/>
      <c r="O234" s="345"/>
      <c r="P234" s="345"/>
      <c r="Q234" s="345"/>
      <c r="R234" s="345"/>
      <c r="S234" s="345"/>
      <c r="T234" s="345"/>
      <c r="U234" s="345"/>
      <c r="V234" s="345"/>
      <c r="W234" s="345"/>
      <c r="X234" s="345"/>
      <c r="Y234" s="345"/>
      <c r="Z234" s="345"/>
      <c r="AA234" s="345"/>
      <c r="AB234" s="345"/>
      <c r="AC234" s="345"/>
      <c r="AD234" s="345"/>
      <c r="AE234" s="345"/>
      <c r="AF234" s="345"/>
      <c r="AG234" s="345"/>
      <c r="AH234" s="345"/>
      <c r="AI234" s="345"/>
      <c r="AJ234" s="345"/>
      <c r="AK234" s="345"/>
      <c r="AL234" s="345"/>
      <c r="AM234" s="345"/>
      <c r="AN234" s="345"/>
      <c r="AO234" s="345"/>
      <c r="AP234" s="345"/>
      <c r="AQ234" s="345"/>
      <c r="AR234" s="345"/>
      <c r="AS234" s="345"/>
      <c r="AT234" s="345"/>
      <c r="AU234" s="345"/>
      <c r="AV234" s="345"/>
      <c r="AW234" s="345"/>
      <c r="AX234" s="345"/>
      <c r="AY234" s="345"/>
      <c r="AZ234" s="345"/>
      <c r="BA234" s="345"/>
      <c r="BB234" s="345"/>
      <c r="BC234" s="345"/>
      <c r="BD234" s="345"/>
      <c r="BE234" s="345"/>
      <c r="BF234" s="345"/>
      <c r="BG234" s="345"/>
      <c r="BH234" s="345"/>
      <c r="BI234" s="345"/>
      <c r="BJ234" s="345"/>
      <c r="BK234" s="345"/>
      <c r="BL234" s="345"/>
      <c r="BM234" s="345"/>
      <c r="BN234" s="345"/>
      <c r="BO234" s="345"/>
      <c r="BP234" s="345"/>
      <c r="BQ234" s="345"/>
      <c r="BR234" s="345"/>
      <c r="BS234" s="345"/>
      <c r="BT234" s="345"/>
      <c r="BU234" s="345"/>
      <c r="BV234" s="345"/>
      <c r="BW234" s="345"/>
      <c r="BX234" s="345"/>
      <c r="BY234" s="345"/>
      <c r="BZ234" s="345"/>
      <c r="CA234" s="345"/>
      <c r="CB234" s="345"/>
      <c r="CC234" s="345"/>
      <c r="CD234" s="345"/>
      <c r="CE234" s="345"/>
      <c r="CF234" s="345"/>
      <c r="CG234" s="345"/>
      <c r="CH234" s="345"/>
      <c r="CI234" s="345"/>
      <c r="CJ234" s="345"/>
      <c r="CK234" s="345"/>
      <c r="CL234" s="345"/>
      <c r="CM234" s="345"/>
      <c r="CN234" s="345"/>
      <c r="CO234" s="345"/>
      <c r="CP234" s="345"/>
      <c r="CQ234" s="345"/>
      <c r="CR234" s="345"/>
      <c r="CS234" s="345"/>
      <c r="CT234" s="345"/>
      <c r="CU234" s="345"/>
      <c r="CV234" s="345"/>
      <c r="CW234" s="345"/>
      <c r="CX234" s="345"/>
      <c r="CY234" s="345"/>
      <c r="CZ234" s="345"/>
      <c r="DA234" s="345"/>
      <c r="DB234" s="345"/>
      <c r="DC234" s="345"/>
      <c r="DD234" s="345"/>
      <c r="DE234" s="345"/>
      <c r="DF234" s="345"/>
      <c r="DG234" s="345"/>
      <c r="DH234" s="345"/>
      <c r="DI234" s="345"/>
      <c r="DJ234" s="345"/>
      <c r="DK234" s="345"/>
      <c r="DL234" s="345"/>
      <c r="DM234" s="345"/>
      <c r="DN234" s="345"/>
      <c r="DO234" s="345"/>
      <c r="DP234" s="345"/>
      <c r="DQ234" s="345"/>
      <c r="DR234" s="345"/>
      <c r="DS234" s="345"/>
      <c r="DT234" s="345"/>
      <c r="DU234" s="345"/>
      <c r="DV234" s="345"/>
      <c r="DW234" s="345"/>
      <c r="DX234" s="345"/>
      <c r="DY234" s="345"/>
      <c r="DZ234" s="345"/>
      <c r="EA234" s="345"/>
    </row>
    <row r="235" spans="1:131" hidden="1">
      <c r="A235" s="345"/>
      <c r="B235" s="345"/>
      <c r="C235" s="345"/>
      <c r="D235" s="345"/>
      <c r="E235" s="345"/>
      <c r="F235" s="345"/>
      <c r="G235" s="345"/>
      <c r="H235" s="345"/>
      <c r="I235" s="345"/>
      <c r="J235" s="345"/>
      <c r="K235" s="345"/>
      <c r="L235" s="345"/>
      <c r="M235" s="345"/>
      <c r="N235" s="345"/>
      <c r="O235" s="345"/>
      <c r="P235" s="345"/>
      <c r="Q235" s="345"/>
      <c r="R235" s="345"/>
      <c r="S235" s="345"/>
      <c r="T235" s="345"/>
      <c r="U235" s="345"/>
      <c r="V235" s="345"/>
      <c r="W235" s="345"/>
      <c r="X235" s="345"/>
      <c r="Y235" s="345"/>
      <c r="Z235" s="345"/>
      <c r="AA235" s="345"/>
      <c r="AB235" s="345"/>
      <c r="AC235" s="345"/>
      <c r="AD235" s="345"/>
      <c r="AE235" s="345"/>
      <c r="AF235" s="345"/>
      <c r="AG235" s="345"/>
      <c r="AH235" s="345"/>
      <c r="AI235" s="345"/>
      <c r="AJ235" s="345"/>
      <c r="AK235" s="345"/>
      <c r="AL235" s="345"/>
      <c r="AM235" s="345"/>
      <c r="AN235" s="345"/>
      <c r="AO235" s="345"/>
      <c r="AP235" s="345"/>
      <c r="AQ235" s="345"/>
      <c r="AR235" s="345"/>
      <c r="AS235" s="345"/>
      <c r="AT235" s="345"/>
      <c r="AU235" s="345"/>
      <c r="AV235" s="345"/>
      <c r="AW235" s="345"/>
      <c r="AX235" s="345"/>
      <c r="AY235" s="345"/>
      <c r="AZ235" s="345"/>
      <c r="BA235" s="345"/>
      <c r="BB235" s="345"/>
      <c r="BC235" s="345"/>
      <c r="BD235" s="345"/>
      <c r="BE235" s="345"/>
      <c r="BF235" s="345"/>
      <c r="BG235" s="345"/>
      <c r="BH235" s="345"/>
      <c r="BI235" s="345"/>
      <c r="BJ235" s="345"/>
      <c r="BK235" s="345"/>
      <c r="BL235" s="345"/>
      <c r="BM235" s="345"/>
      <c r="BN235" s="345"/>
      <c r="BO235" s="345"/>
      <c r="BP235" s="345"/>
      <c r="BQ235" s="345"/>
      <c r="BR235" s="345"/>
      <c r="BS235" s="345"/>
      <c r="BT235" s="345"/>
      <c r="BU235" s="345"/>
      <c r="BV235" s="345"/>
      <c r="BW235" s="345"/>
      <c r="BX235" s="345"/>
      <c r="BY235" s="345"/>
      <c r="BZ235" s="345"/>
      <c r="CA235" s="345"/>
      <c r="CB235" s="345"/>
      <c r="CC235" s="345"/>
      <c r="CD235" s="345"/>
      <c r="CE235" s="345"/>
      <c r="CF235" s="345"/>
      <c r="CG235" s="345"/>
      <c r="CH235" s="345"/>
      <c r="CI235" s="345"/>
      <c r="CJ235" s="345"/>
      <c r="CK235" s="345"/>
      <c r="CL235" s="345"/>
      <c r="CM235" s="345"/>
      <c r="CN235" s="345"/>
      <c r="CO235" s="345"/>
      <c r="CP235" s="345"/>
      <c r="CQ235" s="345"/>
      <c r="CR235" s="345"/>
      <c r="CS235" s="345"/>
      <c r="CT235" s="345"/>
      <c r="CU235" s="345"/>
      <c r="CV235" s="345"/>
      <c r="CW235" s="345"/>
      <c r="CX235" s="345"/>
      <c r="CY235" s="345"/>
      <c r="CZ235" s="345"/>
      <c r="DA235" s="345"/>
      <c r="DB235" s="345"/>
      <c r="DC235" s="345"/>
      <c r="DD235" s="345"/>
      <c r="DE235" s="345"/>
      <c r="DF235" s="345"/>
      <c r="DG235" s="345"/>
      <c r="DH235" s="345"/>
      <c r="DI235" s="345"/>
      <c r="DJ235" s="345"/>
      <c r="DK235" s="345"/>
      <c r="DL235" s="345"/>
      <c r="DM235" s="345"/>
      <c r="DN235" s="345"/>
      <c r="DO235" s="345"/>
      <c r="DP235" s="345"/>
      <c r="DQ235" s="345"/>
      <c r="DR235" s="345"/>
      <c r="DS235" s="345"/>
      <c r="DT235" s="345"/>
      <c r="DU235" s="345"/>
      <c r="DV235" s="345"/>
      <c r="DW235" s="345"/>
      <c r="DX235" s="345"/>
      <c r="DY235" s="345"/>
      <c r="DZ235" s="345"/>
      <c r="EA235" s="345"/>
    </row>
    <row r="236" spans="1:131" hidden="1">
      <c r="A236" s="345"/>
      <c r="B236" s="345"/>
      <c r="C236" s="345"/>
      <c r="D236" s="345"/>
      <c r="E236" s="345"/>
      <c r="F236" s="345"/>
      <c r="G236" s="345"/>
      <c r="H236" s="345"/>
      <c r="I236" s="345"/>
      <c r="J236" s="345"/>
      <c r="K236" s="345"/>
      <c r="L236" s="345"/>
      <c r="M236" s="345"/>
      <c r="N236" s="345"/>
      <c r="O236" s="345"/>
      <c r="P236" s="345"/>
      <c r="Q236" s="345"/>
      <c r="R236" s="345"/>
      <c r="S236" s="345"/>
      <c r="T236" s="345"/>
      <c r="U236" s="345"/>
      <c r="V236" s="345"/>
      <c r="W236" s="345"/>
      <c r="X236" s="345"/>
      <c r="Y236" s="345"/>
      <c r="Z236" s="345"/>
      <c r="AA236" s="345"/>
      <c r="AB236" s="345"/>
      <c r="AC236" s="345"/>
      <c r="AD236" s="345"/>
      <c r="AE236" s="345"/>
      <c r="AF236" s="345"/>
      <c r="AG236" s="345"/>
      <c r="AH236" s="345"/>
      <c r="AI236" s="345"/>
      <c r="AJ236" s="345"/>
      <c r="AK236" s="345"/>
      <c r="AL236" s="345"/>
      <c r="AM236" s="345"/>
      <c r="AN236" s="345"/>
      <c r="AO236" s="345"/>
      <c r="AP236" s="345"/>
      <c r="AQ236" s="345"/>
      <c r="AR236" s="345"/>
      <c r="AS236" s="345"/>
      <c r="AT236" s="345"/>
      <c r="AU236" s="345"/>
      <c r="AV236" s="345"/>
      <c r="AW236" s="345"/>
      <c r="AX236" s="345"/>
      <c r="AY236" s="345"/>
      <c r="AZ236" s="345"/>
      <c r="BA236" s="345"/>
      <c r="BB236" s="345"/>
      <c r="BC236" s="345"/>
      <c r="BD236" s="345"/>
      <c r="BE236" s="345"/>
      <c r="BF236" s="345"/>
      <c r="BG236" s="345"/>
      <c r="BH236" s="345"/>
      <c r="BI236" s="345"/>
      <c r="BJ236" s="345"/>
      <c r="BK236" s="345"/>
      <c r="BL236" s="345"/>
      <c r="BM236" s="345"/>
      <c r="BN236" s="345"/>
      <c r="BO236" s="345"/>
      <c r="BP236" s="345"/>
      <c r="BQ236" s="345"/>
      <c r="BR236" s="345"/>
      <c r="BS236" s="345"/>
      <c r="BT236" s="345"/>
      <c r="BU236" s="345"/>
      <c r="BV236" s="345"/>
      <c r="BW236" s="345"/>
      <c r="BX236" s="345"/>
      <c r="BY236" s="345"/>
      <c r="BZ236" s="345"/>
      <c r="CA236" s="345"/>
      <c r="CB236" s="345"/>
      <c r="CC236" s="345"/>
      <c r="CD236" s="345"/>
      <c r="CE236" s="345"/>
      <c r="CF236" s="345"/>
      <c r="CG236" s="345"/>
      <c r="CH236" s="345"/>
      <c r="CI236" s="345"/>
      <c r="CJ236" s="345"/>
      <c r="CK236" s="345"/>
      <c r="CL236" s="345"/>
      <c r="CM236" s="345"/>
      <c r="CN236" s="345"/>
      <c r="CO236" s="345"/>
      <c r="CP236" s="345"/>
      <c r="CQ236" s="345"/>
      <c r="CR236" s="345"/>
      <c r="CS236" s="345"/>
      <c r="CT236" s="345"/>
      <c r="CU236" s="345"/>
      <c r="CV236" s="345"/>
      <c r="CW236" s="345"/>
      <c r="CX236" s="345"/>
      <c r="CY236" s="345"/>
      <c r="CZ236" s="345"/>
      <c r="DA236" s="345"/>
      <c r="DB236" s="345"/>
      <c r="DC236" s="345"/>
      <c r="DD236" s="345"/>
      <c r="DE236" s="345"/>
      <c r="DF236" s="345"/>
      <c r="DG236" s="345"/>
      <c r="DH236" s="345"/>
      <c r="DI236" s="345"/>
      <c r="DJ236" s="345"/>
      <c r="DK236" s="345"/>
      <c r="DL236" s="345"/>
      <c r="DM236" s="345"/>
      <c r="DN236" s="345"/>
      <c r="DO236" s="345"/>
      <c r="DP236" s="345"/>
      <c r="DQ236" s="345"/>
      <c r="DR236" s="345"/>
      <c r="DS236" s="345"/>
      <c r="DT236" s="345"/>
      <c r="DU236" s="345"/>
      <c r="DV236" s="345"/>
      <c r="DW236" s="345"/>
      <c r="DX236" s="345"/>
      <c r="DY236" s="345"/>
      <c r="DZ236" s="345"/>
      <c r="EA236" s="345"/>
    </row>
    <row r="237" spans="1:131" hidden="1">
      <c r="A237" s="345"/>
      <c r="B237" s="345"/>
      <c r="C237" s="345"/>
      <c r="D237" s="345"/>
      <c r="E237" s="345"/>
      <c r="F237" s="345"/>
      <c r="G237" s="345"/>
      <c r="H237" s="345"/>
      <c r="I237" s="345"/>
      <c r="J237" s="345"/>
      <c r="K237" s="345"/>
      <c r="L237" s="345"/>
      <c r="M237" s="345"/>
      <c r="N237" s="345"/>
      <c r="O237" s="345"/>
      <c r="P237" s="345"/>
      <c r="Q237" s="345"/>
      <c r="R237" s="345"/>
      <c r="S237" s="345"/>
      <c r="T237" s="345"/>
      <c r="U237" s="345"/>
      <c r="V237" s="345"/>
      <c r="W237" s="345"/>
      <c r="X237" s="345"/>
      <c r="Y237" s="345"/>
      <c r="Z237" s="345"/>
      <c r="AA237" s="345"/>
      <c r="AB237" s="345"/>
      <c r="AC237" s="345"/>
      <c r="AD237" s="345"/>
      <c r="AE237" s="345"/>
      <c r="AF237" s="345"/>
      <c r="AG237" s="345"/>
      <c r="AH237" s="345"/>
      <c r="AI237" s="345"/>
      <c r="AJ237" s="345"/>
      <c r="AK237" s="345"/>
      <c r="AL237" s="345"/>
      <c r="AM237" s="345"/>
      <c r="AN237" s="345"/>
      <c r="AO237" s="345"/>
      <c r="AP237" s="345"/>
      <c r="AQ237" s="345"/>
      <c r="AR237" s="345"/>
      <c r="AS237" s="345"/>
      <c r="AT237" s="345"/>
      <c r="AU237" s="345"/>
      <c r="AV237" s="345"/>
      <c r="AW237" s="345"/>
      <c r="AX237" s="345"/>
      <c r="AY237" s="345"/>
      <c r="AZ237" s="345"/>
      <c r="BA237" s="345"/>
      <c r="BB237" s="345"/>
      <c r="BC237" s="345"/>
      <c r="BD237" s="345"/>
      <c r="BE237" s="345"/>
      <c r="BF237" s="345"/>
      <c r="BG237" s="345"/>
      <c r="BH237" s="345"/>
      <c r="BI237" s="345"/>
      <c r="BJ237" s="345"/>
      <c r="BK237" s="345"/>
      <c r="BL237" s="345"/>
      <c r="BM237" s="345"/>
      <c r="BN237" s="345"/>
      <c r="BO237" s="345"/>
      <c r="BP237" s="345"/>
      <c r="BQ237" s="345"/>
      <c r="BR237" s="345"/>
      <c r="BS237" s="345"/>
      <c r="BT237" s="345"/>
      <c r="BU237" s="345"/>
      <c r="BV237" s="345"/>
      <c r="BW237" s="345"/>
      <c r="BX237" s="345"/>
      <c r="BY237" s="345"/>
      <c r="BZ237" s="345"/>
      <c r="CA237" s="345"/>
      <c r="CB237" s="345"/>
      <c r="CC237" s="345"/>
      <c r="CD237" s="345"/>
      <c r="CE237" s="345"/>
      <c r="CF237" s="345"/>
      <c r="CG237" s="345"/>
      <c r="CH237" s="345"/>
      <c r="CI237" s="345"/>
      <c r="CJ237" s="345"/>
      <c r="CK237" s="345"/>
      <c r="CL237" s="345"/>
      <c r="CM237" s="345"/>
      <c r="CN237" s="345"/>
      <c r="CO237" s="345"/>
      <c r="CP237" s="345"/>
      <c r="CQ237" s="345"/>
      <c r="CR237" s="345"/>
      <c r="CS237" s="345"/>
      <c r="CT237" s="345"/>
      <c r="CU237" s="345"/>
      <c r="CV237" s="345"/>
      <c r="CW237" s="345"/>
      <c r="CX237" s="345"/>
      <c r="CY237" s="345"/>
      <c r="CZ237" s="345"/>
      <c r="DA237" s="345"/>
      <c r="DB237" s="345"/>
      <c r="DC237" s="345"/>
      <c r="DD237" s="345"/>
      <c r="DE237" s="345"/>
      <c r="DF237" s="345"/>
      <c r="DG237" s="345"/>
      <c r="DH237" s="345"/>
      <c r="DI237" s="345"/>
      <c r="DJ237" s="345"/>
      <c r="DK237" s="345"/>
      <c r="DL237" s="345"/>
      <c r="DM237" s="345"/>
      <c r="DN237" s="345"/>
      <c r="DO237" s="345"/>
      <c r="DP237" s="345"/>
      <c r="DQ237" s="345"/>
      <c r="DR237" s="345"/>
      <c r="DS237" s="345"/>
      <c r="DT237" s="345"/>
      <c r="DU237" s="345"/>
      <c r="DV237" s="345"/>
      <c r="DW237" s="345"/>
      <c r="DX237" s="345"/>
      <c r="DY237" s="345"/>
      <c r="DZ237" s="345"/>
      <c r="EA237" s="345"/>
    </row>
    <row r="238" spans="1:131" hidden="1">
      <c r="A238" s="345"/>
      <c r="B238" s="345"/>
      <c r="C238" s="345"/>
      <c r="D238" s="345"/>
      <c r="E238" s="345"/>
      <c r="F238" s="345"/>
      <c r="G238" s="345"/>
      <c r="H238" s="345"/>
      <c r="I238" s="345"/>
      <c r="J238" s="345"/>
      <c r="K238" s="345"/>
      <c r="L238" s="345"/>
      <c r="M238" s="345"/>
      <c r="N238" s="345"/>
      <c r="O238" s="345"/>
      <c r="P238" s="345"/>
      <c r="Q238" s="345"/>
      <c r="R238" s="345"/>
      <c r="S238" s="345"/>
      <c r="T238" s="345"/>
      <c r="U238" s="345"/>
      <c r="V238" s="345"/>
      <c r="W238" s="345"/>
      <c r="X238" s="345"/>
      <c r="Y238" s="345"/>
      <c r="Z238" s="345"/>
      <c r="AA238" s="345"/>
      <c r="AB238" s="345"/>
      <c r="AC238" s="345"/>
      <c r="AD238" s="345"/>
      <c r="AE238" s="345"/>
      <c r="AF238" s="345"/>
      <c r="AG238" s="345"/>
      <c r="AH238" s="345"/>
      <c r="AI238" s="345"/>
      <c r="AJ238" s="345"/>
      <c r="AK238" s="345"/>
      <c r="AL238" s="345"/>
      <c r="AM238" s="345"/>
      <c r="AN238" s="345"/>
      <c r="AO238" s="345"/>
      <c r="AP238" s="345"/>
      <c r="AQ238" s="345"/>
      <c r="AR238" s="345"/>
      <c r="AS238" s="345"/>
      <c r="AT238" s="345"/>
      <c r="AU238" s="345"/>
      <c r="AV238" s="345"/>
      <c r="AW238" s="345"/>
      <c r="AX238" s="345"/>
      <c r="AY238" s="345"/>
      <c r="AZ238" s="345"/>
      <c r="BA238" s="345"/>
      <c r="BB238" s="345"/>
      <c r="BC238" s="345"/>
      <c r="BD238" s="345"/>
      <c r="BE238" s="345"/>
      <c r="BF238" s="345"/>
      <c r="BG238" s="345"/>
      <c r="BH238" s="345"/>
      <c r="BI238" s="345"/>
      <c r="BJ238" s="345"/>
      <c r="BK238" s="345"/>
      <c r="BL238" s="345"/>
      <c r="BM238" s="345"/>
      <c r="BN238" s="345"/>
      <c r="BO238" s="345"/>
      <c r="BP238" s="345"/>
      <c r="BQ238" s="345"/>
      <c r="BR238" s="345"/>
      <c r="BS238" s="345"/>
      <c r="BT238" s="345"/>
      <c r="BU238" s="345"/>
      <c r="BV238" s="345"/>
      <c r="BW238" s="345"/>
      <c r="BX238" s="345"/>
      <c r="BY238" s="345"/>
      <c r="BZ238" s="345"/>
      <c r="CA238" s="345"/>
      <c r="CB238" s="345"/>
      <c r="CC238" s="345"/>
      <c r="CD238" s="345"/>
      <c r="CE238" s="345"/>
      <c r="CF238" s="345"/>
      <c r="CG238" s="345"/>
      <c r="CH238" s="345"/>
      <c r="CI238" s="345"/>
      <c r="CJ238" s="345"/>
      <c r="CK238" s="345"/>
      <c r="CL238" s="345"/>
      <c r="CM238" s="345"/>
      <c r="CN238" s="345"/>
      <c r="CO238" s="345"/>
      <c r="CP238" s="345"/>
      <c r="CQ238" s="345"/>
      <c r="CR238" s="345"/>
      <c r="CS238" s="345"/>
      <c r="CT238" s="345"/>
      <c r="CU238" s="345"/>
      <c r="CV238" s="345"/>
      <c r="CW238" s="345"/>
      <c r="CX238" s="345"/>
      <c r="CY238" s="345"/>
      <c r="CZ238" s="345"/>
      <c r="DA238" s="345"/>
      <c r="DB238" s="345"/>
      <c r="DC238" s="345"/>
      <c r="DD238" s="345"/>
      <c r="DE238" s="345"/>
      <c r="DF238" s="345"/>
      <c r="DG238" s="345"/>
      <c r="DH238" s="345"/>
      <c r="DI238" s="345"/>
      <c r="DJ238" s="345"/>
      <c r="DK238" s="345"/>
      <c r="DL238" s="345"/>
      <c r="DM238" s="345"/>
      <c r="DN238" s="345"/>
      <c r="DO238" s="345"/>
      <c r="DP238" s="345"/>
      <c r="DQ238" s="345"/>
      <c r="DR238" s="345"/>
      <c r="DS238" s="345"/>
      <c r="DT238" s="345"/>
      <c r="DU238" s="345"/>
      <c r="DV238" s="345"/>
      <c r="DW238" s="345"/>
      <c r="DX238" s="345"/>
      <c r="DY238" s="345"/>
      <c r="DZ238" s="345"/>
      <c r="EA238" s="345"/>
    </row>
    <row r="239" spans="1:131" hidden="1">
      <c r="A239" s="345"/>
      <c r="B239" s="345"/>
      <c r="C239" s="345"/>
      <c r="D239" s="345"/>
      <c r="E239" s="345"/>
      <c r="F239" s="345"/>
      <c r="G239" s="345"/>
      <c r="H239" s="345"/>
      <c r="I239" s="345"/>
      <c r="J239" s="345"/>
      <c r="K239" s="345"/>
      <c r="L239" s="345"/>
      <c r="M239" s="345"/>
      <c r="N239" s="345"/>
      <c r="O239" s="345"/>
      <c r="P239" s="345"/>
      <c r="Q239" s="345"/>
      <c r="R239" s="345"/>
      <c r="S239" s="345"/>
      <c r="T239" s="345"/>
      <c r="U239" s="345"/>
      <c r="V239" s="345"/>
      <c r="W239" s="345"/>
      <c r="X239" s="345"/>
      <c r="Y239" s="345"/>
      <c r="Z239" s="345"/>
      <c r="AA239" s="345"/>
      <c r="AB239" s="345"/>
      <c r="AC239" s="345"/>
      <c r="AD239" s="345"/>
      <c r="AE239" s="345"/>
      <c r="AF239" s="345"/>
      <c r="AG239" s="345"/>
      <c r="AH239" s="345"/>
      <c r="AI239" s="345"/>
      <c r="AJ239" s="345"/>
      <c r="AK239" s="345"/>
      <c r="AL239" s="345"/>
      <c r="AM239" s="345"/>
      <c r="AN239" s="345"/>
      <c r="AO239" s="345"/>
      <c r="AP239" s="345"/>
      <c r="AQ239" s="345"/>
      <c r="AR239" s="345"/>
      <c r="AS239" s="345"/>
      <c r="AT239" s="345"/>
      <c r="AU239" s="345"/>
      <c r="AV239" s="345"/>
      <c r="AW239" s="345"/>
      <c r="AX239" s="345"/>
      <c r="AY239" s="345"/>
      <c r="AZ239" s="345"/>
      <c r="BA239" s="345"/>
      <c r="BB239" s="345"/>
      <c r="BC239" s="345"/>
      <c r="BD239" s="345"/>
      <c r="BE239" s="345"/>
      <c r="BF239" s="345"/>
      <c r="BG239" s="345"/>
      <c r="BH239" s="345"/>
      <c r="BI239" s="345"/>
      <c r="BJ239" s="345"/>
      <c r="BK239" s="345"/>
      <c r="BL239" s="345"/>
      <c r="BM239" s="345"/>
      <c r="BN239" s="345"/>
      <c r="BO239" s="345"/>
      <c r="BP239" s="345"/>
      <c r="BQ239" s="345"/>
      <c r="BR239" s="345"/>
      <c r="BS239" s="345"/>
      <c r="BT239" s="345"/>
      <c r="BU239" s="345"/>
      <c r="BV239" s="345"/>
      <c r="BW239" s="345"/>
      <c r="BX239" s="345"/>
      <c r="BY239" s="345"/>
      <c r="BZ239" s="345"/>
      <c r="CA239" s="345"/>
      <c r="CB239" s="345"/>
      <c r="CC239" s="345"/>
      <c r="CD239" s="345"/>
      <c r="CE239" s="345"/>
      <c r="CF239" s="345"/>
      <c r="CG239" s="345"/>
      <c r="CH239" s="345"/>
      <c r="CI239" s="345"/>
      <c r="CJ239" s="345"/>
      <c r="CK239" s="345"/>
      <c r="CL239" s="345"/>
      <c r="CM239" s="345"/>
      <c r="CN239" s="345"/>
      <c r="CO239" s="345"/>
      <c r="CP239" s="345"/>
      <c r="CQ239" s="345"/>
      <c r="CR239" s="345"/>
      <c r="CS239" s="345"/>
      <c r="CT239" s="345"/>
      <c r="CU239" s="345"/>
      <c r="CV239" s="345"/>
      <c r="CW239" s="345"/>
      <c r="CX239" s="345"/>
      <c r="CY239" s="345"/>
      <c r="CZ239" s="345"/>
      <c r="DA239" s="345"/>
      <c r="DB239" s="345"/>
      <c r="DC239" s="345"/>
      <c r="DD239" s="345"/>
      <c r="DE239" s="345"/>
      <c r="DF239" s="345"/>
      <c r="DG239" s="345"/>
      <c r="DH239" s="345"/>
      <c r="DI239" s="345"/>
      <c r="DJ239" s="345"/>
      <c r="DK239" s="345"/>
      <c r="DL239" s="345"/>
      <c r="DM239" s="345"/>
      <c r="DN239" s="345"/>
      <c r="DO239" s="345"/>
      <c r="DP239" s="345"/>
      <c r="DQ239" s="345"/>
      <c r="DR239" s="345"/>
      <c r="DS239" s="345"/>
      <c r="DT239" s="345"/>
      <c r="DU239" s="345"/>
      <c r="DV239" s="345"/>
      <c r="DW239" s="345"/>
      <c r="DX239" s="345"/>
      <c r="DY239" s="345"/>
      <c r="DZ239" s="345"/>
      <c r="EA239" s="345"/>
    </row>
    <row r="240" spans="1:131" hidden="1">
      <c r="A240" s="345"/>
      <c r="B240" s="345"/>
      <c r="C240" s="345"/>
      <c r="D240" s="345"/>
      <c r="E240" s="345"/>
      <c r="F240" s="345"/>
      <c r="G240" s="345"/>
      <c r="H240" s="345"/>
      <c r="I240" s="345"/>
      <c r="J240" s="345"/>
      <c r="K240" s="345"/>
      <c r="L240" s="345"/>
      <c r="M240" s="345"/>
      <c r="N240" s="345"/>
      <c r="O240" s="345"/>
      <c r="P240" s="345"/>
      <c r="Q240" s="345"/>
      <c r="R240" s="345"/>
      <c r="S240" s="345"/>
      <c r="T240" s="345"/>
      <c r="U240" s="345"/>
      <c r="V240" s="345"/>
      <c r="W240" s="345"/>
      <c r="X240" s="345"/>
      <c r="Y240" s="345"/>
      <c r="Z240" s="345"/>
      <c r="AA240" s="345"/>
      <c r="AB240" s="345"/>
      <c r="AC240" s="345"/>
      <c r="AD240" s="345"/>
      <c r="AE240" s="345"/>
      <c r="AF240" s="345"/>
      <c r="AG240" s="345"/>
      <c r="AH240" s="345"/>
      <c r="AI240" s="345"/>
      <c r="AJ240" s="345"/>
      <c r="AK240" s="345"/>
      <c r="AL240" s="345"/>
      <c r="AM240" s="345"/>
      <c r="AN240" s="345"/>
      <c r="AO240" s="345"/>
      <c r="AP240" s="345"/>
      <c r="AQ240" s="345"/>
      <c r="AR240" s="345"/>
      <c r="AS240" s="345"/>
      <c r="AT240" s="345"/>
      <c r="AU240" s="345"/>
      <c r="AV240" s="345"/>
      <c r="AW240" s="345"/>
      <c r="AX240" s="345"/>
      <c r="AY240" s="345"/>
      <c r="AZ240" s="345"/>
      <c r="BA240" s="345"/>
      <c r="BB240" s="345"/>
      <c r="BC240" s="345"/>
      <c r="BD240" s="345"/>
      <c r="BE240" s="345"/>
      <c r="BF240" s="345"/>
      <c r="BG240" s="345"/>
      <c r="BH240" s="345"/>
      <c r="BI240" s="345"/>
      <c r="BJ240" s="345"/>
      <c r="BK240" s="345"/>
      <c r="BL240" s="345"/>
      <c r="BM240" s="345"/>
      <c r="BN240" s="345"/>
      <c r="BO240" s="345"/>
      <c r="BP240" s="345"/>
      <c r="BQ240" s="345"/>
      <c r="BR240" s="345"/>
      <c r="BS240" s="345"/>
      <c r="BT240" s="345"/>
      <c r="BU240" s="345"/>
      <c r="BV240" s="345"/>
      <c r="BW240" s="345"/>
      <c r="BX240" s="345"/>
      <c r="BY240" s="345"/>
      <c r="BZ240" s="345"/>
      <c r="CA240" s="345"/>
      <c r="CB240" s="345"/>
      <c r="CC240" s="345"/>
      <c r="CD240" s="345"/>
      <c r="CE240" s="345"/>
      <c r="CF240" s="345"/>
      <c r="CG240" s="345"/>
      <c r="CH240" s="345"/>
      <c r="CI240" s="345"/>
      <c r="CJ240" s="345"/>
      <c r="CK240" s="345"/>
      <c r="CL240" s="345"/>
      <c r="CM240" s="345"/>
      <c r="CN240" s="345"/>
      <c r="CO240" s="345"/>
      <c r="CP240" s="345"/>
      <c r="CQ240" s="345"/>
      <c r="CR240" s="345"/>
      <c r="CS240" s="345"/>
      <c r="CT240" s="345"/>
      <c r="CU240" s="345"/>
      <c r="CV240" s="345"/>
      <c r="CW240" s="345"/>
      <c r="CX240" s="345"/>
      <c r="CY240" s="345"/>
      <c r="CZ240" s="345"/>
      <c r="DA240" s="345"/>
      <c r="DB240" s="345"/>
      <c r="DC240" s="345"/>
      <c r="DD240" s="345"/>
      <c r="DE240" s="345"/>
      <c r="DF240" s="345"/>
      <c r="DG240" s="345"/>
      <c r="DH240" s="345"/>
      <c r="DI240" s="345"/>
      <c r="DJ240" s="345"/>
      <c r="DK240" s="345"/>
      <c r="DL240" s="345"/>
      <c r="DM240" s="345"/>
      <c r="DN240" s="345"/>
      <c r="DO240" s="345"/>
      <c r="DP240" s="345"/>
      <c r="DQ240" s="345"/>
      <c r="DR240" s="345"/>
      <c r="DS240" s="345"/>
      <c r="DT240" s="345"/>
      <c r="DU240" s="345"/>
      <c r="DV240" s="345"/>
      <c r="DW240" s="345"/>
      <c r="DX240" s="345"/>
      <c r="DY240" s="345"/>
      <c r="DZ240" s="345"/>
      <c r="EA240" s="345"/>
    </row>
    <row r="241" spans="1:131" hidden="1">
      <c r="A241" s="345"/>
      <c r="B241" s="345"/>
      <c r="C241" s="345"/>
      <c r="D241" s="345"/>
      <c r="E241" s="345"/>
      <c r="F241" s="345"/>
      <c r="G241" s="345"/>
      <c r="H241" s="345"/>
      <c r="I241" s="345"/>
      <c r="J241" s="345"/>
      <c r="K241" s="345"/>
      <c r="L241" s="345"/>
      <c r="M241" s="345"/>
      <c r="N241" s="345"/>
      <c r="O241" s="345"/>
      <c r="P241" s="345"/>
      <c r="Q241" s="345"/>
      <c r="R241" s="345"/>
      <c r="S241" s="345"/>
      <c r="T241" s="345"/>
      <c r="U241" s="345"/>
      <c r="V241" s="345"/>
      <c r="W241" s="345"/>
      <c r="X241" s="345"/>
      <c r="Y241" s="345"/>
      <c r="Z241" s="345"/>
      <c r="AA241" s="345"/>
      <c r="AB241" s="345"/>
      <c r="AC241" s="345"/>
      <c r="AD241" s="345"/>
      <c r="AE241" s="345"/>
      <c r="AF241" s="345"/>
      <c r="AG241" s="345"/>
      <c r="AH241" s="345"/>
      <c r="AI241" s="345"/>
      <c r="AJ241" s="345"/>
      <c r="AK241" s="345"/>
      <c r="AL241" s="345"/>
      <c r="AM241" s="345"/>
      <c r="AN241" s="345"/>
      <c r="AO241" s="345"/>
      <c r="AP241" s="345"/>
      <c r="AQ241" s="345"/>
      <c r="AR241" s="345"/>
      <c r="AS241" s="345"/>
      <c r="AT241" s="345"/>
      <c r="AU241" s="345"/>
      <c r="AV241" s="345"/>
      <c r="AW241" s="345"/>
      <c r="AX241" s="345"/>
      <c r="AY241" s="345"/>
      <c r="AZ241" s="345"/>
      <c r="BA241" s="345"/>
      <c r="BB241" s="345"/>
      <c r="BC241" s="345"/>
      <c r="BD241" s="345"/>
      <c r="BE241" s="345"/>
      <c r="BF241" s="345"/>
      <c r="BG241" s="345"/>
      <c r="BH241" s="345"/>
      <c r="BI241" s="345"/>
      <c r="BJ241" s="345"/>
      <c r="BK241" s="345"/>
      <c r="BL241" s="345"/>
      <c r="BM241" s="345"/>
      <c r="BN241" s="345"/>
      <c r="BO241" s="345"/>
      <c r="BP241" s="345"/>
      <c r="BQ241" s="345"/>
      <c r="BR241" s="345"/>
      <c r="BS241" s="345"/>
      <c r="BT241" s="345"/>
      <c r="BU241" s="345"/>
      <c r="BV241" s="345"/>
      <c r="BW241" s="345"/>
      <c r="BX241" s="345"/>
      <c r="BY241" s="345"/>
      <c r="BZ241" s="345"/>
      <c r="CA241" s="345"/>
      <c r="CB241" s="345"/>
      <c r="CC241" s="345"/>
      <c r="CD241" s="345"/>
      <c r="CE241" s="345"/>
      <c r="CF241" s="345"/>
      <c r="CG241" s="345"/>
      <c r="CH241" s="345"/>
      <c r="CI241" s="345"/>
      <c r="CJ241" s="345"/>
      <c r="CK241" s="345"/>
      <c r="CL241" s="345"/>
      <c r="CM241" s="345"/>
      <c r="CN241" s="345"/>
      <c r="CO241" s="345"/>
      <c r="CP241" s="345"/>
      <c r="CQ241" s="345"/>
      <c r="CR241" s="345"/>
      <c r="CS241" s="345"/>
      <c r="CT241" s="345"/>
      <c r="CU241" s="345"/>
      <c r="CV241" s="345"/>
      <c r="CW241" s="345"/>
      <c r="CX241" s="345"/>
      <c r="CY241" s="345"/>
      <c r="CZ241" s="345"/>
      <c r="DA241" s="345"/>
      <c r="DB241" s="345"/>
      <c r="DC241" s="345"/>
      <c r="DD241" s="345"/>
      <c r="DE241" s="345"/>
      <c r="DF241" s="345"/>
      <c r="DG241" s="345"/>
      <c r="DH241" s="345"/>
      <c r="DI241" s="345"/>
      <c r="DJ241" s="345"/>
      <c r="DK241" s="345"/>
      <c r="DL241" s="345"/>
      <c r="DM241" s="345"/>
      <c r="DN241" s="345"/>
      <c r="DO241" s="345"/>
      <c r="DP241" s="345"/>
      <c r="DQ241" s="345"/>
      <c r="DR241" s="345"/>
      <c r="DS241" s="345"/>
      <c r="DT241" s="345"/>
      <c r="DU241" s="345"/>
      <c r="DV241" s="345"/>
      <c r="DW241" s="345"/>
      <c r="DX241" s="345"/>
      <c r="DY241" s="345"/>
      <c r="DZ241" s="345"/>
      <c r="EA241" s="345"/>
    </row>
    <row r="242" spans="1:131" hidden="1">
      <c r="A242" s="345"/>
      <c r="B242" s="345"/>
      <c r="C242" s="345"/>
      <c r="D242" s="345"/>
      <c r="E242" s="345"/>
      <c r="F242" s="345"/>
      <c r="G242" s="345"/>
      <c r="H242" s="345"/>
      <c r="I242" s="345"/>
      <c r="J242" s="345"/>
      <c r="K242" s="345"/>
      <c r="L242" s="345"/>
      <c r="M242" s="345"/>
      <c r="N242" s="345"/>
      <c r="O242" s="345"/>
      <c r="P242" s="345"/>
      <c r="Q242" s="345"/>
      <c r="R242" s="345"/>
      <c r="S242" s="345"/>
      <c r="T242" s="345"/>
      <c r="U242" s="345"/>
      <c r="V242" s="345"/>
      <c r="W242" s="345"/>
      <c r="X242" s="345"/>
      <c r="Y242" s="345"/>
      <c r="Z242" s="345"/>
      <c r="AA242" s="345"/>
      <c r="AB242" s="345"/>
      <c r="AC242" s="345"/>
      <c r="AD242" s="345"/>
      <c r="AE242" s="345"/>
      <c r="AF242" s="345"/>
      <c r="AG242" s="345"/>
      <c r="AH242" s="345"/>
      <c r="AI242" s="345"/>
      <c r="AJ242" s="345"/>
      <c r="AK242" s="345"/>
      <c r="AL242" s="345"/>
      <c r="AM242" s="345"/>
      <c r="AN242" s="345"/>
      <c r="AO242" s="345"/>
      <c r="AP242" s="345"/>
      <c r="AQ242" s="345"/>
      <c r="AR242" s="345"/>
      <c r="AS242" s="345"/>
      <c r="AT242" s="345"/>
      <c r="AU242" s="345"/>
      <c r="AV242" s="345"/>
      <c r="AW242" s="345"/>
      <c r="AX242" s="345"/>
      <c r="AY242" s="345"/>
      <c r="AZ242" s="345"/>
      <c r="BA242" s="345"/>
      <c r="BB242" s="345"/>
      <c r="BC242" s="345"/>
      <c r="BD242" s="345"/>
      <c r="BE242" s="345"/>
      <c r="BF242" s="345"/>
      <c r="BG242" s="345"/>
      <c r="BH242" s="345"/>
      <c r="BI242" s="345"/>
      <c r="BJ242" s="345"/>
      <c r="BK242" s="345"/>
      <c r="BL242" s="345"/>
      <c r="BM242" s="345"/>
      <c r="BN242" s="345"/>
      <c r="BO242" s="345"/>
      <c r="BP242" s="345"/>
      <c r="BQ242" s="345"/>
      <c r="BR242" s="345"/>
      <c r="BS242" s="345"/>
      <c r="BT242" s="345"/>
      <c r="BU242" s="345"/>
      <c r="BV242" s="345"/>
      <c r="BW242" s="345"/>
      <c r="BX242" s="345"/>
      <c r="BY242" s="345"/>
      <c r="BZ242" s="345"/>
      <c r="CA242" s="345"/>
      <c r="CB242" s="345"/>
      <c r="CC242" s="345"/>
      <c r="CD242" s="345"/>
      <c r="CE242" s="345"/>
      <c r="CF242" s="345"/>
      <c r="CG242" s="345"/>
      <c r="CH242" s="345"/>
      <c r="CI242" s="345"/>
      <c r="CJ242" s="345"/>
      <c r="CK242" s="345"/>
      <c r="CL242" s="345"/>
      <c r="CM242" s="345"/>
      <c r="CN242" s="345"/>
      <c r="CO242" s="345"/>
      <c r="CP242" s="345"/>
      <c r="CQ242" s="345"/>
      <c r="CR242" s="345"/>
      <c r="CS242" s="345"/>
      <c r="CT242" s="345"/>
      <c r="CU242" s="345"/>
      <c r="CV242" s="345"/>
      <c r="CW242" s="345"/>
      <c r="CX242" s="345"/>
      <c r="CY242" s="345"/>
      <c r="CZ242" s="345"/>
      <c r="DA242" s="345"/>
      <c r="DB242" s="345"/>
      <c r="DC242" s="345"/>
      <c r="DD242" s="345"/>
      <c r="DE242" s="345"/>
      <c r="DF242" s="345"/>
      <c r="DG242" s="345"/>
      <c r="DH242" s="345"/>
      <c r="DI242" s="345"/>
      <c r="DJ242" s="345"/>
      <c r="DK242" s="345"/>
      <c r="DL242" s="345"/>
      <c r="DM242" s="345"/>
      <c r="DN242" s="345"/>
      <c r="DO242" s="345"/>
      <c r="DP242" s="345"/>
      <c r="DQ242" s="345"/>
      <c r="DR242" s="345"/>
      <c r="DS242" s="345"/>
      <c r="DT242" s="345"/>
      <c r="DU242" s="345"/>
      <c r="DV242" s="345"/>
      <c r="DW242" s="345"/>
      <c r="DX242" s="345"/>
      <c r="DY242" s="345"/>
      <c r="DZ242" s="345"/>
      <c r="EA242" s="345"/>
    </row>
    <row r="243" spans="1:131" hidden="1">
      <c r="A243" s="345"/>
      <c r="B243" s="345"/>
      <c r="C243" s="345"/>
      <c r="D243" s="345"/>
      <c r="E243" s="345"/>
      <c r="F243" s="345"/>
      <c r="G243" s="345"/>
      <c r="H243" s="345"/>
      <c r="I243" s="345"/>
      <c r="J243" s="345"/>
      <c r="K243" s="345"/>
      <c r="L243" s="345"/>
      <c r="M243" s="345"/>
      <c r="N243" s="345"/>
      <c r="O243" s="345"/>
      <c r="P243" s="345"/>
      <c r="Q243" s="345"/>
      <c r="R243" s="345"/>
      <c r="S243" s="345"/>
      <c r="T243" s="345"/>
      <c r="U243" s="345"/>
      <c r="V243" s="345"/>
      <c r="W243" s="345"/>
      <c r="X243" s="345"/>
      <c r="Y243" s="345"/>
      <c r="Z243" s="345"/>
      <c r="AA243" s="345"/>
      <c r="AB243" s="345"/>
      <c r="AC243" s="345"/>
      <c r="AD243" s="345"/>
      <c r="AE243" s="345"/>
      <c r="AF243" s="345"/>
      <c r="AG243" s="345"/>
      <c r="AH243" s="345"/>
      <c r="AI243" s="345"/>
      <c r="AJ243" s="345"/>
      <c r="AK243" s="345"/>
      <c r="AL243" s="345"/>
      <c r="AM243" s="345"/>
      <c r="AN243" s="345"/>
      <c r="AO243" s="345"/>
      <c r="AP243" s="345"/>
      <c r="AQ243" s="345"/>
      <c r="AR243" s="345"/>
      <c r="AS243" s="345"/>
      <c r="AT243" s="345"/>
      <c r="AU243" s="345"/>
      <c r="AV243" s="345"/>
      <c r="AW243" s="345"/>
      <c r="AX243" s="345"/>
      <c r="AY243" s="345"/>
      <c r="AZ243" s="345"/>
      <c r="BA243" s="345"/>
      <c r="BB243" s="345"/>
      <c r="BC243" s="345"/>
      <c r="BD243" s="345"/>
      <c r="BE243" s="345"/>
      <c r="BF243" s="345"/>
      <c r="BG243" s="345"/>
      <c r="BH243" s="345"/>
      <c r="BI243" s="345"/>
      <c r="BJ243" s="345"/>
      <c r="BK243" s="345"/>
      <c r="BL243" s="345"/>
      <c r="BM243" s="345"/>
      <c r="BN243" s="345"/>
      <c r="BO243" s="345"/>
      <c r="BP243" s="345"/>
      <c r="BQ243" s="345"/>
      <c r="BR243" s="345"/>
      <c r="BS243" s="345"/>
      <c r="BT243" s="345"/>
      <c r="BU243" s="345"/>
      <c r="BV243" s="345"/>
      <c r="BW243" s="345"/>
      <c r="BX243" s="345"/>
      <c r="BY243" s="345"/>
      <c r="BZ243" s="345"/>
      <c r="CA243" s="345"/>
      <c r="CB243" s="345"/>
      <c r="CC243" s="345"/>
      <c r="CD243" s="345"/>
      <c r="CE243" s="345"/>
      <c r="CF243" s="345"/>
      <c r="CG243" s="345"/>
      <c r="CH243" s="345"/>
      <c r="CI243" s="345"/>
      <c r="CJ243" s="345"/>
      <c r="CK243" s="345"/>
      <c r="CL243" s="345"/>
      <c r="CM243" s="345"/>
      <c r="CN243" s="345"/>
      <c r="CO243" s="345"/>
      <c r="CP243" s="345"/>
      <c r="CQ243" s="345"/>
      <c r="CR243" s="345"/>
      <c r="CS243" s="345"/>
      <c r="CT243" s="345"/>
      <c r="CU243" s="345"/>
      <c r="CV243" s="345"/>
      <c r="CW243" s="345"/>
      <c r="CX243" s="345"/>
      <c r="CY243" s="345"/>
      <c r="CZ243" s="345"/>
      <c r="DA243" s="345"/>
      <c r="DB243" s="345"/>
      <c r="DC243" s="345"/>
      <c r="DD243" s="345"/>
      <c r="DE243" s="345"/>
      <c r="DF243" s="345"/>
      <c r="DG243" s="345"/>
      <c r="DH243" s="345"/>
      <c r="DI243" s="345"/>
      <c r="DJ243" s="345"/>
      <c r="DK243" s="345"/>
      <c r="DL243" s="345"/>
      <c r="DM243" s="345"/>
      <c r="DN243" s="345"/>
      <c r="DO243" s="345"/>
      <c r="DP243" s="345"/>
      <c r="DQ243" s="345"/>
      <c r="DR243" s="345"/>
      <c r="DS243" s="345"/>
      <c r="DT243" s="345"/>
      <c r="DU243" s="345"/>
      <c r="DV243" s="345"/>
      <c r="DW243" s="345"/>
      <c r="DX243" s="345"/>
      <c r="DY243" s="345"/>
      <c r="DZ243" s="345"/>
      <c r="EA243" s="345"/>
    </row>
    <row r="244" spans="1:131" hidden="1">
      <c r="A244" s="345"/>
      <c r="B244" s="345"/>
      <c r="C244" s="345"/>
      <c r="D244" s="345"/>
      <c r="E244" s="345"/>
      <c r="F244" s="345"/>
      <c r="G244" s="345"/>
      <c r="H244" s="345"/>
      <c r="I244" s="345"/>
      <c r="J244" s="345"/>
      <c r="K244" s="345"/>
      <c r="L244" s="345"/>
      <c r="M244" s="345"/>
      <c r="N244" s="345"/>
      <c r="O244" s="345"/>
      <c r="P244" s="345"/>
      <c r="Q244" s="345"/>
      <c r="R244" s="345"/>
      <c r="S244" s="345"/>
      <c r="T244" s="345"/>
      <c r="U244" s="345"/>
      <c r="V244" s="345"/>
      <c r="W244" s="345"/>
      <c r="X244" s="345"/>
      <c r="Y244" s="345"/>
      <c r="Z244" s="345"/>
      <c r="AA244" s="345"/>
      <c r="AB244" s="345"/>
      <c r="AC244" s="345"/>
      <c r="AD244" s="345"/>
      <c r="AE244" s="345"/>
      <c r="AF244" s="345"/>
      <c r="AG244" s="345"/>
      <c r="AH244" s="345"/>
      <c r="AI244" s="345"/>
      <c r="AJ244" s="345"/>
      <c r="AK244" s="345"/>
      <c r="AL244" s="345"/>
      <c r="AM244" s="345"/>
      <c r="AN244" s="345"/>
      <c r="AO244" s="345"/>
      <c r="AP244" s="345"/>
      <c r="AQ244" s="345"/>
      <c r="AR244" s="345"/>
      <c r="AS244" s="345"/>
      <c r="AT244" s="345"/>
      <c r="AU244" s="345"/>
      <c r="AV244" s="345"/>
      <c r="AW244" s="345"/>
      <c r="AX244" s="345"/>
      <c r="AY244" s="345"/>
      <c r="AZ244" s="345"/>
      <c r="BA244" s="345"/>
      <c r="BB244" s="345"/>
      <c r="BC244" s="345"/>
      <c r="BD244" s="345"/>
      <c r="BE244" s="345"/>
      <c r="BF244" s="345"/>
      <c r="BG244" s="345"/>
      <c r="BH244" s="345"/>
      <c r="BI244" s="345"/>
      <c r="BJ244" s="345"/>
      <c r="BK244" s="345"/>
      <c r="BL244" s="345"/>
      <c r="BM244" s="345"/>
      <c r="BN244" s="345"/>
      <c r="BO244" s="345"/>
      <c r="BP244" s="345"/>
      <c r="BQ244" s="345"/>
      <c r="BR244" s="345"/>
      <c r="BS244" s="345"/>
      <c r="BT244" s="345"/>
      <c r="BU244" s="345"/>
      <c r="BV244" s="345"/>
      <c r="BW244" s="345"/>
      <c r="BX244" s="345"/>
      <c r="BY244" s="345"/>
      <c r="BZ244" s="345"/>
      <c r="CA244" s="345"/>
      <c r="CB244" s="345"/>
      <c r="CC244" s="345"/>
      <c r="CD244" s="345"/>
      <c r="CE244" s="345"/>
      <c r="CF244" s="345"/>
      <c r="CG244" s="345"/>
      <c r="CH244" s="345"/>
      <c r="CI244" s="345"/>
      <c r="CJ244" s="345"/>
      <c r="CK244" s="345"/>
      <c r="CL244" s="345"/>
      <c r="CM244" s="345"/>
      <c r="CN244" s="345"/>
      <c r="CO244" s="345"/>
      <c r="CP244" s="345"/>
      <c r="CQ244" s="345"/>
      <c r="CR244" s="345"/>
      <c r="CS244" s="345"/>
      <c r="CT244" s="345"/>
      <c r="CU244" s="345"/>
      <c r="CV244" s="345"/>
      <c r="CW244" s="345"/>
      <c r="CX244" s="345"/>
      <c r="CY244" s="345"/>
      <c r="CZ244" s="345"/>
      <c r="DA244" s="345"/>
      <c r="DB244" s="345"/>
      <c r="DC244" s="345"/>
      <c r="DD244" s="345"/>
      <c r="DE244" s="345"/>
      <c r="DF244" s="345"/>
      <c r="DG244" s="345"/>
      <c r="DH244" s="345"/>
      <c r="DI244" s="345"/>
      <c r="DJ244" s="345"/>
      <c r="DK244" s="345"/>
      <c r="DL244" s="345"/>
      <c r="DM244" s="345"/>
      <c r="DN244" s="345"/>
      <c r="DO244" s="345"/>
      <c r="DP244" s="345"/>
      <c r="DQ244" s="345"/>
      <c r="DR244" s="345"/>
      <c r="DS244" s="345"/>
      <c r="DT244" s="345"/>
      <c r="DU244" s="345"/>
      <c r="DV244" s="345"/>
      <c r="DW244" s="345"/>
      <c r="DX244" s="345"/>
      <c r="DY244" s="345"/>
      <c r="DZ244" s="345"/>
      <c r="EA244" s="345"/>
    </row>
    <row r="245" spans="1:131" hidden="1">
      <c r="A245" s="345"/>
      <c r="B245" s="345"/>
      <c r="C245" s="345"/>
      <c r="D245" s="345"/>
      <c r="E245" s="345"/>
      <c r="F245" s="345"/>
      <c r="G245" s="345"/>
      <c r="H245" s="345"/>
      <c r="I245" s="345"/>
      <c r="J245" s="345"/>
      <c r="K245" s="345"/>
      <c r="L245" s="345"/>
      <c r="M245" s="345"/>
      <c r="N245" s="345"/>
      <c r="O245" s="345"/>
      <c r="P245" s="345"/>
      <c r="Q245" s="345"/>
      <c r="R245" s="345"/>
      <c r="S245" s="345"/>
      <c r="T245" s="345"/>
      <c r="U245" s="345"/>
      <c r="V245" s="345"/>
      <c r="W245" s="345"/>
      <c r="X245" s="345"/>
      <c r="Y245" s="345"/>
      <c r="Z245" s="345"/>
      <c r="AA245" s="345"/>
      <c r="AB245" s="345"/>
      <c r="AC245" s="345"/>
      <c r="AD245" s="345"/>
      <c r="AE245" s="345"/>
      <c r="AF245" s="345"/>
      <c r="AG245" s="345"/>
      <c r="AH245" s="345"/>
      <c r="AI245" s="345"/>
      <c r="AJ245" s="345"/>
      <c r="AK245" s="345"/>
      <c r="AL245" s="345"/>
      <c r="AM245" s="345"/>
      <c r="AN245" s="345"/>
      <c r="AO245" s="345"/>
      <c r="AP245" s="345"/>
      <c r="AQ245" s="345"/>
      <c r="AR245" s="345"/>
      <c r="AS245" s="345"/>
      <c r="AT245" s="345"/>
      <c r="AU245" s="345"/>
      <c r="AV245" s="345"/>
      <c r="AW245" s="345"/>
      <c r="AX245" s="345"/>
      <c r="AY245" s="345"/>
      <c r="AZ245" s="345"/>
      <c r="BA245" s="345"/>
      <c r="BB245" s="345"/>
      <c r="BC245" s="345"/>
      <c r="BD245" s="345"/>
      <c r="BE245" s="345"/>
      <c r="BF245" s="345"/>
      <c r="BG245" s="345"/>
      <c r="BH245" s="345"/>
      <c r="BI245" s="345"/>
      <c r="BJ245" s="345"/>
      <c r="BK245" s="345"/>
      <c r="BL245" s="345"/>
      <c r="BM245" s="345"/>
      <c r="BN245" s="345"/>
      <c r="BO245" s="345"/>
      <c r="BP245" s="345"/>
      <c r="BQ245" s="345"/>
      <c r="BR245" s="345"/>
      <c r="BS245" s="345"/>
      <c r="BT245" s="345"/>
      <c r="BU245" s="345"/>
      <c r="BV245" s="345"/>
      <c r="BW245" s="345"/>
      <c r="BX245" s="345"/>
      <c r="BY245" s="345"/>
      <c r="BZ245" s="345"/>
      <c r="CA245" s="345"/>
      <c r="CB245" s="345"/>
      <c r="CC245" s="345"/>
      <c r="CD245" s="345"/>
      <c r="CE245" s="345"/>
      <c r="CF245" s="345"/>
      <c r="CG245" s="345"/>
      <c r="CH245" s="345"/>
      <c r="CI245" s="345"/>
      <c r="CJ245" s="345"/>
      <c r="CK245" s="345"/>
      <c r="CL245" s="345"/>
      <c r="CM245" s="345"/>
      <c r="CN245" s="345"/>
      <c r="CO245" s="345"/>
      <c r="CP245" s="345"/>
      <c r="CQ245" s="345"/>
      <c r="CR245" s="345"/>
      <c r="CS245" s="345"/>
      <c r="CT245" s="345"/>
      <c r="CU245" s="345"/>
      <c r="CV245" s="345"/>
      <c r="CW245" s="345"/>
      <c r="CX245" s="345"/>
      <c r="CY245" s="345"/>
      <c r="CZ245" s="345"/>
      <c r="DA245" s="345"/>
      <c r="DB245" s="345"/>
      <c r="DC245" s="345"/>
      <c r="DD245" s="345"/>
      <c r="DE245" s="345"/>
      <c r="DF245" s="345"/>
      <c r="DG245" s="345"/>
      <c r="DH245" s="345"/>
      <c r="DI245" s="345"/>
      <c r="DJ245" s="345"/>
      <c r="DK245" s="345"/>
      <c r="DL245" s="345"/>
      <c r="DM245" s="345"/>
      <c r="DN245" s="345"/>
      <c r="DO245" s="345"/>
      <c r="DP245" s="345"/>
      <c r="DQ245" s="345"/>
      <c r="DR245" s="345"/>
      <c r="DS245" s="345"/>
      <c r="DT245" s="345"/>
      <c r="DU245" s="345"/>
      <c r="DV245" s="345"/>
      <c r="DW245" s="345"/>
      <c r="DX245" s="345"/>
      <c r="DY245" s="345"/>
      <c r="DZ245" s="345"/>
      <c r="EA245" s="345"/>
    </row>
    <row r="246" spans="1:131" hidden="1">
      <c r="A246" s="345"/>
      <c r="B246" s="345"/>
      <c r="C246" s="345"/>
      <c r="D246" s="345"/>
      <c r="E246" s="345"/>
      <c r="F246" s="345"/>
      <c r="G246" s="345"/>
      <c r="H246" s="345"/>
      <c r="I246" s="345"/>
      <c r="J246" s="345"/>
      <c r="K246" s="345"/>
      <c r="L246" s="345"/>
      <c r="M246" s="345"/>
      <c r="N246" s="345"/>
      <c r="O246" s="345"/>
      <c r="P246" s="345"/>
      <c r="Q246" s="345"/>
      <c r="R246" s="345"/>
      <c r="S246" s="345"/>
      <c r="T246" s="345"/>
      <c r="U246" s="345"/>
      <c r="V246" s="345"/>
      <c r="W246" s="345"/>
      <c r="X246" s="345"/>
      <c r="Y246" s="345"/>
      <c r="Z246" s="345"/>
      <c r="AA246" s="345"/>
      <c r="AB246" s="345"/>
      <c r="AC246" s="345"/>
      <c r="AD246" s="345"/>
      <c r="AE246" s="345"/>
      <c r="AF246" s="345"/>
      <c r="AG246" s="345"/>
      <c r="AH246" s="345"/>
      <c r="AI246" s="345"/>
      <c r="AJ246" s="345"/>
      <c r="AK246" s="345"/>
      <c r="AL246" s="345"/>
      <c r="AM246" s="345"/>
      <c r="AN246" s="345"/>
      <c r="AO246" s="345"/>
      <c r="AP246" s="345"/>
      <c r="AQ246" s="345"/>
      <c r="AR246" s="345"/>
      <c r="AS246" s="345"/>
      <c r="AT246" s="345"/>
      <c r="AU246" s="345"/>
      <c r="AV246" s="345"/>
      <c r="AW246" s="345"/>
      <c r="AX246" s="345"/>
      <c r="AY246" s="345"/>
      <c r="AZ246" s="345"/>
      <c r="BA246" s="345"/>
      <c r="BB246" s="345"/>
      <c r="BC246" s="345"/>
      <c r="BD246" s="345"/>
      <c r="BE246" s="345"/>
      <c r="BF246" s="345"/>
      <c r="BG246" s="345"/>
      <c r="BH246" s="345"/>
      <c r="BI246" s="345"/>
      <c r="BJ246" s="345"/>
      <c r="BK246" s="345"/>
      <c r="BL246" s="345"/>
      <c r="BM246" s="345"/>
      <c r="BN246" s="345"/>
      <c r="BO246" s="345"/>
      <c r="BP246" s="345"/>
      <c r="BQ246" s="345"/>
      <c r="BR246" s="345"/>
      <c r="BS246" s="345"/>
      <c r="BT246" s="345"/>
      <c r="BU246" s="345"/>
      <c r="BV246" s="345"/>
      <c r="BW246" s="345"/>
      <c r="BX246" s="345"/>
      <c r="BY246" s="345"/>
      <c r="BZ246" s="345"/>
      <c r="CA246" s="345"/>
      <c r="CB246" s="345"/>
      <c r="CC246" s="345"/>
      <c r="CD246" s="345"/>
      <c r="CE246" s="345"/>
      <c r="CF246" s="345"/>
      <c r="CG246" s="345"/>
      <c r="CH246" s="345"/>
      <c r="CI246" s="345"/>
      <c r="CJ246" s="345"/>
      <c r="CK246" s="345"/>
      <c r="CL246" s="345"/>
      <c r="CM246" s="345"/>
      <c r="CN246" s="345"/>
      <c r="CO246" s="345"/>
      <c r="CP246" s="345"/>
      <c r="CQ246" s="345"/>
      <c r="CR246" s="345"/>
      <c r="CS246" s="345"/>
      <c r="CT246" s="345"/>
      <c r="CU246" s="345"/>
      <c r="CV246" s="345"/>
      <c r="CW246" s="345"/>
      <c r="CX246" s="345"/>
      <c r="CY246" s="345"/>
      <c r="CZ246" s="345"/>
      <c r="DA246" s="345"/>
      <c r="DB246" s="345"/>
      <c r="DC246" s="345"/>
      <c r="DD246" s="345"/>
      <c r="DE246" s="345"/>
      <c r="DF246" s="345"/>
      <c r="DG246" s="345"/>
      <c r="DH246" s="345"/>
      <c r="DI246" s="345"/>
      <c r="DJ246" s="345"/>
      <c r="DK246" s="345"/>
      <c r="DL246" s="345"/>
      <c r="DM246" s="345"/>
      <c r="DN246" s="345"/>
      <c r="DO246" s="345"/>
      <c r="DP246" s="345"/>
      <c r="DQ246" s="345"/>
      <c r="DR246" s="345"/>
      <c r="DS246" s="345"/>
      <c r="DT246" s="345"/>
      <c r="DU246" s="345"/>
      <c r="DV246" s="345"/>
      <c r="DW246" s="345"/>
      <c r="DX246" s="345"/>
      <c r="DY246" s="345"/>
      <c r="DZ246" s="345"/>
      <c r="EA246" s="345"/>
    </row>
    <row r="247" spans="1:131" hidden="1">
      <c r="A247" s="345"/>
      <c r="B247" s="345"/>
      <c r="C247" s="345"/>
      <c r="D247" s="345"/>
      <c r="E247" s="345"/>
      <c r="F247" s="345"/>
      <c r="G247" s="345"/>
      <c r="H247" s="345"/>
      <c r="I247" s="345"/>
      <c r="J247" s="345"/>
      <c r="K247" s="345"/>
      <c r="L247" s="345"/>
      <c r="M247" s="345"/>
      <c r="N247" s="345"/>
      <c r="O247" s="345"/>
      <c r="P247" s="345"/>
      <c r="Q247" s="345"/>
      <c r="R247" s="345"/>
      <c r="S247" s="345"/>
      <c r="T247" s="345"/>
      <c r="U247" s="345"/>
      <c r="V247" s="345"/>
      <c r="W247" s="345"/>
      <c r="X247" s="345"/>
      <c r="Y247" s="345"/>
      <c r="Z247" s="345"/>
      <c r="AA247" s="345"/>
      <c r="AB247" s="345"/>
      <c r="AC247" s="345"/>
      <c r="AD247" s="345"/>
      <c r="AE247" s="345"/>
      <c r="AF247" s="345"/>
      <c r="AG247" s="345"/>
      <c r="AH247" s="345"/>
      <c r="AI247" s="345"/>
      <c r="AJ247" s="345"/>
      <c r="AK247" s="345"/>
      <c r="AL247" s="345"/>
      <c r="AM247" s="345"/>
      <c r="AN247" s="345"/>
      <c r="AO247" s="345"/>
      <c r="AP247" s="345"/>
      <c r="AQ247" s="345"/>
      <c r="AR247" s="345"/>
      <c r="AS247" s="345"/>
      <c r="AT247" s="345"/>
      <c r="AU247" s="345"/>
      <c r="AV247" s="345"/>
      <c r="AW247" s="345"/>
      <c r="AX247" s="345"/>
      <c r="AY247" s="345"/>
      <c r="AZ247" s="345"/>
      <c r="BA247" s="345"/>
      <c r="BB247" s="345"/>
      <c r="BC247" s="345"/>
      <c r="BD247" s="345"/>
      <c r="BE247" s="345"/>
      <c r="BF247" s="345"/>
      <c r="BG247" s="345"/>
      <c r="BH247" s="345"/>
      <c r="BI247" s="345"/>
      <c r="BJ247" s="345"/>
      <c r="BK247" s="345"/>
      <c r="BL247" s="345"/>
      <c r="BM247" s="345"/>
      <c r="BN247" s="345"/>
      <c r="BO247" s="345"/>
      <c r="BP247" s="345"/>
      <c r="BQ247" s="345"/>
      <c r="BR247" s="345"/>
      <c r="BS247" s="345"/>
      <c r="BT247" s="345"/>
      <c r="BU247" s="345"/>
      <c r="BV247" s="345"/>
      <c r="BW247" s="345"/>
      <c r="BX247" s="345"/>
      <c r="BY247" s="345"/>
      <c r="BZ247" s="345"/>
      <c r="CA247" s="345"/>
      <c r="CB247" s="345"/>
      <c r="CC247" s="345"/>
      <c r="CD247" s="345"/>
      <c r="CE247" s="345"/>
      <c r="CF247" s="345"/>
      <c r="CG247" s="345"/>
      <c r="CH247" s="345"/>
      <c r="CI247" s="345"/>
      <c r="CJ247" s="345"/>
      <c r="CK247" s="345"/>
      <c r="CL247" s="345"/>
      <c r="CM247" s="345"/>
      <c r="CN247" s="345"/>
      <c r="CO247" s="345"/>
      <c r="CP247" s="345"/>
      <c r="CQ247" s="345"/>
      <c r="CR247" s="345"/>
      <c r="CS247" s="345"/>
      <c r="CT247" s="345"/>
      <c r="CU247" s="345"/>
      <c r="CV247" s="345"/>
      <c r="CW247" s="345"/>
      <c r="CX247" s="345"/>
      <c r="CY247" s="345"/>
      <c r="CZ247" s="345"/>
      <c r="DA247" s="345"/>
      <c r="DB247" s="345"/>
      <c r="DC247" s="345"/>
      <c r="DD247" s="345"/>
      <c r="DE247" s="345"/>
      <c r="DF247" s="345"/>
      <c r="DG247" s="345"/>
      <c r="DH247" s="345"/>
      <c r="DI247" s="345"/>
      <c r="DJ247" s="345"/>
      <c r="DK247" s="345"/>
      <c r="DL247" s="345"/>
      <c r="DM247" s="345"/>
      <c r="DN247" s="345"/>
      <c r="DO247" s="345"/>
      <c r="DP247" s="345"/>
      <c r="DQ247" s="345"/>
      <c r="DR247" s="345"/>
      <c r="DS247" s="345"/>
      <c r="DT247" s="345"/>
      <c r="DU247" s="345"/>
      <c r="DV247" s="345"/>
      <c r="DW247" s="345"/>
      <c r="DX247" s="345"/>
      <c r="DY247" s="345"/>
      <c r="DZ247" s="345"/>
      <c r="EA247" s="345"/>
    </row>
    <row r="248" spans="1:131" hidden="1">
      <c r="A248" s="345"/>
      <c r="B248" s="345"/>
      <c r="C248" s="345"/>
      <c r="D248" s="345"/>
      <c r="E248" s="345"/>
      <c r="F248" s="345"/>
      <c r="G248" s="345"/>
      <c r="H248" s="345"/>
      <c r="I248" s="345"/>
      <c r="J248" s="345"/>
      <c r="K248" s="345"/>
      <c r="L248" s="345"/>
      <c r="M248" s="345"/>
      <c r="N248" s="345"/>
      <c r="O248" s="345"/>
      <c r="P248" s="345"/>
      <c r="Q248" s="345"/>
      <c r="R248" s="345"/>
      <c r="S248" s="345"/>
      <c r="T248" s="345"/>
      <c r="U248" s="345"/>
      <c r="V248" s="345"/>
      <c r="W248" s="345"/>
      <c r="X248" s="345"/>
      <c r="Y248" s="345"/>
      <c r="Z248" s="345"/>
      <c r="AA248" s="345"/>
      <c r="AB248" s="345"/>
      <c r="AC248" s="345"/>
      <c r="AD248" s="345"/>
      <c r="AE248" s="345"/>
      <c r="AF248" s="345"/>
      <c r="AG248" s="345"/>
      <c r="AH248" s="345"/>
      <c r="AI248" s="345"/>
      <c r="AJ248" s="345"/>
      <c r="AK248" s="345"/>
      <c r="AL248" s="345"/>
      <c r="AM248" s="345"/>
      <c r="AN248" s="345"/>
      <c r="AO248" s="345"/>
      <c r="AP248" s="345"/>
      <c r="AQ248" s="345"/>
      <c r="AR248" s="345"/>
      <c r="AS248" s="345"/>
      <c r="AT248" s="345"/>
      <c r="AU248" s="345"/>
      <c r="AV248" s="345"/>
      <c r="AW248" s="345"/>
      <c r="AX248" s="345"/>
      <c r="AY248" s="345"/>
      <c r="AZ248" s="345"/>
      <c r="BA248" s="345"/>
      <c r="BB248" s="345"/>
      <c r="BC248" s="345"/>
      <c r="BD248" s="345"/>
      <c r="BE248" s="345"/>
      <c r="BF248" s="345"/>
      <c r="BG248" s="345"/>
      <c r="BH248" s="345"/>
      <c r="BI248" s="345"/>
      <c r="BJ248" s="345"/>
      <c r="BK248" s="345"/>
      <c r="BL248" s="345"/>
      <c r="BM248" s="345"/>
      <c r="BN248" s="345"/>
      <c r="BO248" s="345"/>
      <c r="BP248" s="345"/>
      <c r="BQ248" s="345"/>
      <c r="BR248" s="345"/>
      <c r="BS248" s="345"/>
      <c r="BT248" s="345"/>
      <c r="BU248" s="345"/>
      <c r="BV248" s="345"/>
      <c r="BW248" s="345"/>
      <c r="BX248" s="345"/>
      <c r="BY248" s="345"/>
      <c r="BZ248" s="345"/>
      <c r="CA248" s="345"/>
      <c r="CB248" s="345"/>
      <c r="CC248" s="345"/>
      <c r="CD248" s="345"/>
      <c r="CE248" s="345"/>
      <c r="CF248" s="345"/>
      <c r="CG248" s="345"/>
      <c r="CH248" s="345"/>
      <c r="CI248" s="345"/>
      <c r="CJ248" s="345"/>
      <c r="CK248" s="345"/>
      <c r="CL248" s="345"/>
      <c r="CM248" s="345"/>
      <c r="CN248" s="345"/>
      <c r="CO248" s="345"/>
      <c r="CP248" s="345"/>
      <c r="CQ248" s="345"/>
      <c r="CR248" s="345"/>
      <c r="CS248" s="345"/>
      <c r="CT248" s="345"/>
      <c r="CU248" s="345"/>
      <c r="CV248" s="345"/>
      <c r="CW248" s="345"/>
      <c r="CX248" s="345"/>
      <c r="CY248" s="345"/>
      <c r="CZ248" s="345"/>
      <c r="DA248" s="345"/>
      <c r="DB248" s="345"/>
      <c r="DC248" s="345"/>
      <c r="DD248" s="345"/>
      <c r="DE248" s="345"/>
      <c r="DF248" s="345"/>
      <c r="DG248" s="345"/>
      <c r="DH248" s="345"/>
      <c r="DI248" s="345"/>
      <c r="DJ248" s="345"/>
      <c r="DK248" s="345"/>
      <c r="DL248" s="345"/>
      <c r="DM248" s="345"/>
      <c r="DN248" s="345"/>
      <c r="DO248" s="345"/>
      <c r="DP248" s="345"/>
      <c r="DQ248" s="345"/>
      <c r="DR248" s="345"/>
      <c r="DS248" s="345"/>
      <c r="DT248" s="345"/>
      <c r="DU248" s="345"/>
      <c r="DV248" s="345"/>
      <c r="DW248" s="345"/>
      <c r="DX248" s="345"/>
      <c r="DY248" s="345"/>
      <c r="DZ248" s="345"/>
      <c r="EA248" s="345"/>
    </row>
    <row r="249" spans="1:131" hidden="1">
      <c r="A249" s="345"/>
      <c r="B249" s="345"/>
      <c r="C249" s="345"/>
      <c r="D249" s="345"/>
      <c r="E249" s="345"/>
      <c r="F249" s="345"/>
      <c r="G249" s="345"/>
      <c r="H249" s="345"/>
      <c r="I249" s="345"/>
      <c r="J249" s="345"/>
      <c r="K249" s="345"/>
      <c r="L249" s="345"/>
      <c r="M249" s="345"/>
      <c r="N249" s="345"/>
      <c r="O249" s="345"/>
      <c r="P249" s="345"/>
      <c r="Q249" s="345"/>
      <c r="R249" s="345"/>
      <c r="S249" s="345"/>
      <c r="T249" s="345"/>
      <c r="U249" s="345"/>
      <c r="V249" s="345"/>
      <c r="W249" s="345"/>
      <c r="X249" s="345"/>
      <c r="Y249" s="345"/>
      <c r="Z249" s="345"/>
      <c r="AA249" s="345"/>
      <c r="AB249" s="345"/>
      <c r="AC249" s="345"/>
      <c r="AD249" s="345"/>
      <c r="AE249" s="345"/>
      <c r="AF249" s="345"/>
      <c r="AG249" s="345"/>
      <c r="AH249" s="345"/>
      <c r="AI249" s="345"/>
      <c r="AJ249" s="345"/>
      <c r="AK249" s="345"/>
      <c r="AL249" s="345"/>
      <c r="AM249" s="345"/>
      <c r="AN249" s="345"/>
      <c r="AO249" s="345"/>
      <c r="AP249" s="345"/>
      <c r="AQ249" s="345"/>
      <c r="AR249" s="345"/>
      <c r="AS249" s="345"/>
      <c r="AT249" s="345"/>
      <c r="AU249" s="345"/>
      <c r="AV249" s="345"/>
      <c r="AW249" s="345"/>
      <c r="AX249" s="345"/>
      <c r="AY249" s="345"/>
      <c r="AZ249" s="345"/>
      <c r="BA249" s="345"/>
      <c r="BB249" s="345"/>
      <c r="BC249" s="345"/>
      <c r="BD249" s="345"/>
      <c r="BE249" s="345"/>
      <c r="BF249" s="345"/>
      <c r="BG249" s="345"/>
      <c r="BH249" s="345"/>
      <c r="BI249" s="345"/>
      <c r="BJ249" s="345"/>
      <c r="BK249" s="345"/>
      <c r="BL249" s="345"/>
      <c r="BM249" s="345"/>
      <c r="BN249" s="345"/>
      <c r="BO249" s="345"/>
      <c r="BP249" s="345"/>
      <c r="BQ249" s="345"/>
      <c r="BR249" s="345"/>
      <c r="BS249" s="345"/>
      <c r="BT249" s="345"/>
      <c r="BU249" s="345"/>
      <c r="BV249" s="345"/>
      <c r="BW249" s="345"/>
      <c r="BX249" s="345"/>
      <c r="BY249" s="345"/>
      <c r="BZ249" s="345"/>
      <c r="CA249" s="345"/>
      <c r="CB249" s="345"/>
      <c r="CC249" s="345"/>
      <c r="CD249" s="345"/>
      <c r="CE249" s="345"/>
      <c r="CF249" s="345"/>
      <c r="CG249" s="345"/>
      <c r="CH249" s="345"/>
      <c r="CI249" s="345"/>
      <c r="CJ249" s="345"/>
      <c r="CK249" s="345"/>
      <c r="CL249" s="345"/>
      <c r="CM249" s="345"/>
      <c r="CN249" s="345"/>
      <c r="CO249" s="345"/>
      <c r="CP249" s="345"/>
      <c r="CQ249" s="345"/>
      <c r="CR249" s="345"/>
      <c r="CS249" s="345"/>
      <c r="CT249" s="345"/>
      <c r="CU249" s="345"/>
      <c r="CV249" s="345"/>
      <c r="CW249" s="345"/>
      <c r="CX249" s="345"/>
      <c r="CY249" s="345"/>
      <c r="CZ249" s="345"/>
      <c r="DA249" s="345"/>
      <c r="DB249" s="345"/>
      <c r="DC249" s="345"/>
      <c r="DD249" s="345"/>
      <c r="DE249" s="345"/>
      <c r="DF249" s="345"/>
      <c r="DG249" s="345"/>
      <c r="DH249" s="345"/>
      <c r="DI249" s="345"/>
      <c r="DJ249" s="345"/>
      <c r="DK249" s="345"/>
      <c r="DL249" s="345"/>
      <c r="DM249" s="345"/>
      <c r="DN249" s="345"/>
      <c r="DO249" s="345"/>
      <c r="DP249" s="345"/>
      <c r="DQ249" s="345"/>
      <c r="DR249" s="345"/>
      <c r="DS249" s="345"/>
      <c r="DT249" s="345"/>
      <c r="DU249" s="345"/>
      <c r="DV249" s="345"/>
      <c r="DW249" s="345"/>
      <c r="DX249" s="345"/>
      <c r="DY249" s="345"/>
      <c r="DZ249" s="345"/>
      <c r="EA249" s="345"/>
    </row>
    <row r="250" spans="1:131" hidden="1">
      <c r="A250" s="345"/>
      <c r="B250" s="345"/>
      <c r="C250" s="345"/>
      <c r="D250" s="345"/>
      <c r="E250" s="345"/>
      <c r="F250" s="345"/>
      <c r="G250" s="345"/>
      <c r="H250" s="345"/>
      <c r="I250" s="345"/>
      <c r="J250" s="345"/>
      <c r="K250" s="345"/>
      <c r="L250" s="345"/>
      <c r="M250" s="345"/>
      <c r="N250" s="345"/>
      <c r="O250" s="345"/>
      <c r="P250" s="345"/>
      <c r="Q250" s="345"/>
      <c r="R250" s="345"/>
      <c r="S250" s="345"/>
      <c r="T250" s="345"/>
      <c r="U250" s="345"/>
      <c r="V250" s="345"/>
      <c r="W250" s="345"/>
      <c r="X250" s="345"/>
      <c r="Y250" s="345"/>
      <c r="Z250" s="345"/>
      <c r="AA250" s="345"/>
      <c r="AB250" s="345"/>
      <c r="AC250" s="345"/>
      <c r="AD250" s="345"/>
      <c r="AE250" s="345"/>
      <c r="AF250" s="345"/>
      <c r="AG250" s="345"/>
      <c r="AH250" s="345"/>
      <c r="AI250" s="345"/>
      <c r="AJ250" s="345"/>
      <c r="AK250" s="345"/>
      <c r="AL250" s="345"/>
      <c r="AM250" s="345"/>
      <c r="AN250" s="345"/>
      <c r="AO250" s="345"/>
      <c r="AP250" s="345"/>
      <c r="AQ250" s="345"/>
      <c r="AR250" s="345"/>
      <c r="AS250" s="345"/>
      <c r="AT250" s="345"/>
      <c r="AU250" s="345"/>
      <c r="AV250" s="345"/>
      <c r="AW250" s="345"/>
      <c r="AX250" s="345"/>
      <c r="AY250" s="345"/>
      <c r="AZ250" s="345"/>
      <c r="BA250" s="345"/>
      <c r="BB250" s="345"/>
      <c r="BC250" s="345"/>
      <c r="BD250" s="345"/>
      <c r="BE250" s="345"/>
      <c r="BF250" s="345"/>
      <c r="BG250" s="345"/>
      <c r="BH250" s="345"/>
      <c r="BI250" s="345"/>
      <c r="BJ250" s="345"/>
      <c r="BK250" s="345"/>
      <c r="BL250" s="345"/>
      <c r="BM250" s="345"/>
      <c r="BN250" s="345"/>
      <c r="BO250" s="345"/>
      <c r="BP250" s="345"/>
      <c r="BQ250" s="345"/>
      <c r="BR250" s="345"/>
      <c r="BS250" s="345"/>
      <c r="BT250" s="345"/>
      <c r="BU250" s="345"/>
      <c r="BV250" s="345"/>
      <c r="BW250" s="345"/>
      <c r="BX250" s="345"/>
      <c r="BY250" s="345"/>
      <c r="BZ250" s="345"/>
      <c r="CA250" s="345"/>
      <c r="CB250" s="345"/>
      <c r="CC250" s="345"/>
      <c r="CD250" s="345"/>
      <c r="CE250" s="345"/>
      <c r="CF250" s="345"/>
      <c r="CG250" s="345"/>
      <c r="CH250" s="345"/>
      <c r="CI250" s="345"/>
      <c r="CJ250" s="345"/>
      <c r="CK250" s="345"/>
      <c r="CL250" s="345"/>
      <c r="CM250" s="345"/>
      <c r="CN250" s="345"/>
      <c r="CO250" s="345"/>
      <c r="CP250" s="345"/>
      <c r="CQ250" s="345"/>
      <c r="CR250" s="345"/>
      <c r="CS250" s="345"/>
      <c r="CT250" s="345"/>
      <c r="CU250" s="345"/>
      <c r="CV250" s="345"/>
      <c r="CW250" s="345"/>
      <c r="CX250" s="345"/>
      <c r="CY250" s="345"/>
      <c r="CZ250" s="345"/>
      <c r="DA250" s="345"/>
      <c r="DB250" s="345"/>
      <c r="DC250" s="345"/>
      <c r="DD250" s="345"/>
      <c r="DE250" s="345"/>
      <c r="DF250" s="345"/>
      <c r="DG250" s="345"/>
      <c r="DH250" s="345"/>
      <c r="DI250" s="345"/>
      <c r="DJ250" s="345"/>
      <c r="DK250" s="345"/>
      <c r="DL250" s="345"/>
      <c r="DM250" s="345"/>
      <c r="DN250" s="345"/>
      <c r="DO250" s="345"/>
      <c r="DP250" s="345"/>
      <c r="DQ250" s="345"/>
      <c r="DR250" s="345"/>
      <c r="DS250" s="345"/>
      <c r="DT250" s="345"/>
      <c r="DU250" s="345"/>
      <c r="DV250" s="345"/>
      <c r="DW250" s="345"/>
      <c r="DX250" s="345"/>
      <c r="DY250" s="345"/>
      <c r="DZ250" s="345"/>
      <c r="EA250" s="345"/>
    </row>
    <row r="251" spans="1:131" hidden="1">
      <c r="A251" s="345"/>
      <c r="B251" s="345"/>
      <c r="C251" s="345"/>
      <c r="D251" s="345"/>
      <c r="E251" s="345"/>
      <c r="F251" s="345"/>
      <c r="G251" s="345"/>
      <c r="H251" s="345"/>
      <c r="I251" s="345"/>
      <c r="J251" s="345"/>
      <c r="K251" s="345"/>
      <c r="L251" s="345"/>
      <c r="M251" s="345"/>
      <c r="N251" s="345"/>
      <c r="O251" s="345"/>
      <c r="P251" s="345"/>
      <c r="Q251" s="345"/>
      <c r="R251" s="345"/>
      <c r="S251" s="345"/>
      <c r="T251" s="345"/>
      <c r="U251" s="345"/>
      <c r="V251" s="345"/>
      <c r="W251" s="345"/>
      <c r="X251" s="345"/>
      <c r="Y251" s="345"/>
      <c r="Z251" s="345"/>
      <c r="AA251" s="345"/>
      <c r="AB251" s="345"/>
      <c r="AC251" s="345"/>
      <c r="AD251" s="345"/>
      <c r="AE251" s="345"/>
      <c r="AF251" s="345"/>
      <c r="AG251" s="345"/>
      <c r="AH251" s="345"/>
      <c r="AI251" s="345"/>
      <c r="AJ251" s="345"/>
      <c r="AK251" s="345"/>
      <c r="AL251" s="345"/>
      <c r="AM251" s="345"/>
      <c r="AN251" s="345"/>
      <c r="AO251" s="345"/>
      <c r="AP251" s="345"/>
      <c r="AQ251" s="345"/>
      <c r="AR251" s="345"/>
      <c r="AS251" s="345"/>
      <c r="AT251" s="345"/>
      <c r="AU251" s="345"/>
      <c r="AV251" s="345"/>
      <c r="AW251" s="345"/>
      <c r="AX251" s="345"/>
      <c r="AY251" s="345"/>
      <c r="AZ251" s="345"/>
      <c r="BA251" s="345"/>
      <c r="BB251" s="345"/>
      <c r="BC251" s="345"/>
      <c r="BD251" s="345"/>
      <c r="BE251" s="345"/>
      <c r="BF251" s="345"/>
      <c r="BG251" s="345"/>
      <c r="BH251" s="345"/>
      <c r="BI251" s="345"/>
      <c r="BJ251" s="345"/>
      <c r="BK251" s="345"/>
      <c r="BL251" s="345"/>
      <c r="BM251" s="345"/>
      <c r="BN251" s="345"/>
      <c r="BO251" s="345"/>
      <c r="BP251" s="345"/>
      <c r="BQ251" s="345"/>
      <c r="BR251" s="345"/>
      <c r="BS251" s="345"/>
      <c r="BT251" s="345"/>
      <c r="BU251" s="345"/>
      <c r="BV251" s="345"/>
      <c r="BW251" s="345"/>
      <c r="BX251" s="345"/>
      <c r="BY251" s="345"/>
      <c r="BZ251" s="345"/>
      <c r="CA251" s="345"/>
      <c r="CB251" s="345"/>
      <c r="CC251" s="345"/>
      <c r="CD251" s="345"/>
      <c r="CE251" s="345"/>
      <c r="CF251" s="345"/>
      <c r="CG251" s="345"/>
      <c r="CH251" s="345"/>
      <c r="CI251" s="345"/>
      <c r="CJ251" s="345"/>
      <c r="CK251" s="345"/>
      <c r="CL251" s="345"/>
      <c r="CM251" s="345"/>
      <c r="CN251" s="345"/>
      <c r="CO251" s="345"/>
      <c r="CP251" s="345"/>
      <c r="CQ251" s="345"/>
      <c r="CR251" s="345"/>
      <c r="CS251" s="345"/>
      <c r="CT251" s="345"/>
      <c r="CU251" s="345"/>
      <c r="CV251" s="345"/>
      <c r="CW251" s="345"/>
      <c r="CX251" s="345"/>
      <c r="CY251" s="345"/>
      <c r="CZ251" s="345"/>
      <c r="DA251" s="345"/>
      <c r="DB251" s="345"/>
      <c r="DC251" s="345"/>
      <c r="DD251" s="345"/>
      <c r="DE251" s="345"/>
      <c r="DF251" s="345"/>
      <c r="DG251" s="345"/>
      <c r="DH251" s="345"/>
      <c r="DI251" s="345"/>
      <c r="DJ251" s="345"/>
      <c r="DK251" s="345"/>
      <c r="DL251" s="345"/>
      <c r="DM251" s="345"/>
      <c r="DN251" s="345"/>
      <c r="DO251" s="345"/>
      <c r="DP251" s="345"/>
      <c r="DQ251" s="345"/>
      <c r="DR251" s="345"/>
      <c r="DS251" s="345"/>
      <c r="DT251" s="345"/>
      <c r="DU251" s="345"/>
      <c r="DV251" s="345"/>
      <c r="DW251" s="345"/>
      <c r="DX251" s="345"/>
      <c r="DY251" s="345"/>
      <c r="DZ251" s="345"/>
      <c r="EA251" s="345"/>
    </row>
    <row r="252" spans="1:131" hidden="1">
      <c r="A252" s="345"/>
      <c r="B252" s="345"/>
      <c r="C252" s="345"/>
      <c r="D252" s="345"/>
      <c r="E252" s="345"/>
      <c r="F252" s="345"/>
      <c r="G252" s="345"/>
      <c r="H252" s="345"/>
      <c r="I252" s="345"/>
      <c r="J252" s="345"/>
      <c r="K252" s="345"/>
      <c r="L252" s="345"/>
      <c r="M252" s="345"/>
      <c r="N252" s="345"/>
      <c r="O252" s="345"/>
      <c r="P252" s="345"/>
      <c r="Q252" s="345"/>
      <c r="R252" s="345"/>
      <c r="S252" s="345"/>
      <c r="T252" s="345"/>
      <c r="U252" s="345"/>
      <c r="V252" s="345"/>
      <c r="W252" s="345"/>
      <c r="X252" s="345"/>
      <c r="Y252" s="345"/>
      <c r="Z252" s="345"/>
      <c r="AA252" s="345"/>
      <c r="AB252" s="345"/>
      <c r="AC252" s="345"/>
      <c r="AD252" s="345"/>
      <c r="AE252" s="345"/>
      <c r="AF252" s="345"/>
      <c r="AG252" s="345"/>
      <c r="AH252" s="345"/>
      <c r="AI252" s="345"/>
      <c r="AJ252" s="345"/>
      <c r="AK252" s="345"/>
      <c r="AL252" s="345"/>
      <c r="AM252" s="345"/>
      <c r="AN252" s="345"/>
      <c r="AO252" s="345"/>
      <c r="AP252" s="345"/>
      <c r="AQ252" s="345"/>
      <c r="AR252" s="345"/>
      <c r="AS252" s="345"/>
      <c r="AT252" s="345"/>
      <c r="AU252" s="345"/>
      <c r="AV252" s="345"/>
      <c r="AW252" s="345"/>
      <c r="AX252" s="345"/>
      <c r="AY252" s="345"/>
      <c r="AZ252" s="345"/>
      <c r="BA252" s="345"/>
      <c r="BB252" s="345"/>
      <c r="BC252" s="345"/>
      <c r="BD252" s="345"/>
      <c r="BE252" s="345"/>
      <c r="BF252" s="345"/>
      <c r="BG252" s="345"/>
      <c r="BH252" s="345"/>
      <c r="BI252" s="345"/>
      <c r="BJ252" s="345"/>
      <c r="BK252" s="345"/>
      <c r="BL252" s="345"/>
      <c r="BM252" s="345"/>
      <c r="BN252" s="345"/>
      <c r="BO252" s="345"/>
      <c r="BP252" s="345"/>
      <c r="BQ252" s="345"/>
      <c r="BR252" s="345"/>
      <c r="BS252" s="345"/>
      <c r="BT252" s="345"/>
      <c r="BU252" s="345"/>
      <c r="BV252" s="345"/>
      <c r="BW252" s="345"/>
      <c r="BX252" s="345"/>
      <c r="BY252" s="345"/>
      <c r="BZ252" s="345"/>
      <c r="CA252" s="345"/>
      <c r="CB252" s="345"/>
      <c r="CC252" s="345"/>
      <c r="CD252" s="345"/>
      <c r="CE252" s="345"/>
      <c r="CF252" s="345"/>
      <c r="CG252" s="345"/>
      <c r="CH252" s="345"/>
      <c r="CI252" s="345"/>
      <c r="CJ252" s="345"/>
      <c r="CK252" s="345"/>
      <c r="CL252" s="345"/>
      <c r="CM252" s="345"/>
      <c r="CN252" s="345"/>
      <c r="CO252" s="345"/>
      <c r="CP252" s="345"/>
      <c r="CQ252" s="345"/>
      <c r="CR252" s="345"/>
      <c r="CS252" s="345"/>
      <c r="CT252" s="345"/>
      <c r="CU252" s="345"/>
      <c r="CV252" s="345"/>
      <c r="CW252" s="345"/>
      <c r="CX252" s="345"/>
      <c r="CY252" s="345"/>
      <c r="CZ252" s="345"/>
      <c r="DA252" s="345"/>
      <c r="DB252" s="345"/>
      <c r="DC252" s="345"/>
      <c r="DD252" s="345"/>
      <c r="DE252" s="345"/>
      <c r="DF252" s="345"/>
      <c r="DG252" s="345"/>
      <c r="DH252" s="345"/>
      <c r="DI252" s="345"/>
      <c r="DJ252" s="345"/>
      <c r="DK252" s="345"/>
      <c r="DL252" s="345"/>
      <c r="DM252" s="345"/>
      <c r="DN252" s="345"/>
      <c r="DO252" s="345"/>
      <c r="DP252" s="345"/>
      <c r="DQ252" s="345"/>
      <c r="DR252" s="345"/>
      <c r="DS252" s="345"/>
      <c r="DT252" s="345"/>
      <c r="DU252" s="345"/>
      <c r="DV252" s="345"/>
      <c r="DW252" s="345"/>
      <c r="DX252" s="345"/>
      <c r="DY252" s="345"/>
      <c r="DZ252" s="345"/>
      <c r="EA252" s="345"/>
    </row>
    <row r="253" spans="1:131" hidden="1">
      <c r="A253" s="345"/>
      <c r="B253" s="345"/>
      <c r="C253" s="345"/>
      <c r="D253" s="345"/>
      <c r="E253" s="345"/>
      <c r="F253" s="345"/>
      <c r="G253" s="345"/>
      <c r="H253" s="345"/>
      <c r="I253" s="345"/>
      <c r="J253" s="345"/>
      <c r="K253" s="345"/>
      <c r="L253" s="345"/>
      <c r="M253" s="345"/>
      <c r="N253" s="345"/>
      <c r="O253" s="345"/>
      <c r="P253" s="345"/>
      <c r="Q253" s="345"/>
      <c r="R253" s="345"/>
      <c r="S253" s="345"/>
      <c r="T253" s="345"/>
      <c r="U253" s="345"/>
      <c r="V253" s="345"/>
      <c r="W253" s="345"/>
      <c r="X253" s="345"/>
      <c r="Y253" s="345"/>
      <c r="Z253" s="345"/>
      <c r="AA253" s="345"/>
      <c r="AB253" s="345"/>
      <c r="AC253" s="345"/>
      <c r="AD253" s="345"/>
      <c r="AE253" s="345"/>
      <c r="AF253" s="345"/>
      <c r="AG253" s="345"/>
      <c r="AH253" s="345"/>
      <c r="AI253" s="345"/>
      <c r="AJ253" s="345"/>
      <c r="AK253" s="345"/>
      <c r="AL253" s="345"/>
      <c r="AM253" s="345"/>
      <c r="AN253" s="345"/>
      <c r="AO253" s="345"/>
      <c r="AP253" s="345"/>
      <c r="AQ253" s="345"/>
      <c r="AR253" s="345"/>
      <c r="AS253" s="345"/>
      <c r="AT253" s="345"/>
      <c r="AU253" s="345"/>
      <c r="AV253" s="345"/>
      <c r="AW253" s="345"/>
      <c r="AX253" s="345"/>
      <c r="AY253" s="345"/>
      <c r="AZ253" s="345"/>
      <c r="BA253" s="345"/>
      <c r="BB253" s="345"/>
      <c r="BC253" s="345"/>
      <c r="BD253" s="345"/>
      <c r="BE253" s="345"/>
      <c r="BF253" s="345"/>
      <c r="BG253" s="345"/>
      <c r="BH253" s="345"/>
      <c r="BI253" s="345"/>
      <c r="BJ253" s="345"/>
      <c r="BK253" s="345"/>
      <c r="BL253" s="345"/>
      <c r="BM253" s="345"/>
      <c r="BN253" s="345"/>
      <c r="BO253" s="345"/>
      <c r="BP253" s="345"/>
      <c r="BQ253" s="345"/>
      <c r="BR253" s="345"/>
      <c r="BS253" s="345"/>
      <c r="BT253" s="345"/>
      <c r="BU253" s="345"/>
      <c r="BV253" s="345"/>
      <c r="BW253" s="345"/>
      <c r="BX253" s="345"/>
      <c r="BY253" s="345"/>
      <c r="BZ253" s="345"/>
      <c r="CA253" s="345"/>
      <c r="CB253" s="345"/>
      <c r="CC253" s="345"/>
      <c r="CD253" s="345"/>
      <c r="CE253" s="345"/>
      <c r="CF253" s="345"/>
      <c r="CG253" s="345"/>
      <c r="CH253" s="345"/>
      <c r="CI253" s="345"/>
      <c r="CJ253" s="345"/>
      <c r="CK253" s="345"/>
      <c r="CL253" s="345"/>
      <c r="CM253" s="345"/>
      <c r="CN253" s="345"/>
      <c r="CO253" s="345"/>
      <c r="CP253" s="345"/>
      <c r="CQ253" s="345"/>
      <c r="CR253" s="345"/>
      <c r="CS253" s="345"/>
      <c r="CT253" s="345"/>
      <c r="CU253" s="345"/>
      <c r="CV253" s="345"/>
      <c r="CW253" s="345"/>
      <c r="CX253" s="345"/>
      <c r="CY253" s="345"/>
      <c r="CZ253" s="345"/>
      <c r="DA253" s="345"/>
      <c r="DB253" s="345"/>
      <c r="DC253" s="345"/>
      <c r="DD253" s="345"/>
      <c r="DE253" s="345"/>
      <c r="DF253" s="345"/>
      <c r="DG253" s="345"/>
      <c r="DH253" s="345"/>
      <c r="DI253" s="345"/>
      <c r="DJ253" s="345"/>
      <c r="DK253" s="345"/>
      <c r="DL253" s="345"/>
      <c r="DM253" s="345"/>
      <c r="DN253" s="345"/>
      <c r="DO253" s="345"/>
      <c r="DP253" s="345"/>
      <c r="DQ253" s="345"/>
      <c r="DR253" s="345"/>
      <c r="DS253" s="345"/>
      <c r="DT253" s="345"/>
      <c r="DU253" s="345"/>
      <c r="DV253" s="345"/>
      <c r="DW253" s="345"/>
      <c r="DX253" s="345"/>
      <c r="DY253" s="345"/>
      <c r="DZ253" s="345"/>
      <c r="EA253" s="345"/>
    </row>
    <row r="254" spans="1:131" hidden="1">
      <c r="A254" s="345"/>
      <c r="B254" s="345"/>
      <c r="C254" s="345"/>
      <c r="D254" s="345"/>
      <c r="E254" s="345"/>
      <c r="F254" s="345"/>
      <c r="G254" s="345"/>
      <c r="H254" s="345"/>
      <c r="I254" s="345"/>
      <c r="J254" s="345"/>
      <c r="K254" s="345"/>
      <c r="L254" s="345"/>
      <c r="M254" s="345"/>
      <c r="N254" s="345"/>
      <c r="O254" s="345"/>
      <c r="P254" s="345"/>
      <c r="Q254" s="345"/>
      <c r="R254" s="345"/>
      <c r="S254" s="345"/>
      <c r="T254" s="345"/>
      <c r="U254" s="345"/>
      <c r="V254" s="345"/>
      <c r="W254" s="345"/>
      <c r="X254" s="345"/>
      <c r="Y254" s="345"/>
      <c r="Z254" s="345"/>
      <c r="AA254" s="345"/>
      <c r="AB254" s="345"/>
      <c r="AC254" s="345"/>
      <c r="AD254" s="345"/>
      <c r="AE254" s="345"/>
      <c r="AF254" s="345"/>
      <c r="AG254" s="345"/>
      <c r="AH254" s="345"/>
      <c r="AI254" s="345"/>
      <c r="AJ254" s="345"/>
      <c r="AK254" s="345"/>
      <c r="AL254" s="345"/>
      <c r="AM254" s="345"/>
      <c r="AN254" s="345"/>
      <c r="AO254" s="345"/>
      <c r="AP254" s="345"/>
      <c r="AQ254" s="345"/>
      <c r="AR254" s="345"/>
      <c r="AS254" s="345"/>
      <c r="AT254" s="345"/>
      <c r="AU254" s="345"/>
      <c r="AV254" s="345"/>
      <c r="AW254" s="345"/>
      <c r="AX254" s="345"/>
      <c r="AY254" s="345"/>
      <c r="AZ254" s="345"/>
      <c r="BA254" s="345"/>
      <c r="BB254" s="345"/>
      <c r="BC254" s="345"/>
      <c r="BD254" s="345"/>
      <c r="BE254" s="345"/>
      <c r="BF254" s="345"/>
      <c r="BG254" s="345"/>
      <c r="BH254" s="345"/>
      <c r="BI254" s="345"/>
      <c r="BJ254" s="345"/>
      <c r="BK254" s="345"/>
      <c r="BL254" s="345"/>
      <c r="BM254" s="345"/>
      <c r="BN254" s="345"/>
      <c r="BO254" s="345"/>
      <c r="BP254" s="345"/>
      <c r="BQ254" s="345"/>
      <c r="BR254" s="345"/>
      <c r="BS254" s="345"/>
      <c r="BT254" s="345"/>
      <c r="BU254" s="345"/>
      <c r="BV254" s="345"/>
      <c r="BW254" s="345"/>
      <c r="BX254" s="345"/>
      <c r="BY254" s="345"/>
      <c r="BZ254" s="345"/>
      <c r="CA254" s="345"/>
      <c r="CB254" s="345"/>
      <c r="CC254" s="345"/>
      <c r="CD254" s="345"/>
      <c r="CE254" s="345"/>
      <c r="CF254" s="345"/>
      <c r="CG254" s="345"/>
      <c r="CH254" s="345"/>
      <c r="CI254" s="345"/>
      <c r="CJ254" s="345"/>
      <c r="CK254" s="345"/>
      <c r="CL254" s="345"/>
      <c r="CM254" s="345"/>
      <c r="CN254" s="345"/>
      <c r="CO254" s="345"/>
      <c r="CP254" s="345"/>
      <c r="CQ254" s="345"/>
      <c r="CR254" s="345"/>
      <c r="CS254" s="345"/>
      <c r="CT254" s="345"/>
      <c r="CU254" s="345"/>
      <c r="CV254" s="345"/>
      <c r="CW254" s="345"/>
      <c r="CX254" s="345"/>
      <c r="CY254" s="345"/>
      <c r="CZ254" s="345"/>
      <c r="DA254" s="345"/>
      <c r="DB254" s="345"/>
      <c r="DC254" s="345"/>
      <c r="DD254" s="345"/>
      <c r="DE254" s="345"/>
      <c r="DF254" s="345"/>
      <c r="DG254" s="345"/>
      <c r="DH254" s="345"/>
      <c r="DI254" s="345"/>
      <c r="DJ254" s="345"/>
      <c r="DK254" s="345"/>
      <c r="DL254" s="345"/>
      <c r="DM254" s="345"/>
      <c r="DN254" s="345"/>
      <c r="DO254" s="345"/>
      <c r="DP254" s="345"/>
      <c r="DQ254" s="345"/>
      <c r="DR254" s="345"/>
      <c r="DS254" s="345"/>
      <c r="DT254" s="345"/>
      <c r="DU254" s="345"/>
      <c r="DV254" s="345"/>
      <c r="DW254" s="345"/>
      <c r="DX254" s="345"/>
      <c r="DY254" s="345"/>
      <c r="DZ254" s="345"/>
      <c r="EA254" s="345"/>
    </row>
    <row r="255" spans="1:131" hidden="1">
      <c r="A255" s="345"/>
      <c r="B255" s="345"/>
      <c r="C255" s="345"/>
      <c r="D255" s="345"/>
      <c r="E255" s="345"/>
      <c r="F255" s="345"/>
      <c r="G255" s="345"/>
      <c r="H255" s="345"/>
      <c r="I255" s="345"/>
      <c r="J255" s="345"/>
      <c r="K255" s="345"/>
      <c r="L255" s="345"/>
      <c r="M255" s="345"/>
      <c r="N255" s="345"/>
      <c r="O255" s="345"/>
      <c r="P255" s="345"/>
      <c r="Q255" s="345"/>
      <c r="R255" s="345"/>
      <c r="S255" s="345"/>
      <c r="T255" s="345"/>
      <c r="U255" s="345"/>
      <c r="V255" s="345"/>
      <c r="W255" s="345"/>
      <c r="X255" s="345"/>
      <c r="Y255" s="345"/>
      <c r="Z255" s="345"/>
      <c r="AA255" s="345"/>
      <c r="AB255" s="345"/>
      <c r="AC255" s="345"/>
      <c r="AD255" s="345"/>
      <c r="AE255" s="345"/>
      <c r="AF255" s="345"/>
      <c r="AG255" s="345"/>
      <c r="AH255" s="345"/>
      <c r="AI255" s="345"/>
      <c r="AJ255" s="345"/>
      <c r="AK255" s="345"/>
      <c r="AL255" s="345"/>
      <c r="AM255" s="345"/>
      <c r="AN255" s="345"/>
      <c r="AO255" s="345"/>
      <c r="AP255" s="345"/>
      <c r="AQ255" s="345"/>
      <c r="AR255" s="345"/>
      <c r="AS255" s="345"/>
      <c r="AT255" s="345"/>
      <c r="AU255" s="345"/>
      <c r="AV255" s="345"/>
      <c r="AW255" s="345"/>
      <c r="AX255" s="345"/>
      <c r="AY255" s="345"/>
      <c r="AZ255" s="345"/>
      <c r="BA255" s="345"/>
      <c r="BB255" s="345"/>
      <c r="BC255" s="345"/>
      <c r="BD255" s="345"/>
      <c r="BE255" s="345"/>
      <c r="BF255" s="345"/>
      <c r="BG255" s="345"/>
      <c r="BH255" s="345"/>
      <c r="BI255" s="345"/>
      <c r="BJ255" s="345"/>
      <c r="BK255" s="345"/>
      <c r="BL255" s="345"/>
      <c r="BM255" s="345"/>
      <c r="BN255" s="345"/>
      <c r="BO255" s="345"/>
      <c r="BP255" s="345"/>
      <c r="BQ255" s="345"/>
      <c r="BR255" s="345"/>
      <c r="BS255" s="345"/>
      <c r="BT255" s="345"/>
      <c r="BU255" s="345"/>
      <c r="BV255" s="345"/>
      <c r="BW255" s="345"/>
      <c r="BX255" s="345"/>
      <c r="BY255" s="345"/>
      <c r="BZ255" s="345"/>
      <c r="CA255" s="345"/>
      <c r="CB255" s="345"/>
      <c r="CC255" s="345"/>
      <c r="CD255" s="345"/>
      <c r="CE255" s="345"/>
      <c r="CF255" s="345"/>
      <c r="CG255" s="345"/>
      <c r="CH255" s="345"/>
      <c r="CI255" s="345"/>
      <c r="CJ255" s="345"/>
      <c r="CK255" s="345"/>
      <c r="CL255" s="345"/>
      <c r="CM255" s="345"/>
      <c r="CN255" s="345"/>
      <c r="CO255" s="345"/>
      <c r="CP255" s="345"/>
      <c r="CQ255" s="345"/>
      <c r="CR255" s="345"/>
      <c r="CS255" s="345"/>
      <c r="CT255" s="345"/>
      <c r="CU255" s="345"/>
      <c r="CV255" s="345"/>
      <c r="CW255" s="345"/>
      <c r="CX255" s="345"/>
      <c r="CY255" s="345"/>
      <c r="CZ255" s="345"/>
      <c r="DA255" s="345"/>
      <c r="DB255" s="345"/>
      <c r="DC255" s="345"/>
      <c r="DD255" s="345"/>
      <c r="DE255" s="345"/>
      <c r="DF255" s="345"/>
      <c r="DG255" s="345"/>
      <c r="DH255" s="345"/>
      <c r="DI255" s="345"/>
      <c r="DJ255" s="345"/>
      <c r="DK255" s="345"/>
      <c r="DL255" s="345"/>
      <c r="DM255" s="345"/>
      <c r="DN255" s="345"/>
      <c r="DO255" s="345"/>
      <c r="DP255" s="345"/>
      <c r="DQ255" s="345"/>
      <c r="DR255" s="345"/>
      <c r="DS255" s="345"/>
      <c r="DT255" s="345"/>
      <c r="DU255" s="345"/>
      <c r="DV255" s="345"/>
      <c r="DW255" s="345"/>
      <c r="DX255" s="345"/>
      <c r="DY255" s="345"/>
      <c r="DZ255" s="345"/>
      <c r="EA255" s="345"/>
    </row>
    <row r="256" spans="1:131" hidden="1">
      <c r="A256" s="345"/>
      <c r="B256" s="345"/>
      <c r="C256" s="345"/>
      <c r="D256" s="345"/>
      <c r="E256" s="345"/>
      <c r="F256" s="345"/>
      <c r="G256" s="345"/>
      <c r="H256" s="345"/>
      <c r="I256" s="345"/>
      <c r="J256" s="345"/>
      <c r="K256" s="345"/>
      <c r="L256" s="345"/>
      <c r="M256" s="345"/>
      <c r="N256" s="345"/>
      <c r="O256" s="345"/>
      <c r="P256" s="345"/>
      <c r="Q256" s="345"/>
      <c r="R256" s="345"/>
      <c r="S256" s="345"/>
      <c r="T256" s="345"/>
      <c r="U256" s="345"/>
      <c r="V256" s="345"/>
      <c r="W256" s="345"/>
      <c r="X256" s="345"/>
      <c r="Y256" s="345"/>
      <c r="Z256" s="345"/>
      <c r="AA256" s="345"/>
      <c r="AB256" s="345"/>
      <c r="AC256" s="345"/>
      <c r="AD256" s="345"/>
      <c r="AE256" s="345"/>
      <c r="AF256" s="345"/>
      <c r="AG256" s="345"/>
      <c r="AH256" s="345"/>
      <c r="AI256" s="345"/>
      <c r="AJ256" s="345"/>
      <c r="AK256" s="345"/>
      <c r="AL256" s="345"/>
      <c r="AM256" s="345"/>
      <c r="AN256" s="345"/>
      <c r="AO256" s="345"/>
      <c r="AP256" s="345"/>
      <c r="AQ256" s="345"/>
      <c r="AR256" s="345"/>
      <c r="AS256" s="345"/>
      <c r="AT256" s="345"/>
      <c r="AU256" s="345"/>
      <c r="AV256" s="345"/>
      <c r="AW256" s="345"/>
      <c r="AX256" s="345"/>
      <c r="AY256" s="345"/>
      <c r="AZ256" s="345"/>
      <c r="BA256" s="345"/>
      <c r="BB256" s="345"/>
      <c r="BC256" s="345"/>
      <c r="BD256" s="345"/>
      <c r="BE256" s="345"/>
      <c r="BF256" s="345"/>
      <c r="BG256" s="345"/>
      <c r="BH256" s="345"/>
      <c r="BI256" s="345"/>
      <c r="BJ256" s="345"/>
      <c r="BK256" s="345"/>
      <c r="BL256" s="345"/>
      <c r="BM256" s="345"/>
      <c r="BN256" s="345"/>
      <c r="BO256" s="345"/>
      <c r="BP256" s="345"/>
      <c r="BQ256" s="345"/>
      <c r="BR256" s="345"/>
      <c r="BS256" s="345"/>
      <c r="BT256" s="345"/>
      <c r="BU256" s="345"/>
      <c r="BV256" s="345"/>
      <c r="BW256" s="345"/>
      <c r="BX256" s="345"/>
      <c r="BY256" s="345"/>
      <c r="BZ256" s="345"/>
      <c r="CA256" s="345"/>
      <c r="CB256" s="345"/>
      <c r="CC256" s="345"/>
      <c r="CD256" s="345"/>
      <c r="CE256" s="345"/>
      <c r="CF256" s="345"/>
      <c r="CG256" s="345"/>
      <c r="CH256" s="345"/>
      <c r="CI256" s="345"/>
      <c r="CJ256" s="345"/>
      <c r="CK256" s="345"/>
      <c r="CL256" s="345"/>
      <c r="CM256" s="345"/>
      <c r="CN256" s="345"/>
      <c r="CO256" s="345"/>
      <c r="CP256" s="345"/>
      <c r="CQ256" s="345"/>
      <c r="CR256" s="345"/>
      <c r="CS256" s="345"/>
      <c r="CT256" s="345"/>
      <c r="CU256" s="345"/>
      <c r="CV256" s="345"/>
      <c r="CW256" s="345"/>
      <c r="CX256" s="345"/>
      <c r="CY256" s="345"/>
      <c r="CZ256" s="345"/>
      <c r="DA256" s="345"/>
      <c r="DB256" s="345"/>
      <c r="DC256" s="345"/>
      <c r="DD256" s="345"/>
      <c r="DE256" s="345"/>
      <c r="DF256" s="345"/>
      <c r="DG256" s="345"/>
      <c r="DH256" s="345"/>
      <c r="DI256" s="345"/>
      <c r="DJ256" s="345"/>
      <c r="DK256" s="345"/>
      <c r="DL256" s="345"/>
      <c r="DM256" s="345"/>
      <c r="DN256" s="345"/>
      <c r="DO256" s="345"/>
      <c r="DP256" s="345"/>
      <c r="DQ256" s="345"/>
      <c r="DR256" s="345"/>
      <c r="DS256" s="345"/>
      <c r="DT256" s="345"/>
      <c r="DU256" s="345"/>
      <c r="DV256" s="345"/>
      <c r="DW256" s="345"/>
      <c r="DX256" s="345"/>
      <c r="DY256" s="345"/>
      <c r="DZ256" s="345"/>
      <c r="EA256" s="345"/>
    </row>
  </sheetData>
  <sheetProtection algorithmName="SHA-512" hashValue="fH8Xw4bXcjlXzb5ZoMnlvFLyCXnlG2BUSD2TXHNdrTt4sSRskSK0eng6k8MGdSpyKXa3Ny4adkwnLLXYHmebYg==" saltValue="nonNl0gsQSIEHIP1JPzRTQ==" spinCount="100000" sheet="1" formatColumns="0" formatRows="0" selectLockedCells="1"/>
  <protectedRanges>
    <protectedRange sqref="O47" name="Range5"/>
    <protectedRange sqref="D7:K10" name="Range2"/>
    <protectedRange sqref="H15:J18" name="Range1"/>
    <protectedRange sqref="L16:Q18" name="Range3"/>
    <protectedRange sqref="L16:Q18" name="Range4"/>
  </protectedRanges>
  <customSheetViews>
    <customSheetView guid="{DDA22D69-94B5-45BC-9EE2-6055A845129B}" hiddenRows="1" hiddenColumns="1" state="hidden" topLeftCell="A79">
      <selection activeCell="T20" sqref="T20"/>
      <pageMargins left="0.74803149606299213" right="0.43307086614173229" top="0.11811023622047245" bottom="0.23622047244094491" header="0.31496062992125984" footer="0.23622047244094491"/>
      <pageSetup paperSize="9" scale="66" orientation="portrait" r:id="rId1"/>
    </customSheetView>
    <customSheetView guid="{1B7577DB-E3C4-4E68-B7CF-8F86FF7C5A82}" hiddenRows="1" hiddenColumns="1" topLeftCell="A58">
      <selection activeCell="S63" sqref="S63"/>
      <pageMargins left="0.74803149606299213" right="0.43307086614173229" top="0.11811023622047245" bottom="0.23622047244094491" header="0.31496062992125984" footer="0.23622047244094491"/>
      <pageSetup paperSize="9" scale="66" orientation="portrait" r:id="rId2"/>
    </customSheetView>
    <customSheetView guid="{2BE9587E-F957-49DF-9716-3F2B35B49DC1}" hiddenRows="1" hiddenColumns="1">
      <pageMargins left="0.75" right="0.45" top="0.12" bottom="0.25" header="0.3" footer="0.24"/>
      <pageSetup paperSize="9" scale="70" orientation="portrait" r:id="rId3"/>
    </customSheetView>
    <customSheetView guid="{60E5615C-64A2-4675-848A-970A515EAF91}" printArea="1" hiddenRows="1" hiddenColumns="1" topLeftCell="A30">
      <selection activeCell="L77" sqref="L77"/>
      <pageMargins left="0.75" right="0.45" top="0.12" bottom="0.25" header="0.3" footer="0.24"/>
      <pageSetup paperSize="9" scale="68" orientation="portrait" r:id="rId4"/>
    </customSheetView>
    <customSheetView guid="{E7B1C62B-1F1D-4A62-BD87-EE62D3A36B6C}" hiddenRows="1" hiddenColumns="1" state="hidden" topLeftCell="A79">
      <selection activeCell="T20" sqref="T20"/>
      <pageMargins left="0.74803149606299213" right="0.43307086614173229" top="0.11811023622047245" bottom="0.23622047244094491" header="0.31496062992125984" footer="0.23622047244094491"/>
      <pageSetup paperSize="9" scale="66" orientation="portrait" r:id="rId5"/>
    </customSheetView>
  </customSheetViews>
  <mergeCells count="164">
    <mergeCell ref="L63:M63"/>
    <mergeCell ref="N46:O46"/>
    <mergeCell ref="G77:J77"/>
    <mergeCell ref="N63:O63"/>
    <mergeCell ref="F59:K59"/>
    <mergeCell ref="F60:K60"/>
    <mergeCell ref="F61:K61"/>
    <mergeCell ref="G62:K62"/>
    <mergeCell ref="D62:E62"/>
    <mergeCell ref="G64:K64"/>
    <mergeCell ref="G76:K76"/>
    <mergeCell ref="F58:K58"/>
    <mergeCell ref="D61:E61"/>
    <mergeCell ref="L59:M61"/>
    <mergeCell ref="D63:E63"/>
    <mergeCell ref="G65:K65"/>
    <mergeCell ref="G66:K66"/>
    <mergeCell ref="G67:K67"/>
    <mergeCell ref="G68:K68"/>
    <mergeCell ref="D19:Q19"/>
    <mergeCell ref="P20:Q20"/>
    <mergeCell ref="E20:M20"/>
    <mergeCell ref="F21:I21"/>
    <mergeCell ref="F22:I22"/>
    <mergeCell ref="F23:I23"/>
    <mergeCell ref="L21:M21"/>
    <mergeCell ref="L22:M22"/>
    <mergeCell ref="L23:M23"/>
    <mergeCell ref="D21:D27"/>
    <mergeCell ref="J26:J27"/>
    <mergeCell ref="J24:J25"/>
    <mergeCell ref="F24:I25"/>
    <mergeCell ref="F26:I27"/>
    <mergeCell ref="K24:K25"/>
    <mergeCell ref="K26:K27"/>
    <mergeCell ref="L24:M25"/>
    <mergeCell ref="L26:M27"/>
    <mergeCell ref="E24:E25"/>
    <mergeCell ref="E26:E27"/>
    <mergeCell ref="N21:Q27"/>
    <mergeCell ref="D16:G16"/>
    <mergeCell ref="H16:I16"/>
    <mergeCell ref="L16:M18"/>
    <mergeCell ref="N16:O18"/>
    <mergeCell ref="P16:Q18"/>
    <mergeCell ref="D17:G17"/>
    <mergeCell ref="H17:I17"/>
    <mergeCell ref="D18:G18"/>
    <mergeCell ref="H18:I18"/>
    <mergeCell ref="D13:Q13"/>
    <mergeCell ref="D14:G14"/>
    <mergeCell ref="H14:I14"/>
    <mergeCell ref="L14:O14"/>
    <mergeCell ref="P14:Q14"/>
    <mergeCell ref="D15:G15"/>
    <mergeCell ref="H15:I15"/>
    <mergeCell ref="L15:M15"/>
    <mergeCell ref="N15:O15"/>
    <mergeCell ref="P15:Q15"/>
    <mergeCell ref="D3:Q3"/>
    <mergeCell ref="D4:Q4"/>
    <mergeCell ref="D5:Q5"/>
    <mergeCell ref="D6:K6"/>
    <mergeCell ref="L6:Q6"/>
    <mergeCell ref="D7:K7"/>
    <mergeCell ref="L7:Q7"/>
    <mergeCell ref="L8:Q8"/>
    <mergeCell ref="D9:K9"/>
    <mergeCell ref="L9:Q9"/>
    <mergeCell ref="D10:K10"/>
    <mergeCell ref="L10:Q10"/>
    <mergeCell ref="D8:K8"/>
    <mergeCell ref="D11:G11"/>
    <mergeCell ref="H11:K11"/>
    <mergeCell ref="L11:N11"/>
    <mergeCell ref="O11:Q11"/>
    <mergeCell ref="D12:G12"/>
    <mergeCell ref="H12:K12"/>
    <mergeCell ref="L12:N12"/>
    <mergeCell ref="O12:Q12"/>
    <mergeCell ref="D33:E33"/>
    <mergeCell ref="G34:H34"/>
    <mergeCell ref="G35:H35"/>
    <mergeCell ref="G36:H36"/>
    <mergeCell ref="F33:M33"/>
    <mergeCell ref="D34:E36"/>
    <mergeCell ref="D32:E32"/>
    <mergeCell ref="F32:M32"/>
    <mergeCell ref="F29:F30"/>
    <mergeCell ref="L29:L30"/>
    <mergeCell ref="J29:K30"/>
    <mergeCell ref="G29:I30"/>
    <mergeCell ref="G31:I31"/>
    <mergeCell ref="J31:K31"/>
    <mergeCell ref="D29:E31"/>
    <mergeCell ref="M31:N31"/>
    <mergeCell ref="P28:Q28"/>
    <mergeCell ref="M29:N30"/>
    <mergeCell ref="P32:Q32"/>
    <mergeCell ref="P33:Q33"/>
    <mergeCell ref="K34:M34"/>
    <mergeCell ref="K35:M35"/>
    <mergeCell ref="K36:M36"/>
    <mergeCell ref="N34:Q36"/>
    <mergeCell ref="L28:M28"/>
    <mergeCell ref="F28:K28"/>
    <mergeCell ref="O29:Q31"/>
    <mergeCell ref="P46:Q60"/>
    <mergeCell ref="D44:E44"/>
    <mergeCell ref="F44:M44"/>
    <mergeCell ref="P44:Q44"/>
    <mergeCell ref="F45:M45"/>
    <mergeCell ref="N45:Q45"/>
    <mergeCell ref="D41:E41"/>
    <mergeCell ref="D43:E43"/>
    <mergeCell ref="L41:M41"/>
    <mergeCell ref="D45:E46"/>
    <mergeCell ref="D47:E58"/>
    <mergeCell ref="D59:E60"/>
    <mergeCell ref="F46:K46"/>
    <mergeCell ref="L46:M46"/>
    <mergeCell ref="P39:Q39"/>
    <mergeCell ref="D40:E40"/>
    <mergeCell ref="F40:K40"/>
    <mergeCell ref="L40:M40"/>
    <mergeCell ref="N40:Q43"/>
    <mergeCell ref="D37:E37"/>
    <mergeCell ref="F37:M37"/>
    <mergeCell ref="P37:Q37"/>
    <mergeCell ref="D38:E38"/>
    <mergeCell ref="D39:E39"/>
    <mergeCell ref="P38:Q38"/>
    <mergeCell ref="F38:M38"/>
    <mergeCell ref="F39:M39"/>
    <mergeCell ref="L43:M43"/>
    <mergeCell ref="D42:E42"/>
    <mergeCell ref="F41:K41"/>
    <mergeCell ref="F42:K42"/>
    <mergeCell ref="F43:K43"/>
    <mergeCell ref="L42:M42"/>
    <mergeCell ref="P63:Q76"/>
    <mergeCell ref="P78:P79"/>
    <mergeCell ref="Q78:Q79"/>
    <mergeCell ref="D64:E77"/>
    <mergeCell ref="D78:E79"/>
    <mergeCell ref="F78:O79"/>
    <mergeCell ref="G47:K47"/>
    <mergeCell ref="G48:K48"/>
    <mergeCell ref="G49:K49"/>
    <mergeCell ref="G50:K50"/>
    <mergeCell ref="G51:K51"/>
    <mergeCell ref="G52:K52"/>
    <mergeCell ref="G53:K53"/>
    <mergeCell ref="G54:K54"/>
    <mergeCell ref="G55:K55"/>
    <mergeCell ref="G56:K56"/>
    <mergeCell ref="G57:K57"/>
    <mergeCell ref="G69:K69"/>
    <mergeCell ref="G70:K70"/>
    <mergeCell ref="G71:K71"/>
    <mergeCell ref="G72:K72"/>
    <mergeCell ref="G73:K73"/>
    <mergeCell ref="G74:K74"/>
    <mergeCell ref="G75:K75"/>
  </mergeCells>
  <pageMargins left="0.74803149606299213" right="0.43307086614173229" top="0.11811023622047245" bottom="0.23622047244094491" header="0.31496062992125984" footer="0.23622047244094491"/>
  <pageSetup paperSize="9" scale="66" orientation="portrait" r:id="rId6"/>
  <drawing r:id="rId7"/>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DZ200"/>
  <sheetViews>
    <sheetView topLeftCell="A10" workbookViewId="0">
      <selection activeCell="O43" sqref="O43"/>
    </sheetView>
  </sheetViews>
  <sheetFormatPr defaultColWidth="0" defaultRowHeight="15" zeroHeight="1"/>
  <cols>
    <col min="1" max="1" width="4.42578125" customWidth="1"/>
    <col min="2" max="2" width="5.7109375" customWidth="1"/>
    <col min="3" max="3" width="9.140625" customWidth="1"/>
    <col min="4" max="4" width="5.7109375" customWidth="1"/>
    <col min="5" max="5" width="9.140625" customWidth="1"/>
    <col min="6" max="6" width="9.85546875" customWidth="1"/>
    <col min="7" max="7" width="6.7109375" customWidth="1"/>
    <col min="8" max="9" width="9.140625" customWidth="1"/>
    <col min="10" max="10" width="8.7109375" customWidth="1"/>
    <col min="11" max="11" width="8.5703125" customWidth="1"/>
    <col min="12" max="12" width="9.140625" customWidth="1"/>
    <col min="13" max="13" width="11.85546875" customWidth="1"/>
    <col min="14" max="14" width="6.42578125" customWidth="1"/>
    <col min="15" max="15" width="9.140625" customWidth="1"/>
    <col min="16" max="16" width="3.85546875" customWidth="1"/>
    <col min="17" max="17" width="4.28515625" customWidth="1"/>
    <col min="18" max="21" width="9.140625" customWidth="1"/>
    <col min="22" max="16384" width="9.140625" hidden="1"/>
  </cols>
  <sheetData>
    <row r="1" spans="1:130" ht="13.5" customHeight="1">
      <c r="A1" s="1"/>
      <c r="B1" s="1"/>
      <c r="C1" s="1"/>
      <c r="D1" s="1"/>
      <c r="E1" s="1"/>
      <c r="F1" s="1"/>
      <c r="G1" s="1"/>
      <c r="H1" s="1"/>
      <c r="I1" s="1"/>
      <c r="J1" s="1"/>
      <c r="K1" s="1"/>
      <c r="L1" s="1"/>
      <c r="M1" s="1"/>
      <c r="N1" s="347"/>
      <c r="O1" s="347"/>
      <c r="P1" s="347"/>
      <c r="Q1" s="347"/>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row>
    <row r="2" spans="1:130" ht="9" customHeight="1" thickBot="1">
      <c r="A2" s="1"/>
      <c r="B2" s="1"/>
      <c r="C2" s="1"/>
      <c r="D2" s="1"/>
      <c r="E2" s="1"/>
      <c r="F2" s="1"/>
      <c r="G2" s="1"/>
      <c r="H2" s="1"/>
      <c r="I2" s="1"/>
      <c r="J2" s="1"/>
      <c r="K2" s="1"/>
      <c r="L2" s="1"/>
      <c r="M2" s="1"/>
      <c r="N2" s="347"/>
      <c r="O2" s="347"/>
      <c r="P2" s="347"/>
      <c r="Q2" s="347"/>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row>
    <row r="3" spans="1:130" ht="15.75" thickTop="1">
      <c r="A3" s="1"/>
      <c r="B3" s="373"/>
      <c r="C3" s="109"/>
      <c r="D3" s="2811"/>
      <c r="E3" s="2811"/>
      <c r="F3" s="2811"/>
      <c r="G3" s="2811"/>
      <c r="H3" s="2811"/>
      <c r="I3" s="2811"/>
      <c r="J3" s="2811"/>
      <c r="K3" s="110"/>
      <c r="L3" s="2812"/>
      <c r="M3" s="2813"/>
      <c r="N3" s="348"/>
      <c r="O3" s="348"/>
      <c r="P3" s="349"/>
      <c r="Q3" s="350"/>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row>
    <row r="4" spans="1:130">
      <c r="A4" s="1"/>
      <c r="B4" s="374" t="s">
        <v>1513</v>
      </c>
      <c r="C4" s="6224" t="s">
        <v>1565</v>
      </c>
      <c r="D4" s="5903"/>
      <c r="E4" s="5903"/>
      <c r="F4" s="5903"/>
      <c r="G4" s="5903"/>
      <c r="H4" s="5903"/>
      <c r="I4" s="5903"/>
      <c r="J4" s="2510"/>
      <c r="K4" s="2511"/>
      <c r="L4" s="2814" t="s">
        <v>5</v>
      </c>
      <c r="M4" s="2680">
        <f>'Old Tax Regime'!L59</f>
        <v>1486210</v>
      </c>
      <c r="N4" s="351"/>
      <c r="O4" s="351"/>
      <c r="P4" s="350"/>
      <c r="Q4" s="350"/>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row>
    <row r="5" spans="1:130">
      <c r="A5" s="1"/>
      <c r="B5" s="374" t="s">
        <v>1516</v>
      </c>
      <c r="C5" s="6227" t="s">
        <v>1564</v>
      </c>
      <c r="D5" s="6228"/>
      <c r="E5" s="6228"/>
      <c r="F5" s="6228"/>
      <c r="G5" s="6228"/>
      <c r="H5" s="6228"/>
      <c r="I5" s="6228"/>
      <c r="J5" s="2510"/>
      <c r="K5" s="2511"/>
      <c r="L5" s="2814" t="s">
        <v>5</v>
      </c>
      <c r="M5" s="2681">
        <f>'Old Tax Regime'!L65</f>
        <v>258363</v>
      </c>
      <c r="N5" s="348"/>
      <c r="O5" s="348"/>
      <c r="P5" s="350"/>
      <c r="Q5" s="350"/>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row>
    <row r="6" spans="1:130">
      <c r="A6" s="1"/>
      <c r="B6" s="374" t="s">
        <v>1517</v>
      </c>
      <c r="C6" s="6224" t="s">
        <v>8</v>
      </c>
      <c r="D6" s="5903"/>
      <c r="E6" s="5903"/>
      <c r="F6" s="6229" t="str">
        <f>'Old Tax Regime'!F66</f>
        <v>(No Tax Rebate)</v>
      </c>
      <c r="G6" s="6229"/>
      <c r="H6" s="6229"/>
      <c r="I6" s="6229"/>
      <c r="J6" s="6229"/>
      <c r="K6" s="2511"/>
      <c r="L6" s="2814" t="s">
        <v>5</v>
      </c>
      <c r="M6" s="2680">
        <f>'Old Tax Regime'!L66</f>
        <v>0</v>
      </c>
      <c r="N6" s="352"/>
      <c r="O6" s="353"/>
      <c r="P6" s="350"/>
      <c r="Q6" s="350"/>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row>
    <row r="7" spans="1:130">
      <c r="A7" s="1"/>
      <c r="B7" s="374" t="s">
        <v>1518</v>
      </c>
      <c r="C7" s="6224" t="s">
        <v>1566</v>
      </c>
      <c r="D7" s="5903"/>
      <c r="E7" s="5903"/>
      <c r="F7" s="5903"/>
      <c r="G7" s="5903"/>
      <c r="H7" s="5903"/>
      <c r="I7" s="5903"/>
      <c r="J7" s="5903"/>
      <c r="K7" s="6230"/>
      <c r="L7" s="2814" t="s">
        <v>5</v>
      </c>
      <c r="M7" s="2680">
        <f>'Old Tax Regime'!L67</f>
        <v>258363</v>
      </c>
      <c r="N7" s="353"/>
      <c r="O7" s="353"/>
      <c r="P7" s="354"/>
      <c r="Q7" s="350"/>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row>
    <row r="8" spans="1:130">
      <c r="A8" s="1"/>
      <c r="B8" s="374" t="s">
        <v>1519</v>
      </c>
      <c r="C8" s="6224" t="s">
        <v>1567</v>
      </c>
      <c r="D8" s="5903"/>
      <c r="E8" s="5903"/>
      <c r="F8" s="5903"/>
      <c r="G8" s="5903"/>
      <c r="H8" s="5903"/>
      <c r="I8" s="5903"/>
      <c r="J8" s="2510"/>
      <c r="K8" s="2511"/>
      <c r="L8" s="2814" t="s">
        <v>5</v>
      </c>
      <c r="M8" s="2680">
        <f>'Old Tax Regime'!L68</f>
        <v>10335</v>
      </c>
      <c r="N8" s="353"/>
      <c r="O8" s="353"/>
      <c r="P8" s="354"/>
      <c r="Q8" s="350"/>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row>
    <row r="9" spans="1:130">
      <c r="A9" s="1"/>
      <c r="B9" s="374" t="s">
        <v>1520</v>
      </c>
      <c r="C9" s="6224" t="s">
        <v>1568</v>
      </c>
      <c r="D9" s="5903"/>
      <c r="E9" s="5903"/>
      <c r="F9" s="5903"/>
      <c r="G9" s="5903"/>
      <c r="H9" s="5903"/>
      <c r="I9" s="5903"/>
      <c r="J9" s="2510"/>
      <c r="K9" s="2511"/>
      <c r="L9" s="2814" t="s">
        <v>5</v>
      </c>
      <c r="M9" s="2680">
        <f>SUM(M7+M8)</f>
        <v>268698</v>
      </c>
      <c r="N9" s="355"/>
      <c r="O9" s="355"/>
      <c r="P9" s="356"/>
      <c r="Q9" s="350"/>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row>
    <row r="10" spans="1:130">
      <c r="A10" s="1"/>
      <c r="B10" s="374" t="s">
        <v>1522</v>
      </c>
      <c r="C10" s="6224" t="s">
        <v>479</v>
      </c>
      <c r="D10" s="5903"/>
      <c r="E10" s="5903"/>
      <c r="F10" s="5903"/>
      <c r="G10" s="5903"/>
      <c r="H10" s="5903"/>
      <c r="I10" s="5903"/>
      <c r="J10" s="2510"/>
      <c r="K10" s="2511"/>
      <c r="L10" s="2814" t="s">
        <v>5</v>
      </c>
      <c r="M10" s="2680">
        <f>'Old Tax Regime'!L70</f>
        <v>0</v>
      </c>
      <c r="N10" s="348"/>
      <c r="O10" s="348"/>
      <c r="P10" s="349"/>
      <c r="Q10" s="350"/>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row>
    <row r="11" spans="1:130">
      <c r="A11" s="1"/>
      <c r="B11" s="374" t="s">
        <v>1523</v>
      </c>
      <c r="C11" s="6224" t="s">
        <v>1569</v>
      </c>
      <c r="D11" s="5903"/>
      <c r="E11" s="5903"/>
      <c r="F11" s="5903"/>
      <c r="G11" s="5903"/>
      <c r="H11" s="5903"/>
      <c r="I11" s="5903"/>
      <c r="J11" s="2510"/>
      <c r="K11" s="2511"/>
      <c r="L11" s="2814" t="s">
        <v>5</v>
      </c>
      <c r="M11" s="2680">
        <f>SUM(M9-M10)</f>
        <v>268698</v>
      </c>
      <c r="N11" s="355"/>
      <c r="O11" s="355"/>
      <c r="P11" s="356"/>
      <c r="Q11" s="350"/>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row>
    <row r="12" spans="1:130">
      <c r="A12" s="1"/>
      <c r="B12" s="374" t="s">
        <v>1527</v>
      </c>
      <c r="C12" s="6224" t="s">
        <v>324</v>
      </c>
      <c r="D12" s="5903"/>
      <c r="E12" s="5903"/>
      <c r="F12" s="5903"/>
      <c r="G12" s="5903"/>
      <c r="H12" s="5903"/>
      <c r="I12" s="5903"/>
      <c r="J12" s="2510"/>
      <c r="K12" s="2511"/>
      <c r="L12" s="2814" t="s">
        <v>5</v>
      </c>
      <c r="M12" s="2680">
        <v>0</v>
      </c>
      <c r="N12" s="348"/>
      <c r="O12" s="348"/>
      <c r="P12" s="349"/>
      <c r="Q12" s="350"/>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row>
    <row r="13" spans="1:130">
      <c r="A13" s="1"/>
      <c r="B13" s="374"/>
      <c r="C13" s="6225" t="s">
        <v>325</v>
      </c>
      <c r="D13" s="6226"/>
      <c r="E13" s="6226"/>
      <c r="F13" s="6226"/>
      <c r="G13" s="6226"/>
      <c r="H13" s="6226"/>
      <c r="I13" s="6226"/>
      <c r="J13" s="6226"/>
      <c r="K13" s="2511"/>
      <c r="L13" s="2814" t="s">
        <v>5</v>
      </c>
      <c r="M13" s="2680">
        <f>'Old Tax Regime'!L72</f>
        <v>194000</v>
      </c>
      <c r="N13" s="348"/>
      <c r="O13" s="348"/>
      <c r="P13" s="349"/>
      <c r="Q13" s="350"/>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row>
    <row r="14" spans="1:130">
      <c r="A14" s="1"/>
      <c r="B14" s="375" t="s">
        <v>1570</v>
      </c>
      <c r="C14" s="6201" t="str">
        <f>'Old Tax Regime'!I79</f>
        <v>Tax To  be Paid  Now</v>
      </c>
      <c r="D14" s="6202"/>
      <c r="E14" s="6202"/>
      <c r="F14" s="6202"/>
      <c r="G14" s="6202"/>
      <c r="H14" s="6202"/>
      <c r="I14" s="6202"/>
      <c r="J14" s="6202"/>
      <c r="K14" s="6203"/>
      <c r="L14" s="2814" t="s">
        <v>5</v>
      </c>
      <c r="M14" s="2681">
        <f>'Old Tax Regime'!L79</f>
        <v>74698</v>
      </c>
      <c r="N14" s="355"/>
      <c r="O14" s="355"/>
      <c r="P14" s="357"/>
      <c r="Q14" s="350"/>
      <c r="R14" s="1"/>
      <c r="S14" s="1"/>
      <c r="T14" s="1"/>
      <c r="U14" s="358"/>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row>
    <row r="15" spans="1:130">
      <c r="A15" s="1"/>
      <c r="B15" s="2815"/>
      <c r="C15" s="2816"/>
      <c r="D15" s="2816"/>
      <c r="E15" s="2816"/>
      <c r="F15" s="2816"/>
      <c r="G15" s="2816"/>
      <c r="H15" s="2816"/>
      <c r="I15" s="2817"/>
      <c r="J15" s="2817"/>
      <c r="K15" s="2817"/>
      <c r="L15" s="2818"/>
      <c r="M15" s="2819"/>
      <c r="N15" s="355"/>
      <c r="O15" s="355"/>
      <c r="P15" s="357"/>
      <c r="Q15" s="350"/>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row>
    <row r="16" spans="1:130">
      <c r="A16" s="1"/>
      <c r="B16" s="111"/>
      <c r="C16" s="112"/>
      <c r="D16" s="112"/>
      <c r="E16" s="112"/>
      <c r="F16" s="112"/>
      <c r="G16" s="112"/>
      <c r="H16" s="112"/>
      <c r="I16" s="112"/>
      <c r="J16" s="112"/>
      <c r="K16" s="112"/>
      <c r="L16" s="112"/>
      <c r="M16" s="113"/>
      <c r="N16" s="359"/>
      <c r="O16" s="359"/>
      <c r="P16" s="349"/>
      <c r="Q16" s="350"/>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row>
    <row r="17" spans="1:130" ht="17.25">
      <c r="A17" s="1"/>
      <c r="B17" s="6208" t="s">
        <v>326</v>
      </c>
      <c r="C17" s="6209"/>
      <c r="D17" s="6209"/>
      <c r="E17" s="6209"/>
      <c r="F17" s="6209"/>
      <c r="G17" s="6209"/>
      <c r="H17" s="6209"/>
      <c r="I17" s="6209"/>
      <c r="J17" s="6209"/>
      <c r="K17" s="6209"/>
      <c r="L17" s="6209"/>
      <c r="M17" s="6210"/>
      <c r="N17" s="360"/>
      <c r="O17" s="360"/>
      <c r="P17" s="361"/>
      <c r="Q17" s="362"/>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row>
    <row r="18" spans="1:130">
      <c r="A18" s="1"/>
      <c r="B18" s="6211" t="s">
        <v>327</v>
      </c>
      <c r="C18" s="6212"/>
      <c r="D18" s="6212"/>
      <c r="E18" s="6212"/>
      <c r="F18" s="6212"/>
      <c r="G18" s="6212"/>
      <c r="H18" s="6212"/>
      <c r="I18" s="6212"/>
      <c r="J18" s="6212"/>
      <c r="K18" s="6212"/>
      <c r="L18" s="6212"/>
      <c r="M18" s="6213"/>
      <c r="N18" s="363"/>
      <c r="O18" s="363"/>
      <c r="P18" s="364"/>
      <c r="Q18" s="348"/>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row>
    <row r="19" spans="1:130">
      <c r="A19" s="1"/>
      <c r="B19" s="111"/>
      <c r="C19" s="112"/>
      <c r="D19" s="112"/>
      <c r="E19" s="112"/>
      <c r="F19" s="2820"/>
      <c r="G19" s="2820"/>
      <c r="H19" s="112"/>
      <c r="I19" s="112"/>
      <c r="J19" s="112"/>
      <c r="K19" s="112"/>
      <c r="L19" s="112"/>
      <c r="M19" s="113"/>
      <c r="N19" s="359"/>
      <c r="O19" s="2956"/>
      <c r="P19" s="2957"/>
      <c r="Q19" s="2958"/>
      <c r="R19" s="2959"/>
      <c r="S19" s="2959"/>
      <c r="T19" s="2959"/>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row>
    <row r="20" spans="1:130">
      <c r="A20" s="1"/>
      <c r="B20" s="2821" t="s">
        <v>328</v>
      </c>
      <c r="C20" s="6214" t="s">
        <v>329</v>
      </c>
      <c r="D20" s="6214"/>
      <c r="E20" s="2822" t="s">
        <v>330</v>
      </c>
      <c r="F20" s="6215" t="s">
        <v>331</v>
      </c>
      <c r="G20" s="6216"/>
      <c r="H20" s="2823" t="s">
        <v>6</v>
      </c>
      <c r="I20" s="2823" t="s">
        <v>332</v>
      </c>
      <c r="J20" s="2823" t="s">
        <v>333</v>
      </c>
      <c r="K20" s="2822" t="s">
        <v>334</v>
      </c>
      <c r="L20" s="6214" t="s">
        <v>335</v>
      </c>
      <c r="M20" s="6217"/>
      <c r="N20" s="365"/>
      <c r="O20" s="2960"/>
      <c r="P20" s="2960"/>
      <c r="Q20" s="2958"/>
      <c r="R20" s="2959"/>
      <c r="S20" s="2959"/>
      <c r="T20" s="2959"/>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row>
    <row r="21" spans="1:130">
      <c r="A21" s="1"/>
      <c r="B21" s="114" t="s">
        <v>336</v>
      </c>
      <c r="C21" s="6218" t="s">
        <v>337</v>
      </c>
      <c r="D21" s="6218"/>
      <c r="E21" s="2683" t="s">
        <v>337</v>
      </c>
      <c r="F21" s="6215" t="s">
        <v>338</v>
      </c>
      <c r="G21" s="6216"/>
      <c r="H21" s="2682" t="s">
        <v>339</v>
      </c>
      <c r="I21" s="2682" t="s">
        <v>340</v>
      </c>
      <c r="J21" s="2682" t="s">
        <v>341</v>
      </c>
      <c r="K21" s="2683" t="s">
        <v>342</v>
      </c>
      <c r="L21" s="6218" t="s">
        <v>343</v>
      </c>
      <c r="M21" s="6219"/>
      <c r="N21" s="365"/>
      <c r="O21" s="2960"/>
      <c r="P21" s="2960"/>
      <c r="Q21" s="2958"/>
      <c r="R21" s="2959"/>
      <c r="S21" s="2959"/>
      <c r="T21" s="2959"/>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row>
    <row r="22" spans="1:130">
      <c r="A22" s="1"/>
      <c r="B22" s="115"/>
      <c r="C22" s="6220"/>
      <c r="D22" s="6220"/>
      <c r="E22" s="2684"/>
      <c r="F22" s="6221" t="s">
        <v>337</v>
      </c>
      <c r="G22" s="6222"/>
      <c r="H22" s="2685" t="s">
        <v>337</v>
      </c>
      <c r="I22" s="2684"/>
      <c r="J22" s="2685" t="s">
        <v>344</v>
      </c>
      <c r="K22" s="2684" t="s">
        <v>339</v>
      </c>
      <c r="L22" s="6220" t="s">
        <v>345</v>
      </c>
      <c r="M22" s="6223"/>
      <c r="N22" s="365"/>
      <c r="O22" s="2960"/>
      <c r="P22" s="2960"/>
      <c r="Q22" s="2958"/>
      <c r="R22" s="2959"/>
      <c r="S22" s="2959"/>
      <c r="T22" s="2959"/>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row>
    <row r="23" spans="1:130">
      <c r="A23" s="1"/>
      <c r="B23" s="116">
        <v>1</v>
      </c>
      <c r="C23" s="6231"/>
      <c r="D23" s="6232"/>
      <c r="E23" s="2824"/>
      <c r="F23" s="6231"/>
      <c r="G23" s="6232"/>
      <c r="H23" s="2824"/>
      <c r="I23" s="2825"/>
      <c r="J23" s="2826"/>
      <c r="K23" s="2827"/>
      <c r="L23" s="6233"/>
      <c r="M23" s="6234"/>
      <c r="N23" s="363"/>
      <c r="O23" s="2961"/>
      <c r="P23" s="2962"/>
      <c r="Q23" s="2958"/>
      <c r="R23" s="2959"/>
      <c r="S23" s="2959"/>
      <c r="T23" s="2959"/>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row>
    <row r="24" spans="1:130">
      <c r="A24" s="1"/>
      <c r="B24" s="117">
        <v>2</v>
      </c>
      <c r="C24" s="6235"/>
      <c r="D24" s="6236"/>
      <c r="E24" s="2828"/>
      <c r="F24" s="6235"/>
      <c r="G24" s="6236"/>
      <c r="H24" s="2829"/>
      <c r="I24" s="2830"/>
      <c r="J24" s="2831"/>
      <c r="K24" s="2832"/>
      <c r="L24" s="6237"/>
      <c r="M24" s="6238"/>
      <c r="N24" s="363"/>
      <c r="O24" s="2963"/>
      <c r="P24" s="2962"/>
      <c r="Q24" s="2958"/>
      <c r="R24" s="2959"/>
      <c r="S24" s="2959"/>
      <c r="T24" s="2959"/>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row>
    <row r="25" spans="1:130">
      <c r="A25" s="1"/>
      <c r="B25" s="117">
        <v>3</v>
      </c>
      <c r="C25" s="6235"/>
      <c r="D25" s="6236"/>
      <c r="E25" s="2828"/>
      <c r="F25" s="6235"/>
      <c r="G25" s="6236"/>
      <c r="H25" s="2829"/>
      <c r="I25" s="2830"/>
      <c r="J25" s="2831"/>
      <c r="K25" s="2832"/>
      <c r="L25" s="6237"/>
      <c r="M25" s="6238"/>
      <c r="N25" s="363"/>
      <c r="O25" s="2963"/>
      <c r="P25" s="2962"/>
      <c r="Q25" s="2958"/>
      <c r="R25" s="2959"/>
      <c r="S25" s="2959"/>
      <c r="T25" s="2959"/>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row>
    <row r="26" spans="1:130">
      <c r="A26" s="1"/>
      <c r="B26" s="117">
        <v>4</v>
      </c>
      <c r="C26" s="6235"/>
      <c r="D26" s="6236"/>
      <c r="E26" s="2828"/>
      <c r="F26" s="6235"/>
      <c r="G26" s="6236"/>
      <c r="H26" s="2829"/>
      <c r="I26" s="2830"/>
      <c r="J26" s="2831"/>
      <c r="K26" s="2832"/>
      <c r="L26" s="6237"/>
      <c r="M26" s="6238"/>
      <c r="N26" s="363"/>
      <c r="O26" s="2963"/>
      <c r="P26" s="2962"/>
      <c r="Q26" s="2958"/>
      <c r="R26" s="2959"/>
      <c r="S26" s="2959"/>
      <c r="T26" s="2959"/>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row>
    <row r="27" spans="1:130">
      <c r="A27" s="1"/>
      <c r="B27" s="117">
        <v>5</v>
      </c>
      <c r="C27" s="6235"/>
      <c r="D27" s="6236"/>
      <c r="E27" s="2828"/>
      <c r="F27" s="6235"/>
      <c r="G27" s="6236"/>
      <c r="H27" s="2829"/>
      <c r="I27" s="2830"/>
      <c r="J27" s="2831"/>
      <c r="K27" s="2832"/>
      <c r="L27" s="6237"/>
      <c r="M27" s="6238"/>
      <c r="N27" s="363"/>
      <c r="O27" s="2963"/>
      <c r="P27" s="2962"/>
      <c r="Q27" s="2958"/>
      <c r="R27" s="2959"/>
      <c r="S27" s="2959"/>
      <c r="T27" s="2959"/>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row>
    <row r="28" spans="1:130">
      <c r="A28" s="1"/>
      <c r="B28" s="117">
        <v>6</v>
      </c>
      <c r="C28" s="6235"/>
      <c r="D28" s="6236"/>
      <c r="E28" s="2829"/>
      <c r="F28" s="6235"/>
      <c r="G28" s="6236"/>
      <c r="H28" s="2829"/>
      <c r="I28" s="2831"/>
      <c r="J28" s="2831"/>
      <c r="K28" s="2833"/>
      <c r="L28" s="6237"/>
      <c r="M28" s="6238"/>
      <c r="N28" s="363"/>
      <c r="O28" s="2963"/>
      <c r="P28" s="2962"/>
      <c r="Q28" s="2958"/>
      <c r="R28" s="2959"/>
      <c r="S28" s="2959"/>
      <c r="T28" s="2959"/>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row>
    <row r="29" spans="1:130">
      <c r="A29" s="1"/>
      <c r="B29" s="117">
        <v>7</v>
      </c>
      <c r="C29" s="6235"/>
      <c r="D29" s="6236"/>
      <c r="E29" s="2829"/>
      <c r="F29" s="6235"/>
      <c r="G29" s="6236"/>
      <c r="H29" s="2829"/>
      <c r="I29" s="2834"/>
      <c r="J29" s="2831"/>
      <c r="K29" s="2833"/>
      <c r="L29" s="6239"/>
      <c r="M29" s="6240"/>
      <c r="N29" s="363"/>
      <c r="O29" s="2961"/>
      <c r="P29" s="2962"/>
      <c r="Q29" s="2958"/>
      <c r="R29" s="2959"/>
      <c r="S29" s="2959"/>
      <c r="T29" s="2959"/>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row>
    <row r="30" spans="1:130">
      <c r="A30" s="1"/>
      <c r="B30" s="117">
        <v>8</v>
      </c>
      <c r="C30" s="6235"/>
      <c r="D30" s="6236"/>
      <c r="E30" s="2829"/>
      <c r="F30" s="6235"/>
      <c r="G30" s="6236"/>
      <c r="H30" s="2829"/>
      <c r="I30" s="2831"/>
      <c r="J30" s="2831"/>
      <c r="K30" s="2833"/>
      <c r="L30" s="6237"/>
      <c r="M30" s="6238"/>
      <c r="N30" s="363"/>
      <c r="O30" s="2964"/>
      <c r="P30" s="2962"/>
      <c r="Q30" s="2958"/>
      <c r="R30" s="2959"/>
      <c r="S30" s="2959"/>
      <c r="T30" s="2959"/>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row>
    <row r="31" spans="1:130">
      <c r="A31" s="1"/>
      <c r="B31" s="117">
        <v>9</v>
      </c>
      <c r="C31" s="6235"/>
      <c r="D31" s="6236"/>
      <c r="E31" s="2829"/>
      <c r="F31" s="6235"/>
      <c r="G31" s="6236"/>
      <c r="H31" s="2829"/>
      <c r="I31" s="2834"/>
      <c r="J31" s="2831"/>
      <c r="K31" s="2833"/>
      <c r="L31" s="6239"/>
      <c r="M31" s="6240"/>
      <c r="N31" s="363"/>
      <c r="O31" s="2965"/>
      <c r="P31" s="2962"/>
      <c r="Q31" s="2958"/>
      <c r="R31" s="2959"/>
      <c r="S31" s="2959"/>
      <c r="T31" s="2959"/>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row>
    <row r="32" spans="1:130">
      <c r="A32" s="1"/>
      <c r="B32" s="117">
        <v>10</v>
      </c>
      <c r="C32" s="6235"/>
      <c r="D32" s="6236"/>
      <c r="E32" s="2835"/>
      <c r="F32" s="2836"/>
      <c r="G32" s="2837"/>
      <c r="H32" s="2835"/>
      <c r="I32" s="2838"/>
      <c r="J32" s="2839"/>
      <c r="K32" s="2840"/>
      <c r="L32" s="6237"/>
      <c r="M32" s="6238"/>
      <c r="N32" s="363"/>
      <c r="O32" s="2965"/>
      <c r="P32" s="2962"/>
      <c r="Q32" s="2958"/>
      <c r="R32" s="2959"/>
      <c r="S32" s="2959"/>
      <c r="T32" s="2959"/>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row>
    <row r="33" spans="1:130">
      <c r="A33" s="1"/>
      <c r="B33" s="117">
        <v>11</v>
      </c>
      <c r="C33" s="6235"/>
      <c r="D33" s="6236"/>
      <c r="E33" s="2835"/>
      <c r="F33" s="2836"/>
      <c r="G33" s="2837"/>
      <c r="H33" s="2835"/>
      <c r="I33" s="2838"/>
      <c r="J33" s="2839"/>
      <c r="K33" s="2840"/>
      <c r="L33" s="6237"/>
      <c r="M33" s="6238"/>
      <c r="N33" s="363"/>
      <c r="O33" s="2965"/>
      <c r="P33" s="2962"/>
      <c r="Q33" s="2958"/>
      <c r="R33" s="2959"/>
      <c r="S33" s="2959"/>
      <c r="T33" s="2959"/>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row>
    <row r="34" spans="1:130">
      <c r="A34" s="1"/>
      <c r="B34" s="117">
        <v>12</v>
      </c>
      <c r="C34" s="6247"/>
      <c r="D34" s="6248"/>
      <c r="E34" s="2841"/>
      <c r="F34" s="6247"/>
      <c r="G34" s="6248"/>
      <c r="H34" s="2841"/>
      <c r="I34" s="2842"/>
      <c r="J34" s="2843"/>
      <c r="K34" s="2844"/>
      <c r="L34" s="6241"/>
      <c r="M34" s="6242"/>
      <c r="N34" s="363"/>
      <c r="O34" s="2965"/>
      <c r="P34" s="2962"/>
      <c r="Q34" s="2958"/>
      <c r="R34" s="2959"/>
      <c r="S34" s="2959"/>
      <c r="T34" s="2959"/>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row>
    <row r="35" spans="1:130">
      <c r="A35" s="1"/>
      <c r="B35" s="2845"/>
      <c r="C35" s="6243" t="s">
        <v>29</v>
      </c>
      <c r="D35" s="6244"/>
      <c r="E35" s="2846" t="s">
        <v>29</v>
      </c>
      <c r="F35" s="6243" t="s">
        <v>29</v>
      </c>
      <c r="G35" s="6244"/>
      <c r="H35" s="2847" t="s">
        <v>29</v>
      </c>
      <c r="I35" s="2848"/>
      <c r="J35" s="2849"/>
      <c r="K35" s="2848"/>
      <c r="L35" s="6245"/>
      <c r="M35" s="6246"/>
      <c r="N35" s="363"/>
      <c r="O35" s="2966"/>
      <c r="P35" s="2962"/>
      <c r="Q35" s="2958"/>
      <c r="R35" s="2959"/>
      <c r="S35" s="2959"/>
      <c r="T35" s="2959"/>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row>
    <row r="36" spans="1:130">
      <c r="A36" s="1"/>
      <c r="B36" s="592"/>
      <c r="C36" s="593"/>
      <c r="D36" s="593"/>
      <c r="E36" s="593"/>
      <c r="F36" s="593"/>
      <c r="G36" s="593"/>
      <c r="H36" s="593"/>
      <c r="I36" s="594"/>
      <c r="J36" s="593"/>
      <c r="K36" s="593"/>
      <c r="L36" s="593"/>
      <c r="M36" s="595"/>
      <c r="N36" s="359"/>
      <c r="O36" s="2967"/>
      <c r="P36" s="2957"/>
      <c r="Q36" s="2958"/>
      <c r="R36" s="2959"/>
      <c r="S36" s="2959"/>
      <c r="T36" s="2959"/>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row>
    <row r="37" spans="1:130" ht="18">
      <c r="A37" s="1"/>
      <c r="B37" s="596"/>
      <c r="C37" s="597"/>
      <c r="D37" s="598"/>
      <c r="E37" s="598"/>
      <c r="F37" s="599"/>
      <c r="G37" s="600" t="s">
        <v>177</v>
      </c>
      <c r="H37" s="6252" t="str">
        <f>CONCATENATE('Data Sheet-II'!L22)</f>
        <v>G.Hadasa Rani</v>
      </c>
      <c r="I37" s="6253"/>
      <c r="J37" s="6253"/>
      <c r="K37" s="6253"/>
      <c r="L37" s="6207" t="s">
        <v>346</v>
      </c>
      <c r="M37" s="6254"/>
      <c r="N37" s="366"/>
      <c r="O37" s="2968"/>
      <c r="P37" s="2968"/>
      <c r="Q37" s="2968"/>
      <c r="R37" s="2959"/>
      <c r="S37" s="2959"/>
      <c r="T37" s="2959"/>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row>
    <row r="38" spans="1:130" ht="18" customHeight="1">
      <c r="A38" s="1"/>
      <c r="B38" s="601" t="s">
        <v>347</v>
      </c>
      <c r="C38" s="602"/>
      <c r="D38" s="6255" t="str">
        <f>CONCATENATE('Data Sheet-II'!L23)</f>
        <v>Principal</v>
      </c>
      <c r="E38" s="6255"/>
      <c r="F38" s="6255"/>
      <c r="G38" s="6255"/>
      <c r="H38" s="6256" t="s">
        <v>348</v>
      </c>
      <c r="I38" s="6256"/>
      <c r="J38" s="6256"/>
      <c r="K38" s="6256"/>
      <c r="L38" s="6257" t="str">
        <f>CONCATENATE("Rs",":",'Old Tax Regime'!L71,"/-")</f>
        <v>Rs:268698/-</v>
      </c>
      <c r="M38" s="6258"/>
      <c r="N38" s="367"/>
      <c r="O38" s="2969"/>
      <c r="P38" s="2970"/>
      <c r="Q38" s="2971"/>
      <c r="R38" s="2959"/>
      <c r="S38" s="2959"/>
      <c r="T38" s="2959"/>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row>
    <row r="39" spans="1:130" ht="16.5">
      <c r="A39" s="1"/>
      <c r="B39" s="6259" t="s">
        <v>349</v>
      </c>
      <c r="C39" s="6260"/>
      <c r="D39" s="6260"/>
      <c r="E39" s="6260"/>
      <c r="F39" s="6261" t="str">
        <f>'converts -I'!B3</f>
        <v>Two Lakhs Sixty Eight Thousand Six Hundred and Ninety Eight</v>
      </c>
      <c r="G39" s="6261"/>
      <c r="H39" s="6261"/>
      <c r="I39" s="6261"/>
      <c r="J39" s="6261"/>
      <c r="K39" s="6261"/>
      <c r="L39" s="6261"/>
      <c r="M39" s="6262"/>
      <c r="N39" s="368"/>
      <c r="O39" s="2972"/>
      <c r="P39" s="2973"/>
      <c r="Q39" s="2974"/>
      <c r="R39" s="2959"/>
      <c r="S39" s="2959"/>
      <c r="T39" s="2959"/>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row>
    <row r="40" spans="1:130">
      <c r="A40" s="1"/>
      <c r="B40" s="6249" t="s">
        <v>350</v>
      </c>
      <c r="C40" s="6250"/>
      <c r="D40" s="6250"/>
      <c r="E40" s="6250"/>
      <c r="F40" s="6250"/>
      <c r="G40" s="6250"/>
      <c r="H40" s="6250"/>
      <c r="I40" s="6250"/>
      <c r="J40" s="6250"/>
      <c r="K40" s="6250"/>
      <c r="L40" s="6250"/>
      <c r="M40" s="6251"/>
      <c r="N40" s="369"/>
      <c r="O40" s="2975"/>
      <c r="P40" s="2976"/>
      <c r="Q40" s="2971"/>
      <c r="R40" s="2959"/>
      <c r="S40" s="2959"/>
      <c r="T40" s="2959"/>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row>
    <row r="41" spans="1:130">
      <c r="A41" s="1"/>
      <c r="B41" s="6249"/>
      <c r="C41" s="6250"/>
      <c r="D41" s="6250"/>
      <c r="E41" s="6250"/>
      <c r="F41" s="6250"/>
      <c r="G41" s="6250"/>
      <c r="H41" s="6250"/>
      <c r="I41" s="6250"/>
      <c r="J41" s="6250"/>
      <c r="K41" s="6250"/>
      <c r="L41" s="6250"/>
      <c r="M41" s="6251"/>
      <c r="N41" s="369"/>
      <c r="O41" s="2977"/>
      <c r="P41" s="2978"/>
      <c r="Q41" s="2978"/>
      <c r="R41" s="2959"/>
      <c r="S41" s="2959"/>
      <c r="T41" s="2959"/>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row>
    <row r="42" spans="1:130">
      <c r="A42" s="1"/>
      <c r="B42" s="6249"/>
      <c r="C42" s="6250"/>
      <c r="D42" s="6250"/>
      <c r="E42" s="6250"/>
      <c r="F42" s="6250"/>
      <c r="G42" s="6250"/>
      <c r="H42" s="6250"/>
      <c r="I42" s="6250"/>
      <c r="J42" s="6250"/>
      <c r="K42" s="6250"/>
      <c r="L42" s="6250"/>
      <c r="M42" s="6251"/>
      <c r="N42" s="370"/>
      <c r="O42" s="2979"/>
      <c r="P42" s="2980"/>
      <c r="Q42" s="2981"/>
      <c r="R42" s="2959"/>
      <c r="S42" s="2959"/>
      <c r="T42" s="2959"/>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row>
    <row r="43" spans="1:130">
      <c r="A43" s="1"/>
      <c r="B43" s="592"/>
      <c r="C43" s="593"/>
      <c r="D43" s="593"/>
      <c r="E43" s="593"/>
      <c r="F43" s="593"/>
      <c r="G43" s="593"/>
      <c r="H43" s="593"/>
      <c r="I43" s="593"/>
      <c r="J43" s="593"/>
      <c r="K43" s="593"/>
      <c r="L43" s="593"/>
      <c r="M43" s="595"/>
      <c r="N43" s="371"/>
      <c r="O43" s="2982"/>
      <c r="P43" s="2983"/>
      <c r="Q43" s="2958"/>
      <c r="R43" s="2959"/>
      <c r="S43" s="2959"/>
      <c r="T43" s="2959"/>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row>
    <row r="44" spans="1:130">
      <c r="A44" s="1"/>
      <c r="B44" s="603"/>
      <c r="C44" s="529"/>
      <c r="D44" s="529"/>
      <c r="E44" s="529"/>
      <c r="F44" s="529"/>
      <c r="G44" s="529"/>
      <c r="H44" s="604" t="s">
        <v>351</v>
      </c>
      <c r="I44" s="529"/>
      <c r="J44" s="529"/>
      <c r="K44" s="529"/>
      <c r="L44" s="529"/>
      <c r="M44" s="605"/>
      <c r="N44" s="371"/>
      <c r="O44" s="2982"/>
      <c r="P44" s="2983"/>
      <c r="Q44" s="2971"/>
      <c r="R44" s="2959"/>
      <c r="S44" s="2959"/>
      <c r="T44" s="2959"/>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row>
    <row r="45" spans="1:130">
      <c r="A45" s="1"/>
      <c r="B45" s="603"/>
      <c r="C45" s="529"/>
      <c r="D45" s="529"/>
      <c r="E45" s="529"/>
      <c r="F45" s="529"/>
      <c r="G45" s="529"/>
      <c r="H45" s="606"/>
      <c r="I45" s="529"/>
      <c r="J45" s="529"/>
      <c r="K45" s="529"/>
      <c r="L45" s="529"/>
      <c r="M45" s="605"/>
      <c r="N45" s="371"/>
      <c r="O45" s="2982"/>
      <c r="P45" s="2983"/>
      <c r="Q45" s="2971"/>
      <c r="R45" s="2959"/>
      <c r="S45" s="2959"/>
      <c r="T45" s="2959"/>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row>
    <row r="46" spans="1:130" ht="15.75">
      <c r="A46" s="1"/>
      <c r="B46" s="6206" t="s">
        <v>178</v>
      </c>
      <c r="C46" s="6207"/>
      <c r="D46" s="6204" t="str">
        <f>CONCATENATE('Data Sheet-II'!L32)</f>
        <v>Kodad</v>
      </c>
      <c r="E46" s="6204"/>
      <c r="F46" s="529"/>
      <c r="G46" s="529"/>
      <c r="H46" s="604" t="s">
        <v>352</v>
      </c>
      <c r="I46" s="529"/>
      <c r="J46" s="529"/>
      <c r="K46" s="529"/>
      <c r="L46" s="529"/>
      <c r="M46" s="605"/>
      <c r="N46" s="371"/>
      <c r="O46" s="2982"/>
      <c r="P46" s="2983"/>
      <c r="Q46" s="2971"/>
      <c r="R46" s="2959"/>
      <c r="S46" s="2959"/>
      <c r="T46" s="2959"/>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row>
    <row r="47" spans="1:130" ht="15.75">
      <c r="A47" s="1"/>
      <c r="B47" s="6206" t="s">
        <v>353</v>
      </c>
      <c r="C47" s="6207"/>
      <c r="D47" s="6205">
        <f ca="1">TODAY()</f>
        <v>46059</v>
      </c>
      <c r="E47" s="6205"/>
      <c r="F47" s="607"/>
      <c r="G47" s="607"/>
      <c r="H47" s="6207" t="s">
        <v>547</v>
      </c>
      <c r="I47" s="6207"/>
      <c r="J47" s="608" t="str">
        <f>CONCATENATE('Data Sheet-II'!L22)</f>
        <v>G.Hadasa Rani</v>
      </c>
      <c r="K47" s="529"/>
      <c r="L47" s="529"/>
      <c r="M47" s="609"/>
      <c r="N47" s="372"/>
      <c r="O47" s="2984"/>
      <c r="P47" s="2975"/>
      <c r="Q47" s="2981"/>
      <c r="R47" s="2959"/>
      <c r="S47" s="2959"/>
      <c r="T47" s="2959"/>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row>
    <row r="48" spans="1:130" ht="15.75" customHeight="1">
      <c r="A48" s="1"/>
      <c r="B48" s="603"/>
      <c r="C48" s="529"/>
      <c r="D48" s="529"/>
      <c r="E48" s="529"/>
      <c r="F48" s="610"/>
      <c r="G48" s="610"/>
      <c r="H48" s="6207" t="s">
        <v>548</v>
      </c>
      <c r="I48" s="6207"/>
      <c r="J48" s="529" t="str">
        <f>CONCATENATE('Data Sheet-II'!L23)</f>
        <v>Principal</v>
      </c>
      <c r="K48" s="529"/>
      <c r="L48" s="529"/>
      <c r="M48" s="609"/>
      <c r="N48" s="372"/>
      <c r="O48" s="2984"/>
      <c r="P48" s="2975"/>
      <c r="Q48" s="2981"/>
      <c r="R48" s="2959"/>
      <c r="S48" s="2959"/>
      <c r="T48" s="2959"/>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row>
    <row r="49" spans="1:130">
      <c r="A49" s="1"/>
      <c r="B49" s="592"/>
      <c r="C49" s="593"/>
      <c r="D49" s="593"/>
      <c r="E49" s="593"/>
      <c r="F49" s="593"/>
      <c r="G49" s="593"/>
      <c r="H49" s="593"/>
      <c r="I49" s="593"/>
      <c r="J49" s="593"/>
      <c r="K49" s="593"/>
      <c r="L49" s="593"/>
      <c r="M49" s="595"/>
      <c r="N49" s="359"/>
      <c r="O49" s="2956"/>
      <c r="P49" s="2957"/>
      <c r="Q49" s="2958"/>
      <c r="R49" s="2959"/>
      <c r="S49" s="2959"/>
      <c r="T49" s="2959"/>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row>
    <row r="50" spans="1:130">
      <c r="A50" s="1"/>
      <c r="B50" s="592"/>
      <c r="C50" s="593"/>
      <c r="D50" s="593"/>
      <c r="E50" s="593"/>
      <c r="F50" s="593"/>
      <c r="G50" s="593"/>
      <c r="H50" s="593"/>
      <c r="I50" s="593"/>
      <c r="J50" s="593"/>
      <c r="K50" s="593"/>
      <c r="L50" s="593"/>
      <c r="M50" s="595"/>
      <c r="N50" s="359"/>
      <c r="O50" s="2956"/>
      <c r="P50" s="2957"/>
      <c r="Q50" s="2958"/>
      <c r="R50" s="2959"/>
      <c r="S50" s="2959"/>
      <c r="T50" s="2959"/>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row>
    <row r="51" spans="1:130">
      <c r="A51" s="1"/>
      <c r="B51" s="592"/>
      <c r="C51" s="593"/>
      <c r="D51" s="593"/>
      <c r="E51" s="593"/>
      <c r="F51" s="593"/>
      <c r="G51" s="593"/>
      <c r="H51" s="593"/>
      <c r="I51" s="593"/>
      <c r="J51" s="593"/>
      <c r="K51" s="593"/>
      <c r="L51" s="593"/>
      <c r="M51" s="595"/>
      <c r="N51" s="359"/>
      <c r="O51" s="2956"/>
      <c r="P51" s="2957"/>
      <c r="Q51" s="2958"/>
      <c r="R51" s="2959"/>
      <c r="S51" s="2959"/>
      <c r="T51" s="2959"/>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row>
    <row r="52" spans="1:130">
      <c r="A52" s="1"/>
      <c r="B52" s="592"/>
      <c r="C52" s="593"/>
      <c r="D52" s="593"/>
      <c r="E52" s="593"/>
      <c r="F52" s="593"/>
      <c r="G52" s="593"/>
      <c r="H52" s="593"/>
      <c r="I52" s="593"/>
      <c r="J52" s="593"/>
      <c r="K52" s="593"/>
      <c r="L52" s="593"/>
      <c r="M52" s="595"/>
      <c r="N52" s="359"/>
      <c r="O52" s="2956"/>
      <c r="P52" s="2957"/>
      <c r="Q52" s="2958"/>
      <c r="R52" s="2959"/>
      <c r="S52" s="2959"/>
      <c r="T52" s="2959"/>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row>
    <row r="53" spans="1:130" ht="14.25" customHeight="1" thickBot="1">
      <c r="A53" s="1"/>
      <c r="B53" s="611"/>
      <c r="C53" s="612"/>
      <c r="D53" s="612"/>
      <c r="E53" s="612"/>
      <c r="F53" s="612"/>
      <c r="G53" s="612"/>
      <c r="H53" s="612"/>
      <c r="I53" s="612"/>
      <c r="J53" s="612"/>
      <c r="K53" s="612"/>
      <c r="L53" s="612"/>
      <c r="M53" s="613"/>
      <c r="N53" s="359"/>
      <c r="O53" s="2956"/>
      <c r="P53" s="2957"/>
      <c r="Q53" s="2958"/>
      <c r="R53" s="2959"/>
      <c r="S53" s="2959"/>
      <c r="T53" s="2959"/>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row>
    <row r="54" spans="1:130" ht="16.5" hidden="1" thickTop="1" thickBot="1">
      <c r="A54" s="1"/>
      <c r="B54" s="118"/>
      <c r="C54" s="119"/>
      <c r="D54" s="119"/>
      <c r="E54" s="119"/>
      <c r="F54" s="119"/>
      <c r="G54" s="119"/>
      <c r="H54" s="119"/>
      <c r="I54" s="119"/>
      <c r="J54" s="119"/>
      <c r="K54" s="119"/>
      <c r="L54" s="119"/>
      <c r="M54" s="120"/>
      <c r="N54" s="359"/>
      <c r="O54" s="2956"/>
      <c r="P54" s="2985"/>
      <c r="Q54" s="2958"/>
      <c r="R54" s="2959"/>
      <c r="S54" s="2959"/>
      <c r="T54" s="2959"/>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row>
    <row r="55" spans="1:130" ht="21.75" customHeight="1" thickTop="1">
      <c r="A55" s="1"/>
      <c r="B55" s="1"/>
      <c r="C55" s="1"/>
      <c r="D55" s="1"/>
      <c r="E55" s="1"/>
      <c r="F55" s="1"/>
      <c r="G55" s="1"/>
      <c r="H55" s="1"/>
      <c r="I55" s="1"/>
      <c r="J55" s="1"/>
      <c r="K55" s="1"/>
      <c r="L55" s="1"/>
      <c r="M55" s="1"/>
      <c r="N55" s="1"/>
      <c r="O55" s="2959"/>
      <c r="P55" s="2959"/>
      <c r="Q55" s="2959"/>
      <c r="R55" s="2959"/>
      <c r="S55" s="2959"/>
      <c r="T55" s="2959"/>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row>
    <row r="56" spans="1:130" hidden="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row>
    <row r="57" spans="1:130" hidden="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row>
    <row r="58" spans="1:130" hidden="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row>
    <row r="59" spans="1:130" hidden="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row>
    <row r="60" spans="1:130" hidden="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row>
    <row r="61" spans="1:130" hidden="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row>
    <row r="62" spans="1:130" hidden="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row>
    <row r="63" spans="1:130" hidden="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row>
    <row r="64" spans="1:130" hidden="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row>
    <row r="65" spans="1:130" hidden="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row>
    <row r="66" spans="1:130" hidden="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row>
    <row r="67" spans="1:130" hidden="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row>
    <row r="68" spans="1:130" hidden="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row>
    <row r="69" spans="1:130" hidden="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row>
    <row r="70" spans="1:130" hidden="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row>
    <row r="71" spans="1:130" hidden="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row>
    <row r="72" spans="1:130" hidden="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row>
    <row r="73" spans="1:130" hidden="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row>
    <row r="74" spans="1:130" hidden="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row>
    <row r="75" spans="1:130" hidden="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row>
    <row r="76" spans="1:130" hidden="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row>
    <row r="77" spans="1:130" hidden="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row>
    <row r="78" spans="1:130" hidden="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row>
    <row r="79" spans="1:130" hidden="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row>
    <row r="80" spans="1:130" hidden="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row>
    <row r="81" spans="1:130" hidden="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row>
    <row r="82" spans="1:130" hidden="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row>
    <row r="83" spans="1:130" hidden="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row>
    <row r="84" spans="1:130" hidden="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row>
    <row r="85" spans="1:130" hidden="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row>
    <row r="86" spans="1:130" hidden="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row>
    <row r="87" spans="1:130" hidden="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row>
    <row r="88" spans="1:130" hidden="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row>
    <row r="89" spans="1:130" hidden="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row>
    <row r="90" spans="1:130" hidden="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row>
    <row r="91" spans="1:130" hidden="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row>
    <row r="92" spans="1:130" hidden="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row>
    <row r="93" spans="1:130" hidden="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row>
    <row r="94" spans="1:130" hidden="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row>
    <row r="95" spans="1:130" hidden="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row>
    <row r="96" spans="1:130" hidden="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row>
    <row r="97" spans="1:130" hidden="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row>
    <row r="98" spans="1:130" hidden="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row>
    <row r="99" spans="1:130" hidden="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row>
    <row r="100" spans="1:130" hidden="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row>
    <row r="101" spans="1:130" hidden="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row>
    <row r="102" spans="1:130" hidden="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row>
    <row r="103" spans="1:130" hidden="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row>
    <row r="104" spans="1:130" hidden="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row>
    <row r="105" spans="1:130" hidden="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row>
    <row r="106" spans="1:130" hidden="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row>
    <row r="107" spans="1:130" hidden="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row>
    <row r="108" spans="1:130" hidden="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row>
    <row r="109" spans="1:130" hidden="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row>
    <row r="110" spans="1:130" hidden="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row>
    <row r="111" spans="1:130" hidden="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row>
    <row r="112" spans="1:130" hidden="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row>
    <row r="113" spans="1:130" hidden="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row>
    <row r="114" spans="1:130" hidden="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row>
    <row r="115" spans="1:130" hidden="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row>
    <row r="116" spans="1:130" hidden="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row>
    <row r="117" spans="1:130" hidden="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row>
    <row r="118" spans="1:130" hidden="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row>
    <row r="119" spans="1:130" hidden="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row>
    <row r="120" spans="1:130" hidden="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row>
    <row r="121" spans="1:130" hidden="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row>
    <row r="122" spans="1:130" hidden="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row>
    <row r="123" spans="1:130" hidden="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row>
    <row r="124" spans="1:130" hidden="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row>
    <row r="125" spans="1:130" hidden="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row>
    <row r="126" spans="1:130" hidden="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row>
    <row r="127" spans="1:130" hidden="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row>
    <row r="128" spans="1:130" hidden="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row>
    <row r="129" spans="1:130" hidden="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row>
    <row r="130" spans="1:130" hidden="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row>
    <row r="131" spans="1:130" hidden="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row>
    <row r="132" spans="1:130" hidden="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row>
    <row r="133" spans="1:130" hidden="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row>
    <row r="134" spans="1:130" hidden="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row>
    <row r="135" spans="1:130" hidden="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row>
    <row r="136" spans="1:130" hidden="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row>
    <row r="137" spans="1:130" hidden="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row>
    <row r="138" spans="1:130" hidden="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row>
    <row r="139" spans="1:130" hidden="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row>
    <row r="140" spans="1:130" hidden="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row>
    <row r="141" spans="1:130" hidden="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row>
    <row r="142" spans="1:130" hidden="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row>
    <row r="143" spans="1:130" hidden="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row>
    <row r="144" spans="1:130" hidden="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row>
    <row r="145" spans="1:130" hidden="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row>
    <row r="146" spans="1:130" hidden="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row>
    <row r="147" spans="1:130" hidden="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row>
    <row r="148" spans="1:130" hidden="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row>
    <row r="149" spans="1:130" hidden="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row>
    <row r="150" spans="1:130" hidden="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row>
    <row r="151" spans="1:130" hidden="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row>
    <row r="152" spans="1:130" hidden="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row>
    <row r="153" spans="1:130" hidden="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row>
    <row r="154" spans="1:130" hidden="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row>
    <row r="155" spans="1:130" hidden="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row>
    <row r="156" spans="1:130" hidden="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row>
    <row r="157" spans="1:130" hidden="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row>
    <row r="158" spans="1:130" hidden="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row>
    <row r="159" spans="1:130" hidden="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row>
    <row r="160" spans="1:130" hidden="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row>
    <row r="161" spans="1:130" hidden="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row>
    <row r="162" spans="1:130" hidden="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row>
    <row r="163" spans="1:130" hidden="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row>
    <row r="164" spans="1:130" hidden="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row>
    <row r="165" spans="1:130" hidden="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row>
    <row r="166" spans="1:130" hidden="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row>
    <row r="167" spans="1:130" hidden="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row>
    <row r="168" spans="1:130" hidden="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row>
    <row r="169" spans="1:130" hidden="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row>
    <row r="170" spans="1:130" hidden="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row>
    <row r="171" spans="1:130" hidden="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row>
    <row r="172" spans="1:130" hidden="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row>
    <row r="173" spans="1:130" hidden="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row>
    <row r="174" spans="1:130" hidden="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row>
    <row r="175" spans="1:130" hidden="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row>
    <row r="176" spans="1:130" hidden="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row>
    <row r="177" spans="1:130" hidden="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row>
    <row r="178" spans="1:130" hidden="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row>
    <row r="179" spans="1:130" hidden="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row>
    <row r="180" spans="1:130" hidden="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row>
    <row r="181" spans="1:130" hidden="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row>
    <row r="182" spans="1:130" hidden="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row>
    <row r="183" spans="1:130" hidden="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row>
    <row r="184" spans="1:130" hidden="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row>
    <row r="185" spans="1:130" hidden="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row>
    <row r="186" spans="1:130" hidden="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row>
    <row r="187" spans="1:130" hidden="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row>
    <row r="188" spans="1:130" hidden="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row>
    <row r="189" spans="1:130" hidden="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row>
    <row r="190" spans="1:130" hidden="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row>
    <row r="191" spans="1:130" hidden="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row>
    <row r="192" spans="1:130" hidden="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row>
    <row r="193" spans="1:130" hidden="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row>
    <row r="194" spans="1:130" hidden="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row>
    <row r="195" spans="1:130" hidden="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row>
    <row r="196" spans="1:130" hidden="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row>
    <row r="197" spans="1:130" hidden="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row>
    <row r="198" spans="1:130" hidden="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row>
    <row r="199" spans="1:130" hidden="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row>
    <row r="200" spans="1:130" hidden="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row>
  </sheetData>
  <sheetProtection algorithmName="SHA-512" hashValue="wyMJ9JbLWyVAgnxofuCj4snturZBj0QYswCT4spa76zGyo656ou+YrHSLCl++aK+HJbUQt0cwvPj8xHHE17aYw==" saltValue="tCF/1pxOj6QCobtajc7zMg==" spinCount="100000" sheet="1" objects="1" scenarios="1" formatColumns="0" formatRows="0" selectLockedCells="1"/>
  <protectedRanges>
    <protectedRange sqref="D46:G47" name="Range3"/>
    <protectedRange sqref="C23:M35" name="Range1"/>
    <protectedRange sqref="D38 F37:H37 B37:C39 J37:M37 H38 G38:G39 D39:F39 H39:M39 J38:K38" name="Range2"/>
    <protectedRange sqref="D46:E47" name="Range4"/>
    <protectedRange sqref="L38:M38" name="Range2_1"/>
  </protectedRanges>
  <customSheetViews>
    <customSheetView guid="{DDA22D69-94B5-45BC-9EE2-6055A845129B}" hiddenRows="1" hiddenColumns="1" state="hidden">
      <selection activeCell="O21" sqref="O21"/>
      <pageMargins left="0.7" right="0.7" top="0.75" bottom="0.75" header="0.3" footer="0.3"/>
      <pageSetup paperSize="9" scale="84" orientation="portrait" r:id="rId1"/>
    </customSheetView>
    <customSheetView guid="{1B7577DB-E3C4-4E68-B7CF-8F86FF7C5A82}" hiddenRows="1" hiddenColumns="1" topLeftCell="A10">
      <selection activeCell="O21" sqref="O21"/>
      <pageMargins left="0.7" right="0.7" top="0.75" bottom="0.75" header="0.3" footer="0.3"/>
      <pageSetup paperSize="9" scale="84" orientation="portrait" r:id="rId2"/>
    </customSheetView>
    <customSheetView guid="{2BE9587E-F957-49DF-9716-3F2B35B49DC1}" hiddenRows="1" hiddenColumns="1" topLeftCell="A4">
      <selection activeCell="C23" sqref="C23:D23"/>
      <pageMargins left="0.7" right="0.7" top="0.75" bottom="0.75" header="0.3" footer="0.3"/>
      <pageSetup paperSize="9" scale="84" orientation="portrait" r:id="rId3"/>
    </customSheetView>
    <customSheetView guid="{60E5615C-64A2-4675-848A-970A515EAF91}" hiddenRows="1" hiddenColumns="1" topLeftCell="A43">
      <selection activeCell="C23" sqref="C23:D23"/>
      <pageMargins left="0.7" right="0.7" top="0.75" bottom="0.75" header="0.3" footer="0.3"/>
      <pageSetup paperSize="9" scale="84" orientation="portrait" r:id="rId4"/>
    </customSheetView>
    <customSheetView guid="{E7B1C62B-1F1D-4A62-BD87-EE62D3A36B6C}" hiddenRows="1" hiddenColumns="1" state="hidden">
      <selection activeCell="O21" sqref="O21"/>
      <pageMargins left="0.7" right="0.7" top="0.75" bottom="0.75" header="0.3" footer="0.3"/>
      <pageSetup paperSize="9" scale="84" orientation="portrait" r:id="rId5"/>
    </customSheetView>
  </customSheetViews>
  <mergeCells count="74">
    <mergeCell ref="H47:I47"/>
    <mergeCell ref="H48:I48"/>
    <mergeCell ref="B40:M42"/>
    <mergeCell ref="H37:K37"/>
    <mergeCell ref="L37:M37"/>
    <mergeCell ref="D38:G38"/>
    <mergeCell ref="H38:K38"/>
    <mergeCell ref="L38:M38"/>
    <mergeCell ref="B39:E39"/>
    <mergeCell ref="F39:M39"/>
    <mergeCell ref="L34:M34"/>
    <mergeCell ref="C35:D35"/>
    <mergeCell ref="F35:G35"/>
    <mergeCell ref="L35:M35"/>
    <mergeCell ref="C33:D33"/>
    <mergeCell ref="L33:M33"/>
    <mergeCell ref="C34:D34"/>
    <mergeCell ref="F34:G34"/>
    <mergeCell ref="C29:D29"/>
    <mergeCell ref="F29:G29"/>
    <mergeCell ref="L29:M29"/>
    <mergeCell ref="C32:D32"/>
    <mergeCell ref="C30:D30"/>
    <mergeCell ref="F30:G30"/>
    <mergeCell ref="L30:M30"/>
    <mergeCell ref="C31:D31"/>
    <mergeCell ref="F31:G31"/>
    <mergeCell ref="L31:M31"/>
    <mergeCell ref="L32:M32"/>
    <mergeCell ref="C27:D27"/>
    <mergeCell ref="F27:G27"/>
    <mergeCell ref="C28:D28"/>
    <mergeCell ref="F28:G28"/>
    <mergeCell ref="L28:M28"/>
    <mergeCell ref="L27:M27"/>
    <mergeCell ref="C25:D25"/>
    <mergeCell ref="F25:G25"/>
    <mergeCell ref="L25:M25"/>
    <mergeCell ref="C26:D26"/>
    <mergeCell ref="F26:G26"/>
    <mergeCell ref="L26:M26"/>
    <mergeCell ref="C23:D23"/>
    <mergeCell ref="F23:G23"/>
    <mergeCell ref="L23:M23"/>
    <mergeCell ref="C24:D24"/>
    <mergeCell ref="F24:G24"/>
    <mergeCell ref="L24:M24"/>
    <mergeCell ref="C4:I4"/>
    <mergeCell ref="C5:I5"/>
    <mergeCell ref="C6:E6"/>
    <mergeCell ref="F6:J6"/>
    <mergeCell ref="C8:I8"/>
    <mergeCell ref="C7:K7"/>
    <mergeCell ref="C9:I9"/>
    <mergeCell ref="C10:I10"/>
    <mergeCell ref="C11:I11"/>
    <mergeCell ref="C12:I12"/>
    <mergeCell ref="C13:J13"/>
    <mergeCell ref="C14:K14"/>
    <mergeCell ref="D46:E46"/>
    <mergeCell ref="D47:E47"/>
    <mergeCell ref="B46:C46"/>
    <mergeCell ref="B47:C47"/>
    <mergeCell ref="B17:M17"/>
    <mergeCell ref="B18:M18"/>
    <mergeCell ref="C20:D20"/>
    <mergeCell ref="F20:G20"/>
    <mergeCell ref="L20:M20"/>
    <mergeCell ref="C21:D21"/>
    <mergeCell ref="F21:G21"/>
    <mergeCell ref="L21:M21"/>
    <mergeCell ref="C22:D22"/>
    <mergeCell ref="F22:G22"/>
    <mergeCell ref="L22:M22"/>
  </mergeCells>
  <pageMargins left="0.7" right="0.7" top="0.75" bottom="0.75" header="0.3" footer="0.3"/>
  <pageSetup paperSize="9" scale="84" orientation="portrait" r:id="rId6"/>
  <drawing r:id="rId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sheetPr>
  <dimension ref="A1:AX126"/>
  <sheetViews>
    <sheetView topLeftCell="A13" workbookViewId="0">
      <selection activeCell="K22" sqref="K22"/>
    </sheetView>
  </sheetViews>
  <sheetFormatPr defaultRowHeight="15"/>
  <cols>
    <col min="1" max="1" width="4.28515625" customWidth="1"/>
    <col min="2" max="2" width="3.140625" customWidth="1"/>
    <col min="3" max="3" width="8.140625" customWidth="1"/>
    <col min="13" max="13" width="3.5703125" customWidth="1"/>
  </cols>
  <sheetData>
    <row r="1" spans="1:50" ht="15.75" thickBot="1">
      <c r="A1" s="345"/>
      <c r="B1" s="345"/>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c r="AE1" s="345"/>
      <c r="AF1" s="345"/>
      <c r="AG1" s="345"/>
      <c r="AH1" s="345"/>
      <c r="AI1" s="345"/>
      <c r="AJ1" s="345"/>
      <c r="AK1" s="345"/>
      <c r="AL1" s="345"/>
      <c r="AM1" s="345"/>
      <c r="AN1" s="345"/>
      <c r="AO1" s="345"/>
      <c r="AP1" s="345"/>
      <c r="AQ1" s="345"/>
      <c r="AR1" s="345"/>
      <c r="AS1" s="345"/>
      <c r="AT1" s="345"/>
      <c r="AU1" s="345"/>
      <c r="AV1" s="345"/>
      <c r="AW1" s="345"/>
      <c r="AX1" s="345"/>
    </row>
    <row r="2" spans="1:50" ht="15.75" thickTop="1">
      <c r="A2" s="345"/>
      <c r="B2" s="414"/>
      <c r="C2" s="415"/>
      <c r="D2" s="415"/>
      <c r="E2" s="415"/>
      <c r="F2" s="415"/>
      <c r="G2" s="415"/>
      <c r="H2" s="415"/>
      <c r="I2" s="415"/>
      <c r="J2" s="415"/>
      <c r="K2" s="415"/>
      <c r="L2" s="415"/>
      <c r="M2" s="416"/>
      <c r="N2" s="345"/>
      <c r="O2" s="345"/>
      <c r="P2" s="345"/>
      <c r="Q2" s="345"/>
      <c r="R2" s="345"/>
      <c r="S2" s="345"/>
      <c r="T2" s="345"/>
      <c r="U2" s="345"/>
      <c r="V2" s="345"/>
      <c r="W2" s="345"/>
      <c r="X2" s="345"/>
      <c r="Y2" s="345"/>
      <c r="Z2" s="345"/>
      <c r="AA2" s="345"/>
      <c r="AB2" s="345"/>
      <c r="AC2" s="345"/>
      <c r="AD2" s="345"/>
      <c r="AE2" s="345"/>
      <c r="AF2" s="345"/>
      <c r="AG2" s="345"/>
      <c r="AH2" s="345"/>
      <c r="AI2" s="345"/>
      <c r="AJ2" s="345"/>
      <c r="AK2" s="345"/>
      <c r="AL2" s="345"/>
      <c r="AM2" s="345"/>
      <c r="AN2" s="345"/>
      <c r="AO2" s="345"/>
      <c r="AP2" s="345"/>
      <c r="AQ2" s="345"/>
      <c r="AR2" s="345"/>
      <c r="AS2" s="345"/>
      <c r="AT2" s="345"/>
      <c r="AU2" s="345"/>
      <c r="AV2" s="345"/>
      <c r="AW2" s="345"/>
      <c r="AX2" s="345"/>
    </row>
    <row r="3" spans="1:50" ht="15.75">
      <c r="A3" s="345"/>
      <c r="B3" s="417"/>
      <c r="C3" s="6263" t="s">
        <v>366</v>
      </c>
      <c r="D3" s="6263"/>
      <c r="E3" s="6263"/>
      <c r="F3" s="6263"/>
      <c r="G3" s="6263"/>
      <c r="H3" s="6263"/>
      <c r="I3" s="6263"/>
      <c r="J3" s="6263"/>
      <c r="K3" s="6263"/>
      <c r="L3" s="6263"/>
      <c r="M3" s="418"/>
      <c r="N3" s="345"/>
      <c r="O3" s="345"/>
      <c r="P3" s="345"/>
      <c r="Q3" s="345"/>
      <c r="R3" s="345"/>
      <c r="S3" s="345"/>
      <c r="T3" s="345"/>
      <c r="U3" s="345"/>
      <c r="V3" s="345"/>
      <c r="W3" s="345"/>
      <c r="X3" s="345"/>
      <c r="Y3" s="345"/>
      <c r="Z3" s="345"/>
      <c r="AA3" s="345"/>
      <c r="AB3" s="345"/>
      <c r="AC3" s="345"/>
      <c r="AD3" s="345"/>
      <c r="AE3" s="345"/>
      <c r="AF3" s="345"/>
      <c r="AG3" s="345"/>
      <c r="AH3" s="345"/>
      <c r="AI3" s="345"/>
      <c r="AJ3" s="345"/>
      <c r="AK3" s="345"/>
      <c r="AL3" s="345"/>
      <c r="AM3" s="345"/>
      <c r="AN3" s="345"/>
      <c r="AO3" s="345"/>
      <c r="AP3" s="345"/>
      <c r="AQ3" s="345"/>
      <c r="AR3" s="345"/>
      <c r="AS3" s="345"/>
      <c r="AT3" s="345"/>
      <c r="AU3" s="345"/>
      <c r="AV3" s="345"/>
      <c r="AW3" s="345"/>
      <c r="AX3" s="345"/>
    </row>
    <row r="4" spans="1:50" ht="15.75">
      <c r="A4" s="345"/>
      <c r="B4" s="417"/>
      <c r="C4" s="6263" t="s">
        <v>367</v>
      </c>
      <c r="D4" s="6263"/>
      <c r="E4" s="6263"/>
      <c r="F4" s="6263"/>
      <c r="G4" s="6263"/>
      <c r="H4" s="6263"/>
      <c r="I4" s="6263"/>
      <c r="J4" s="6263"/>
      <c r="K4" s="6263"/>
      <c r="L4" s="6263"/>
      <c r="M4" s="418"/>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row>
    <row r="5" spans="1:50" ht="15.75">
      <c r="A5" s="345"/>
      <c r="B5" s="417"/>
      <c r="C5" s="6263" t="s">
        <v>368</v>
      </c>
      <c r="D5" s="6263"/>
      <c r="E5" s="6263"/>
      <c r="F5" s="6263"/>
      <c r="G5" s="6263"/>
      <c r="H5" s="6263"/>
      <c r="I5" s="6263"/>
      <c r="J5" s="6263"/>
      <c r="K5" s="6263"/>
      <c r="L5" s="6263"/>
      <c r="M5" s="418"/>
      <c r="N5" s="345"/>
      <c r="O5" s="345"/>
      <c r="P5" s="345"/>
      <c r="Q5" s="345"/>
      <c r="R5" s="345"/>
      <c r="S5" s="345"/>
      <c r="T5" s="345"/>
      <c r="U5" s="345"/>
      <c r="V5" s="345"/>
      <c r="W5" s="345"/>
      <c r="X5" s="345"/>
      <c r="Y5" s="345"/>
      <c r="Z5" s="345"/>
      <c r="AA5" s="345"/>
      <c r="AB5" s="345"/>
      <c r="AC5" s="345"/>
      <c r="AD5" s="345"/>
      <c r="AE5" s="345"/>
      <c r="AF5" s="345"/>
      <c r="AG5" s="345"/>
      <c r="AH5" s="345"/>
      <c r="AI5" s="345"/>
      <c r="AJ5" s="345"/>
      <c r="AK5" s="345"/>
      <c r="AL5" s="345"/>
      <c r="AM5" s="345"/>
      <c r="AN5" s="345"/>
      <c r="AO5" s="345"/>
      <c r="AP5" s="345"/>
      <c r="AQ5" s="345"/>
      <c r="AR5" s="345"/>
      <c r="AS5" s="345"/>
      <c r="AT5" s="345"/>
      <c r="AU5" s="345"/>
      <c r="AV5" s="345"/>
      <c r="AW5" s="345"/>
      <c r="AX5" s="345"/>
    </row>
    <row r="6" spans="1:50" ht="15.75">
      <c r="A6" s="345"/>
      <c r="B6" s="417"/>
      <c r="C6" s="419"/>
      <c r="D6" s="419"/>
      <c r="E6" s="419"/>
      <c r="F6" s="419"/>
      <c r="G6" s="419"/>
      <c r="H6" s="419"/>
      <c r="I6" s="419"/>
      <c r="J6" s="419"/>
      <c r="K6" s="419"/>
      <c r="L6" s="419"/>
      <c r="M6" s="418"/>
      <c r="N6" s="345"/>
      <c r="O6" s="345"/>
      <c r="P6" s="345"/>
      <c r="Q6" s="345"/>
      <c r="R6" s="345"/>
      <c r="S6" s="345"/>
      <c r="T6" s="345"/>
      <c r="U6" s="345"/>
      <c r="V6" s="345"/>
      <c r="W6" s="345"/>
      <c r="X6" s="345"/>
      <c r="Y6" s="345"/>
      <c r="Z6" s="345"/>
      <c r="AA6" s="345"/>
      <c r="AB6" s="345"/>
      <c r="AC6" s="345"/>
      <c r="AD6" s="345"/>
      <c r="AE6" s="345"/>
      <c r="AF6" s="345"/>
      <c r="AG6" s="345"/>
      <c r="AH6" s="345"/>
      <c r="AI6" s="345"/>
      <c r="AJ6" s="345"/>
      <c r="AK6" s="345"/>
      <c r="AL6" s="345"/>
      <c r="AM6" s="345"/>
      <c r="AN6" s="345"/>
      <c r="AO6" s="345"/>
      <c r="AP6" s="345"/>
      <c r="AQ6" s="345"/>
      <c r="AR6" s="345"/>
      <c r="AS6" s="345"/>
      <c r="AT6" s="345"/>
      <c r="AU6" s="345"/>
      <c r="AV6" s="345"/>
      <c r="AW6" s="345"/>
      <c r="AX6" s="345"/>
    </row>
    <row r="7" spans="1:50">
      <c r="A7" s="345"/>
      <c r="B7" s="417"/>
      <c r="C7" s="420" t="s">
        <v>369</v>
      </c>
      <c r="D7" s="420"/>
      <c r="E7" s="420"/>
      <c r="F7" s="420"/>
      <c r="G7" s="420"/>
      <c r="H7" s="420"/>
      <c r="I7" s="420"/>
      <c r="J7" s="420"/>
      <c r="K7" s="420"/>
      <c r="L7" s="420"/>
      <c r="M7" s="418"/>
      <c r="N7" s="345"/>
      <c r="O7" s="345"/>
      <c r="P7" s="345"/>
      <c r="Q7" s="345"/>
      <c r="R7" s="345"/>
      <c r="S7" s="345"/>
      <c r="T7" s="345"/>
      <c r="U7" s="345"/>
      <c r="V7" s="345"/>
      <c r="W7" s="345"/>
      <c r="X7" s="345"/>
      <c r="Y7" s="345"/>
      <c r="Z7" s="345"/>
      <c r="AA7" s="345"/>
      <c r="AB7" s="345"/>
      <c r="AC7" s="345"/>
      <c r="AD7" s="345"/>
      <c r="AE7" s="345"/>
      <c r="AF7" s="345"/>
      <c r="AG7" s="345"/>
      <c r="AH7" s="345"/>
      <c r="AI7" s="345"/>
      <c r="AJ7" s="345"/>
      <c r="AK7" s="345"/>
      <c r="AL7" s="345"/>
      <c r="AM7" s="345"/>
      <c r="AN7" s="345"/>
      <c r="AO7" s="345"/>
      <c r="AP7" s="345"/>
      <c r="AQ7" s="345"/>
      <c r="AR7" s="345"/>
      <c r="AS7" s="345"/>
      <c r="AT7" s="345"/>
      <c r="AU7" s="345"/>
      <c r="AV7" s="345"/>
      <c r="AW7" s="345"/>
      <c r="AX7" s="345"/>
    </row>
    <row r="8" spans="1:50">
      <c r="A8" s="345"/>
      <c r="B8" s="417"/>
      <c r="C8" s="420"/>
      <c r="D8" s="420"/>
      <c r="E8" s="420"/>
      <c r="F8" s="420"/>
      <c r="G8" s="420"/>
      <c r="H8" s="420"/>
      <c r="I8" s="420"/>
      <c r="J8" s="420"/>
      <c r="K8" s="420"/>
      <c r="L8" s="420"/>
      <c r="M8" s="418"/>
      <c r="N8" s="345"/>
      <c r="O8" s="345"/>
      <c r="P8" s="345"/>
      <c r="Q8" s="345"/>
      <c r="R8" s="345"/>
      <c r="S8" s="345"/>
      <c r="T8" s="345"/>
      <c r="U8" s="345"/>
      <c r="V8" s="345"/>
      <c r="W8" s="345"/>
      <c r="X8" s="345"/>
      <c r="Y8" s="345"/>
      <c r="Z8" s="345"/>
      <c r="AA8" s="345"/>
      <c r="AB8" s="345"/>
      <c r="AC8" s="345"/>
      <c r="AD8" s="345"/>
      <c r="AE8" s="345"/>
      <c r="AF8" s="345"/>
      <c r="AG8" s="345"/>
      <c r="AH8" s="345"/>
      <c r="AI8" s="345"/>
      <c r="AJ8" s="345"/>
      <c r="AK8" s="345"/>
      <c r="AL8" s="345"/>
      <c r="AM8" s="345"/>
      <c r="AN8" s="345"/>
      <c r="AO8" s="345"/>
      <c r="AP8" s="345"/>
      <c r="AQ8" s="345"/>
      <c r="AR8" s="345"/>
      <c r="AS8" s="345"/>
      <c r="AT8" s="345"/>
      <c r="AU8" s="345"/>
      <c r="AV8" s="345"/>
      <c r="AW8" s="345"/>
      <c r="AX8" s="345"/>
    </row>
    <row r="9" spans="1:50">
      <c r="A9" s="345"/>
      <c r="B9" s="417"/>
      <c r="C9" s="420" t="s">
        <v>370</v>
      </c>
      <c r="D9" s="420"/>
      <c r="E9" s="420"/>
      <c r="F9" s="420"/>
      <c r="G9" s="420"/>
      <c r="H9" s="420"/>
      <c r="I9" s="420"/>
      <c r="J9" s="420"/>
      <c r="K9" s="420"/>
      <c r="L9" s="420"/>
      <c r="M9" s="418"/>
      <c r="N9" s="345"/>
      <c r="O9" s="345"/>
      <c r="P9" s="345"/>
      <c r="Q9" s="345"/>
      <c r="R9" s="345"/>
      <c r="S9" s="345"/>
      <c r="T9" s="345"/>
      <c r="U9" s="345"/>
      <c r="V9" s="345"/>
      <c r="W9" s="345"/>
      <c r="X9" s="345"/>
      <c r="Y9" s="345"/>
      <c r="Z9" s="345"/>
      <c r="AA9" s="345"/>
      <c r="AB9" s="345"/>
      <c r="AC9" s="345"/>
      <c r="AD9" s="345"/>
      <c r="AE9" s="345"/>
      <c r="AF9" s="345"/>
      <c r="AG9" s="345"/>
      <c r="AH9" s="345"/>
      <c r="AI9" s="345"/>
      <c r="AJ9" s="345"/>
      <c r="AK9" s="345"/>
      <c r="AL9" s="345"/>
      <c r="AM9" s="345"/>
      <c r="AN9" s="345"/>
      <c r="AO9" s="345"/>
      <c r="AP9" s="345"/>
      <c r="AQ9" s="345"/>
      <c r="AR9" s="345"/>
      <c r="AS9" s="345"/>
      <c r="AT9" s="345"/>
      <c r="AU9" s="345"/>
      <c r="AV9" s="345"/>
      <c r="AW9" s="345"/>
      <c r="AX9" s="345"/>
    </row>
    <row r="10" spans="1:50">
      <c r="A10" s="345"/>
      <c r="B10" s="417"/>
      <c r="C10" s="420"/>
      <c r="D10" s="420"/>
      <c r="E10" s="420"/>
      <c r="F10" s="420"/>
      <c r="G10" s="420"/>
      <c r="H10" s="420"/>
      <c r="I10" s="420"/>
      <c r="J10" s="420"/>
      <c r="K10" s="420"/>
      <c r="L10" s="420"/>
      <c r="M10" s="418"/>
      <c r="N10" s="345"/>
      <c r="O10" s="345"/>
      <c r="P10" s="345"/>
      <c r="Q10" s="345"/>
      <c r="R10" s="345"/>
      <c r="S10" s="345"/>
      <c r="T10" s="345"/>
      <c r="U10" s="345"/>
      <c r="V10" s="345"/>
      <c r="W10" s="345"/>
      <c r="X10" s="345"/>
      <c r="Y10" s="345"/>
      <c r="Z10" s="345"/>
      <c r="AA10" s="345"/>
      <c r="AB10" s="345"/>
      <c r="AC10" s="345"/>
      <c r="AD10" s="345"/>
      <c r="AE10" s="345"/>
      <c r="AF10" s="345"/>
      <c r="AG10" s="345"/>
      <c r="AH10" s="345"/>
      <c r="AI10" s="345"/>
      <c r="AJ10" s="345"/>
      <c r="AK10" s="345"/>
      <c r="AL10" s="345"/>
      <c r="AM10" s="345"/>
      <c r="AN10" s="345"/>
      <c r="AO10" s="345"/>
      <c r="AP10" s="345"/>
      <c r="AQ10" s="345"/>
      <c r="AR10" s="345"/>
      <c r="AS10" s="345"/>
      <c r="AT10" s="345"/>
      <c r="AU10" s="345"/>
      <c r="AV10" s="345"/>
      <c r="AW10" s="345"/>
      <c r="AX10" s="345"/>
    </row>
    <row r="11" spans="1:50">
      <c r="A11" s="345"/>
      <c r="B11" s="417"/>
      <c r="C11" s="420" t="s">
        <v>371</v>
      </c>
      <c r="D11" s="420"/>
      <c r="E11" s="420"/>
      <c r="F11" s="420"/>
      <c r="G11" s="420"/>
      <c r="H11" s="420"/>
      <c r="I11" s="420"/>
      <c r="J11" s="420"/>
      <c r="K11" s="420"/>
      <c r="L11" s="420"/>
      <c r="M11" s="418"/>
      <c r="N11" s="345"/>
      <c r="O11" s="345"/>
      <c r="P11" s="345"/>
      <c r="Q11" s="345"/>
      <c r="R11" s="345"/>
      <c r="S11" s="345"/>
      <c r="T11" s="345"/>
      <c r="U11" s="345"/>
      <c r="V11" s="345"/>
      <c r="W11" s="345"/>
      <c r="X11" s="345"/>
      <c r="Y11" s="345"/>
      <c r="Z11" s="345"/>
      <c r="AA11" s="345"/>
      <c r="AB11" s="345"/>
      <c r="AC11" s="345"/>
      <c r="AD11" s="345"/>
      <c r="AE11" s="345"/>
      <c r="AF11" s="345"/>
      <c r="AG11" s="345"/>
      <c r="AH11" s="345"/>
      <c r="AI11" s="345"/>
      <c r="AJ11" s="345"/>
      <c r="AK11" s="345"/>
      <c r="AL11" s="345"/>
      <c r="AM11" s="345"/>
      <c r="AN11" s="345"/>
      <c r="AO11" s="345"/>
      <c r="AP11" s="345"/>
      <c r="AQ11" s="345"/>
      <c r="AR11" s="345"/>
      <c r="AS11" s="345"/>
      <c r="AT11" s="345"/>
      <c r="AU11" s="345"/>
      <c r="AV11" s="345"/>
      <c r="AW11" s="345"/>
      <c r="AX11" s="345"/>
    </row>
    <row r="12" spans="1:50">
      <c r="A12" s="345"/>
      <c r="B12" s="417"/>
      <c r="C12" s="420"/>
      <c r="D12" s="420"/>
      <c r="E12" s="420"/>
      <c r="F12" s="420"/>
      <c r="G12" s="420"/>
      <c r="H12" s="420"/>
      <c r="I12" s="420"/>
      <c r="J12" s="420"/>
      <c r="K12" s="420"/>
      <c r="L12" s="420"/>
      <c r="M12" s="418"/>
      <c r="N12" s="345"/>
      <c r="O12" s="345"/>
      <c r="P12" s="345"/>
      <c r="Q12" s="345"/>
      <c r="R12" s="345"/>
      <c r="S12" s="345"/>
      <c r="T12" s="345"/>
      <c r="U12" s="345"/>
      <c r="V12" s="345"/>
      <c r="W12" s="345"/>
      <c r="X12" s="345"/>
      <c r="Y12" s="345"/>
      <c r="Z12" s="345"/>
      <c r="AA12" s="345"/>
      <c r="AB12" s="345"/>
      <c r="AC12" s="345"/>
      <c r="AD12" s="345"/>
      <c r="AE12" s="345"/>
      <c r="AF12" s="345"/>
      <c r="AG12" s="345"/>
      <c r="AH12" s="345"/>
      <c r="AI12" s="345"/>
      <c r="AJ12" s="345"/>
      <c r="AK12" s="345"/>
      <c r="AL12" s="345"/>
      <c r="AM12" s="345"/>
      <c r="AN12" s="345"/>
      <c r="AO12" s="345"/>
      <c r="AP12" s="345"/>
      <c r="AQ12" s="345"/>
      <c r="AR12" s="345"/>
      <c r="AS12" s="345"/>
      <c r="AT12" s="345"/>
      <c r="AU12" s="345"/>
      <c r="AV12" s="345"/>
      <c r="AW12" s="345"/>
      <c r="AX12" s="345"/>
    </row>
    <row r="13" spans="1:50">
      <c r="A13" s="345"/>
      <c r="B13" s="417"/>
      <c r="C13" s="420" t="s">
        <v>372</v>
      </c>
      <c r="D13" s="420"/>
      <c r="E13" s="420"/>
      <c r="F13" s="420"/>
      <c r="G13" s="420"/>
      <c r="H13" s="420"/>
      <c r="I13" s="420"/>
      <c r="J13" s="420"/>
      <c r="K13" s="420"/>
      <c r="L13" s="420"/>
      <c r="M13" s="418"/>
      <c r="N13" s="345"/>
      <c r="O13" s="345"/>
      <c r="P13" s="345"/>
      <c r="Q13" s="345"/>
      <c r="R13" s="345"/>
      <c r="S13" s="345"/>
      <c r="T13" s="345"/>
      <c r="U13" s="345"/>
      <c r="V13" s="345"/>
      <c r="W13" s="345"/>
      <c r="X13" s="345"/>
      <c r="Y13" s="345"/>
      <c r="Z13" s="345"/>
      <c r="AA13" s="345"/>
      <c r="AB13" s="345"/>
      <c r="AC13" s="345"/>
      <c r="AD13" s="345"/>
      <c r="AE13" s="345"/>
      <c r="AF13" s="345"/>
      <c r="AG13" s="345"/>
      <c r="AH13" s="345"/>
      <c r="AI13" s="345"/>
      <c r="AJ13" s="345"/>
      <c r="AK13" s="345"/>
      <c r="AL13" s="345"/>
      <c r="AM13" s="345"/>
      <c r="AN13" s="345"/>
      <c r="AO13" s="345"/>
      <c r="AP13" s="345"/>
      <c r="AQ13" s="345"/>
      <c r="AR13" s="345"/>
      <c r="AS13" s="345"/>
      <c r="AT13" s="345"/>
      <c r="AU13" s="345"/>
      <c r="AV13" s="345"/>
      <c r="AW13" s="345"/>
      <c r="AX13" s="345"/>
    </row>
    <row r="14" spans="1:50">
      <c r="A14" s="345"/>
      <c r="B14" s="417"/>
      <c r="C14" s="420" t="s">
        <v>373</v>
      </c>
      <c r="D14" s="420"/>
      <c r="E14" s="420"/>
      <c r="F14" s="420"/>
      <c r="G14" s="420"/>
      <c r="H14" s="420"/>
      <c r="I14" s="420"/>
      <c r="J14" s="420"/>
      <c r="K14" s="420"/>
      <c r="L14" s="420"/>
      <c r="M14" s="418"/>
      <c r="N14" s="345"/>
      <c r="O14" s="345"/>
      <c r="P14" s="345"/>
      <c r="Q14" s="345"/>
      <c r="R14" s="345"/>
      <c r="S14" s="345"/>
      <c r="T14" s="345"/>
      <c r="U14" s="345"/>
      <c r="V14" s="345"/>
      <c r="W14" s="345"/>
      <c r="X14" s="345"/>
      <c r="Y14" s="345"/>
      <c r="Z14" s="345"/>
      <c r="AA14" s="345"/>
      <c r="AB14" s="345"/>
      <c r="AC14" s="345"/>
      <c r="AD14" s="345"/>
      <c r="AE14" s="345"/>
      <c r="AF14" s="345"/>
      <c r="AG14" s="345"/>
      <c r="AH14" s="345"/>
      <c r="AI14" s="345"/>
      <c r="AJ14" s="345"/>
      <c r="AK14" s="345"/>
      <c r="AL14" s="345"/>
      <c r="AM14" s="345"/>
      <c r="AN14" s="345"/>
      <c r="AO14" s="345"/>
      <c r="AP14" s="345"/>
      <c r="AQ14" s="345"/>
      <c r="AR14" s="345"/>
      <c r="AS14" s="345"/>
      <c r="AT14" s="345"/>
      <c r="AU14" s="345"/>
      <c r="AV14" s="345"/>
      <c r="AW14" s="345"/>
      <c r="AX14" s="345"/>
    </row>
    <row r="15" spans="1:50">
      <c r="A15" s="345"/>
      <c r="B15" s="417"/>
      <c r="C15" s="420"/>
      <c r="D15" s="420"/>
      <c r="E15" s="420"/>
      <c r="F15" s="420"/>
      <c r="G15" s="420"/>
      <c r="H15" s="420"/>
      <c r="I15" s="420"/>
      <c r="J15" s="420"/>
      <c r="K15" s="420"/>
      <c r="L15" s="420"/>
      <c r="M15" s="418"/>
      <c r="N15" s="345"/>
      <c r="O15" s="345"/>
      <c r="P15" s="345"/>
      <c r="Q15" s="345"/>
      <c r="R15" s="345"/>
      <c r="S15" s="345"/>
      <c r="T15" s="345"/>
      <c r="U15" s="345"/>
      <c r="V15" s="345"/>
      <c r="W15" s="345"/>
      <c r="X15" s="345"/>
      <c r="Y15" s="345"/>
      <c r="Z15" s="345"/>
      <c r="AA15" s="345"/>
      <c r="AB15" s="345"/>
      <c r="AC15" s="345"/>
      <c r="AD15" s="345"/>
      <c r="AE15" s="345"/>
      <c r="AF15" s="345"/>
      <c r="AG15" s="345"/>
      <c r="AH15" s="345"/>
      <c r="AI15" s="345"/>
      <c r="AJ15" s="345"/>
      <c r="AK15" s="345"/>
      <c r="AL15" s="345"/>
      <c r="AM15" s="345"/>
      <c r="AN15" s="345"/>
      <c r="AO15" s="345"/>
      <c r="AP15" s="345"/>
      <c r="AQ15" s="345"/>
      <c r="AR15" s="345"/>
      <c r="AS15" s="345"/>
      <c r="AT15" s="345"/>
      <c r="AU15" s="345"/>
      <c r="AV15" s="345"/>
      <c r="AW15" s="345"/>
      <c r="AX15" s="345"/>
    </row>
    <row r="16" spans="1:50">
      <c r="A16" s="345"/>
      <c r="B16" s="417"/>
      <c r="C16" s="420" t="s">
        <v>374</v>
      </c>
      <c r="D16" s="420"/>
      <c r="E16" s="420"/>
      <c r="F16" s="420"/>
      <c r="G16" s="420"/>
      <c r="H16" s="420"/>
      <c r="I16" s="420"/>
      <c r="J16" s="420"/>
      <c r="K16" s="420"/>
      <c r="L16" s="420"/>
      <c r="M16" s="418"/>
      <c r="N16" s="345"/>
      <c r="O16" s="345"/>
      <c r="P16" s="345"/>
      <c r="Q16" s="345"/>
      <c r="R16" s="345"/>
      <c r="S16" s="345"/>
      <c r="T16" s="345"/>
      <c r="U16" s="345"/>
      <c r="V16" s="345"/>
      <c r="W16" s="345"/>
      <c r="X16" s="345"/>
      <c r="Y16" s="345"/>
      <c r="Z16" s="345"/>
      <c r="AA16" s="345"/>
      <c r="AB16" s="345"/>
      <c r="AC16" s="345"/>
      <c r="AD16" s="345"/>
      <c r="AE16" s="345"/>
      <c r="AF16" s="345"/>
      <c r="AG16" s="345"/>
      <c r="AH16" s="345"/>
      <c r="AI16" s="345"/>
      <c r="AJ16" s="345"/>
      <c r="AK16" s="345"/>
      <c r="AL16" s="345"/>
      <c r="AM16" s="345"/>
      <c r="AN16" s="345"/>
      <c r="AO16" s="345"/>
      <c r="AP16" s="345"/>
      <c r="AQ16" s="345"/>
      <c r="AR16" s="345"/>
      <c r="AS16" s="345"/>
      <c r="AT16" s="345"/>
      <c r="AU16" s="345"/>
      <c r="AV16" s="345"/>
      <c r="AW16" s="345"/>
      <c r="AX16" s="345"/>
    </row>
    <row r="17" spans="1:50">
      <c r="A17" s="345"/>
      <c r="B17" s="417"/>
      <c r="C17" s="6264" t="s">
        <v>375</v>
      </c>
      <c r="D17" s="6264"/>
      <c r="E17" s="6264"/>
      <c r="F17" s="6264"/>
      <c r="G17" s="6264"/>
      <c r="H17" s="6264"/>
      <c r="I17" s="6264"/>
      <c r="J17" s="6264"/>
      <c r="K17" s="6264"/>
      <c r="L17" s="6264"/>
      <c r="M17" s="418"/>
      <c r="N17" s="345"/>
      <c r="O17" s="345"/>
      <c r="P17" s="345"/>
      <c r="Q17" s="345"/>
      <c r="R17" s="345"/>
      <c r="S17" s="345"/>
      <c r="T17" s="345"/>
      <c r="U17" s="345"/>
      <c r="V17" s="345"/>
      <c r="W17" s="345"/>
      <c r="X17" s="345"/>
      <c r="Y17" s="345"/>
      <c r="Z17" s="345"/>
      <c r="AA17" s="345"/>
      <c r="AB17" s="345"/>
      <c r="AC17" s="345"/>
      <c r="AD17" s="345"/>
      <c r="AE17" s="345"/>
      <c r="AF17" s="345"/>
      <c r="AG17" s="345"/>
      <c r="AH17" s="345"/>
      <c r="AI17" s="345"/>
      <c r="AJ17" s="345"/>
      <c r="AK17" s="345"/>
      <c r="AL17" s="345"/>
      <c r="AM17" s="345"/>
      <c r="AN17" s="345"/>
      <c r="AO17" s="345"/>
      <c r="AP17" s="345"/>
      <c r="AQ17" s="345"/>
      <c r="AR17" s="345"/>
      <c r="AS17" s="345"/>
      <c r="AT17" s="345"/>
      <c r="AU17" s="345"/>
      <c r="AV17" s="345"/>
      <c r="AW17" s="345"/>
      <c r="AX17" s="345"/>
    </row>
    <row r="18" spans="1:50">
      <c r="A18" s="345"/>
      <c r="B18" s="417"/>
      <c r="C18" s="420" t="s">
        <v>376</v>
      </c>
      <c r="D18" s="420"/>
      <c r="E18" s="420"/>
      <c r="F18" s="420"/>
      <c r="G18" s="420"/>
      <c r="H18" s="420"/>
      <c r="I18" s="420"/>
      <c r="J18" s="420"/>
      <c r="K18" s="420"/>
      <c r="L18" s="420"/>
      <c r="M18" s="418"/>
      <c r="N18" s="345"/>
      <c r="O18" s="345"/>
      <c r="P18" s="345"/>
      <c r="Q18" s="345"/>
      <c r="R18" s="345"/>
      <c r="S18" s="345"/>
      <c r="T18" s="345"/>
      <c r="U18" s="345"/>
      <c r="V18" s="345"/>
      <c r="W18" s="345"/>
      <c r="X18" s="345"/>
      <c r="Y18" s="345"/>
      <c r="Z18" s="345"/>
      <c r="AA18" s="345"/>
      <c r="AB18" s="345"/>
      <c r="AC18" s="345"/>
      <c r="AD18" s="345"/>
      <c r="AE18" s="345"/>
      <c r="AF18" s="345"/>
      <c r="AG18" s="345"/>
      <c r="AH18" s="345"/>
      <c r="AI18" s="345"/>
      <c r="AJ18" s="345"/>
      <c r="AK18" s="345"/>
      <c r="AL18" s="345"/>
      <c r="AM18" s="345"/>
      <c r="AN18" s="345"/>
      <c r="AO18" s="345"/>
      <c r="AP18" s="345"/>
      <c r="AQ18" s="345"/>
      <c r="AR18" s="345"/>
      <c r="AS18" s="345"/>
      <c r="AT18" s="345"/>
      <c r="AU18" s="345"/>
      <c r="AV18" s="345"/>
      <c r="AW18" s="345"/>
      <c r="AX18" s="345"/>
    </row>
    <row r="19" spans="1:50">
      <c r="A19" s="345"/>
      <c r="B19" s="417"/>
      <c r="C19" s="6264" t="s">
        <v>377</v>
      </c>
      <c r="D19" s="6264"/>
      <c r="E19" s="6264"/>
      <c r="F19" s="6264"/>
      <c r="G19" s="6264"/>
      <c r="H19" s="6264"/>
      <c r="I19" s="6264"/>
      <c r="J19" s="6264"/>
      <c r="K19" s="6264"/>
      <c r="L19" s="6264"/>
      <c r="M19" s="418"/>
      <c r="N19" s="345"/>
      <c r="O19" s="345"/>
      <c r="P19" s="345"/>
      <c r="Q19" s="345"/>
      <c r="R19" s="345"/>
      <c r="S19" s="345"/>
      <c r="T19" s="345"/>
      <c r="U19" s="345"/>
      <c r="V19" s="345"/>
      <c r="W19" s="345"/>
      <c r="X19" s="345"/>
      <c r="Y19" s="345"/>
      <c r="Z19" s="345"/>
      <c r="AA19" s="345"/>
      <c r="AB19" s="345"/>
      <c r="AC19" s="345"/>
      <c r="AD19" s="345"/>
      <c r="AE19" s="345"/>
      <c r="AF19" s="345"/>
      <c r="AG19" s="345"/>
      <c r="AH19" s="345"/>
      <c r="AI19" s="345"/>
      <c r="AJ19" s="345"/>
      <c r="AK19" s="345"/>
      <c r="AL19" s="345"/>
      <c r="AM19" s="345"/>
      <c r="AN19" s="345"/>
      <c r="AO19" s="345"/>
      <c r="AP19" s="345"/>
      <c r="AQ19" s="345"/>
      <c r="AR19" s="345"/>
      <c r="AS19" s="345"/>
      <c r="AT19" s="345"/>
      <c r="AU19" s="345"/>
      <c r="AV19" s="345"/>
      <c r="AW19" s="345"/>
      <c r="AX19" s="345"/>
    </row>
    <row r="20" spans="1:50">
      <c r="A20" s="345"/>
      <c r="B20" s="417"/>
      <c r="C20" s="420"/>
      <c r="D20" s="420"/>
      <c r="E20" s="420"/>
      <c r="F20" s="420"/>
      <c r="G20" s="420"/>
      <c r="H20" s="420"/>
      <c r="I20" s="420"/>
      <c r="J20" s="420"/>
      <c r="K20" s="420"/>
      <c r="L20" s="420"/>
      <c r="M20" s="418"/>
      <c r="N20" s="345"/>
      <c r="O20" s="345"/>
      <c r="P20" s="345"/>
      <c r="Q20" s="345"/>
      <c r="R20" s="345"/>
      <c r="S20" s="345"/>
      <c r="T20" s="345"/>
      <c r="U20" s="345"/>
      <c r="V20" s="345"/>
      <c r="W20" s="345"/>
      <c r="X20" s="345"/>
      <c r="Y20" s="345"/>
      <c r="Z20" s="345"/>
      <c r="AA20" s="345"/>
      <c r="AB20" s="345"/>
      <c r="AC20" s="345"/>
      <c r="AD20" s="345"/>
      <c r="AE20" s="345"/>
      <c r="AF20" s="345"/>
      <c r="AG20" s="345"/>
      <c r="AH20" s="345"/>
      <c r="AI20" s="345"/>
      <c r="AJ20" s="345"/>
      <c r="AK20" s="345"/>
      <c r="AL20" s="345"/>
      <c r="AM20" s="345"/>
      <c r="AN20" s="345"/>
      <c r="AO20" s="345"/>
      <c r="AP20" s="345"/>
      <c r="AQ20" s="345"/>
      <c r="AR20" s="345"/>
      <c r="AS20" s="345"/>
      <c r="AT20" s="345"/>
      <c r="AU20" s="345"/>
      <c r="AV20" s="345"/>
      <c r="AW20" s="345"/>
      <c r="AX20" s="345"/>
    </row>
    <row r="21" spans="1:50">
      <c r="A21" s="345"/>
      <c r="B21" s="417"/>
      <c r="C21" s="420" t="s">
        <v>378</v>
      </c>
      <c r="D21" s="420"/>
      <c r="E21" s="420"/>
      <c r="F21" s="420"/>
      <c r="G21" s="420"/>
      <c r="H21" s="420"/>
      <c r="I21" s="420"/>
      <c r="J21" s="420"/>
      <c r="K21" s="420"/>
      <c r="L21" s="420"/>
      <c r="M21" s="418"/>
      <c r="N21" s="345"/>
      <c r="O21" s="345"/>
      <c r="P21" s="345"/>
      <c r="Q21" s="345"/>
      <c r="R21" s="345"/>
      <c r="S21" s="345"/>
      <c r="T21" s="345"/>
      <c r="U21" s="345"/>
      <c r="V21" s="345"/>
      <c r="W21" s="345"/>
      <c r="X21" s="345"/>
      <c r="Y21" s="345"/>
      <c r="Z21" s="345"/>
      <c r="AA21" s="345"/>
      <c r="AB21" s="345"/>
      <c r="AC21" s="345"/>
      <c r="AD21" s="345"/>
      <c r="AE21" s="345"/>
      <c r="AF21" s="345"/>
      <c r="AG21" s="345"/>
      <c r="AH21" s="345"/>
      <c r="AI21" s="345"/>
      <c r="AJ21" s="345"/>
      <c r="AK21" s="345"/>
      <c r="AL21" s="345"/>
      <c r="AM21" s="345"/>
      <c r="AN21" s="345"/>
      <c r="AO21" s="345"/>
      <c r="AP21" s="345"/>
      <c r="AQ21" s="345"/>
      <c r="AR21" s="345"/>
      <c r="AS21" s="345"/>
      <c r="AT21" s="345"/>
      <c r="AU21" s="345"/>
      <c r="AV21" s="345"/>
      <c r="AW21" s="345"/>
      <c r="AX21" s="345"/>
    </row>
    <row r="22" spans="1:50">
      <c r="A22" s="345"/>
      <c r="B22" s="417"/>
      <c r="C22" s="420" t="s">
        <v>379</v>
      </c>
      <c r="D22" s="420"/>
      <c r="E22" s="420"/>
      <c r="F22" s="420"/>
      <c r="G22" s="420"/>
      <c r="H22" s="420"/>
      <c r="I22" s="420"/>
      <c r="J22" s="420"/>
      <c r="K22" s="420"/>
      <c r="L22" s="420"/>
      <c r="M22" s="418"/>
      <c r="N22" s="345"/>
      <c r="O22" s="345"/>
      <c r="P22" s="345"/>
      <c r="Q22" s="345"/>
      <c r="R22" s="345"/>
      <c r="S22" s="345"/>
      <c r="T22" s="345"/>
      <c r="U22" s="345"/>
      <c r="V22" s="345"/>
      <c r="W22" s="345"/>
      <c r="X22" s="345"/>
      <c r="Y22" s="345"/>
      <c r="Z22" s="345"/>
      <c r="AA22" s="345"/>
      <c r="AB22" s="345"/>
      <c r="AC22" s="345"/>
      <c r="AD22" s="345"/>
      <c r="AE22" s="345"/>
      <c r="AF22" s="345"/>
      <c r="AG22" s="345"/>
      <c r="AH22" s="345"/>
      <c r="AI22" s="345"/>
      <c r="AJ22" s="345"/>
      <c r="AK22" s="345"/>
      <c r="AL22" s="345"/>
      <c r="AM22" s="345"/>
      <c r="AN22" s="345"/>
      <c r="AO22" s="345"/>
      <c r="AP22" s="345"/>
      <c r="AQ22" s="345"/>
      <c r="AR22" s="345"/>
      <c r="AS22" s="345"/>
      <c r="AT22" s="345"/>
      <c r="AU22" s="345"/>
      <c r="AV22" s="345"/>
      <c r="AW22" s="345"/>
      <c r="AX22" s="345"/>
    </row>
    <row r="23" spans="1:50">
      <c r="A23" s="345"/>
      <c r="B23" s="417"/>
      <c r="C23" s="6264" t="s">
        <v>380</v>
      </c>
      <c r="D23" s="6264"/>
      <c r="E23" s="6264"/>
      <c r="F23" s="6264"/>
      <c r="G23" s="6264"/>
      <c r="H23" s="6264"/>
      <c r="I23" s="6264"/>
      <c r="J23" s="6264"/>
      <c r="K23" s="6264"/>
      <c r="L23" s="6264"/>
      <c r="M23" s="418"/>
      <c r="N23" s="345"/>
      <c r="O23" s="345"/>
      <c r="P23" s="345"/>
      <c r="Q23" s="345"/>
      <c r="R23" s="345"/>
      <c r="S23" s="345"/>
      <c r="T23" s="345"/>
      <c r="U23" s="345"/>
      <c r="V23" s="345"/>
      <c r="W23" s="345"/>
      <c r="X23" s="345"/>
      <c r="Y23" s="345"/>
      <c r="Z23" s="345"/>
      <c r="AA23" s="345"/>
      <c r="AB23" s="345"/>
      <c r="AC23" s="345"/>
      <c r="AD23" s="345"/>
      <c r="AE23" s="345"/>
      <c r="AF23" s="345"/>
      <c r="AG23" s="345"/>
      <c r="AH23" s="345"/>
      <c r="AI23" s="345"/>
      <c r="AJ23" s="345"/>
      <c r="AK23" s="345"/>
      <c r="AL23" s="345"/>
      <c r="AM23" s="345"/>
      <c r="AN23" s="345"/>
      <c r="AO23" s="345"/>
      <c r="AP23" s="345"/>
      <c r="AQ23" s="345"/>
      <c r="AR23" s="345"/>
      <c r="AS23" s="345"/>
      <c r="AT23" s="345"/>
      <c r="AU23" s="345"/>
      <c r="AV23" s="345"/>
      <c r="AW23" s="345"/>
      <c r="AX23" s="345"/>
    </row>
    <row r="24" spans="1:50">
      <c r="A24" s="345"/>
      <c r="B24" s="417"/>
      <c r="C24" s="421"/>
      <c r="D24" s="421"/>
      <c r="E24" s="421"/>
      <c r="F24" s="421"/>
      <c r="G24" s="421"/>
      <c r="H24" s="421"/>
      <c r="I24" s="421"/>
      <c r="J24" s="421"/>
      <c r="K24" s="421"/>
      <c r="L24" s="421"/>
      <c r="M24" s="418"/>
      <c r="N24" s="345"/>
      <c r="O24" s="345"/>
      <c r="P24" s="345"/>
      <c r="Q24" s="345"/>
      <c r="R24" s="345"/>
      <c r="S24" s="345"/>
      <c r="T24" s="345"/>
      <c r="U24" s="345"/>
      <c r="V24" s="345"/>
      <c r="W24" s="345"/>
      <c r="X24" s="345"/>
      <c r="Y24" s="345"/>
      <c r="Z24" s="345"/>
      <c r="AA24" s="345"/>
      <c r="AB24" s="345"/>
      <c r="AC24" s="345"/>
      <c r="AD24" s="345"/>
      <c r="AE24" s="345"/>
      <c r="AF24" s="345"/>
      <c r="AG24" s="345"/>
      <c r="AH24" s="345"/>
      <c r="AI24" s="345"/>
      <c r="AJ24" s="345"/>
      <c r="AK24" s="345"/>
      <c r="AL24" s="345"/>
      <c r="AM24" s="345"/>
      <c r="AN24" s="345"/>
      <c r="AO24" s="345"/>
      <c r="AP24" s="345"/>
      <c r="AQ24" s="345"/>
      <c r="AR24" s="345"/>
      <c r="AS24" s="345"/>
      <c r="AT24" s="345"/>
      <c r="AU24" s="345"/>
      <c r="AV24" s="345"/>
      <c r="AW24" s="345"/>
      <c r="AX24" s="345"/>
    </row>
    <row r="25" spans="1:50">
      <c r="A25" s="345"/>
      <c r="B25" s="417"/>
      <c r="C25" s="421"/>
      <c r="D25" s="421"/>
      <c r="E25" s="421"/>
      <c r="F25" s="6266" t="s">
        <v>381</v>
      </c>
      <c r="G25" s="6266"/>
      <c r="H25" s="6266"/>
      <c r="I25" s="6266"/>
      <c r="J25" s="421"/>
      <c r="K25" s="421"/>
      <c r="L25" s="421"/>
      <c r="M25" s="418"/>
      <c r="N25" s="345"/>
      <c r="O25" s="345"/>
      <c r="P25" s="345"/>
      <c r="Q25" s="345"/>
      <c r="R25" s="345"/>
      <c r="S25" s="345"/>
      <c r="T25" s="345"/>
      <c r="U25" s="345"/>
      <c r="V25" s="345"/>
      <c r="W25" s="345"/>
      <c r="X25" s="345"/>
      <c r="Y25" s="345"/>
      <c r="Z25" s="345"/>
      <c r="AA25" s="345"/>
      <c r="AB25" s="345"/>
      <c r="AC25" s="345"/>
      <c r="AD25" s="345"/>
      <c r="AE25" s="345"/>
      <c r="AF25" s="345"/>
      <c r="AG25" s="345"/>
      <c r="AH25" s="345"/>
      <c r="AI25" s="345"/>
      <c r="AJ25" s="345"/>
      <c r="AK25" s="345"/>
      <c r="AL25" s="345"/>
      <c r="AM25" s="345"/>
      <c r="AN25" s="345"/>
      <c r="AO25" s="345"/>
      <c r="AP25" s="345"/>
      <c r="AQ25" s="345"/>
      <c r="AR25" s="345"/>
      <c r="AS25" s="345"/>
      <c r="AT25" s="345"/>
      <c r="AU25" s="345"/>
      <c r="AV25" s="345"/>
      <c r="AW25" s="345"/>
      <c r="AX25" s="345"/>
    </row>
    <row r="26" spans="1:50">
      <c r="A26" s="345"/>
      <c r="B26" s="417"/>
      <c r="C26" s="420"/>
      <c r="D26" s="420"/>
      <c r="E26" s="420"/>
      <c r="F26" s="420"/>
      <c r="G26" s="420"/>
      <c r="H26" s="420"/>
      <c r="I26" s="420"/>
      <c r="J26" s="420"/>
      <c r="K26" s="420"/>
      <c r="L26" s="420"/>
      <c r="M26" s="418"/>
      <c r="N26" s="345"/>
      <c r="O26" s="345"/>
      <c r="P26" s="345"/>
      <c r="Q26" s="345"/>
      <c r="R26" s="345"/>
      <c r="S26" s="345"/>
      <c r="T26" s="345"/>
      <c r="U26" s="345"/>
      <c r="V26" s="345"/>
      <c r="W26" s="345"/>
      <c r="X26" s="345"/>
      <c r="Y26" s="345"/>
      <c r="Z26" s="345"/>
      <c r="AA26" s="345"/>
      <c r="AB26" s="345"/>
      <c r="AC26" s="345"/>
      <c r="AD26" s="345"/>
      <c r="AE26" s="345"/>
      <c r="AF26" s="345"/>
      <c r="AG26" s="345"/>
      <c r="AH26" s="345"/>
      <c r="AI26" s="345"/>
      <c r="AJ26" s="345"/>
      <c r="AK26" s="345"/>
      <c r="AL26" s="345"/>
      <c r="AM26" s="345"/>
      <c r="AN26" s="345"/>
      <c r="AO26" s="345"/>
      <c r="AP26" s="345"/>
      <c r="AQ26" s="345"/>
      <c r="AR26" s="345"/>
      <c r="AS26" s="345"/>
      <c r="AT26" s="345"/>
      <c r="AU26" s="345"/>
      <c r="AV26" s="345"/>
      <c r="AW26" s="345"/>
      <c r="AX26" s="345"/>
    </row>
    <row r="27" spans="1:50">
      <c r="A27" s="345"/>
      <c r="B27" s="417"/>
      <c r="C27" s="6267" t="s">
        <v>382</v>
      </c>
      <c r="D27" s="6267"/>
      <c r="E27" s="6267"/>
      <c r="F27" s="6267"/>
      <c r="G27" s="6267"/>
      <c r="H27" s="6267"/>
      <c r="I27" s="6267"/>
      <c r="J27" s="6267"/>
      <c r="K27" s="6267"/>
      <c r="L27" s="6267"/>
      <c r="M27" s="418"/>
      <c r="N27" s="345"/>
      <c r="O27" s="345"/>
      <c r="P27" s="345"/>
      <c r="Q27" s="345"/>
      <c r="R27" s="345"/>
      <c r="S27" s="345"/>
      <c r="T27" s="345"/>
      <c r="U27" s="345"/>
      <c r="V27" s="345"/>
      <c r="W27" s="345"/>
      <c r="X27" s="345"/>
      <c r="Y27" s="345"/>
      <c r="Z27" s="345"/>
      <c r="AA27" s="345"/>
      <c r="AB27" s="345"/>
      <c r="AC27" s="345"/>
      <c r="AD27" s="345"/>
      <c r="AE27" s="345"/>
      <c r="AF27" s="345"/>
      <c r="AG27" s="345"/>
      <c r="AH27" s="345"/>
      <c r="AI27" s="345"/>
      <c r="AJ27" s="345"/>
      <c r="AK27" s="345"/>
      <c r="AL27" s="345"/>
      <c r="AM27" s="345"/>
      <c r="AN27" s="345"/>
      <c r="AO27" s="345"/>
      <c r="AP27" s="345"/>
      <c r="AQ27" s="345"/>
      <c r="AR27" s="345"/>
      <c r="AS27" s="345"/>
      <c r="AT27" s="345"/>
      <c r="AU27" s="345"/>
      <c r="AV27" s="345"/>
      <c r="AW27" s="345"/>
      <c r="AX27" s="345"/>
    </row>
    <row r="28" spans="1:50">
      <c r="A28" s="345"/>
      <c r="B28" s="417"/>
      <c r="C28" s="420"/>
      <c r="D28" s="420"/>
      <c r="E28" s="420"/>
      <c r="F28" s="420"/>
      <c r="G28" s="420"/>
      <c r="H28" s="420"/>
      <c r="I28" s="420"/>
      <c r="J28" s="420"/>
      <c r="K28" s="420"/>
      <c r="L28" s="420"/>
      <c r="M28" s="418"/>
      <c r="N28" s="345"/>
      <c r="O28" s="345"/>
      <c r="P28" s="345"/>
      <c r="Q28" s="345"/>
      <c r="R28" s="345"/>
      <c r="S28" s="345"/>
      <c r="T28" s="345"/>
      <c r="U28" s="345"/>
      <c r="V28" s="345"/>
      <c r="W28" s="345"/>
      <c r="X28" s="345"/>
      <c r="Y28" s="345"/>
      <c r="Z28" s="345"/>
      <c r="AA28" s="345"/>
      <c r="AB28" s="345"/>
      <c r="AC28" s="345"/>
      <c r="AD28" s="345"/>
      <c r="AE28" s="345"/>
      <c r="AF28" s="345"/>
      <c r="AG28" s="345"/>
      <c r="AH28" s="345"/>
      <c r="AI28" s="345"/>
      <c r="AJ28" s="345"/>
      <c r="AK28" s="345"/>
      <c r="AL28" s="345"/>
      <c r="AM28" s="345"/>
      <c r="AN28" s="345"/>
      <c r="AO28" s="345"/>
      <c r="AP28" s="345"/>
      <c r="AQ28" s="345"/>
      <c r="AR28" s="345"/>
      <c r="AS28" s="345"/>
      <c r="AT28" s="345"/>
      <c r="AU28" s="345"/>
      <c r="AV28" s="345"/>
      <c r="AW28" s="345"/>
      <c r="AX28" s="345"/>
    </row>
    <row r="29" spans="1:50">
      <c r="A29" s="345"/>
      <c r="B29" s="417"/>
      <c r="C29" s="420" t="s">
        <v>383</v>
      </c>
      <c r="D29" s="420"/>
      <c r="E29" s="420"/>
      <c r="F29" s="420"/>
      <c r="G29" s="420"/>
      <c r="H29" s="420"/>
      <c r="I29" s="420"/>
      <c r="J29" s="420"/>
      <c r="K29" s="420"/>
      <c r="L29" s="420"/>
      <c r="M29" s="422"/>
      <c r="N29" s="345"/>
      <c r="O29" s="345"/>
      <c r="P29" s="345"/>
      <c r="Q29" s="345"/>
      <c r="R29" s="345"/>
      <c r="S29" s="345"/>
      <c r="T29" s="345"/>
      <c r="U29" s="345"/>
      <c r="V29" s="345"/>
      <c r="W29" s="345"/>
      <c r="X29" s="345"/>
      <c r="Y29" s="345"/>
      <c r="Z29" s="345"/>
      <c r="AA29" s="345"/>
      <c r="AB29" s="345"/>
      <c r="AC29" s="345"/>
      <c r="AD29" s="345"/>
      <c r="AE29" s="345"/>
      <c r="AF29" s="345"/>
      <c r="AG29" s="345"/>
      <c r="AH29" s="345"/>
      <c r="AI29" s="345"/>
      <c r="AJ29" s="345"/>
      <c r="AK29" s="345"/>
      <c r="AL29" s="345"/>
      <c r="AM29" s="345"/>
      <c r="AN29" s="345"/>
      <c r="AO29" s="345"/>
      <c r="AP29" s="345"/>
      <c r="AQ29" s="345"/>
      <c r="AR29" s="345"/>
      <c r="AS29" s="345"/>
      <c r="AT29" s="345"/>
      <c r="AU29" s="345"/>
      <c r="AV29" s="345"/>
      <c r="AW29" s="345"/>
      <c r="AX29" s="345"/>
    </row>
    <row r="30" spans="1:50">
      <c r="A30" s="345"/>
      <c r="B30" s="417"/>
      <c r="C30" s="420"/>
      <c r="D30" s="420"/>
      <c r="E30" s="420"/>
      <c r="F30" s="420"/>
      <c r="G30" s="420"/>
      <c r="H30" s="420"/>
      <c r="I30" s="420"/>
      <c r="J30" s="420"/>
      <c r="K30" s="420"/>
      <c r="L30" s="420"/>
      <c r="M30" s="418"/>
      <c r="N30" s="345"/>
      <c r="O30" s="345"/>
      <c r="P30" s="345"/>
      <c r="Q30" s="345"/>
      <c r="R30" s="345"/>
      <c r="S30" s="345"/>
      <c r="T30" s="345"/>
      <c r="U30" s="345"/>
      <c r="V30" s="345"/>
      <c r="W30" s="345"/>
      <c r="X30" s="345"/>
      <c r="Y30" s="345"/>
      <c r="Z30" s="345"/>
      <c r="AA30" s="345"/>
      <c r="AB30" s="345"/>
      <c r="AC30" s="345"/>
      <c r="AD30" s="345"/>
      <c r="AE30" s="345"/>
      <c r="AF30" s="345"/>
      <c r="AG30" s="345"/>
      <c r="AH30" s="345"/>
      <c r="AI30" s="345"/>
      <c r="AJ30" s="345"/>
      <c r="AK30" s="345"/>
      <c r="AL30" s="345"/>
      <c r="AM30" s="345"/>
      <c r="AN30" s="345"/>
      <c r="AO30" s="345"/>
      <c r="AP30" s="345"/>
      <c r="AQ30" s="345"/>
      <c r="AR30" s="345"/>
      <c r="AS30" s="345"/>
      <c r="AT30" s="345"/>
      <c r="AU30" s="345"/>
      <c r="AV30" s="345"/>
      <c r="AW30" s="345"/>
      <c r="AX30" s="345"/>
    </row>
    <row r="31" spans="1:50">
      <c r="A31" s="345"/>
      <c r="B31" s="417"/>
      <c r="C31" s="6268" t="s">
        <v>384</v>
      </c>
      <c r="D31" s="6268"/>
      <c r="E31" s="6268"/>
      <c r="F31" s="6268"/>
      <c r="G31" s="6268"/>
      <c r="H31" s="6268"/>
      <c r="I31" s="6268"/>
      <c r="J31" s="6268"/>
      <c r="K31" s="6268"/>
      <c r="L31" s="6268"/>
      <c r="M31" s="418"/>
      <c r="N31" s="345"/>
      <c r="O31" s="345"/>
      <c r="P31" s="345"/>
      <c r="Q31" s="345"/>
      <c r="R31" s="345"/>
      <c r="S31" s="345"/>
      <c r="T31" s="345"/>
      <c r="U31" s="345"/>
      <c r="V31" s="345"/>
      <c r="W31" s="345"/>
      <c r="X31" s="345"/>
      <c r="Y31" s="345"/>
      <c r="Z31" s="345"/>
      <c r="AA31" s="345"/>
      <c r="AB31" s="345"/>
      <c r="AC31" s="345"/>
      <c r="AD31" s="345"/>
      <c r="AE31" s="345"/>
      <c r="AF31" s="345"/>
      <c r="AG31" s="345"/>
      <c r="AH31" s="345"/>
      <c r="AI31" s="345"/>
      <c r="AJ31" s="345"/>
      <c r="AK31" s="345"/>
      <c r="AL31" s="345"/>
      <c r="AM31" s="345"/>
      <c r="AN31" s="345"/>
      <c r="AO31" s="345"/>
      <c r="AP31" s="345"/>
      <c r="AQ31" s="345"/>
      <c r="AR31" s="345"/>
      <c r="AS31" s="345"/>
      <c r="AT31" s="345"/>
      <c r="AU31" s="345"/>
      <c r="AV31" s="345"/>
      <c r="AW31" s="345"/>
      <c r="AX31" s="345"/>
    </row>
    <row r="32" spans="1:50">
      <c r="A32" s="345"/>
      <c r="B32" s="417"/>
      <c r="C32" s="420"/>
      <c r="D32" s="420"/>
      <c r="E32" s="420"/>
      <c r="F32" s="420"/>
      <c r="G32" s="420"/>
      <c r="H32" s="420"/>
      <c r="I32" s="420"/>
      <c r="J32" s="420"/>
      <c r="K32" s="420"/>
      <c r="L32" s="420"/>
      <c r="M32" s="418"/>
      <c r="N32" s="345"/>
      <c r="O32" s="345"/>
      <c r="P32" s="345"/>
      <c r="Q32" s="345"/>
      <c r="R32" s="345"/>
      <c r="S32" s="345"/>
      <c r="T32" s="345"/>
      <c r="U32" s="345"/>
      <c r="V32" s="345"/>
      <c r="W32" s="345"/>
      <c r="X32" s="345"/>
      <c r="Y32" s="345"/>
      <c r="Z32" s="345"/>
      <c r="AA32" s="345"/>
      <c r="AB32" s="345"/>
      <c r="AC32" s="345"/>
      <c r="AD32" s="345"/>
      <c r="AE32" s="345"/>
      <c r="AF32" s="345"/>
      <c r="AG32" s="345"/>
      <c r="AH32" s="345"/>
      <c r="AI32" s="345"/>
      <c r="AJ32" s="345"/>
      <c r="AK32" s="345"/>
      <c r="AL32" s="345"/>
      <c r="AM32" s="345"/>
      <c r="AN32" s="345"/>
      <c r="AO32" s="345"/>
      <c r="AP32" s="345"/>
      <c r="AQ32" s="345"/>
      <c r="AR32" s="345"/>
      <c r="AS32" s="345"/>
      <c r="AT32" s="345"/>
      <c r="AU32" s="345"/>
      <c r="AV32" s="345"/>
      <c r="AW32" s="345"/>
      <c r="AX32" s="345"/>
    </row>
    <row r="33" spans="1:50">
      <c r="A33" s="345"/>
      <c r="B33" s="417"/>
      <c r="C33" s="6268" t="s">
        <v>385</v>
      </c>
      <c r="D33" s="6268"/>
      <c r="E33" s="6268"/>
      <c r="F33" s="6268"/>
      <c r="G33" s="6268"/>
      <c r="H33" s="6268"/>
      <c r="I33" s="6268"/>
      <c r="J33" s="6268"/>
      <c r="K33" s="6268"/>
      <c r="L33" s="6268"/>
      <c r="M33" s="418"/>
      <c r="N33" s="345"/>
      <c r="O33" s="345"/>
      <c r="P33" s="345"/>
      <c r="Q33" s="345"/>
      <c r="R33" s="345"/>
      <c r="S33" s="345"/>
      <c r="T33" s="345"/>
      <c r="U33" s="345"/>
      <c r="V33" s="345"/>
      <c r="W33" s="345"/>
      <c r="X33" s="345"/>
      <c r="Y33" s="345"/>
      <c r="Z33" s="345"/>
      <c r="AA33" s="345"/>
      <c r="AB33" s="345"/>
      <c r="AC33" s="345"/>
      <c r="AD33" s="345"/>
      <c r="AE33" s="345"/>
      <c r="AF33" s="345"/>
      <c r="AG33" s="345"/>
      <c r="AH33" s="345"/>
      <c r="AI33" s="345"/>
      <c r="AJ33" s="345"/>
      <c r="AK33" s="345"/>
      <c r="AL33" s="345"/>
      <c r="AM33" s="345"/>
      <c r="AN33" s="345"/>
      <c r="AO33" s="345"/>
      <c r="AP33" s="345"/>
      <c r="AQ33" s="345"/>
      <c r="AR33" s="345"/>
      <c r="AS33" s="345"/>
      <c r="AT33" s="345"/>
      <c r="AU33" s="345"/>
      <c r="AV33" s="345"/>
      <c r="AW33" s="345"/>
      <c r="AX33" s="345"/>
    </row>
    <row r="34" spans="1:50">
      <c r="A34" s="345"/>
      <c r="B34" s="417"/>
      <c r="C34" s="420"/>
      <c r="D34" s="420"/>
      <c r="E34" s="420"/>
      <c r="F34" s="420"/>
      <c r="G34" s="420"/>
      <c r="H34" s="420"/>
      <c r="I34" s="420"/>
      <c r="J34" s="420"/>
      <c r="K34" s="420"/>
      <c r="L34" s="420"/>
      <c r="M34" s="418"/>
      <c r="N34" s="345"/>
      <c r="O34" s="345"/>
      <c r="P34" s="345"/>
      <c r="Q34" s="345"/>
      <c r="R34" s="345"/>
      <c r="S34" s="345"/>
      <c r="T34" s="345"/>
      <c r="U34" s="345"/>
      <c r="V34" s="345"/>
      <c r="W34" s="345"/>
      <c r="X34" s="345"/>
      <c r="Y34" s="345"/>
      <c r="Z34" s="345"/>
      <c r="AA34" s="345"/>
      <c r="AB34" s="345"/>
      <c r="AC34" s="345"/>
      <c r="AD34" s="345"/>
      <c r="AE34" s="345"/>
      <c r="AF34" s="345"/>
      <c r="AG34" s="345"/>
      <c r="AH34" s="345"/>
      <c r="AI34" s="345"/>
      <c r="AJ34" s="345"/>
      <c r="AK34" s="345"/>
      <c r="AL34" s="345"/>
      <c r="AM34" s="345"/>
      <c r="AN34" s="345"/>
      <c r="AO34" s="345"/>
      <c r="AP34" s="345"/>
      <c r="AQ34" s="345"/>
      <c r="AR34" s="345"/>
      <c r="AS34" s="345"/>
      <c r="AT34" s="345"/>
      <c r="AU34" s="345"/>
      <c r="AV34" s="345"/>
      <c r="AW34" s="345"/>
      <c r="AX34" s="345"/>
    </row>
    <row r="35" spans="1:50">
      <c r="A35" s="345"/>
      <c r="B35" s="417"/>
      <c r="C35" s="6264" t="s">
        <v>386</v>
      </c>
      <c r="D35" s="6264"/>
      <c r="E35" s="6264"/>
      <c r="F35" s="6264"/>
      <c r="G35" s="6264"/>
      <c r="H35" s="6264"/>
      <c r="I35" s="6264"/>
      <c r="J35" s="6264"/>
      <c r="K35" s="6264"/>
      <c r="L35" s="6264"/>
      <c r="M35" s="418"/>
      <c r="N35" s="345"/>
      <c r="O35" s="345"/>
      <c r="P35" s="345"/>
      <c r="Q35" s="345"/>
      <c r="R35" s="345"/>
      <c r="S35" s="345"/>
      <c r="T35" s="345"/>
      <c r="U35" s="345"/>
      <c r="V35" s="345"/>
      <c r="W35" s="345"/>
      <c r="X35" s="345"/>
      <c r="Y35" s="345"/>
      <c r="Z35" s="345"/>
      <c r="AA35" s="345"/>
      <c r="AB35" s="345"/>
      <c r="AC35" s="345"/>
      <c r="AD35" s="345"/>
      <c r="AE35" s="345"/>
      <c r="AF35" s="345"/>
      <c r="AG35" s="345"/>
      <c r="AH35" s="345"/>
      <c r="AI35" s="345"/>
      <c r="AJ35" s="345"/>
      <c r="AK35" s="345"/>
      <c r="AL35" s="345"/>
      <c r="AM35" s="345"/>
      <c r="AN35" s="345"/>
      <c r="AO35" s="345"/>
      <c r="AP35" s="345"/>
      <c r="AQ35" s="345"/>
      <c r="AR35" s="345"/>
      <c r="AS35" s="345"/>
      <c r="AT35" s="345"/>
      <c r="AU35" s="345"/>
      <c r="AV35" s="345"/>
      <c r="AW35" s="345"/>
      <c r="AX35" s="345"/>
    </row>
    <row r="36" spans="1:50">
      <c r="A36" s="345"/>
      <c r="B36" s="417"/>
      <c r="C36" s="420"/>
      <c r="D36" s="420"/>
      <c r="E36" s="420"/>
      <c r="F36" s="420"/>
      <c r="G36" s="420"/>
      <c r="H36" s="420"/>
      <c r="I36" s="420"/>
      <c r="J36" s="420"/>
      <c r="K36" s="420"/>
      <c r="L36" s="420"/>
      <c r="M36" s="418"/>
      <c r="N36" s="345"/>
      <c r="O36" s="345"/>
      <c r="P36" s="345"/>
      <c r="Q36" s="345"/>
      <c r="R36" s="345"/>
      <c r="S36" s="345"/>
      <c r="T36" s="345"/>
      <c r="U36" s="345"/>
      <c r="V36" s="345"/>
      <c r="W36" s="345"/>
      <c r="X36" s="345"/>
      <c r="Y36" s="345"/>
      <c r="Z36" s="345"/>
      <c r="AA36" s="345"/>
      <c r="AB36" s="345"/>
      <c r="AC36" s="345"/>
      <c r="AD36" s="345"/>
      <c r="AE36" s="345"/>
      <c r="AF36" s="345"/>
      <c r="AG36" s="345"/>
      <c r="AH36" s="345"/>
      <c r="AI36" s="345"/>
      <c r="AJ36" s="345"/>
      <c r="AK36" s="345"/>
      <c r="AL36" s="345"/>
      <c r="AM36" s="345"/>
      <c r="AN36" s="345"/>
      <c r="AO36" s="345"/>
      <c r="AP36" s="345"/>
      <c r="AQ36" s="345"/>
      <c r="AR36" s="345"/>
      <c r="AS36" s="345"/>
      <c r="AT36" s="345"/>
      <c r="AU36" s="345"/>
      <c r="AV36" s="345"/>
      <c r="AW36" s="345"/>
      <c r="AX36" s="345"/>
    </row>
    <row r="37" spans="1:50">
      <c r="A37" s="345"/>
      <c r="B37" s="417"/>
      <c r="C37" s="420"/>
      <c r="D37" s="420"/>
      <c r="E37" s="420"/>
      <c r="F37" s="420"/>
      <c r="G37" s="420"/>
      <c r="H37" s="420"/>
      <c r="I37" s="420"/>
      <c r="J37" s="420"/>
      <c r="K37" s="420"/>
      <c r="L37" s="420"/>
      <c r="M37" s="418"/>
      <c r="N37" s="345"/>
      <c r="O37" s="345"/>
      <c r="P37" s="345"/>
      <c r="Q37" s="345"/>
      <c r="R37" s="345"/>
      <c r="S37" s="345"/>
      <c r="T37" s="345"/>
      <c r="U37" s="345"/>
      <c r="V37" s="345"/>
      <c r="W37" s="345"/>
      <c r="X37" s="345"/>
      <c r="Y37" s="345"/>
      <c r="Z37" s="345"/>
      <c r="AA37" s="345"/>
      <c r="AB37" s="345"/>
      <c r="AC37" s="345"/>
      <c r="AD37" s="345"/>
      <c r="AE37" s="345"/>
      <c r="AF37" s="345"/>
      <c r="AG37" s="345"/>
      <c r="AH37" s="345"/>
      <c r="AI37" s="345"/>
      <c r="AJ37" s="345"/>
      <c r="AK37" s="345"/>
      <c r="AL37" s="345"/>
      <c r="AM37" s="345"/>
      <c r="AN37" s="345"/>
      <c r="AO37" s="345"/>
      <c r="AP37" s="345"/>
      <c r="AQ37" s="345"/>
      <c r="AR37" s="345"/>
      <c r="AS37" s="345"/>
      <c r="AT37" s="345"/>
      <c r="AU37" s="345"/>
      <c r="AV37" s="345"/>
      <c r="AW37" s="345"/>
      <c r="AX37" s="345"/>
    </row>
    <row r="38" spans="1:50">
      <c r="A38" s="345"/>
      <c r="B38" s="417"/>
      <c r="C38" s="6265" t="s">
        <v>387</v>
      </c>
      <c r="D38" s="6265"/>
      <c r="E38" s="6265"/>
      <c r="F38" s="6265"/>
      <c r="G38" s="6265"/>
      <c r="H38" s="6265"/>
      <c r="I38" s="6265"/>
      <c r="J38" s="6265"/>
      <c r="K38" s="6265"/>
      <c r="L38" s="6265"/>
      <c r="M38" s="418"/>
      <c r="N38" s="345"/>
      <c r="O38" s="345"/>
      <c r="P38" s="345"/>
      <c r="Q38" s="345"/>
      <c r="R38" s="345"/>
      <c r="S38" s="345"/>
      <c r="T38" s="345"/>
      <c r="U38" s="345"/>
      <c r="V38" s="345"/>
      <c r="W38" s="345"/>
      <c r="X38" s="345"/>
      <c r="Y38" s="345"/>
      <c r="Z38" s="345"/>
      <c r="AA38" s="345"/>
      <c r="AB38" s="345"/>
      <c r="AC38" s="345"/>
      <c r="AD38" s="345"/>
      <c r="AE38" s="345"/>
      <c r="AF38" s="345"/>
      <c r="AG38" s="345"/>
      <c r="AH38" s="345"/>
      <c r="AI38" s="345"/>
      <c r="AJ38" s="345"/>
      <c r="AK38" s="345"/>
      <c r="AL38" s="345"/>
      <c r="AM38" s="345"/>
      <c r="AN38" s="345"/>
      <c r="AO38" s="345"/>
      <c r="AP38" s="345"/>
      <c r="AQ38" s="345"/>
      <c r="AR38" s="345"/>
      <c r="AS38" s="345"/>
      <c r="AT38" s="345"/>
      <c r="AU38" s="345"/>
      <c r="AV38" s="345"/>
      <c r="AW38" s="345"/>
      <c r="AX38" s="345"/>
    </row>
    <row r="39" spans="1:50">
      <c r="A39" s="345"/>
      <c r="B39" s="417"/>
      <c r="C39" s="420" t="s">
        <v>388</v>
      </c>
      <c r="D39" s="420"/>
      <c r="E39" s="420"/>
      <c r="F39" s="420"/>
      <c r="G39" s="420"/>
      <c r="H39" s="420"/>
      <c r="I39" s="420"/>
      <c r="J39" s="420"/>
      <c r="K39" s="420"/>
      <c r="L39" s="420"/>
      <c r="M39" s="418"/>
      <c r="N39" s="345"/>
      <c r="O39" s="345"/>
      <c r="P39" s="345"/>
      <c r="Q39" s="345"/>
      <c r="R39" s="345"/>
      <c r="S39" s="345"/>
      <c r="T39" s="345"/>
      <c r="U39" s="345"/>
      <c r="V39" s="345"/>
      <c r="W39" s="345"/>
      <c r="X39" s="345"/>
      <c r="Y39" s="345"/>
      <c r="Z39" s="345"/>
      <c r="AA39" s="345"/>
      <c r="AB39" s="345"/>
      <c r="AC39" s="345"/>
      <c r="AD39" s="345"/>
      <c r="AE39" s="345"/>
      <c r="AF39" s="345"/>
      <c r="AG39" s="345"/>
      <c r="AH39" s="345"/>
      <c r="AI39" s="345"/>
      <c r="AJ39" s="345"/>
      <c r="AK39" s="345"/>
      <c r="AL39" s="345"/>
      <c r="AM39" s="345"/>
      <c r="AN39" s="345"/>
      <c r="AO39" s="345"/>
      <c r="AP39" s="345"/>
      <c r="AQ39" s="345"/>
      <c r="AR39" s="345"/>
      <c r="AS39" s="345"/>
      <c r="AT39" s="345"/>
      <c r="AU39" s="345"/>
      <c r="AV39" s="345"/>
      <c r="AW39" s="345"/>
      <c r="AX39" s="345"/>
    </row>
    <row r="40" spans="1:50">
      <c r="A40" s="345"/>
      <c r="B40" s="417"/>
      <c r="C40" s="420" t="s">
        <v>389</v>
      </c>
      <c r="D40" s="420"/>
      <c r="E40" s="420"/>
      <c r="F40" s="420"/>
      <c r="G40" s="420"/>
      <c r="H40" s="420"/>
      <c r="I40" s="420"/>
      <c r="J40" s="420"/>
      <c r="K40" s="420"/>
      <c r="L40" s="420"/>
      <c r="M40" s="418"/>
      <c r="N40" s="345"/>
      <c r="O40" s="345"/>
      <c r="P40" s="345"/>
      <c r="Q40" s="345"/>
      <c r="R40" s="345"/>
      <c r="S40" s="345"/>
      <c r="T40" s="345"/>
      <c r="U40" s="345"/>
      <c r="V40" s="345"/>
      <c r="W40" s="345"/>
      <c r="X40" s="345"/>
      <c r="Y40" s="345"/>
      <c r="Z40" s="345"/>
      <c r="AA40" s="345"/>
      <c r="AB40" s="345"/>
      <c r="AC40" s="345"/>
      <c r="AD40" s="345"/>
      <c r="AE40" s="345"/>
      <c r="AF40" s="345"/>
      <c r="AG40" s="345"/>
      <c r="AH40" s="345"/>
      <c r="AI40" s="345"/>
      <c r="AJ40" s="345"/>
      <c r="AK40" s="345"/>
      <c r="AL40" s="345"/>
      <c r="AM40" s="345"/>
      <c r="AN40" s="345"/>
      <c r="AO40" s="345"/>
      <c r="AP40" s="345"/>
      <c r="AQ40" s="345"/>
      <c r="AR40" s="345"/>
      <c r="AS40" s="345"/>
      <c r="AT40" s="345"/>
      <c r="AU40" s="345"/>
      <c r="AV40" s="345"/>
      <c r="AW40" s="345"/>
      <c r="AX40" s="345"/>
    </row>
    <row r="41" spans="1:50">
      <c r="A41" s="345"/>
      <c r="B41" s="417"/>
      <c r="C41" s="420"/>
      <c r="D41" s="420"/>
      <c r="E41" s="420"/>
      <c r="F41" s="420"/>
      <c r="G41" s="420"/>
      <c r="H41" s="420"/>
      <c r="I41" s="420"/>
      <c r="J41" s="420"/>
      <c r="K41" s="420"/>
      <c r="L41" s="420"/>
      <c r="M41" s="418"/>
      <c r="N41" s="345"/>
      <c r="O41" s="345"/>
      <c r="P41" s="345"/>
      <c r="Q41" s="345"/>
      <c r="R41" s="345"/>
      <c r="S41" s="345"/>
      <c r="T41" s="345"/>
      <c r="U41" s="345"/>
      <c r="V41" s="345"/>
      <c r="W41" s="345"/>
      <c r="X41" s="345"/>
      <c r="Y41" s="345"/>
      <c r="Z41" s="345"/>
      <c r="AA41" s="345"/>
      <c r="AB41" s="345"/>
      <c r="AC41" s="345"/>
      <c r="AD41" s="345"/>
      <c r="AE41" s="345"/>
      <c r="AF41" s="345"/>
      <c r="AG41" s="345"/>
      <c r="AH41" s="345"/>
      <c r="AI41" s="345"/>
      <c r="AJ41" s="345"/>
      <c r="AK41" s="345"/>
      <c r="AL41" s="345"/>
      <c r="AM41" s="345"/>
      <c r="AN41" s="345"/>
      <c r="AO41" s="345"/>
      <c r="AP41" s="345"/>
      <c r="AQ41" s="345"/>
      <c r="AR41" s="345"/>
      <c r="AS41" s="345"/>
      <c r="AT41" s="345"/>
      <c r="AU41" s="345"/>
      <c r="AV41" s="345"/>
      <c r="AW41" s="345"/>
      <c r="AX41" s="345"/>
    </row>
    <row r="42" spans="1:50">
      <c r="A42" s="345"/>
      <c r="B42" s="417"/>
      <c r="C42" s="420" t="s">
        <v>390</v>
      </c>
      <c r="D42" s="420"/>
      <c r="E42" s="420"/>
      <c r="F42" s="420"/>
      <c r="G42" s="420"/>
      <c r="H42" s="420"/>
      <c r="I42" s="420"/>
      <c r="J42" s="420"/>
      <c r="K42" s="420"/>
      <c r="L42" s="420"/>
      <c r="M42" s="418"/>
      <c r="N42" s="345"/>
      <c r="O42" s="345"/>
      <c r="P42" s="345"/>
      <c r="Q42" s="345"/>
      <c r="R42" s="345"/>
      <c r="S42" s="345"/>
      <c r="T42" s="345"/>
      <c r="U42" s="345"/>
      <c r="V42" s="345"/>
      <c r="W42" s="345"/>
      <c r="X42" s="345"/>
      <c r="Y42" s="345"/>
      <c r="Z42" s="345"/>
      <c r="AA42" s="345"/>
      <c r="AB42" s="345"/>
      <c r="AC42" s="345"/>
      <c r="AD42" s="345"/>
      <c r="AE42" s="345"/>
      <c r="AF42" s="345"/>
      <c r="AG42" s="345"/>
      <c r="AH42" s="345"/>
      <c r="AI42" s="345"/>
      <c r="AJ42" s="345"/>
      <c r="AK42" s="345"/>
      <c r="AL42" s="345"/>
      <c r="AM42" s="345"/>
      <c r="AN42" s="345"/>
      <c r="AO42" s="345"/>
      <c r="AP42" s="345"/>
      <c r="AQ42" s="345"/>
      <c r="AR42" s="345"/>
      <c r="AS42" s="345"/>
      <c r="AT42" s="345"/>
      <c r="AU42" s="345"/>
      <c r="AV42" s="345"/>
      <c r="AW42" s="345"/>
      <c r="AX42" s="345"/>
    </row>
    <row r="43" spans="1:50">
      <c r="A43" s="345"/>
      <c r="B43" s="417"/>
      <c r="C43" s="420" t="s">
        <v>391</v>
      </c>
      <c r="D43" s="420"/>
      <c r="E43" s="420"/>
      <c r="F43" s="420"/>
      <c r="G43" s="420"/>
      <c r="H43" s="420"/>
      <c r="I43" s="420"/>
      <c r="J43" s="420"/>
      <c r="K43" s="420"/>
      <c r="L43" s="420"/>
      <c r="M43" s="418"/>
      <c r="N43" s="345"/>
      <c r="O43" s="345"/>
      <c r="P43" s="345"/>
      <c r="Q43" s="345"/>
      <c r="R43" s="345"/>
      <c r="S43" s="345"/>
      <c r="T43" s="345"/>
      <c r="U43" s="345"/>
      <c r="V43" s="345"/>
      <c r="W43" s="345"/>
      <c r="X43" s="345"/>
      <c r="Y43" s="345"/>
      <c r="Z43" s="345"/>
      <c r="AA43" s="345"/>
      <c r="AB43" s="345"/>
      <c r="AC43" s="345"/>
      <c r="AD43" s="345"/>
      <c r="AE43" s="345"/>
      <c r="AF43" s="345"/>
      <c r="AG43" s="345"/>
      <c r="AH43" s="345"/>
      <c r="AI43" s="345"/>
      <c r="AJ43" s="345"/>
      <c r="AK43" s="345"/>
      <c r="AL43" s="345"/>
      <c r="AM43" s="345"/>
      <c r="AN43" s="345"/>
      <c r="AO43" s="345"/>
      <c r="AP43" s="345"/>
      <c r="AQ43" s="345"/>
      <c r="AR43" s="345"/>
      <c r="AS43" s="345"/>
      <c r="AT43" s="345"/>
      <c r="AU43" s="345"/>
      <c r="AV43" s="345"/>
      <c r="AW43" s="345"/>
      <c r="AX43" s="345"/>
    </row>
    <row r="44" spans="1:50">
      <c r="A44" s="345"/>
      <c r="B44" s="417"/>
      <c r="C44" s="420" t="s">
        <v>392</v>
      </c>
      <c r="D44" s="420"/>
      <c r="E44" s="420"/>
      <c r="F44" s="420"/>
      <c r="G44" s="420"/>
      <c r="H44" s="420"/>
      <c r="I44" s="420"/>
      <c r="J44" s="420"/>
      <c r="K44" s="420"/>
      <c r="L44" s="420"/>
      <c r="M44" s="418"/>
      <c r="N44" s="345"/>
      <c r="O44" s="345"/>
      <c r="P44" s="345"/>
      <c r="Q44" s="345"/>
      <c r="R44" s="345"/>
      <c r="S44" s="345"/>
      <c r="T44" s="345"/>
      <c r="U44" s="345"/>
      <c r="V44" s="345"/>
      <c r="W44" s="345"/>
      <c r="X44" s="345"/>
      <c r="Y44" s="345"/>
      <c r="Z44" s="345"/>
      <c r="AA44" s="345"/>
      <c r="AB44" s="345"/>
      <c r="AC44" s="345"/>
      <c r="AD44" s="345"/>
      <c r="AE44" s="345"/>
      <c r="AF44" s="345"/>
      <c r="AG44" s="345"/>
      <c r="AH44" s="345"/>
      <c r="AI44" s="345"/>
      <c r="AJ44" s="345"/>
      <c r="AK44" s="345"/>
      <c r="AL44" s="345"/>
      <c r="AM44" s="345"/>
      <c r="AN44" s="345"/>
      <c r="AO44" s="345"/>
      <c r="AP44" s="345"/>
      <c r="AQ44" s="345"/>
      <c r="AR44" s="345"/>
      <c r="AS44" s="345"/>
      <c r="AT44" s="345"/>
      <c r="AU44" s="345"/>
      <c r="AV44" s="345"/>
      <c r="AW44" s="345"/>
      <c r="AX44" s="345"/>
    </row>
    <row r="45" spans="1:50">
      <c r="A45" s="345"/>
      <c r="B45" s="417"/>
      <c r="C45" s="420"/>
      <c r="D45" s="420"/>
      <c r="E45" s="420"/>
      <c r="F45" s="420"/>
      <c r="G45" s="420"/>
      <c r="H45" s="420"/>
      <c r="I45" s="420"/>
      <c r="J45" s="420"/>
      <c r="K45" s="420"/>
      <c r="L45" s="420"/>
      <c r="M45" s="418"/>
      <c r="N45" s="345"/>
      <c r="O45" s="345"/>
      <c r="P45" s="345"/>
      <c r="Q45" s="345"/>
      <c r="R45" s="345"/>
      <c r="S45" s="345"/>
      <c r="T45" s="345"/>
      <c r="U45" s="345"/>
      <c r="V45" s="345"/>
      <c r="W45" s="345"/>
      <c r="X45" s="345"/>
      <c r="Y45" s="345"/>
      <c r="Z45" s="345"/>
      <c r="AA45" s="345"/>
      <c r="AB45" s="345"/>
      <c r="AC45" s="345"/>
      <c r="AD45" s="345"/>
      <c r="AE45" s="345"/>
      <c r="AF45" s="345"/>
      <c r="AG45" s="345"/>
      <c r="AH45" s="345"/>
      <c r="AI45" s="345"/>
      <c r="AJ45" s="345"/>
      <c r="AK45" s="345"/>
      <c r="AL45" s="345"/>
      <c r="AM45" s="345"/>
      <c r="AN45" s="345"/>
      <c r="AO45" s="345"/>
      <c r="AP45" s="345"/>
      <c r="AQ45" s="345"/>
      <c r="AR45" s="345"/>
      <c r="AS45" s="345"/>
      <c r="AT45" s="345"/>
      <c r="AU45" s="345"/>
      <c r="AV45" s="345"/>
      <c r="AW45" s="345"/>
      <c r="AX45" s="345"/>
    </row>
    <row r="46" spans="1:50">
      <c r="A46" s="345"/>
      <c r="B46" s="417"/>
      <c r="C46" s="420"/>
      <c r="D46" s="420"/>
      <c r="E46" s="420"/>
      <c r="F46" s="420"/>
      <c r="G46" s="420"/>
      <c r="H46" s="420"/>
      <c r="I46" s="420"/>
      <c r="J46" s="420"/>
      <c r="K46" s="420"/>
      <c r="L46" s="420"/>
      <c r="M46" s="418"/>
      <c r="N46" s="345"/>
      <c r="O46" s="345"/>
      <c r="P46" s="345"/>
      <c r="Q46" s="345"/>
      <c r="R46" s="345"/>
      <c r="S46" s="345"/>
      <c r="T46" s="345"/>
      <c r="U46" s="345"/>
      <c r="V46" s="345"/>
      <c r="W46" s="345"/>
      <c r="X46" s="345"/>
      <c r="Y46" s="345"/>
      <c r="Z46" s="345"/>
      <c r="AA46" s="345"/>
      <c r="AB46" s="345"/>
      <c r="AC46" s="345"/>
      <c r="AD46" s="345"/>
      <c r="AE46" s="345"/>
      <c r="AF46" s="345"/>
      <c r="AG46" s="345"/>
      <c r="AH46" s="345"/>
      <c r="AI46" s="345"/>
      <c r="AJ46" s="345"/>
      <c r="AK46" s="345"/>
      <c r="AL46" s="345"/>
      <c r="AM46" s="345"/>
      <c r="AN46" s="345"/>
      <c r="AO46" s="345"/>
      <c r="AP46" s="345"/>
      <c r="AQ46" s="345"/>
      <c r="AR46" s="345"/>
      <c r="AS46" s="345"/>
      <c r="AT46" s="345"/>
      <c r="AU46" s="345"/>
      <c r="AV46" s="345"/>
      <c r="AW46" s="345"/>
      <c r="AX46" s="345"/>
    </row>
    <row r="47" spans="1:50">
      <c r="A47" s="345"/>
      <c r="B47" s="417"/>
      <c r="C47" s="420"/>
      <c r="D47" s="420"/>
      <c r="E47" s="420"/>
      <c r="F47" s="420"/>
      <c r="G47" s="420"/>
      <c r="H47" s="420"/>
      <c r="I47" s="420"/>
      <c r="J47" s="420"/>
      <c r="K47" s="420"/>
      <c r="L47" s="420"/>
      <c r="M47" s="418"/>
      <c r="N47" s="345"/>
      <c r="O47" s="345"/>
      <c r="P47" s="345"/>
      <c r="Q47" s="345"/>
      <c r="R47" s="345"/>
      <c r="S47" s="345"/>
      <c r="T47" s="345"/>
      <c r="U47" s="345"/>
      <c r="V47" s="345"/>
      <c r="W47" s="345"/>
      <c r="X47" s="345"/>
      <c r="Y47" s="345"/>
      <c r="Z47" s="345"/>
      <c r="AA47" s="345"/>
      <c r="AB47" s="345"/>
      <c r="AC47" s="345"/>
      <c r="AD47" s="345"/>
      <c r="AE47" s="345"/>
      <c r="AF47" s="345"/>
      <c r="AG47" s="345"/>
      <c r="AH47" s="345"/>
      <c r="AI47" s="345"/>
      <c r="AJ47" s="345"/>
      <c r="AK47" s="345"/>
      <c r="AL47" s="345"/>
      <c r="AM47" s="345"/>
      <c r="AN47" s="345"/>
      <c r="AO47" s="345"/>
      <c r="AP47" s="345"/>
      <c r="AQ47" s="345"/>
      <c r="AR47" s="345"/>
      <c r="AS47" s="345"/>
      <c r="AT47" s="345"/>
      <c r="AU47" s="345"/>
      <c r="AV47" s="345"/>
      <c r="AW47" s="345"/>
      <c r="AX47" s="345"/>
    </row>
    <row r="48" spans="1:50">
      <c r="A48" s="345"/>
      <c r="B48" s="417"/>
      <c r="C48" s="420"/>
      <c r="D48" s="420"/>
      <c r="E48" s="420"/>
      <c r="F48" s="420"/>
      <c r="G48" s="420"/>
      <c r="H48" s="420"/>
      <c r="I48" s="420"/>
      <c r="J48" s="420"/>
      <c r="K48" s="420"/>
      <c r="L48" s="420"/>
      <c r="M48" s="418"/>
      <c r="N48" s="345"/>
      <c r="O48" s="345"/>
      <c r="P48" s="345"/>
      <c r="Q48" s="345"/>
      <c r="R48" s="345"/>
      <c r="S48" s="345"/>
      <c r="T48" s="345"/>
      <c r="U48" s="345"/>
      <c r="V48" s="345"/>
      <c r="W48" s="345"/>
      <c r="X48" s="345"/>
      <c r="Y48" s="345"/>
      <c r="Z48" s="345"/>
      <c r="AA48" s="345"/>
      <c r="AB48" s="345"/>
      <c r="AC48" s="345"/>
      <c r="AD48" s="345"/>
      <c r="AE48" s="345"/>
      <c r="AF48" s="345"/>
      <c r="AG48" s="345"/>
      <c r="AH48" s="345"/>
      <c r="AI48" s="345"/>
      <c r="AJ48" s="345"/>
      <c r="AK48" s="345"/>
      <c r="AL48" s="345"/>
      <c r="AM48" s="345"/>
      <c r="AN48" s="345"/>
      <c r="AO48" s="345"/>
      <c r="AP48" s="345"/>
      <c r="AQ48" s="345"/>
      <c r="AR48" s="345"/>
      <c r="AS48" s="345"/>
      <c r="AT48" s="345"/>
      <c r="AU48" s="345"/>
      <c r="AV48" s="345"/>
      <c r="AW48" s="345"/>
      <c r="AX48" s="345"/>
    </row>
    <row r="49" spans="1:50">
      <c r="A49" s="345"/>
      <c r="B49" s="417"/>
      <c r="C49" s="420" t="s">
        <v>393</v>
      </c>
      <c r="D49" s="420"/>
      <c r="E49" s="420"/>
      <c r="F49" s="420"/>
      <c r="G49" s="420"/>
      <c r="H49" s="420"/>
      <c r="I49" s="420"/>
      <c r="J49" s="420"/>
      <c r="K49" s="420"/>
      <c r="L49" s="420"/>
      <c r="M49" s="418"/>
      <c r="N49" s="345"/>
      <c r="O49" s="345"/>
      <c r="P49" s="345"/>
      <c r="Q49" s="345"/>
      <c r="R49" s="345"/>
      <c r="S49" s="345"/>
      <c r="T49" s="345"/>
      <c r="U49" s="345"/>
      <c r="V49" s="345"/>
      <c r="W49" s="345"/>
      <c r="X49" s="345"/>
      <c r="Y49" s="345"/>
      <c r="Z49" s="345"/>
      <c r="AA49" s="345"/>
      <c r="AB49" s="345"/>
      <c r="AC49" s="345"/>
      <c r="AD49" s="345"/>
      <c r="AE49" s="345"/>
      <c r="AF49" s="345"/>
      <c r="AG49" s="345"/>
      <c r="AH49" s="345"/>
      <c r="AI49" s="345"/>
      <c r="AJ49" s="345"/>
      <c r="AK49" s="345"/>
      <c r="AL49" s="345"/>
      <c r="AM49" s="345"/>
      <c r="AN49" s="345"/>
      <c r="AO49" s="345"/>
      <c r="AP49" s="345"/>
      <c r="AQ49" s="345"/>
      <c r="AR49" s="345"/>
      <c r="AS49" s="345"/>
      <c r="AT49" s="345"/>
      <c r="AU49" s="345"/>
      <c r="AV49" s="345"/>
      <c r="AW49" s="345"/>
      <c r="AX49" s="345"/>
    </row>
    <row r="50" spans="1:50">
      <c r="A50" s="345"/>
      <c r="B50" s="417"/>
      <c r="C50" s="420" t="s">
        <v>394</v>
      </c>
      <c r="D50" s="420"/>
      <c r="E50" s="420"/>
      <c r="F50" s="420"/>
      <c r="G50" s="420"/>
      <c r="H50" s="420"/>
      <c r="I50" s="420"/>
      <c r="J50" s="420"/>
      <c r="K50" s="420"/>
      <c r="L50" s="420"/>
      <c r="M50" s="418"/>
      <c r="N50" s="345"/>
      <c r="O50" s="345"/>
      <c r="P50" s="345"/>
      <c r="Q50" s="345"/>
      <c r="R50" s="345"/>
      <c r="S50" s="345"/>
      <c r="T50" s="345"/>
      <c r="U50" s="345"/>
      <c r="V50" s="345"/>
      <c r="W50" s="345"/>
      <c r="X50" s="345"/>
      <c r="Y50" s="345"/>
      <c r="Z50" s="345"/>
      <c r="AA50" s="345"/>
      <c r="AB50" s="345"/>
      <c r="AC50" s="345"/>
      <c r="AD50" s="345"/>
      <c r="AE50" s="345"/>
      <c r="AF50" s="345"/>
      <c r="AG50" s="345"/>
      <c r="AH50" s="345"/>
      <c r="AI50" s="345"/>
      <c r="AJ50" s="345"/>
      <c r="AK50" s="345"/>
      <c r="AL50" s="345"/>
      <c r="AM50" s="345"/>
      <c r="AN50" s="345"/>
      <c r="AO50" s="345"/>
      <c r="AP50" s="345"/>
      <c r="AQ50" s="345"/>
      <c r="AR50" s="345"/>
      <c r="AS50" s="345"/>
      <c r="AT50" s="345"/>
      <c r="AU50" s="345"/>
      <c r="AV50" s="345"/>
      <c r="AW50" s="345"/>
      <c r="AX50" s="345"/>
    </row>
    <row r="51" spans="1:50">
      <c r="A51" s="345"/>
      <c r="B51" s="417"/>
      <c r="C51" s="420"/>
      <c r="D51" s="420"/>
      <c r="E51" s="420"/>
      <c r="F51" s="420"/>
      <c r="G51" s="420"/>
      <c r="H51" s="420"/>
      <c r="I51" s="420"/>
      <c r="J51" s="420"/>
      <c r="K51" s="420"/>
      <c r="L51" s="420"/>
      <c r="M51" s="418"/>
      <c r="N51" s="345"/>
      <c r="O51" s="345"/>
      <c r="P51" s="345"/>
      <c r="Q51" s="345"/>
      <c r="R51" s="345"/>
      <c r="S51" s="345"/>
      <c r="T51" s="345"/>
      <c r="U51" s="345"/>
      <c r="V51" s="345"/>
      <c r="W51" s="345"/>
      <c r="X51" s="345"/>
      <c r="Y51" s="345"/>
      <c r="Z51" s="345"/>
      <c r="AA51" s="345"/>
      <c r="AB51" s="345"/>
      <c r="AC51" s="345"/>
      <c r="AD51" s="345"/>
      <c r="AE51" s="345"/>
      <c r="AF51" s="345"/>
      <c r="AG51" s="345"/>
      <c r="AH51" s="345"/>
      <c r="AI51" s="345"/>
      <c r="AJ51" s="345"/>
      <c r="AK51" s="345"/>
      <c r="AL51" s="345"/>
      <c r="AM51" s="345"/>
      <c r="AN51" s="345"/>
      <c r="AO51" s="345"/>
      <c r="AP51" s="345"/>
      <c r="AQ51" s="345"/>
      <c r="AR51" s="345"/>
      <c r="AS51" s="345"/>
      <c r="AT51" s="345"/>
      <c r="AU51" s="345"/>
      <c r="AV51" s="345"/>
      <c r="AW51" s="345"/>
      <c r="AX51" s="345"/>
    </row>
    <row r="52" spans="1:50">
      <c r="A52" s="345"/>
      <c r="B52" s="417"/>
      <c r="C52" s="420" t="s">
        <v>395</v>
      </c>
      <c r="D52" s="420"/>
      <c r="E52" s="420"/>
      <c r="F52" s="420"/>
      <c r="G52" s="420"/>
      <c r="H52" s="420"/>
      <c r="I52" s="420"/>
      <c r="J52" s="420"/>
      <c r="K52" s="420"/>
      <c r="L52" s="420"/>
      <c r="M52" s="418"/>
      <c r="N52" s="345"/>
      <c r="O52" s="345"/>
      <c r="P52" s="345"/>
      <c r="Q52" s="345"/>
      <c r="R52" s="345"/>
      <c r="S52" s="345"/>
      <c r="T52" s="345"/>
      <c r="U52" s="345"/>
      <c r="V52" s="345"/>
      <c r="W52" s="345"/>
      <c r="X52" s="345"/>
      <c r="Y52" s="345"/>
      <c r="Z52" s="345"/>
      <c r="AA52" s="345"/>
      <c r="AB52" s="345"/>
      <c r="AC52" s="345"/>
      <c r="AD52" s="345"/>
      <c r="AE52" s="345"/>
      <c r="AF52" s="345"/>
      <c r="AG52" s="345"/>
      <c r="AH52" s="345"/>
      <c r="AI52" s="345"/>
      <c r="AJ52" s="345"/>
      <c r="AK52" s="345"/>
      <c r="AL52" s="345"/>
      <c r="AM52" s="345"/>
      <c r="AN52" s="345"/>
      <c r="AO52" s="345"/>
      <c r="AP52" s="345"/>
      <c r="AQ52" s="345"/>
      <c r="AR52" s="345"/>
      <c r="AS52" s="345"/>
      <c r="AT52" s="345"/>
      <c r="AU52" s="345"/>
      <c r="AV52" s="345"/>
      <c r="AW52" s="345"/>
      <c r="AX52" s="345"/>
    </row>
    <row r="53" spans="1:50">
      <c r="A53" s="345"/>
      <c r="B53" s="417"/>
      <c r="C53" s="420" t="s">
        <v>396</v>
      </c>
      <c r="D53" s="420"/>
      <c r="E53" s="420"/>
      <c r="F53" s="420"/>
      <c r="G53" s="420"/>
      <c r="H53" s="420"/>
      <c r="I53" s="420"/>
      <c r="J53" s="420"/>
      <c r="K53" s="420"/>
      <c r="L53" s="420"/>
      <c r="M53" s="418"/>
      <c r="N53" s="345"/>
      <c r="O53" s="345"/>
      <c r="P53" s="345"/>
      <c r="Q53" s="345"/>
      <c r="R53" s="345"/>
      <c r="S53" s="345"/>
      <c r="T53" s="345"/>
      <c r="U53" s="345"/>
      <c r="V53" s="345"/>
      <c r="W53" s="345"/>
      <c r="X53" s="345"/>
      <c r="Y53" s="345"/>
      <c r="Z53" s="345"/>
      <c r="AA53" s="345"/>
      <c r="AB53" s="345"/>
      <c r="AC53" s="345"/>
      <c r="AD53" s="345"/>
      <c r="AE53" s="345"/>
      <c r="AF53" s="345"/>
      <c r="AG53" s="345"/>
      <c r="AH53" s="345"/>
      <c r="AI53" s="345"/>
      <c r="AJ53" s="345"/>
      <c r="AK53" s="345"/>
      <c r="AL53" s="345"/>
      <c r="AM53" s="345"/>
      <c r="AN53" s="345"/>
      <c r="AO53" s="345"/>
      <c r="AP53" s="345"/>
      <c r="AQ53" s="345"/>
      <c r="AR53" s="345"/>
      <c r="AS53" s="345"/>
      <c r="AT53" s="345"/>
      <c r="AU53" s="345"/>
      <c r="AV53" s="345"/>
      <c r="AW53" s="345"/>
      <c r="AX53" s="345"/>
    </row>
    <row r="54" spans="1:50">
      <c r="A54" s="345"/>
      <c r="B54" s="417"/>
      <c r="C54" s="420" t="s">
        <v>397</v>
      </c>
      <c r="D54" s="420"/>
      <c r="E54" s="420"/>
      <c r="F54" s="420"/>
      <c r="G54" s="420"/>
      <c r="H54" s="420"/>
      <c r="I54" s="420"/>
      <c r="J54" s="420"/>
      <c r="K54" s="420"/>
      <c r="L54" s="420"/>
      <c r="M54" s="418"/>
      <c r="N54" s="345"/>
      <c r="O54" s="345"/>
      <c r="P54" s="345"/>
      <c r="Q54" s="345"/>
      <c r="R54" s="345"/>
      <c r="S54" s="345"/>
      <c r="T54" s="345"/>
      <c r="U54" s="345"/>
      <c r="V54" s="345"/>
      <c r="W54" s="345"/>
      <c r="X54" s="345"/>
      <c r="Y54" s="345"/>
      <c r="Z54" s="345"/>
      <c r="AA54" s="345"/>
      <c r="AB54" s="345"/>
      <c r="AC54" s="345"/>
      <c r="AD54" s="345"/>
      <c r="AE54" s="345"/>
      <c r="AF54" s="345"/>
      <c r="AG54" s="345"/>
      <c r="AH54" s="345"/>
      <c r="AI54" s="345"/>
      <c r="AJ54" s="345"/>
      <c r="AK54" s="345"/>
      <c r="AL54" s="345"/>
      <c r="AM54" s="345"/>
      <c r="AN54" s="345"/>
      <c r="AO54" s="345"/>
      <c r="AP54" s="345"/>
      <c r="AQ54" s="345"/>
      <c r="AR54" s="345"/>
      <c r="AS54" s="345"/>
      <c r="AT54" s="345"/>
      <c r="AU54" s="345"/>
      <c r="AV54" s="345"/>
      <c r="AW54" s="345"/>
      <c r="AX54" s="345"/>
    </row>
    <row r="55" spans="1:50">
      <c r="A55" s="345"/>
      <c r="B55" s="417"/>
      <c r="C55" s="420"/>
      <c r="D55" s="420"/>
      <c r="E55" s="420"/>
      <c r="F55" s="420"/>
      <c r="G55" s="420"/>
      <c r="H55" s="420"/>
      <c r="I55" s="420"/>
      <c r="J55" s="420"/>
      <c r="K55" s="420"/>
      <c r="L55" s="420"/>
      <c r="M55" s="418"/>
      <c r="N55" s="345"/>
      <c r="O55" s="345"/>
      <c r="P55" s="345"/>
      <c r="Q55" s="345"/>
      <c r="R55" s="345"/>
      <c r="S55" s="345"/>
      <c r="T55" s="345"/>
      <c r="U55" s="345"/>
      <c r="V55" s="345"/>
      <c r="W55" s="345"/>
      <c r="X55" s="345"/>
      <c r="Y55" s="345"/>
      <c r="Z55" s="345"/>
      <c r="AA55" s="345"/>
      <c r="AB55" s="345"/>
      <c r="AC55" s="345"/>
      <c r="AD55" s="345"/>
      <c r="AE55" s="345"/>
      <c r="AF55" s="345"/>
      <c r="AG55" s="345"/>
      <c r="AH55" s="345"/>
      <c r="AI55" s="345"/>
      <c r="AJ55" s="345"/>
      <c r="AK55" s="345"/>
      <c r="AL55" s="345"/>
      <c r="AM55" s="345"/>
      <c r="AN55" s="345"/>
      <c r="AO55" s="345"/>
      <c r="AP55" s="345"/>
      <c r="AQ55" s="345"/>
      <c r="AR55" s="345"/>
      <c r="AS55" s="345"/>
      <c r="AT55" s="345"/>
      <c r="AU55" s="345"/>
      <c r="AV55" s="345"/>
      <c r="AW55" s="345"/>
      <c r="AX55" s="345"/>
    </row>
    <row r="56" spans="1:50">
      <c r="A56" s="345"/>
      <c r="B56" s="417"/>
      <c r="C56" s="420"/>
      <c r="D56" s="420"/>
      <c r="E56" s="420"/>
      <c r="F56" s="420"/>
      <c r="G56" s="420"/>
      <c r="H56" s="420"/>
      <c r="I56" s="420"/>
      <c r="J56" s="420"/>
      <c r="K56" s="420"/>
      <c r="L56" s="420"/>
      <c r="M56" s="418"/>
      <c r="N56" s="345"/>
      <c r="O56" s="345"/>
      <c r="P56" s="345"/>
      <c r="Q56" s="345"/>
      <c r="R56" s="345"/>
      <c r="S56" s="345"/>
      <c r="T56" s="345"/>
      <c r="U56" s="345"/>
      <c r="V56" s="345"/>
      <c r="W56" s="345"/>
      <c r="X56" s="345"/>
      <c r="Y56" s="345"/>
      <c r="Z56" s="345"/>
      <c r="AA56" s="345"/>
      <c r="AB56" s="345"/>
      <c r="AC56" s="345"/>
      <c r="AD56" s="345"/>
      <c r="AE56" s="345"/>
      <c r="AF56" s="345"/>
      <c r="AG56" s="345"/>
      <c r="AH56" s="345"/>
      <c r="AI56" s="345"/>
      <c r="AJ56" s="345"/>
      <c r="AK56" s="345"/>
      <c r="AL56" s="345"/>
      <c r="AM56" s="345"/>
      <c r="AN56" s="345"/>
      <c r="AO56" s="345"/>
      <c r="AP56" s="345"/>
      <c r="AQ56" s="345"/>
      <c r="AR56" s="345"/>
      <c r="AS56" s="345"/>
      <c r="AT56" s="345"/>
      <c r="AU56" s="345"/>
      <c r="AV56" s="345"/>
      <c r="AW56" s="345"/>
      <c r="AX56" s="345"/>
    </row>
    <row r="57" spans="1:50">
      <c r="A57" s="345"/>
      <c r="B57" s="417"/>
      <c r="C57" s="420"/>
      <c r="D57" s="420"/>
      <c r="E57" s="420"/>
      <c r="F57" s="420"/>
      <c r="G57" s="420"/>
      <c r="H57" s="420"/>
      <c r="I57" s="420"/>
      <c r="J57" s="420"/>
      <c r="K57" s="420"/>
      <c r="L57" s="420"/>
      <c r="M57" s="418"/>
      <c r="N57" s="345"/>
      <c r="O57" s="345"/>
      <c r="P57" s="345"/>
      <c r="Q57" s="345"/>
      <c r="R57" s="345"/>
      <c r="S57" s="345"/>
      <c r="T57" s="345"/>
      <c r="U57" s="345"/>
      <c r="V57" s="345"/>
      <c r="W57" s="345"/>
      <c r="X57" s="345"/>
      <c r="Y57" s="345"/>
      <c r="Z57" s="345"/>
      <c r="AA57" s="345"/>
      <c r="AB57" s="345"/>
      <c r="AC57" s="345"/>
      <c r="AD57" s="345"/>
      <c r="AE57" s="345"/>
      <c r="AF57" s="345"/>
      <c r="AG57" s="345"/>
      <c r="AH57" s="345"/>
      <c r="AI57" s="345"/>
      <c r="AJ57" s="345"/>
      <c r="AK57" s="345"/>
      <c r="AL57" s="345"/>
      <c r="AM57" s="345"/>
      <c r="AN57" s="345"/>
      <c r="AO57" s="345"/>
      <c r="AP57" s="345"/>
      <c r="AQ57" s="345"/>
      <c r="AR57" s="345"/>
      <c r="AS57" s="345"/>
      <c r="AT57" s="345"/>
      <c r="AU57" s="345"/>
      <c r="AV57" s="345"/>
      <c r="AW57" s="345"/>
      <c r="AX57" s="345"/>
    </row>
    <row r="58" spans="1:50" ht="15.75" thickBot="1">
      <c r="A58" s="345"/>
      <c r="B58" s="423"/>
      <c r="C58" s="424"/>
      <c r="D58" s="424"/>
      <c r="E58" s="424"/>
      <c r="F58" s="424"/>
      <c r="G58" s="424"/>
      <c r="H58" s="424"/>
      <c r="I58" s="424"/>
      <c r="J58" s="424"/>
      <c r="K58" s="424"/>
      <c r="L58" s="424"/>
      <c r="M58" s="425"/>
      <c r="N58" s="345"/>
      <c r="O58" s="345"/>
      <c r="P58" s="345"/>
      <c r="Q58" s="345"/>
      <c r="R58" s="345"/>
      <c r="S58" s="345"/>
      <c r="T58" s="345"/>
      <c r="U58" s="345"/>
      <c r="V58" s="345"/>
      <c r="W58" s="345"/>
      <c r="X58" s="345"/>
      <c r="Y58" s="345"/>
      <c r="Z58" s="345"/>
      <c r="AA58" s="345"/>
      <c r="AB58" s="345"/>
      <c r="AC58" s="345"/>
      <c r="AD58" s="345"/>
      <c r="AE58" s="345"/>
      <c r="AF58" s="345"/>
      <c r="AG58" s="345"/>
      <c r="AH58" s="345"/>
      <c r="AI58" s="345"/>
      <c r="AJ58" s="345"/>
      <c r="AK58" s="345"/>
      <c r="AL58" s="345"/>
      <c r="AM58" s="345"/>
      <c r="AN58" s="345"/>
      <c r="AO58" s="345"/>
      <c r="AP58" s="345"/>
      <c r="AQ58" s="345"/>
      <c r="AR58" s="345"/>
      <c r="AS58" s="345"/>
      <c r="AT58" s="345"/>
      <c r="AU58" s="345"/>
      <c r="AV58" s="345"/>
      <c r="AW58" s="345"/>
      <c r="AX58" s="345"/>
    </row>
    <row r="59" spans="1:50" ht="15.75" thickTop="1">
      <c r="A59" s="345"/>
      <c r="B59" s="345"/>
      <c r="C59" s="346"/>
      <c r="D59" s="346"/>
      <c r="E59" s="346"/>
      <c r="F59" s="346"/>
      <c r="G59" s="346"/>
      <c r="H59" s="346"/>
      <c r="I59" s="346"/>
      <c r="J59" s="346"/>
      <c r="K59" s="346"/>
      <c r="L59" s="346"/>
      <c r="M59" s="345"/>
      <c r="N59" s="345"/>
      <c r="O59" s="345"/>
      <c r="P59" s="345"/>
      <c r="Q59" s="345"/>
      <c r="R59" s="345"/>
      <c r="S59" s="345"/>
      <c r="T59" s="345"/>
      <c r="U59" s="345"/>
      <c r="V59" s="345"/>
      <c r="W59" s="345"/>
      <c r="X59" s="345"/>
      <c r="Y59" s="345"/>
      <c r="Z59" s="345"/>
      <c r="AA59" s="345"/>
      <c r="AB59" s="345"/>
      <c r="AC59" s="345"/>
      <c r="AD59" s="345"/>
      <c r="AE59" s="345"/>
      <c r="AF59" s="345"/>
      <c r="AG59" s="345"/>
      <c r="AH59" s="345"/>
      <c r="AI59" s="345"/>
      <c r="AJ59" s="345"/>
      <c r="AK59" s="345"/>
      <c r="AL59" s="345"/>
      <c r="AM59" s="345"/>
      <c r="AN59" s="345"/>
      <c r="AO59" s="345"/>
      <c r="AP59" s="345"/>
      <c r="AQ59" s="345"/>
      <c r="AR59" s="345"/>
      <c r="AS59" s="345"/>
      <c r="AT59" s="345"/>
      <c r="AU59" s="345"/>
      <c r="AV59" s="345"/>
      <c r="AW59" s="345"/>
      <c r="AX59" s="345"/>
    </row>
    <row r="60" spans="1:50">
      <c r="A60" s="345"/>
      <c r="B60" s="345"/>
      <c r="C60" s="346"/>
      <c r="D60" s="346"/>
      <c r="E60" s="346"/>
      <c r="F60" s="346"/>
      <c r="G60" s="346"/>
      <c r="H60" s="346"/>
      <c r="I60" s="346"/>
      <c r="J60" s="346"/>
      <c r="K60" s="346"/>
      <c r="L60" s="346"/>
      <c r="M60" s="345"/>
      <c r="N60" s="345"/>
      <c r="O60" s="345"/>
      <c r="P60" s="345"/>
      <c r="Q60" s="345"/>
      <c r="R60" s="345"/>
      <c r="S60" s="345"/>
      <c r="T60" s="345"/>
      <c r="U60" s="345"/>
      <c r="V60" s="345"/>
      <c r="W60" s="345"/>
      <c r="X60" s="345"/>
      <c r="Y60" s="345"/>
      <c r="Z60" s="345"/>
      <c r="AA60" s="345"/>
      <c r="AB60" s="345"/>
      <c r="AC60" s="345"/>
      <c r="AD60" s="345"/>
      <c r="AE60" s="345"/>
      <c r="AF60" s="345"/>
      <c r="AG60" s="345"/>
      <c r="AH60" s="345"/>
      <c r="AI60" s="345"/>
      <c r="AJ60" s="345"/>
      <c r="AK60" s="345"/>
      <c r="AL60" s="345"/>
      <c r="AM60" s="345"/>
      <c r="AN60" s="345"/>
      <c r="AO60" s="345"/>
      <c r="AP60" s="345"/>
      <c r="AQ60" s="345"/>
      <c r="AR60" s="345"/>
      <c r="AS60" s="345"/>
      <c r="AT60" s="345"/>
      <c r="AU60" s="345"/>
      <c r="AV60" s="345"/>
      <c r="AW60" s="345"/>
      <c r="AX60" s="345"/>
    </row>
    <row r="61" spans="1:50">
      <c r="A61" s="345"/>
      <c r="B61" s="345"/>
      <c r="C61" s="346"/>
      <c r="D61" s="346"/>
      <c r="E61" s="346"/>
      <c r="F61" s="346"/>
      <c r="G61" s="346"/>
      <c r="H61" s="346"/>
      <c r="I61" s="346"/>
      <c r="J61" s="346"/>
      <c r="K61" s="346"/>
      <c r="L61" s="346"/>
      <c r="M61" s="345"/>
      <c r="N61" s="345"/>
      <c r="O61" s="345"/>
      <c r="P61" s="345"/>
      <c r="Q61" s="345"/>
      <c r="R61" s="345"/>
      <c r="S61" s="345"/>
      <c r="T61" s="345"/>
      <c r="U61" s="345"/>
      <c r="V61" s="345"/>
      <c r="W61" s="345"/>
      <c r="X61" s="345"/>
      <c r="Y61" s="345"/>
      <c r="Z61" s="345"/>
      <c r="AA61" s="345"/>
      <c r="AB61" s="345"/>
      <c r="AC61" s="345"/>
      <c r="AD61" s="345"/>
      <c r="AE61" s="345"/>
      <c r="AF61" s="345"/>
      <c r="AG61" s="345"/>
      <c r="AH61" s="345"/>
      <c r="AI61" s="345"/>
      <c r="AJ61" s="345"/>
      <c r="AK61" s="345"/>
      <c r="AL61" s="345"/>
      <c r="AM61" s="345"/>
      <c r="AN61" s="345"/>
      <c r="AO61" s="345"/>
      <c r="AP61" s="345"/>
      <c r="AQ61" s="345"/>
      <c r="AR61" s="345"/>
      <c r="AS61" s="345"/>
      <c r="AT61" s="345"/>
      <c r="AU61" s="345"/>
      <c r="AV61" s="345"/>
      <c r="AW61" s="345"/>
      <c r="AX61" s="345"/>
    </row>
    <row r="62" spans="1:50">
      <c r="A62" s="345"/>
      <c r="B62" s="345"/>
      <c r="C62" s="346"/>
      <c r="D62" s="346"/>
      <c r="E62" s="346"/>
      <c r="F62" s="346"/>
      <c r="G62" s="346"/>
      <c r="H62" s="346"/>
      <c r="I62" s="346"/>
      <c r="J62" s="346"/>
      <c r="K62" s="346"/>
      <c r="L62" s="346"/>
      <c r="M62" s="345"/>
      <c r="N62" s="345"/>
      <c r="O62" s="345"/>
      <c r="P62" s="345"/>
      <c r="Q62" s="345"/>
      <c r="R62" s="345"/>
      <c r="S62" s="345"/>
      <c r="T62" s="345"/>
      <c r="U62" s="345"/>
      <c r="V62" s="345"/>
      <c r="W62" s="345"/>
      <c r="X62" s="345"/>
      <c r="Y62" s="345"/>
      <c r="Z62" s="345"/>
      <c r="AA62" s="345"/>
      <c r="AB62" s="345"/>
      <c r="AC62" s="345"/>
      <c r="AD62" s="345"/>
      <c r="AE62" s="345"/>
      <c r="AF62" s="345"/>
      <c r="AG62" s="345"/>
      <c r="AH62" s="345"/>
      <c r="AI62" s="345"/>
      <c r="AJ62" s="345"/>
      <c r="AK62" s="345"/>
      <c r="AL62" s="345"/>
      <c r="AM62" s="345"/>
      <c r="AN62" s="345"/>
      <c r="AO62" s="345"/>
      <c r="AP62" s="345"/>
      <c r="AQ62" s="345"/>
      <c r="AR62" s="345"/>
      <c r="AS62" s="345"/>
      <c r="AT62" s="345"/>
      <c r="AU62" s="345"/>
      <c r="AV62" s="345"/>
      <c r="AW62" s="345"/>
      <c r="AX62" s="345"/>
    </row>
    <row r="63" spans="1:50">
      <c r="A63" s="345"/>
      <c r="B63" s="345"/>
      <c r="C63" s="346"/>
      <c r="D63" s="346"/>
      <c r="E63" s="346"/>
      <c r="F63" s="346"/>
      <c r="G63" s="346"/>
      <c r="H63" s="346"/>
      <c r="I63" s="346"/>
      <c r="J63" s="346"/>
      <c r="K63" s="346"/>
      <c r="L63" s="346"/>
      <c r="M63" s="345"/>
      <c r="N63" s="345"/>
      <c r="O63" s="345"/>
      <c r="P63" s="345"/>
      <c r="Q63" s="345"/>
      <c r="R63" s="345"/>
      <c r="S63" s="345"/>
      <c r="T63" s="345"/>
      <c r="U63" s="345"/>
      <c r="V63" s="345"/>
      <c r="W63" s="345"/>
      <c r="X63" s="345"/>
      <c r="Y63" s="345"/>
      <c r="Z63" s="345"/>
      <c r="AA63" s="345"/>
      <c r="AB63" s="345"/>
      <c r="AC63" s="345"/>
      <c r="AD63" s="345"/>
      <c r="AE63" s="345"/>
      <c r="AF63" s="345"/>
      <c r="AG63" s="345"/>
      <c r="AH63" s="345"/>
      <c r="AI63" s="345"/>
      <c r="AJ63" s="345"/>
      <c r="AK63" s="345"/>
      <c r="AL63" s="345"/>
      <c r="AM63" s="345"/>
      <c r="AN63" s="345"/>
      <c r="AO63" s="345"/>
      <c r="AP63" s="345"/>
      <c r="AQ63" s="345"/>
      <c r="AR63" s="345"/>
      <c r="AS63" s="345"/>
      <c r="AT63" s="345"/>
      <c r="AU63" s="345"/>
      <c r="AV63" s="345"/>
      <c r="AW63" s="345"/>
      <c r="AX63" s="345"/>
    </row>
    <row r="64" spans="1:50">
      <c r="A64" s="345"/>
      <c r="B64" s="345"/>
      <c r="C64" s="346"/>
      <c r="D64" s="346"/>
      <c r="E64" s="346"/>
      <c r="F64" s="346"/>
      <c r="G64" s="346"/>
      <c r="H64" s="346"/>
      <c r="I64" s="346"/>
      <c r="J64" s="346"/>
      <c r="K64" s="346"/>
      <c r="L64" s="346"/>
      <c r="M64" s="345"/>
      <c r="N64" s="345"/>
      <c r="O64" s="345"/>
      <c r="P64" s="345"/>
      <c r="Q64" s="345"/>
      <c r="R64" s="345"/>
      <c r="S64" s="345"/>
      <c r="T64" s="345"/>
      <c r="U64" s="345"/>
      <c r="V64" s="345"/>
      <c r="W64" s="345"/>
      <c r="X64" s="345"/>
      <c r="Y64" s="345"/>
      <c r="Z64" s="345"/>
      <c r="AA64" s="345"/>
      <c r="AB64" s="345"/>
      <c r="AC64" s="345"/>
      <c r="AD64" s="345"/>
      <c r="AE64" s="345"/>
      <c r="AF64" s="345"/>
      <c r="AG64" s="345"/>
      <c r="AH64" s="345"/>
      <c r="AI64" s="345"/>
      <c r="AJ64" s="345"/>
      <c r="AK64" s="345"/>
      <c r="AL64" s="345"/>
      <c r="AM64" s="345"/>
      <c r="AN64" s="345"/>
      <c r="AO64" s="345"/>
      <c r="AP64" s="345"/>
      <c r="AQ64" s="345"/>
      <c r="AR64" s="345"/>
      <c r="AS64" s="345"/>
      <c r="AT64" s="345"/>
      <c r="AU64" s="345"/>
      <c r="AV64" s="345"/>
      <c r="AW64" s="345"/>
      <c r="AX64" s="345"/>
    </row>
    <row r="65" spans="1:50">
      <c r="A65" s="345"/>
      <c r="B65" s="345"/>
      <c r="C65" s="346"/>
      <c r="D65" s="346"/>
      <c r="E65" s="346"/>
      <c r="F65" s="346"/>
      <c r="G65" s="346"/>
      <c r="H65" s="346"/>
      <c r="I65" s="346"/>
      <c r="J65" s="346"/>
      <c r="K65" s="346"/>
      <c r="L65" s="346"/>
      <c r="M65" s="345"/>
      <c r="N65" s="345"/>
      <c r="O65" s="345"/>
      <c r="P65" s="345"/>
      <c r="Q65" s="345"/>
      <c r="R65" s="345"/>
      <c r="S65" s="345"/>
      <c r="T65" s="345"/>
      <c r="U65" s="345"/>
      <c r="V65" s="345"/>
      <c r="W65" s="345"/>
      <c r="X65" s="345"/>
      <c r="Y65" s="345"/>
      <c r="Z65" s="345"/>
      <c r="AA65" s="345"/>
      <c r="AB65" s="345"/>
      <c r="AC65" s="345"/>
      <c r="AD65" s="345"/>
      <c r="AE65" s="345"/>
      <c r="AF65" s="345"/>
      <c r="AG65" s="345"/>
      <c r="AH65" s="345"/>
      <c r="AI65" s="345"/>
      <c r="AJ65" s="345"/>
      <c r="AK65" s="345"/>
      <c r="AL65" s="345"/>
      <c r="AM65" s="345"/>
      <c r="AN65" s="345"/>
      <c r="AO65" s="345"/>
      <c r="AP65" s="345"/>
      <c r="AQ65" s="345"/>
      <c r="AR65" s="345"/>
      <c r="AS65" s="345"/>
      <c r="AT65" s="345"/>
      <c r="AU65" s="345"/>
      <c r="AV65" s="345"/>
      <c r="AW65" s="345"/>
      <c r="AX65" s="345"/>
    </row>
    <row r="66" spans="1:50">
      <c r="A66" s="345"/>
      <c r="B66" s="345"/>
      <c r="C66" s="346"/>
      <c r="D66" s="346"/>
      <c r="E66" s="346"/>
      <c r="F66" s="346"/>
      <c r="G66" s="346"/>
      <c r="H66" s="346"/>
      <c r="I66" s="346"/>
      <c r="J66" s="346"/>
      <c r="K66" s="346"/>
      <c r="L66" s="346"/>
      <c r="M66" s="345"/>
      <c r="N66" s="345"/>
      <c r="O66" s="345"/>
      <c r="P66" s="345"/>
      <c r="Q66" s="345"/>
      <c r="R66" s="345"/>
      <c r="S66" s="345"/>
      <c r="T66" s="345"/>
      <c r="U66" s="345"/>
      <c r="V66" s="345"/>
      <c r="W66" s="345"/>
      <c r="X66" s="345"/>
      <c r="Y66" s="345"/>
      <c r="Z66" s="345"/>
      <c r="AA66" s="345"/>
      <c r="AB66" s="345"/>
      <c r="AC66" s="345"/>
      <c r="AD66" s="345"/>
      <c r="AE66" s="345"/>
      <c r="AF66" s="345"/>
      <c r="AG66" s="345"/>
      <c r="AH66" s="345"/>
      <c r="AI66" s="345"/>
      <c r="AJ66" s="345"/>
      <c r="AK66" s="345"/>
      <c r="AL66" s="345"/>
      <c r="AM66" s="345"/>
      <c r="AN66" s="345"/>
      <c r="AO66" s="345"/>
      <c r="AP66" s="345"/>
      <c r="AQ66" s="345"/>
      <c r="AR66" s="345"/>
      <c r="AS66" s="345"/>
      <c r="AT66" s="345"/>
      <c r="AU66" s="345"/>
      <c r="AV66" s="345"/>
      <c r="AW66" s="345"/>
      <c r="AX66" s="345"/>
    </row>
    <row r="67" spans="1:50">
      <c r="A67" s="345"/>
      <c r="B67" s="345"/>
      <c r="C67" s="346"/>
      <c r="D67" s="346"/>
      <c r="E67" s="346"/>
      <c r="F67" s="346"/>
      <c r="G67" s="346"/>
      <c r="H67" s="346"/>
      <c r="I67" s="346"/>
      <c r="J67" s="346"/>
      <c r="K67" s="346"/>
      <c r="L67" s="346"/>
      <c r="M67" s="345"/>
      <c r="N67" s="345"/>
      <c r="O67" s="345"/>
      <c r="P67" s="345"/>
      <c r="Q67" s="345"/>
      <c r="R67" s="345"/>
      <c r="S67" s="345"/>
      <c r="T67" s="345"/>
      <c r="U67" s="345"/>
      <c r="V67" s="345"/>
      <c r="W67" s="345"/>
      <c r="X67" s="345"/>
      <c r="Y67" s="345"/>
      <c r="Z67" s="345"/>
      <c r="AA67" s="345"/>
      <c r="AB67" s="345"/>
      <c r="AC67" s="345"/>
      <c r="AD67" s="345"/>
      <c r="AE67" s="345"/>
      <c r="AF67" s="345"/>
      <c r="AG67" s="345"/>
      <c r="AH67" s="345"/>
      <c r="AI67" s="345"/>
      <c r="AJ67" s="345"/>
      <c r="AK67" s="345"/>
      <c r="AL67" s="345"/>
      <c r="AM67" s="345"/>
      <c r="AN67" s="345"/>
      <c r="AO67" s="345"/>
      <c r="AP67" s="345"/>
      <c r="AQ67" s="345"/>
      <c r="AR67" s="345"/>
      <c r="AS67" s="345"/>
      <c r="AT67" s="345"/>
      <c r="AU67" s="345"/>
      <c r="AV67" s="345"/>
      <c r="AW67" s="345"/>
      <c r="AX67" s="345"/>
    </row>
    <row r="68" spans="1:50">
      <c r="A68" s="345"/>
      <c r="B68" s="345"/>
      <c r="C68" s="346"/>
      <c r="D68" s="346"/>
      <c r="E68" s="346"/>
      <c r="F68" s="346"/>
      <c r="G68" s="346"/>
      <c r="H68" s="346"/>
      <c r="I68" s="346"/>
      <c r="J68" s="346"/>
      <c r="K68" s="346"/>
      <c r="L68" s="346"/>
      <c r="M68" s="345"/>
      <c r="N68" s="345"/>
      <c r="O68" s="345"/>
      <c r="P68" s="345"/>
      <c r="Q68" s="345"/>
      <c r="R68" s="345"/>
      <c r="S68" s="345"/>
      <c r="T68" s="345"/>
      <c r="U68" s="345"/>
      <c r="V68" s="345"/>
      <c r="W68" s="345"/>
      <c r="X68" s="345"/>
      <c r="Y68" s="345"/>
      <c r="Z68" s="345"/>
      <c r="AA68" s="345"/>
      <c r="AB68" s="345"/>
      <c r="AC68" s="345"/>
      <c r="AD68" s="345"/>
      <c r="AE68" s="345"/>
      <c r="AF68" s="345"/>
      <c r="AG68" s="345"/>
      <c r="AH68" s="345"/>
      <c r="AI68" s="345"/>
      <c r="AJ68" s="345"/>
      <c r="AK68" s="345"/>
      <c r="AL68" s="345"/>
      <c r="AM68" s="345"/>
      <c r="AN68" s="345"/>
      <c r="AO68" s="345"/>
      <c r="AP68" s="345"/>
      <c r="AQ68" s="345"/>
      <c r="AR68" s="345"/>
      <c r="AS68" s="345"/>
      <c r="AT68" s="345"/>
      <c r="AU68" s="345"/>
      <c r="AV68" s="345"/>
      <c r="AW68" s="345"/>
      <c r="AX68" s="345"/>
    </row>
    <row r="69" spans="1:50">
      <c r="A69" s="345"/>
      <c r="B69" s="345"/>
      <c r="C69" s="346"/>
      <c r="D69" s="346"/>
      <c r="E69" s="346"/>
      <c r="F69" s="346"/>
      <c r="G69" s="346"/>
      <c r="H69" s="346"/>
      <c r="I69" s="346"/>
      <c r="J69" s="346"/>
      <c r="K69" s="346"/>
      <c r="L69" s="346"/>
      <c r="M69" s="345"/>
      <c r="N69" s="345"/>
      <c r="O69" s="345"/>
      <c r="P69" s="345"/>
      <c r="Q69" s="345"/>
      <c r="R69" s="345"/>
      <c r="S69" s="345"/>
      <c r="T69" s="345"/>
      <c r="U69" s="345"/>
      <c r="V69" s="345"/>
      <c r="W69" s="345"/>
      <c r="X69" s="345"/>
      <c r="Y69" s="345"/>
      <c r="Z69" s="345"/>
      <c r="AA69" s="345"/>
      <c r="AB69" s="345"/>
      <c r="AC69" s="345"/>
      <c r="AD69" s="345"/>
      <c r="AE69" s="345"/>
      <c r="AF69" s="345"/>
      <c r="AG69" s="345"/>
      <c r="AH69" s="345"/>
      <c r="AI69" s="345"/>
      <c r="AJ69" s="345"/>
      <c r="AK69" s="345"/>
      <c r="AL69" s="345"/>
      <c r="AM69" s="345"/>
      <c r="AN69" s="345"/>
      <c r="AO69" s="345"/>
      <c r="AP69" s="345"/>
      <c r="AQ69" s="345"/>
      <c r="AR69" s="345"/>
      <c r="AS69" s="345"/>
      <c r="AT69" s="345"/>
      <c r="AU69" s="345"/>
      <c r="AV69" s="345"/>
      <c r="AW69" s="345"/>
      <c r="AX69" s="345"/>
    </row>
    <row r="70" spans="1:50">
      <c r="A70" s="345"/>
      <c r="B70" s="345"/>
      <c r="C70" s="346"/>
      <c r="D70" s="346"/>
      <c r="E70" s="346"/>
      <c r="F70" s="346"/>
      <c r="G70" s="346"/>
      <c r="H70" s="346"/>
      <c r="I70" s="346"/>
      <c r="J70" s="346"/>
      <c r="K70" s="346"/>
      <c r="L70" s="346"/>
      <c r="M70" s="345"/>
      <c r="N70" s="345"/>
      <c r="O70" s="345"/>
      <c r="P70" s="345"/>
      <c r="Q70" s="345"/>
      <c r="R70" s="345"/>
      <c r="S70" s="345"/>
      <c r="T70" s="345"/>
      <c r="U70" s="345"/>
      <c r="V70" s="345"/>
      <c r="W70" s="345"/>
      <c r="X70" s="345"/>
      <c r="Y70" s="345"/>
      <c r="Z70" s="345"/>
      <c r="AA70" s="345"/>
      <c r="AB70" s="345"/>
      <c r="AC70" s="345"/>
      <c r="AD70" s="345"/>
      <c r="AE70" s="345"/>
      <c r="AF70" s="345"/>
      <c r="AG70" s="345"/>
      <c r="AH70" s="345"/>
      <c r="AI70" s="345"/>
      <c r="AJ70" s="345"/>
      <c r="AK70" s="345"/>
      <c r="AL70" s="345"/>
      <c r="AM70" s="345"/>
      <c r="AN70" s="345"/>
      <c r="AO70" s="345"/>
      <c r="AP70" s="345"/>
      <c r="AQ70" s="345"/>
      <c r="AR70" s="345"/>
      <c r="AS70" s="345"/>
      <c r="AT70" s="345"/>
      <c r="AU70" s="345"/>
      <c r="AV70" s="345"/>
      <c r="AW70" s="345"/>
      <c r="AX70" s="345"/>
    </row>
    <row r="71" spans="1:50">
      <c r="A71" s="345"/>
      <c r="B71" s="345"/>
      <c r="C71" s="346"/>
      <c r="D71" s="346"/>
      <c r="E71" s="346"/>
      <c r="F71" s="346"/>
      <c r="G71" s="346"/>
      <c r="H71" s="346"/>
      <c r="I71" s="346"/>
      <c r="J71" s="346"/>
      <c r="K71" s="346"/>
      <c r="L71" s="346"/>
      <c r="M71" s="345"/>
      <c r="N71" s="345"/>
      <c r="O71" s="345"/>
      <c r="P71" s="345"/>
      <c r="Q71" s="345"/>
      <c r="R71" s="345"/>
      <c r="S71" s="345"/>
      <c r="T71" s="345"/>
      <c r="U71" s="345"/>
      <c r="V71" s="345"/>
      <c r="W71" s="345"/>
      <c r="X71" s="345"/>
      <c r="Y71" s="345"/>
      <c r="Z71" s="345"/>
      <c r="AA71" s="345"/>
      <c r="AB71" s="345"/>
      <c r="AC71" s="345"/>
      <c r="AD71" s="345"/>
      <c r="AE71" s="345"/>
      <c r="AF71" s="345"/>
      <c r="AG71" s="345"/>
      <c r="AH71" s="345"/>
      <c r="AI71" s="345"/>
      <c r="AJ71" s="345"/>
      <c r="AK71" s="345"/>
      <c r="AL71" s="345"/>
      <c r="AM71" s="345"/>
      <c r="AN71" s="345"/>
      <c r="AO71" s="345"/>
      <c r="AP71" s="345"/>
      <c r="AQ71" s="345"/>
      <c r="AR71" s="345"/>
      <c r="AS71" s="345"/>
      <c r="AT71" s="345"/>
      <c r="AU71" s="345"/>
      <c r="AV71" s="345"/>
      <c r="AW71" s="345"/>
      <c r="AX71" s="345"/>
    </row>
    <row r="72" spans="1:50">
      <c r="A72" s="345"/>
      <c r="B72" s="345"/>
      <c r="C72" s="345"/>
      <c r="D72" s="345"/>
      <c r="E72" s="345"/>
      <c r="F72" s="345"/>
      <c r="G72" s="345"/>
      <c r="H72" s="345"/>
      <c r="I72" s="345"/>
      <c r="J72" s="345"/>
      <c r="K72" s="345"/>
      <c r="L72" s="345"/>
      <c r="M72" s="345"/>
      <c r="N72" s="345"/>
      <c r="O72" s="345"/>
      <c r="P72" s="345"/>
      <c r="Q72" s="345"/>
      <c r="R72" s="345"/>
      <c r="S72" s="345"/>
      <c r="T72" s="345"/>
      <c r="U72" s="345"/>
      <c r="V72" s="345"/>
      <c r="W72" s="345"/>
      <c r="X72" s="345"/>
      <c r="Y72" s="345"/>
      <c r="Z72" s="345"/>
      <c r="AA72" s="345"/>
      <c r="AB72" s="345"/>
      <c r="AC72" s="345"/>
      <c r="AD72" s="345"/>
      <c r="AE72" s="345"/>
      <c r="AF72" s="345"/>
      <c r="AG72" s="345"/>
      <c r="AH72" s="345"/>
      <c r="AI72" s="345"/>
      <c r="AJ72" s="345"/>
      <c r="AK72" s="345"/>
      <c r="AL72" s="345"/>
      <c r="AM72" s="345"/>
      <c r="AN72" s="345"/>
      <c r="AO72" s="345"/>
      <c r="AP72" s="345"/>
      <c r="AQ72" s="345"/>
      <c r="AR72" s="345"/>
      <c r="AS72" s="345"/>
      <c r="AT72" s="345"/>
      <c r="AU72" s="345"/>
      <c r="AV72" s="345"/>
      <c r="AW72" s="345"/>
      <c r="AX72" s="345"/>
    </row>
    <row r="73" spans="1:50">
      <c r="A73" s="345"/>
      <c r="B73" s="345"/>
      <c r="C73" s="345"/>
      <c r="D73" s="345"/>
      <c r="E73" s="345"/>
      <c r="F73" s="345"/>
      <c r="G73" s="345"/>
      <c r="H73" s="345"/>
      <c r="I73" s="345"/>
      <c r="J73" s="345"/>
      <c r="K73" s="345"/>
      <c r="L73" s="345"/>
      <c r="M73" s="345"/>
      <c r="N73" s="345"/>
      <c r="O73" s="345"/>
      <c r="P73" s="345"/>
      <c r="Q73" s="345"/>
      <c r="R73" s="345"/>
      <c r="S73" s="345"/>
      <c r="T73" s="345"/>
      <c r="U73" s="345"/>
      <c r="V73" s="345"/>
      <c r="W73" s="345"/>
      <c r="X73" s="345"/>
      <c r="Y73" s="345"/>
      <c r="Z73" s="345"/>
      <c r="AA73" s="345"/>
      <c r="AB73" s="345"/>
      <c r="AC73" s="345"/>
      <c r="AD73" s="345"/>
      <c r="AE73" s="345"/>
      <c r="AF73" s="345"/>
      <c r="AG73" s="345"/>
      <c r="AH73" s="345"/>
      <c r="AI73" s="345"/>
      <c r="AJ73" s="345"/>
      <c r="AK73" s="345"/>
      <c r="AL73" s="345"/>
      <c r="AM73" s="345"/>
      <c r="AN73" s="345"/>
      <c r="AO73" s="345"/>
      <c r="AP73" s="345"/>
      <c r="AQ73" s="345"/>
      <c r="AR73" s="345"/>
      <c r="AS73" s="345"/>
      <c r="AT73" s="345"/>
      <c r="AU73" s="345"/>
      <c r="AV73" s="345"/>
      <c r="AW73" s="345"/>
      <c r="AX73" s="345"/>
    </row>
    <row r="74" spans="1:50">
      <c r="A74" s="345"/>
      <c r="B74" s="345"/>
      <c r="C74" s="345"/>
      <c r="D74" s="345"/>
      <c r="E74" s="345"/>
      <c r="F74" s="345"/>
      <c r="G74" s="345"/>
      <c r="H74" s="345"/>
      <c r="I74" s="345"/>
      <c r="J74" s="345"/>
      <c r="K74" s="345"/>
      <c r="L74" s="345"/>
      <c r="M74" s="345"/>
      <c r="N74" s="345"/>
      <c r="O74" s="345"/>
      <c r="P74" s="345"/>
      <c r="Q74" s="345"/>
      <c r="R74" s="345"/>
      <c r="S74" s="345"/>
      <c r="T74" s="345"/>
      <c r="U74" s="345"/>
      <c r="V74" s="345"/>
      <c r="W74" s="345"/>
      <c r="X74" s="345"/>
      <c r="Y74" s="345"/>
      <c r="Z74" s="345"/>
      <c r="AA74" s="345"/>
      <c r="AB74" s="345"/>
      <c r="AC74" s="345"/>
      <c r="AD74" s="345"/>
      <c r="AE74" s="345"/>
      <c r="AF74" s="345"/>
      <c r="AG74" s="345"/>
      <c r="AH74" s="345"/>
      <c r="AI74" s="345"/>
      <c r="AJ74" s="345"/>
      <c r="AK74" s="345"/>
      <c r="AL74" s="345"/>
      <c r="AM74" s="345"/>
      <c r="AN74" s="345"/>
      <c r="AO74" s="345"/>
      <c r="AP74" s="345"/>
      <c r="AQ74" s="345"/>
      <c r="AR74" s="345"/>
      <c r="AS74" s="345"/>
      <c r="AT74" s="345"/>
      <c r="AU74" s="345"/>
      <c r="AV74" s="345"/>
      <c r="AW74" s="345"/>
      <c r="AX74" s="345"/>
    </row>
    <row r="75" spans="1:50">
      <c r="A75" s="345"/>
      <c r="B75" s="345"/>
      <c r="C75" s="345"/>
      <c r="D75" s="345"/>
      <c r="E75" s="345"/>
      <c r="F75" s="345"/>
      <c r="G75" s="345"/>
      <c r="H75" s="345"/>
      <c r="I75" s="345"/>
      <c r="J75" s="345"/>
      <c r="K75" s="345"/>
      <c r="L75" s="345"/>
      <c r="M75" s="345"/>
      <c r="N75" s="345"/>
      <c r="O75" s="345"/>
      <c r="P75" s="345"/>
      <c r="Q75" s="345"/>
      <c r="R75" s="345"/>
      <c r="S75" s="345"/>
      <c r="T75" s="345"/>
      <c r="U75" s="345"/>
      <c r="V75" s="345"/>
      <c r="W75" s="345"/>
      <c r="X75" s="345"/>
      <c r="Y75" s="345"/>
      <c r="Z75" s="345"/>
      <c r="AA75" s="345"/>
      <c r="AB75" s="345"/>
      <c r="AC75" s="345"/>
      <c r="AD75" s="345"/>
      <c r="AE75" s="345"/>
      <c r="AF75" s="345"/>
      <c r="AG75" s="345"/>
      <c r="AH75" s="345"/>
      <c r="AI75" s="345"/>
      <c r="AJ75" s="345"/>
      <c r="AK75" s="345"/>
      <c r="AL75" s="345"/>
      <c r="AM75" s="345"/>
      <c r="AN75" s="345"/>
      <c r="AO75" s="345"/>
      <c r="AP75" s="345"/>
      <c r="AQ75" s="345"/>
      <c r="AR75" s="345"/>
      <c r="AS75" s="345"/>
      <c r="AT75" s="345"/>
      <c r="AU75" s="345"/>
      <c r="AV75" s="345"/>
      <c r="AW75" s="345"/>
      <c r="AX75" s="345"/>
    </row>
    <row r="76" spans="1:50">
      <c r="A76" s="345"/>
      <c r="B76" s="345"/>
      <c r="C76" s="345"/>
      <c r="D76" s="345"/>
      <c r="E76" s="345"/>
      <c r="F76" s="345"/>
      <c r="G76" s="345"/>
      <c r="H76" s="345"/>
      <c r="I76" s="345"/>
      <c r="J76" s="345"/>
      <c r="K76" s="345"/>
      <c r="L76" s="345"/>
      <c r="M76" s="345"/>
      <c r="N76" s="345"/>
      <c r="O76" s="345"/>
      <c r="P76" s="345"/>
      <c r="Q76" s="345"/>
      <c r="R76" s="345"/>
      <c r="S76" s="345"/>
      <c r="T76" s="345"/>
      <c r="U76" s="345"/>
      <c r="V76" s="345"/>
      <c r="W76" s="345"/>
      <c r="X76" s="345"/>
      <c r="Y76" s="345"/>
      <c r="Z76" s="345"/>
      <c r="AA76" s="345"/>
      <c r="AB76" s="345"/>
      <c r="AC76" s="345"/>
      <c r="AD76" s="345"/>
      <c r="AE76" s="345"/>
      <c r="AF76" s="345"/>
      <c r="AG76" s="345"/>
      <c r="AH76" s="345"/>
      <c r="AI76" s="345"/>
      <c r="AJ76" s="345"/>
      <c r="AK76" s="345"/>
      <c r="AL76" s="345"/>
      <c r="AM76" s="345"/>
      <c r="AN76" s="345"/>
      <c r="AO76" s="345"/>
      <c r="AP76" s="345"/>
      <c r="AQ76" s="345"/>
      <c r="AR76" s="345"/>
      <c r="AS76" s="345"/>
      <c r="AT76" s="345"/>
      <c r="AU76" s="345"/>
      <c r="AV76" s="345"/>
      <c r="AW76" s="345"/>
      <c r="AX76" s="345"/>
    </row>
    <row r="77" spans="1:50">
      <c r="A77" s="345"/>
      <c r="B77" s="345"/>
      <c r="C77" s="345"/>
      <c r="D77" s="345"/>
      <c r="E77" s="345"/>
      <c r="F77" s="345"/>
      <c r="G77" s="345"/>
      <c r="H77" s="345"/>
      <c r="I77" s="345"/>
      <c r="J77" s="345"/>
      <c r="K77" s="345"/>
      <c r="L77" s="345"/>
      <c r="M77" s="345"/>
      <c r="N77" s="345"/>
      <c r="O77" s="345"/>
      <c r="P77" s="345"/>
      <c r="Q77" s="345"/>
      <c r="R77" s="345"/>
      <c r="S77" s="345"/>
      <c r="T77" s="345"/>
      <c r="U77" s="345"/>
      <c r="V77" s="345"/>
      <c r="W77" s="345"/>
      <c r="X77" s="345"/>
      <c r="Y77" s="345"/>
      <c r="Z77" s="345"/>
      <c r="AA77" s="345"/>
      <c r="AB77" s="345"/>
      <c r="AC77" s="345"/>
      <c r="AD77" s="345"/>
      <c r="AE77" s="345"/>
      <c r="AF77" s="345"/>
      <c r="AG77" s="345"/>
      <c r="AH77" s="345"/>
      <c r="AI77" s="345"/>
      <c r="AJ77" s="345"/>
      <c r="AK77" s="345"/>
      <c r="AL77" s="345"/>
      <c r="AM77" s="345"/>
      <c r="AN77" s="345"/>
      <c r="AO77" s="345"/>
      <c r="AP77" s="345"/>
      <c r="AQ77" s="345"/>
      <c r="AR77" s="345"/>
      <c r="AS77" s="345"/>
      <c r="AT77" s="345"/>
      <c r="AU77" s="345"/>
      <c r="AV77" s="345"/>
      <c r="AW77" s="345"/>
      <c r="AX77" s="345"/>
    </row>
    <row r="78" spans="1:50">
      <c r="A78" s="345"/>
      <c r="B78" s="345"/>
      <c r="C78" s="345"/>
      <c r="D78" s="345"/>
      <c r="E78" s="345"/>
      <c r="F78" s="345"/>
      <c r="G78" s="345"/>
      <c r="H78" s="345"/>
      <c r="I78" s="345"/>
      <c r="J78" s="345"/>
      <c r="K78" s="345"/>
      <c r="L78" s="345"/>
      <c r="M78" s="345"/>
      <c r="N78" s="345"/>
      <c r="O78" s="345"/>
      <c r="P78" s="345"/>
      <c r="Q78" s="345"/>
      <c r="R78" s="345"/>
      <c r="S78" s="345"/>
      <c r="T78" s="345"/>
      <c r="U78" s="345"/>
      <c r="V78" s="345"/>
      <c r="W78" s="345"/>
      <c r="X78" s="345"/>
      <c r="Y78" s="345"/>
      <c r="Z78" s="345"/>
      <c r="AA78" s="345"/>
      <c r="AB78" s="345"/>
      <c r="AC78" s="345"/>
      <c r="AD78" s="345"/>
      <c r="AE78" s="345"/>
      <c r="AF78" s="345"/>
      <c r="AG78" s="345"/>
      <c r="AH78" s="345"/>
      <c r="AI78" s="345"/>
      <c r="AJ78" s="345"/>
      <c r="AK78" s="345"/>
      <c r="AL78" s="345"/>
      <c r="AM78" s="345"/>
      <c r="AN78" s="345"/>
      <c r="AO78" s="345"/>
      <c r="AP78" s="345"/>
      <c r="AQ78" s="345"/>
      <c r="AR78" s="345"/>
      <c r="AS78" s="345"/>
      <c r="AT78" s="345"/>
      <c r="AU78" s="345"/>
      <c r="AV78" s="345"/>
      <c r="AW78" s="345"/>
      <c r="AX78" s="345"/>
    </row>
    <row r="79" spans="1:50">
      <c r="A79" s="345"/>
      <c r="B79" s="345"/>
      <c r="C79" s="345"/>
      <c r="D79" s="345"/>
      <c r="E79" s="345"/>
      <c r="F79" s="345"/>
      <c r="G79" s="345"/>
      <c r="H79" s="345"/>
      <c r="I79" s="345"/>
      <c r="J79" s="345"/>
      <c r="K79" s="345"/>
      <c r="L79" s="345"/>
      <c r="M79" s="345"/>
      <c r="N79" s="345"/>
      <c r="O79" s="345"/>
      <c r="P79" s="345"/>
      <c r="Q79" s="345"/>
      <c r="R79" s="345"/>
      <c r="S79" s="345"/>
      <c r="T79" s="345"/>
      <c r="U79" s="345"/>
      <c r="V79" s="345"/>
      <c r="W79" s="345"/>
      <c r="X79" s="345"/>
      <c r="Y79" s="345"/>
      <c r="Z79" s="345"/>
      <c r="AA79" s="345"/>
      <c r="AB79" s="345"/>
      <c r="AC79" s="345"/>
      <c r="AD79" s="345"/>
      <c r="AE79" s="345"/>
      <c r="AF79" s="345"/>
      <c r="AG79" s="345"/>
      <c r="AH79" s="345"/>
      <c r="AI79" s="345"/>
      <c r="AJ79" s="345"/>
      <c r="AK79" s="345"/>
      <c r="AL79" s="345"/>
      <c r="AM79" s="345"/>
      <c r="AN79" s="345"/>
      <c r="AO79" s="345"/>
      <c r="AP79" s="345"/>
      <c r="AQ79" s="345"/>
      <c r="AR79" s="345"/>
      <c r="AS79" s="345"/>
      <c r="AT79" s="345"/>
      <c r="AU79" s="345"/>
      <c r="AV79" s="345"/>
      <c r="AW79" s="345"/>
      <c r="AX79" s="345"/>
    </row>
    <row r="80" spans="1:50">
      <c r="A80" s="345"/>
      <c r="B80" s="345"/>
      <c r="C80" s="345"/>
      <c r="D80" s="345"/>
      <c r="E80" s="345"/>
      <c r="F80" s="345"/>
      <c r="G80" s="345"/>
      <c r="H80" s="345"/>
      <c r="I80" s="345"/>
      <c r="J80" s="345"/>
      <c r="K80" s="345"/>
      <c r="L80" s="345"/>
      <c r="M80" s="345"/>
      <c r="N80" s="345"/>
      <c r="O80" s="345"/>
      <c r="P80" s="345"/>
      <c r="Q80" s="345"/>
      <c r="R80" s="345"/>
      <c r="S80" s="345"/>
      <c r="T80" s="345"/>
      <c r="U80" s="345"/>
      <c r="V80" s="345"/>
      <c r="W80" s="345"/>
      <c r="X80" s="345"/>
      <c r="Y80" s="345"/>
      <c r="Z80" s="345"/>
      <c r="AA80" s="345"/>
      <c r="AB80" s="345"/>
      <c r="AC80" s="345"/>
      <c r="AD80" s="345"/>
      <c r="AE80" s="345"/>
      <c r="AF80" s="345"/>
      <c r="AG80" s="345"/>
      <c r="AH80" s="345"/>
      <c r="AI80" s="345"/>
      <c r="AJ80" s="345"/>
      <c r="AK80" s="345"/>
      <c r="AL80" s="345"/>
      <c r="AM80" s="345"/>
      <c r="AN80" s="345"/>
      <c r="AO80" s="345"/>
      <c r="AP80" s="345"/>
      <c r="AQ80" s="345"/>
      <c r="AR80" s="345"/>
      <c r="AS80" s="345"/>
      <c r="AT80" s="345"/>
      <c r="AU80" s="345"/>
      <c r="AV80" s="345"/>
      <c r="AW80" s="345"/>
      <c r="AX80" s="345"/>
    </row>
    <row r="81" spans="1:50">
      <c r="A81" s="345"/>
      <c r="B81" s="345"/>
      <c r="C81" s="345"/>
      <c r="D81" s="345"/>
      <c r="E81" s="345"/>
      <c r="F81" s="345"/>
      <c r="G81" s="345"/>
      <c r="H81" s="345"/>
      <c r="I81" s="345"/>
      <c r="J81" s="345"/>
      <c r="K81" s="345"/>
      <c r="L81" s="345"/>
      <c r="M81" s="345"/>
      <c r="N81" s="345"/>
      <c r="O81" s="345"/>
      <c r="P81" s="345"/>
      <c r="Q81" s="345"/>
      <c r="R81" s="345"/>
      <c r="S81" s="345"/>
      <c r="T81" s="345"/>
      <c r="U81" s="345"/>
      <c r="V81" s="345"/>
      <c r="W81" s="345"/>
      <c r="X81" s="345"/>
      <c r="Y81" s="345"/>
      <c r="Z81" s="345"/>
      <c r="AA81" s="345"/>
      <c r="AB81" s="345"/>
      <c r="AC81" s="345"/>
      <c r="AD81" s="345"/>
      <c r="AE81" s="345"/>
      <c r="AF81" s="345"/>
      <c r="AG81" s="345"/>
      <c r="AH81" s="345"/>
      <c r="AI81" s="345"/>
      <c r="AJ81" s="345"/>
      <c r="AK81" s="345"/>
      <c r="AL81" s="345"/>
      <c r="AM81" s="345"/>
      <c r="AN81" s="345"/>
      <c r="AO81" s="345"/>
      <c r="AP81" s="345"/>
      <c r="AQ81" s="345"/>
      <c r="AR81" s="345"/>
      <c r="AS81" s="345"/>
      <c r="AT81" s="345"/>
      <c r="AU81" s="345"/>
      <c r="AV81" s="345"/>
      <c r="AW81" s="345"/>
      <c r="AX81" s="345"/>
    </row>
    <row r="82" spans="1:50">
      <c r="A82" s="345"/>
      <c r="B82" s="345"/>
      <c r="C82" s="345"/>
      <c r="D82" s="345"/>
      <c r="E82" s="345"/>
      <c r="F82" s="345"/>
      <c r="G82" s="345"/>
      <c r="H82" s="345"/>
      <c r="I82" s="345"/>
      <c r="J82" s="345"/>
      <c r="K82" s="345"/>
      <c r="L82" s="345"/>
      <c r="M82" s="345"/>
      <c r="N82" s="345"/>
      <c r="O82" s="345"/>
      <c r="P82" s="345"/>
      <c r="Q82" s="345"/>
      <c r="R82" s="345"/>
      <c r="S82" s="345"/>
      <c r="T82" s="345"/>
      <c r="U82" s="345"/>
      <c r="V82" s="345"/>
      <c r="W82" s="345"/>
      <c r="X82" s="345"/>
      <c r="Y82" s="345"/>
      <c r="Z82" s="345"/>
      <c r="AA82" s="345"/>
      <c r="AB82" s="345"/>
      <c r="AC82" s="345"/>
      <c r="AD82" s="345"/>
      <c r="AE82" s="345"/>
      <c r="AF82" s="345"/>
      <c r="AG82" s="345"/>
      <c r="AH82" s="345"/>
      <c r="AI82" s="345"/>
      <c r="AJ82" s="345"/>
      <c r="AK82" s="345"/>
      <c r="AL82" s="345"/>
      <c r="AM82" s="345"/>
      <c r="AN82" s="345"/>
      <c r="AO82" s="345"/>
      <c r="AP82" s="345"/>
      <c r="AQ82" s="345"/>
      <c r="AR82" s="345"/>
      <c r="AS82" s="345"/>
      <c r="AT82" s="345"/>
      <c r="AU82" s="345"/>
      <c r="AV82" s="345"/>
      <c r="AW82" s="345"/>
      <c r="AX82" s="345"/>
    </row>
    <row r="83" spans="1:50">
      <c r="A83" s="345"/>
      <c r="B83" s="345"/>
      <c r="C83" s="345"/>
      <c r="D83" s="345"/>
      <c r="E83" s="345"/>
      <c r="F83" s="345"/>
      <c r="G83" s="345"/>
      <c r="H83" s="345"/>
      <c r="I83" s="345"/>
      <c r="J83" s="345"/>
      <c r="K83" s="345"/>
      <c r="L83" s="345"/>
      <c r="M83" s="345"/>
      <c r="N83" s="345"/>
      <c r="O83" s="345"/>
      <c r="P83" s="345"/>
      <c r="Q83" s="345"/>
      <c r="R83" s="345"/>
      <c r="S83" s="345"/>
      <c r="T83" s="345"/>
      <c r="U83" s="345"/>
      <c r="V83" s="345"/>
      <c r="W83" s="345"/>
      <c r="X83" s="345"/>
      <c r="Y83" s="345"/>
      <c r="Z83" s="345"/>
      <c r="AA83" s="345"/>
      <c r="AB83" s="345"/>
      <c r="AC83" s="345"/>
      <c r="AD83" s="345"/>
      <c r="AE83" s="345"/>
      <c r="AF83" s="345"/>
      <c r="AG83" s="345"/>
      <c r="AH83" s="345"/>
      <c r="AI83" s="345"/>
      <c r="AJ83" s="345"/>
      <c r="AK83" s="345"/>
      <c r="AL83" s="345"/>
      <c r="AM83" s="345"/>
      <c r="AN83" s="345"/>
      <c r="AO83" s="345"/>
      <c r="AP83" s="345"/>
      <c r="AQ83" s="345"/>
      <c r="AR83" s="345"/>
      <c r="AS83" s="345"/>
      <c r="AT83" s="345"/>
      <c r="AU83" s="345"/>
      <c r="AV83" s="345"/>
      <c r="AW83" s="345"/>
      <c r="AX83" s="345"/>
    </row>
    <row r="84" spans="1:50">
      <c r="A84" s="345"/>
      <c r="B84" s="345"/>
      <c r="C84" s="345"/>
      <c r="D84" s="345"/>
      <c r="E84" s="345"/>
      <c r="F84" s="345"/>
      <c r="G84" s="345"/>
      <c r="H84" s="345"/>
      <c r="I84" s="345"/>
      <c r="J84" s="345"/>
      <c r="K84" s="345"/>
      <c r="L84" s="345"/>
      <c r="M84" s="345"/>
      <c r="N84" s="345"/>
      <c r="O84" s="345"/>
      <c r="P84" s="345"/>
      <c r="Q84" s="345"/>
      <c r="R84" s="345"/>
      <c r="S84" s="345"/>
      <c r="T84" s="345"/>
      <c r="U84" s="345"/>
      <c r="V84" s="345"/>
      <c r="W84" s="345"/>
      <c r="X84" s="345"/>
      <c r="Y84" s="345"/>
      <c r="Z84" s="345"/>
      <c r="AA84" s="345"/>
      <c r="AB84" s="345"/>
      <c r="AC84" s="345"/>
      <c r="AD84" s="345"/>
      <c r="AE84" s="345"/>
      <c r="AF84" s="345"/>
      <c r="AG84" s="345"/>
      <c r="AH84" s="345"/>
      <c r="AI84" s="345"/>
      <c r="AJ84" s="345"/>
      <c r="AK84" s="345"/>
      <c r="AL84" s="345"/>
      <c r="AM84" s="345"/>
      <c r="AN84" s="345"/>
      <c r="AO84" s="345"/>
      <c r="AP84" s="345"/>
      <c r="AQ84" s="345"/>
      <c r="AR84" s="345"/>
      <c r="AS84" s="345"/>
      <c r="AT84" s="345"/>
      <c r="AU84" s="345"/>
      <c r="AV84" s="345"/>
      <c r="AW84" s="345"/>
      <c r="AX84" s="345"/>
    </row>
    <row r="85" spans="1:50">
      <c r="A85" s="345"/>
      <c r="B85" s="345"/>
      <c r="C85" s="345"/>
      <c r="D85" s="345"/>
      <c r="E85" s="345"/>
      <c r="F85" s="345"/>
      <c r="G85" s="345"/>
      <c r="H85" s="345"/>
      <c r="I85" s="345"/>
      <c r="J85" s="345"/>
      <c r="K85" s="345"/>
      <c r="L85" s="345"/>
      <c r="M85" s="345"/>
      <c r="N85" s="345"/>
      <c r="O85" s="345"/>
      <c r="P85" s="345"/>
      <c r="Q85" s="345"/>
      <c r="R85" s="345"/>
      <c r="S85" s="345"/>
      <c r="T85" s="345"/>
      <c r="U85" s="345"/>
      <c r="V85" s="345"/>
      <c r="W85" s="345"/>
      <c r="X85" s="345"/>
      <c r="Y85" s="345"/>
      <c r="Z85" s="345"/>
      <c r="AA85" s="345"/>
      <c r="AB85" s="345"/>
      <c r="AC85" s="345"/>
      <c r="AD85" s="345"/>
      <c r="AE85" s="345"/>
      <c r="AF85" s="345"/>
      <c r="AG85" s="345"/>
      <c r="AH85" s="345"/>
      <c r="AI85" s="345"/>
      <c r="AJ85" s="345"/>
      <c r="AK85" s="345"/>
      <c r="AL85" s="345"/>
      <c r="AM85" s="345"/>
      <c r="AN85" s="345"/>
      <c r="AO85" s="345"/>
      <c r="AP85" s="345"/>
      <c r="AQ85" s="345"/>
      <c r="AR85" s="345"/>
      <c r="AS85" s="345"/>
      <c r="AT85" s="345"/>
      <c r="AU85" s="345"/>
      <c r="AV85" s="345"/>
      <c r="AW85" s="345"/>
      <c r="AX85" s="345"/>
    </row>
    <row r="86" spans="1:50">
      <c r="A86" s="345"/>
      <c r="B86" s="345"/>
      <c r="C86" s="345"/>
      <c r="D86" s="345"/>
      <c r="E86" s="345"/>
      <c r="F86" s="345"/>
      <c r="G86" s="345"/>
      <c r="H86" s="345"/>
      <c r="I86" s="345"/>
      <c r="J86" s="345"/>
      <c r="K86" s="345"/>
      <c r="L86" s="345"/>
      <c r="M86" s="345"/>
      <c r="N86" s="345"/>
      <c r="O86" s="345"/>
      <c r="P86" s="345"/>
      <c r="Q86" s="345"/>
      <c r="R86" s="345"/>
      <c r="S86" s="345"/>
      <c r="T86" s="345"/>
      <c r="U86" s="345"/>
      <c r="V86" s="345"/>
      <c r="W86" s="345"/>
      <c r="X86" s="345"/>
      <c r="Y86" s="345"/>
      <c r="Z86" s="345"/>
      <c r="AA86" s="345"/>
      <c r="AB86" s="345"/>
      <c r="AC86" s="345"/>
      <c r="AD86" s="345"/>
      <c r="AE86" s="345"/>
      <c r="AF86" s="345"/>
      <c r="AG86" s="345"/>
      <c r="AH86" s="345"/>
      <c r="AI86" s="345"/>
      <c r="AJ86" s="345"/>
      <c r="AK86" s="345"/>
      <c r="AL86" s="345"/>
      <c r="AM86" s="345"/>
      <c r="AN86" s="345"/>
      <c r="AO86" s="345"/>
      <c r="AP86" s="345"/>
      <c r="AQ86" s="345"/>
      <c r="AR86" s="345"/>
      <c r="AS86" s="345"/>
      <c r="AT86" s="345"/>
      <c r="AU86" s="345"/>
      <c r="AV86" s="345"/>
      <c r="AW86" s="345"/>
      <c r="AX86" s="345"/>
    </row>
    <row r="87" spans="1:50">
      <c r="A87" s="345"/>
      <c r="B87" s="345"/>
      <c r="C87" s="345"/>
      <c r="D87" s="345"/>
      <c r="E87" s="345"/>
      <c r="F87" s="345"/>
      <c r="G87" s="345"/>
      <c r="H87" s="345"/>
      <c r="I87" s="345"/>
      <c r="J87" s="345"/>
      <c r="K87" s="345"/>
      <c r="L87" s="345"/>
      <c r="M87" s="345"/>
      <c r="N87" s="345"/>
      <c r="O87" s="345"/>
      <c r="P87" s="345"/>
      <c r="Q87" s="345"/>
      <c r="R87" s="345"/>
      <c r="S87" s="345"/>
      <c r="T87" s="345"/>
      <c r="U87" s="345"/>
      <c r="V87" s="345"/>
      <c r="W87" s="345"/>
      <c r="X87" s="345"/>
      <c r="Y87" s="345"/>
      <c r="Z87" s="345"/>
      <c r="AA87" s="345"/>
      <c r="AB87" s="345"/>
      <c r="AC87" s="345"/>
      <c r="AD87" s="345"/>
      <c r="AE87" s="345"/>
      <c r="AF87" s="345"/>
      <c r="AG87" s="345"/>
      <c r="AH87" s="345"/>
      <c r="AI87" s="345"/>
      <c r="AJ87" s="345"/>
      <c r="AK87" s="345"/>
      <c r="AL87" s="345"/>
      <c r="AM87" s="345"/>
      <c r="AN87" s="345"/>
      <c r="AO87" s="345"/>
      <c r="AP87" s="345"/>
      <c r="AQ87" s="345"/>
      <c r="AR87" s="345"/>
      <c r="AS87" s="345"/>
      <c r="AT87" s="345"/>
      <c r="AU87" s="345"/>
      <c r="AV87" s="345"/>
      <c r="AW87" s="345"/>
      <c r="AX87" s="345"/>
    </row>
    <row r="88" spans="1:50">
      <c r="A88" s="345"/>
      <c r="B88" s="345"/>
      <c r="C88" s="345"/>
      <c r="D88" s="345"/>
      <c r="E88" s="345"/>
      <c r="F88" s="345"/>
      <c r="G88" s="345"/>
      <c r="H88" s="345"/>
      <c r="I88" s="345"/>
      <c r="J88" s="345"/>
      <c r="K88" s="345"/>
      <c r="L88" s="345"/>
      <c r="M88" s="345"/>
      <c r="N88" s="345"/>
      <c r="O88" s="345"/>
      <c r="P88" s="345"/>
      <c r="Q88" s="345"/>
      <c r="R88" s="345"/>
      <c r="S88" s="345"/>
      <c r="T88" s="345"/>
      <c r="U88" s="345"/>
      <c r="V88" s="345"/>
      <c r="W88" s="345"/>
      <c r="X88" s="345"/>
      <c r="Y88" s="345"/>
      <c r="Z88" s="345"/>
      <c r="AA88" s="345"/>
      <c r="AB88" s="345"/>
      <c r="AC88" s="345"/>
      <c r="AD88" s="345"/>
      <c r="AE88" s="345"/>
      <c r="AF88" s="345"/>
      <c r="AG88" s="345"/>
      <c r="AH88" s="345"/>
      <c r="AI88" s="345"/>
      <c r="AJ88" s="345"/>
      <c r="AK88" s="345"/>
      <c r="AL88" s="345"/>
      <c r="AM88" s="345"/>
      <c r="AN88" s="345"/>
      <c r="AO88" s="345"/>
      <c r="AP88" s="345"/>
      <c r="AQ88" s="345"/>
      <c r="AR88" s="345"/>
      <c r="AS88" s="345"/>
      <c r="AT88" s="345"/>
      <c r="AU88" s="345"/>
      <c r="AV88" s="345"/>
      <c r="AW88" s="345"/>
      <c r="AX88" s="345"/>
    </row>
    <row r="89" spans="1:50">
      <c r="A89" s="345"/>
      <c r="B89" s="345"/>
      <c r="C89" s="345"/>
      <c r="D89" s="345"/>
      <c r="E89" s="345"/>
      <c r="F89" s="345"/>
      <c r="G89" s="345"/>
      <c r="H89" s="345"/>
      <c r="I89" s="345"/>
      <c r="J89" s="345"/>
      <c r="K89" s="345"/>
      <c r="L89" s="345"/>
      <c r="M89" s="345"/>
      <c r="N89" s="345"/>
      <c r="O89" s="345"/>
      <c r="P89" s="345"/>
      <c r="Q89" s="345"/>
      <c r="R89" s="345"/>
      <c r="S89" s="345"/>
      <c r="T89" s="345"/>
      <c r="U89" s="345"/>
      <c r="V89" s="345"/>
      <c r="W89" s="345"/>
      <c r="X89" s="345"/>
      <c r="Y89" s="345"/>
      <c r="Z89" s="345"/>
      <c r="AA89" s="345"/>
      <c r="AB89" s="345"/>
      <c r="AC89" s="345"/>
      <c r="AD89" s="345"/>
      <c r="AE89" s="345"/>
      <c r="AF89" s="345"/>
      <c r="AG89" s="345"/>
      <c r="AH89" s="345"/>
      <c r="AI89" s="345"/>
      <c r="AJ89" s="345"/>
      <c r="AK89" s="345"/>
      <c r="AL89" s="345"/>
      <c r="AM89" s="345"/>
      <c r="AN89" s="345"/>
      <c r="AO89" s="345"/>
      <c r="AP89" s="345"/>
      <c r="AQ89" s="345"/>
      <c r="AR89" s="345"/>
      <c r="AS89" s="345"/>
      <c r="AT89" s="345"/>
      <c r="AU89" s="345"/>
      <c r="AV89" s="345"/>
      <c r="AW89" s="345"/>
      <c r="AX89" s="345"/>
    </row>
    <row r="90" spans="1:50">
      <c r="A90" s="345"/>
      <c r="B90" s="345"/>
      <c r="C90" s="345"/>
      <c r="D90" s="345"/>
      <c r="E90" s="345"/>
      <c r="F90" s="345"/>
      <c r="G90" s="345"/>
      <c r="H90" s="345"/>
      <c r="I90" s="345"/>
      <c r="J90" s="345"/>
      <c r="K90" s="345"/>
      <c r="L90" s="345"/>
      <c r="M90" s="345"/>
      <c r="N90" s="345"/>
      <c r="O90" s="345"/>
      <c r="P90" s="345"/>
      <c r="Q90" s="345"/>
      <c r="R90" s="345"/>
      <c r="S90" s="345"/>
      <c r="T90" s="345"/>
      <c r="U90" s="345"/>
      <c r="V90" s="345"/>
      <c r="W90" s="345"/>
      <c r="X90" s="345"/>
      <c r="Y90" s="345"/>
      <c r="Z90" s="345"/>
      <c r="AA90" s="345"/>
      <c r="AB90" s="345"/>
      <c r="AC90" s="345"/>
      <c r="AD90" s="345"/>
      <c r="AE90" s="345"/>
      <c r="AF90" s="345"/>
      <c r="AG90" s="345"/>
      <c r="AH90" s="345"/>
      <c r="AI90" s="345"/>
      <c r="AJ90" s="345"/>
      <c r="AK90" s="345"/>
      <c r="AL90" s="345"/>
      <c r="AM90" s="345"/>
      <c r="AN90" s="345"/>
      <c r="AO90" s="345"/>
      <c r="AP90" s="345"/>
      <c r="AQ90" s="345"/>
      <c r="AR90" s="345"/>
      <c r="AS90" s="345"/>
      <c r="AT90" s="345"/>
      <c r="AU90" s="345"/>
      <c r="AV90" s="345"/>
      <c r="AW90" s="345"/>
      <c r="AX90" s="345"/>
    </row>
    <row r="91" spans="1:50">
      <c r="A91" s="345"/>
      <c r="B91" s="345"/>
      <c r="C91" s="345"/>
      <c r="D91" s="345"/>
      <c r="E91" s="345"/>
      <c r="F91" s="345"/>
      <c r="G91" s="345"/>
      <c r="H91" s="345"/>
      <c r="I91" s="345"/>
      <c r="J91" s="345"/>
      <c r="K91" s="345"/>
      <c r="L91" s="345"/>
      <c r="M91" s="345"/>
      <c r="N91" s="345"/>
      <c r="O91" s="345"/>
      <c r="P91" s="345"/>
      <c r="Q91" s="345"/>
      <c r="R91" s="345"/>
      <c r="S91" s="345"/>
      <c r="T91" s="345"/>
      <c r="U91" s="345"/>
      <c r="V91" s="345"/>
      <c r="W91" s="345"/>
      <c r="X91" s="345"/>
      <c r="Y91" s="345"/>
      <c r="Z91" s="345"/>
      <c r="AA91" s="345"/>
      <c r="AB91" s="345"/>
      <c r="AC91" s="345"/>
      <c r="AD91" s="345"/>
      <c r="AE91" s="345"/>
      <c r="AF91" s="345"/>
      <c r="AG91" s="345"/>
      <c r="AH91" s="345"/>
      <c r="AI91" s="345"/>
      <c r="AJ91" s="345"/>
      <c r="AK91" s="345"/>
      <c r="AL91" s="345"/>
      <c r="AM91" s="345"/>
      <c r="AN91" s="345"/>
      <c r="AO91" s="345"/>
      <c r="AP91" s="345"/>
      <c r="AQ91" s="345"/>
      <c r="AR91" s="345"/>
      <c r="AS91" s="345"/>
      <c r="AT91" s="345"/>
      <c r="AU91" s="345"/>
      <c r="AV91" s="345"/>
      <c r="AW91" s="345"/>
      <c r="AX91" s="345"/>
    </row>
    <row r="92" spans="1:50">
      <c r="A92" s="345"/>
      <c r="B92" s="345"/>
      <c r="C92" s="345"/>
      <c r="D92" s="345"/>
      <c r="E92" s="345"/>
      <c r="F92" s="345"/>
      <c r="G92" s="345"/>
      <c r="H92" s="345"/>
      <c r="I92" s="345"/>
      <c r="J92" s="345"/>
      <c r="K92" s="345"/>
      <c r="L92" s="345"/>
      <c r="M92" s="345"/>
      <c r="N92" s="345"/>
      <c r="O92" s="345"/>
      <c r="P92" s="345"/>
      <c r="Q92" s="345"/>
      <c r="R92" s="345"/>
      <c r="S92" s="345"/>
      <c r="T92" s="345"/>
      <c r="U92" s="345"/>
      <c r="V92" s="345"/>
      <c r="W92" s="345"/>
      <c r="X92" s="345"/>
      <c r="Y92" s="345"/>
      <c r="Z92" s="345"/>
      <c r="AA92" s="345"/>
      <c r="AB92" s="345"/>
      <c r="AC92" s="345"/>
      <c r="AD92" s="345"/>
      <c r="AE92" s="345"/>
      <c r="AF92" s="345"/>
      <c r="AG92" s="345"/>
      <c r="AH92" s="345"/>
      <c r="AI92" s="345"/>
      <c r="AJ92" s="345"/>
      <c r="AK92" s="345"/>
      <c r="AL92" s="345"/>
      <c r="AM92" s="345"/>
      <c r="AN92" s="345"/>
      <c r="AO92" s="345"/>
      <c r="AP92" s="345"/>
      <c r="AQ92" s="345"/>
      <c r="AR92" s="345"/>
      <c r="AS92" s="345"/>
      <c r="AT92" s="345"/>
      <c r="AU92" s="345"/>
      <c r="AV92" s="345"/>
      <c r="AW92" s="345"/>
      <c r="AX92" s="345"/>
    </row>
    <row r="93" spans="1:50">
      <c r="A93" s="345"/>
      <c r="B93" s="345"/>
      <c r="C93" s="345"/>
      <c r="D93" s="345"/>
      <c r="E93" s="345"/>
      <c r="F93" s="345"/>
      <c r="G93" s="345"/>
      <c r="H93" s="345"/>
      <c r="I93" s="345"/>
      <c r="J93" s="345"/>
      <c r="K93" s="345"/>
      <c r="L93" s="345"/>
      <c r="M93" s="345"/>
      <c r="N93" s="345"/>
      <c r="O93" s="345"/>
      <c r="P93" s="345"/>
      <c r="Q93" s="345"/>
      <c r="R93" s="345"/>
      <c r="S93" s="345"/>
      <c r="T93" s="345"/>
      <c r="U93" s="345"/>
      <c r="V93" s="345"/>
      <c r="W93" s="345"/>
      <c r="X93" s="345"/>
      <c r="Y93" s="345"/>
      <c r="Z93" s="345"/>
      <c r="AA93" s="345"/>
      <c r="AB93" s="345"/>
      <c r="AC93" s="345"/>
      <c r="AD93" s="345"/>
      <c r="AE93" s="345"/>
      <c r="AF93" s="345"/>
      <c r="AG93" s="345"/>
      <c r="AH93" s="345"/>
      <c r="AI93" s="345"/>
      <c r="AJ93" s="345"/>
      <c r="AK93" s="345"/>
      <c r="AL93" s="345"/>
      <c r="AM93" s="345"/>
      <c r="AN93" s="345"/>
      <c r="AO93" s="345"/>
      <c r="AP93" s="345"/>
      <c r="AQ93" s="345"/>
      <c r="AR93" s="345"/>
      <c r="AS93" s="345"/>
      <c r="AT93" s="345"/>
      <c r="AU93" s="345"/>
      <c r="AV93" s="345"/>
      <c r="AW93" s="345"/>
      <c r="AX93" s="345"/>
    </row>
    <row r="94" spans="1:50">
      <c r="A94" s="345"/>
      <c r="B94" s="345"/>
      <c r="C94" s="345"/>
      <c r="D94" s="345"/>
      <c r="E94" s="345"/>
      <c r="F94" s="345"/>
      <c r="G94" s="345"/>
      <c r="H94" s="345"/>
      <c r="I94" s="345"/>
      <c r="J94" s="345"/>
      <c r="K94" s="345"/>
      <c r="L94" s="345"/>
      <c r="M94" s="345"/>
      <c r="N94" s="345"/>
      <c r="O94" s="345"/>
      <c r="P94" s="345"/>
      <c r="Q94" s="345"/>
      <c r="R94" s="345"/>
      <c r="S94" s="345"/>
      <c r="T94" s="345"/>
      <c r="U94" s="345"/>
      <c r="V94" s="345"/>
      <c r="W94" s="345"/>
      <c r="X94" s="345"/>
      <c r="Y94" s="345"/>
      <c r="Z94" s="345"/>
      <c r="AA94" s="345"/>
      <c r="AB94" s="345"/>
      <c r="AC94" s="345"/>
      <c r="AD94" s="345"/>
      <c r="AE94" s="345"/>
      <c r="AF94" s="345"/>
      <c r="AG94" s="345"/>
      <c r="AH94" s="345"/>
      <c r="AI94" s="345"/>
      <c r="AJ94" s="345"/>
      <c r="AK94" s="345"/>
      <c r="AL94" s="345"/>
      <c r="AM94" s="345"/>
      <c r="AN94" s="345"/>
      <c r="AO94" s="345"/>
      <c r="AP94" s="345"/>
      <c r="AQ94" s="345"/>
      <c r="AR94" s="345"/>
      <c r="AS94" s="345"/>
      <c r="AT94" s="345"/>
      <c r="AU94" s="345"/>
      <c r="AV94" s="345"/>
      <c r="AW94" s="345"/>
      <c r="AX94" s="345"/>
    </row>
    <row r="95" spans="1:50">
      <c r="A95" s="345"/>
      <c r="B95" s="345"/>
      <c r="C95" s="345"/>
      <c r="D95" s="345"/>
      <c r="E95" s="345"/>
      <c r="F95" s="345"/>
      <c r="G95" s="345"/>
      <c r="H95" s="345"/>
      <c r="I95" s="345"/>
      <c r="J95" s="345"/>
      <c r="K95" s="345"/>
      <c r="L95" s="345"/>
      <c r="M95" s="345"/>
      <c r="N95" s="345"/>
      <c r="O95" s="345"/>
      <c r="P95" s="345"/>
      <c r="Q95" s="345"/>
      <c r="R95" s="345"/>
      <c r="S95" s="345"/>
      <c r="T95" s="345"/>
      <c r="U95" s="345"/>
      <c r="V95" s="345"/>
      <c r="W95" s="345"/>
      <c r="X95" s="345"/>
      <c r="Y95" s="345"/>
      <c r="Z95" s="345"/>
      <c r="AA95" s="345"/>
      <c r="AB95" s="345"/>
      <c r="AC95" s="345"/>
      <c r="AD95" s="345"/>
      <c r="AE95" s="345"/>
      <c r="AF95" s="345"/>
      <c r="AG95" s="345"/>
      <c r="AH95" s="345"/>
      <c r="AI95" s="345"/>
      <c r="AJ95" s="345"/>
      <c r="AK95" s="345"/>
      <c r="AL95" s="345"/>
      <c r="AM95" s="345"/>
      <c r="AN95" s="345"/>
      <c r="AO95" s="345"/>
      <c r="AP95" s="345"/>
      <c r="AQ95" s="345"/>
      <c r="AR95" s="345"/>
      <c r="AS95" s="345"/>
      <c r="AT95" s="345"/>
      <c r="AU95" s="345"/>
      <c r="AV95" s="345"/>
      <c r="AW95" s="345"/>
      <c r="AX95" s="345"/>
    </row>
    <row r="96" spans="1:50">
      <c r="A96" s="345"/>
      <c r="B96" s="345"/>
      <c r="C96" s="345"/>
      <c r="D96" s="345"/>
      <c r="E96" s="345"/>
      <c r="F96" s="345"/>
      <c r="G96" s="345"/>
      <c r="H96" s="345"/>
      <c r="I96" s="345"/>
      <c r="J96" s="345"/>
      <c r="K96" s="345"/>
      <c r="L96" s="345"/>
      <c r="M96" s="345"/>
      <c r="N96" s="345"/>
      <c r="O96" s="345"/>
      <c r="P96" s="345"/>
      <c r="Q96" s="345"/>
      <c r="R96" s="345"/>
      <c r="S96" s="345"/>
      <c r="T96" s="345"/>
      <c r="U96" s="345"/>
      <c r="V96" s="345"/>
      <c r="W96" s="345"/>
      <c r="X96" s="345"/>
      <c r="Y96" s="345"/>
      <c r="Z96" s="345"/>
      <c r="AA96" s="345"/>
      <c r="AB96" s="345"/>
      <c r="AC96" s="345"/>
      <c r="AD96" s="345"/>
      <c r="AE96" s="345"/>
      <c r="AF96" s="345"/>
      <c r="AG96" s="345"/>
      <c r="AH96" s="345"/>
      <c r="AI96" s="345"/>
      <c r="AJ96" s="345"/>
      <c r="AK96" s="345"/>
      <c r="AL96" s="345"/>
      <c r="AM96" s="345"/>
      <c r="AN96" s="345"/>
      <c r="AO96" s="345"/>
      <c r="AP96" s="345"/>
      <c r="AQ96" s="345"/>
      <c r="AR96" s="345"/>
      <c r="AS96" s="345"/>
      <c r="AT96" s="345"/>
      <c r="AU96" s="345"/>
      <c r="AV96" s="345"/>
      <c r="AW96" s="345"/>
      <c r="AX96" s="345"/>
    </row>
    <row r="97" spans="1:50">
      <c r="A97" s="345"/>
      <c r="B97" s="345"/>
      <c r="C97" s="345"/>
      <c r="D97" s="345"/>
      <c r="E97" s="345"/>
      <c r="F97" s="345"/>
      <c r="G97" s="345"/>
      <c r="H97" s="345"/>
      <c r="I97" s="345"/>
      <c r="J97" s="345"/>
      <c r="K97" s="345"/>
      <c r="L97" s="345"/>
      <c r="M97" s="345"/>
      <c r="N97" s="345"/>
      <c r="O97" s="345"/>
      <c r="P97" s="345"/>
      <c r="Q97" s="345"/>
      <c r="R97" s="345"/>
      <c r="S97" s="345"/>
      <c r="T97" s="345"/>
      <c r="U97" s="345"/>
      <c r="V97" s="345"/>
      <c r="W97" s="345"/>
      <c r="X97" s="345"/>
      <c r="Y97" s="345"/>
      <c r="Z97" s="345"/>
      <c r="AA97" s="345"/>
      <c r="AB97" s="345"/>
      <c r="AC97" s="345"/>
      <c r="AD97" s="345"/>
      <c r="AE97" s="345"/>
      <c r="AF97" s="345"/>
      <c r="AG97" s="345"/>
      <c r="AH97" s="345"/>
      <c r="AI97" s="345"/>
      <c r="AJ97" s="345"/>
      <c r="AK97" s="345"/>
      <c r="AL97" s="345"/>
      <c r="AM97" s="345"/>
      <c r="AN97" s="345"/>
      <c r="AO97" s="345"/>
      <c r="AP97" s="345"/>
      <c r="AQ97" s="345"/>
      <c r="AR97" s="345"/>
      <c r="AS97" s="345"/>
      <c r="AT97" s="345"/>
      <c r="AU97" s="345"/>
      <c r="AV97" s="345"/>
      <c r="AW97" s="345"/>
      <c r="AX97" s="345"/>
    </row>
    <row r="98" spans="1:50">
      <c r="A98" s="345"/>
      <c r="B98" s="345"/>
      <c r="C98" s="345"/>
      <c r="D98" s="345"/>
      <c r="E98" s="345"/>
      <c r="F98" s="345"/>
      <c r="G98" s="345"/>
      <c r="H98" s="345"/>
      <c r="I98" s="345"/>
      <c r="J98" s="345"/>
      <c r="K98" s="345"/>
      <c r="L98" s="345"/>
      <c r="M98" s="345"/>
      <c r="N98" s="345"/>
      <c r="O98" s="345"/>
      <c r="P98" s="345"/>
      <c r="Q98" s="345"/>
      <c r="R98" s="345"/>
      <c r="S98" s="345"/>
      <c r="T98" s="345"/>
      <c r="U98" s="345"/>
      <c r="V98" s="345"/>
      <c r="W98" s="345"/>
      <c r="X98" s="345"/>
      <c r="Y98" s="345"/>
      <c r="Z98" s="345"/>
      <c r="AA98" s="345"/>
      <c r="AB98" s="345"/>
      <c r="AC98" s="345"/>
      <c r="AD98" s="345"/>
      <c r="AE98" s="345"/>
      <c r="AF98" s="345"/>
      <c r="AG98" s="345"/>
      <c r="AH98" s="345"/>
      <c r="AI98" s="345"/>
      <c r="AJ98" s="345"/>
      <c r="AK98" s="345"/>
      <c r="AL98" s="345"/>
      <c r="AM98" s="345"/>
      <c r="AN98" s="345"/>
      <c r="AO98" s="345"/>
      <c r="AP98" s="345"/>
      <c r="AQ98" s="345"/>
      <c r="AR98" s="345"/>
      <c r="AS98" s="345"/>
      <c r="AT98" s="345"/>
      <c r="AU98" s="345"/>
      <c r="AV98" s="345"/>
      <c r="AW98" s="345"/>
      <c r="AX98" s="345"/>
    </row>
    <row r="99" spans="1:50">
      <c r="A99" s="345"/>
      <c r="B99" s="345"/>
      <c r="C99" s="345"/>
      <c r="D99" s="345"/>
      <c r="E99" s="345"/>
      <c r="F99" s="345"/>
      <c r="G99" s="345"/>
      <c r="H99" s="345"/>
      <c r="I99" s="345"/>
      <c r="J99" s="345"/>
      <c r="K99" s="345"/>
      <c r="L99" s="345"/>
      <c r="M99" s="345"/>
      <c r="N99" s="345"/>
      <c r="O99" s="345"/>
      <c r="P99" s="345"/>
      <c r="Q99" s="345"/>
      <c r="R99" s="345"/>
      <c r="S99" s="345"/>
      <c r="T99" s="345"/>
      <c r="U99" s="345"/>
      <c r="V99" s="345"/>
      <c r="W99" s="345"/>
      <c r="X99" s="345"/>
      <c r="Y99" s="345"/>
      <c r="Z99" s="345"/>
      <c r="AA99" s="345"/>
      <c r="AB99" s="345"/>
      <c r="AC99" s="345"/>
      <c r="AD99" s="345"/>
      <c r="AE99" s="345"/>
      <c r="AF99" s="345"/>
      <c r="AG99" s="345"/>
      <c r="AH99" s="345"/>
      <c r="AI99" s="345"/>
      <c r="AJ99" s="345"/>
      <c r="AK99" s="345"/>
      <c r="AL99" s="345"/>
      <c r="AM99" s="345"/>
      <c r="AN99" s="345"/>
      <c r="AO99" s="345"/>
      <c r="AP99" s="345"/>
      <c r="AQ99" s="345"/>
      <c r="AR99" s="345"/>
      <c r="AS99" s="345"/>
      <c r="AT99" s="345"/>
      <c r="AU99" s="345"/>
      <c r="AV99" s="345"/>
      <c r="AW99" s="345"/>
      <c r="AX99" s="345"/>
    </row>
    <row r="100" spans="1:50">
      <c r="A100" s="345"/>
      <c r="B100" s="345"/>
      <c r="C100" s="345"/>
      <c r="D100" s="345"/>
      <c r="E100" s="345"/>
      <c r="F100" s="345"/>
      <c r="G100" s="345"/>
      <c r="H100" s="345"/>
      <c r="I100" s="345"/>
      <c r="J100" s="345"/>
      <c r="K100" s="345"/>
      <c r="L100" s="345"/>
      <c r="M100" s="345"/>
      <c r="N100" s="345"/>
      <c r="O100" s="345"/>
      <c r="P100" s="345"/>
      <c r="Q100" s="345"/>
      <c r="R100" s="345"/>
      <c r="S100" s="345"/>
      <c r="T100" s="345"/>
      <c r="U100" s="345"/>
      <c r="V100" s="345"/>
      <c r="W100" s="345"/>
      <c r="X100" s="345"/>
      <c r="Y100" s="345"/>
      <c r="Z100" s="345"/>
      <c r="AA100" s="345"/>
      <c r="AB100" s="345"/>
      <c r="AC100" s="345"/>
      <c r="AD100" s="345"/>
      <c r="AE100" s="345"/>
      <c r="AF100" s="345"/>
      <c r="AG100" s="345"/>
      <c r="AH100" s="345"/>
      <c r="AI100" s="345"/>
      <c r="AJ100" s="345"/>
      <c r="AK100" s="345"/>
      <c r="AL100" s="345"/>
      <c r="AM100" s="345"/>
      <c r="AN100" s="345"/>
      <c r="AO100" s="345"/>
      <c r="AP100" s="345"/>
      <c r="AQ100" s="345"/>
      <c r="AR100" s="345"/>
      <c r="AS100" s="345"/>
      <c r="AT100" s="345"/>
      <c r="AU100" s="345"/>
      <c r="AV100" s="345"/>
      <c r="AW100" s="345"/>
      <c r="AX100" s="345"/>
    </row>
    <row r="101" spans="1:50">
      <c r="A101" s="345"/>
      <c r="B101" s="345"/>
      <c r="C101" s="345"/>
      <c r="D101" s="345"/>
      <c r="E101" s="345"/>
      <c r="F101" s="345"/>
      <c r="G101" s="345"/>
      <c r="H101" s="345"/>
      <c r="I101" s="345"/>
      <c r="J101" s="345"/>
      <c r="K101" s="345"/>
      <c r="L101" s="345"/>
      <c r="M101" s="345"/>
      <c r="N101" s="345"/>
      <c r="O101" s="345"/>
      <c r="P101" s="345"/>
      <c r="Q101" s="345"/>
      <c r="R101" s="345"/>
      <c r="S101" s="345"/>
      <c r="T101" s="345"/>
      <c r="U101" s="345"/>
      <c r="V101" s="345"/>
      <c r="W101" s="345"/>
      <c r="X101" s="345"/>
      <c r="Y101" s="345"/>
      <c r="Z101" s="345"/>
      <c r="AA101" s="345"/>
      <c r="AB101" s="345"/>
      <c r="AC101" s="345"/>
      <c r="AD101" s="345"/>
      <c r="AE101" s="345"/>
      <c r="AF101" s="345"/>
      <c r="AG101" s="345"/>
      <c r="AH101" s="345"/>
      <c r="AI101" s="345"/>
      <c r="AJ101" s="345"/>
      <c r="AK101" s="345"/>
      <c r="AL101" s="345"/>
      <c r="AM101" s="345"/>
      <c r="AN101" s="345"/>
      <c r="AO101" s="345"/>
      <c r="AP101" s="345"/>
      <c r="AQ101" s="345"/>
      <c r="AR101" s="345"/>
      <c r="AS101" s="345"/>
      <c r="AT101" s="345"/>
      <c r="AU101" s="345"/>
      <c r="AV101" s="345"/>
      <c r="AW101" s="345"/>
      <c r="AX101" s="345"/>
    </row>
    <row r="102" spans="1:50">
      <c r="A102" s="345"/>
      <c r="B102" s="345"/>
      <c r="C102" s="345"/>
      <c r="D102" s="345"/>
      <c r="E102" s="345"/>
      <c r="F102" s="345"/>
      <c r="G102" s="345"/>
      <c r="H102" s="345"/>
      <c r="I102" s="345"/>
      <c r="J102" s="345"/>
      <c r="K102" s="345"/>
      <c r="L102" s="345"/>
      <c r="M102" s="345"/>
      <c r="N102" s="345"/>
      <c r="O102" s="345"/>
      <c r="P102" s="345"/>
      <c r="Q102" s="345"/>
      <c r="R102" s="345"/>
      <c r="S102" s="345"/>
      <c r="T102" s="345"/>
      <c r="U102" s="345"/>
      <c r="V102" s="345"/>
      <c r="W102" s="345"/>
      <c r="X102" s="345"/>
      <c r="Y102" s="345"/>
      <c r="Z102" s="345"/>
      <c r="AA102" s="345"/>
      <c r="AB102" s="345"/>
      <c r="AC102" s="345"/>
      <c r="AD102" s="345"/>
      <c r="AE102" s="345"/>
      <c r="AF102" s="345"/>
      <c r="AG102" s="345"/>
      <c r="AH102" s="345"/>
      <c r="AI102" s="345"/>
      <c r="AJ102" s="345"/>
      <c r="AK102" s="345"/>
      <c r="AL102" s="345"/>
      <c r="AM102" s="345"/>
      <c r="AN102" s="345"/>
      <c r="AO102" s="345"/>
      <c r="AP102" s="345"/>
      <c r="AQ102" s="345"/>
      <c r="AR102" s="345"/>
      <c r="AS102" s="345"/>
      <c r="AT102" s="345"/>
      <c r="AU102" s="345"/>
      <c r="AV102" s="345"/>
      <c r="AW102" s="345"/>
      <c r="AX102" s="345"/>
    </row>
    <row r="103" spans="1:50">
      <c r="A103" s="345"/>
      <c r="B103" s="345"/>
      <c r="C103" s="345"/>
      <c r="D103" s="345"/>
      <c r="E103" s="345"/>
      <c r="F103" s="345"/>
      <c r="G103" s="345"/>
      <c r="H103" s="345"/>
      <c r="I103" s="345"/>
      <c r="J103" s="345"/>
      <c r="K103" s="345"/>
      <c r="L103" s="345"/>
      <c r="M103" s="345"/>
      <c r="N103" s="345"/>
      <c r="O103" s="345"/>
      <c r="P103" s="345"/>
      <c r="Q103" s="345"/>
      <c r="R103" s="345"/>
      <c r="S103" s="345"/>
      <c r="T103" s="345"/>
      <c r="U103" s="345"/>
      <c r="V103" s="345"/>
      <c r="W103" s="345"/>
      <c r="X103" s="345"/>
      <c r="Y103" s="345"/>
      <c r="Z103" s="345"/>
      <c r="AA103" s="345"/>
      <c r="AB103" s="345"/>
      <c r="AC103" s="345"/>
      <c r="AD103" s="345"/>
      <c r="AE103" s="345"/>
      <c r="AF103" s="345"/>
      <c r="AG103" s="345"/>
      <c r="AH103" s="345"/>
      <c r="AI103" s="345"/>
      <c r="AJ103" s="345"/>
      <c r="AK103" s="345"/>
      <c r="AL103" s="345"/>
      <c r="AM103" s="345"/>
      <c r="AN103" s="345"/>
      <c r="AO103" s="345"/>
      <c r="AP103" s="345"/>
      <c r="AQ103" s="345"/>
      <c r="AR103" s="345"/>
      <c r="AS103" s="345"/>
      <c r="AT103" s="345"/>
      <c r="AU103" s="345"/>
      <c r="AV103" s="345"/>
      <c r="AW103" s="345"/>
      <c r="AX103" s="345"/>
    </row>
    <row r="104" spans="1:50">
      <c r="A104" s="345"/>
      <c r="B104" s="345"/>
      <c r="C104" s="345"/>
      <c r="D104" s="345"/>
      <c r="E104" s="345"/>
      <c r="F104" s="345"/>
      <c r="G104" s="345"/>
      <c r="H104" s="345"/>
      <c r="I104" s="345"/>
      <c r="J104" s="345"/>
      <c r="K104" s="345"/>
      <c r="L104" s="345"/>
      <c r="M104" s="345"/>
      <c r="N104" s="345"/>
      <c r="O104" s="345"/>
      <c r="P104" s="345"/>
      <c r="Q104" s="345"/>
      <c r="R104" s="345"/>
      <c r="S104" s="345"/>
      <c r="T104" s="345"/>
      <c r="U104" s="345"/>
      <c r="V104" s="345"/>
      <c r="W104" s="345"/>
      <c r="X104" s="345"/>
      <c r="Y104" s="345"/>
      <c r="Z104" s="345"/>
      <c r="AA104" s="345"/>
      <c r="AB104" s="345"/>
      <c r="AC104" s="345"/>
      <c r="AD104" s="345"/>
      <c r="AE104" s="345"/>
      <c r="AF104" s="345"/>
      <c r="AG104" s="345"/>
      <c r="AH104" s="345"/>
      <c r="AI104" s="345"/>
      <c r="AJ104" s="345"/>
      <c r="AK104" s="345"/>
      <c r="AL104" s="345"/>
      <c r="AM104" s="345"/>
      <c r="AN104" s="345"/>
      <c r="AO104" s="345"/>
      <c r="AP104" s="345"/>
      <c r="AQ104" s="345"/>
      <c r="AR104" s="345"/>
      <c r="AS104" s="345"/>
      <c r="AT104" s="345"/>
      <c r="AU104" s="345"/>
      <c r="AV104" s="345"/>
      <c r="AW104" s="345"/>
      <c r="AX104" s="345"/>
    </row>
    <row r="105" spans="1:50">
      <c r="A105" s="345"/>
      <c r="B105" s="345"/>
      <c r="C105" s="345"/>
      <c r="D105" s="345"/>
      <c r="E105" s="345"/>
      <c r="F105" s="345"/>
      <c r="G105" s="345"/>
      <c r="H105" s="345"/>
      <c r="I105" s="345"/>
      <c r="J105" s="345"/>
      <c r="K105" s="345"/>
      <c r="L105" s="345"/>
      <c r="M105" s="345"/>
      <c r="N105" s="345"/>
      <c r="O105" s="345"/>
      <c r="P105" s="345"/>
      <c r="Q105" s="345"/>
      <c r="R105" s="345"/>
      <c r="S105" s="345"/>
      <c r="T105" s="345"/>
      <c r="U105" s="345"/>
      <c r="V105" s="345"/>
      <c r="W105" s="345"/>
      <c r="X105" s="345"/>
      <c r="Y105" s="345"/>
      <c r="Z105" s="345"/>
      <c r="AA105" s="345"/>
      <c r="AB105" s="345"/>
      <c r="AC105" s="345"/>
      <c r="AD105" s="345"/>
      <c r="AE105" s="345"/>
      <c r="AF105" s="345"/>
      <c r="AG105" s="345"/>
      <c r="AH105" s="345"/>
      <c r="AI105" s="345"/>
      <c r="AJ105" s="345"/>
      <c r="AK105" s="345"/>
      <c r="AL105" s="345"/>
      <c r="AM105" s="345"/>
      <c r="AN105" s="345"/>
      <c r="AO105" s="345"/>
      <c r="AP105" s="345"/>
      <c r="AQ105" s="345"/>
      <c r="AR105" s="345"/>
      <c r="AS105" s="345"/>
      <c r="AT105" s="345"/>
      <c r="AU105" s="345"/>
      <c r="AV105" s="345"/>
      <c r="AW105" s="345"/>
      <c r="AX105" s="345"/>
    </row>
    <row r="106" spans="1:50">
      <c r="A106" s="345"/>
      <c r="B106" s="345"/>
      <c r="C106" s="345"/>
      <c r="D106" s="345"/>
      <c r="E106" s="345"/>
      <c r="F106" s="345"/>
      <c r="G106" s="345"/>
      <c r="H106" s="345"/>
      <c r="I106" s="345"/>
      <c r="J106" s="345"/>
      <c r="K106" s="345"/>
      <c r="L106" s="345"/>
      <c r="M106" s="345"/>
      <c r="N106" s="345"/>
      <c r="O106" s="345"/>
      <c r="P106" s="345"/>
      <c r="Q106" s="345"/>
      <c r="R106" s="345"/>
      <c r="S106" s="345"/>
      <c r="T106" s="345"/>
      <c r="U106" s="345"/>
      <c r="V106" s="345"/>
      <c r="W106" s="345"/>
      <c r="X106" s="345"/>
      <c r="Y106" s="345"/>
      <c r="Z106" s="345"/>
      <c r="AA106" s="345"/>
      <c r="AB106" s="345"/>
      <c r="AC106" s="345"/>
      <c r="AD106" s="345"/>
      <c r="AE106" s="345"/>
      <c r="AF106" s="345"/>
      <c r="AG106" s="345"/>
      <c r="AH106" s="345"/>
      <c r="AI106" s="345"/>
      <c r="AJ106" s="345"/>
      <c r="AK106" s="345"/>
      <c r="AL106" s="345"/>
      <c r="AM106" s="345"/>
      <c r="AN106" s="345"/>
      <c r="AO106" s="345"/>
      <c r="AP106" s="345"/>
      <c r="AQ106" s="345"/>
      <c r="AR106" s="345"/>
      <c r="AS106" s="345"/>
      <c r="AT106" s="345"/>
      <c r="AU106" s="345"/>
      <c r="AV106" s="345"/>
      <c r="AW106" s="345"/>
      <c r="AX106" s="345"/>
    </row>
    <row r="107" spans="1:50">
      <c r="A107" s="345"/>
      <c r="B107" s="345"/>
      <c r="C107" s="345"/>
      <c r="D107" s="345"/>
      <c r="E107" s="345"/>
      <c r="F107" s="345"/>
      <c r="G107" s="345"/>
      <c r="H107" s="345"/>
      <c r="I107" s="345"/>
      <c r="J107" s="345"/>
      <c r="K107" s="345"/>
      <c r="L107" s="345"/>
      <c r="M107" s="345"/>
      <c r="N107" s="345"/>
      <c r="O107" s="345"/>
      <c r="P107" s="345"/>
      <c r="Q107" s="345"/>
      <c r="R107" s="345"/>
      <c r="S107" s="345"/>
      <c r="T107" s="345"/>
      <c r="U107" s="345"/>
      <c r="V107" s="345"/>
      <c r="W107" s="345"/>
      <c r="X107" s="345"/>
      <c r="Y107" s="345"/>
      <c r="Z107" s="345"/>
      <c r="AA107" s="345"/>
      <c r="AB107" s="345"/>
      <c r="AC107" s="345"/>
      <c r="AD107" s="345"/>
      <c r="AE107" s="345"/>
      <c r="AF107" s="345"/>
      <c r="AG107" s="345"/>
      <c r="AH107" s="345"/>
      <c r="AI107" s="345"/>
      <c r="AJ107" s="345"/>
      <c r="AK107" s="345"/>
      <c r="AL107" s="345"/>
      <c r="AM107" s="345"/>
      <c r="AN107" s="345"/>
      <c r="AO107" s="345"/>
      <c r="AP107" s="345"/>
      <c r="AQ107" s="345"/>
      <c r="AR107" s="345"/>
      <c r="AS107" s="345"/>
      <c r="AT107" s="345"/>
      <c r="AU107" s="345"/>
      <c r="AV107" s="345"/>
      <c r="AW107" s="345"/>
      <c r="AX107" s="345"/>
    </row>
    <row r="108" spans="1:50">
      <c r="A108" s="345"/>
      <c r="B108" s="345"/>
      <c r="C108" s="345"/>
      <c r="D108" s="345"/>
      <c r="E108" s="345"/>
      <c r="F108" s="345"/>
      <c r="G108" s="345"/>
      <c r="H108" s="345"/>
      <c r="I108" s="345"/>
      <c r="J108" s="345"/>
      <c r="K108" s="345"/>
      <c r="L108" s="345"/>
      <c r="M108" s="345"/>
      <c r="N108" s="345"/>
      <c r="O108" s="345"/>
      <c r="P108" s="345"/>
      <c r="Q108" s="345"/>
      <c r="R108" s="345"/>
      <c r="S108" s="345"/>
      <c r="T108" s="345"/>
      <c r="U108" s="345"/>
      <c r="V108" s="345"/>
      <c r="W108" s="345"/>
      <c r="X108" s="345"/>
      <c r="Y108" s="345"/>
      <c r="Z108" s="345"/>
      <c r="AA108" s="345"/>
      <c r="AB108" s="345"/>
      <c r="AC108" s="345"/>
      <c r="AD108" s="345"/>
      <c r="AE108" s="345"/>
      <c r="AF108" s="345"/>
      <c r="AG108" s="345"/>
      <c r="AH108" s="345"/>
      <c r="AI108" s="345"/>
      <c r="AJ108" s="345"/>
      <c r="AK108" s="345"/>
      <c r="AL108" s="345"/>
      <c r="AM108" s="345"/>
      <c r="AN108" s="345"/>
      <c r="AO108" s="345"/>
      <c r="AP108" s="345"/>
      <c r="AQ108" s="345"/>
      <c r="AR108" s="345"/>
      <c r="AS108" s="345"/>
      <c r="AT108" s="345"/>
      <c r="AU108" s="345"/>
      <c r="AV108" s="345"/>
      <c r="AW108" s="345"/>
      <c r="AX108" s="345"/>
    </row>
    <row r="109" spans="1:50">
      <c r="A109" s="345"/>
      <c r="B109" s="345"/>
      <c r="C109" s="345"/>
      <c r="D109" s="345"/>
      <c r="E109" s="345"/>
      <c r="F109" s="345"/>
      <c r="G109" s="345"/>
      <c r="H109" s="345"/>
      <c r="I109" s="345"/>
      <c r="J109" s="345"/>
      <c r="K109" s="345"/>
      <c r="L109" s="345"/>
      <c r="M109" s="345"/>
      <c r="N109" s="345"/>
      <c r="O109" s="345"/>
      <c r="P109" s="345"/>
      <c r="Q109" s="345"/>
      <c r="R109" s="345"/>
      <c r="S109" s="345"/>
      <c r="T109" s="345"/>
      <c r="U109" s="345"/>
      <c r="V109" s="345"/>
      <c r="W109" s="345"/>
      <c r="X109" s="345"/>
      <c r="Y109" s="345"/>
      <c r="Z109" s="345"/>
      <c r="AA109" s="345"/>
      <c r="AB109" s="345"/>
      <c r="AC109" s="345"/>
      <c r="AD109" s="345"/>
      <c r="AE109" s="345"/>
      <c r="AF109" s="345"/>
      <c r="AG109" s="345"/>
      <c r="AH109" s="345"/>
      <c r="AI109" s="345"/>
      <c r="AJ109" s="345"/>
      <c r="AK109" s="345"/>
      <c r="AL109" s="345"/>
      <c r="AM109" s="345"/>
      <c r="AN109" s="345"/>
      <c r="AO109" s="345"/>
      <c r="AP109" s="345"/>
      <c r="AQ109" s="345"/>
      <c r="AR109" s="345"/>
      <c r="AS109" s="345"/>
      <c r="AT109" s="345"/>
      <c r="AU109" s="345"/>
      <c r="AV109" s="345"/>
      <c r="AW109" s="345"/>
      <c r="AX109" s="345"/>
    </row>
    <row r="110" spans="1:50">
      <c r="A110" s="345"/>
      <c r="B110" s="345"/>
      <c r="C110" s="345"/>
      <c r="D110" s="345"/>
      <c r="E110" s="345"/>
      <c r="F110" s="345"/>
      <c r="G110" s="345"/>
      <c r="H110" s="345"/>
      <c r="I110" s="345"/>
      <c r="J110" s="345"/>
      <c r="K110" s="345"/>
      <c r="L110" s="345"/>
      <c r="M110" s="345"/>
      <c r="N110" s="345"/>
      <c r="O110" s="345"/>
      <c r="P110" s="345"/>
      <c r="Q110" s="345"/>
      <c r="R110" s="345"/>
      <c r="S110" s="345"/>
      <c r="T110" s="345"/>
      <c r="U110" s="345"/>
      <c r="V110" s="345"/>
      <c r="W110" s="345"/>
      <c r="X110" s="345"/>
      <c r="Y110" s="345"/>
      <c r="Z110" s="345"/>
      <c r="AA110" s="345"/>
      <c r="AB110" s="345"/>
      <c r="AC110" s="345"/>
      <c r="AD110" s="345"/>
      <c r="AE110" s="345"/>
      <c r="AF110" s="345"/>
      <c r="AG110" s="345"/>
      <c r="AH110" s="345"/>
      <c r="AI110" s="345"/>
      <c r="AJ110" s="345"/>
      <c r="AK110" s="345"/>
      <c r="AL110" s="345"/>
      <c r="AM110" s="345"/>
      <c r="AN110" s="345"/>
      <c r="AO110" s="345"/>
      <c r="AP110" s="345"/>
      <c r="AQ110" s="345"/>
      <c r="AR110" s="345"/>
      <c r="AS110" s="345"/>
      <c r="AT110" s="345"/>
      <c r="AU110" s="345"/>
      <c r="AV110" s="345"/>
      <c r="AW110" s="345"/>
      <c r="AX110" s="345"/>
    </row>
    <row r="111" spans="1:50">
      <c r="A111" s="345"/>
      <c r="B111" s="345"/>
      <c r="C111" s="345"/>
      <c r="D111" s="345"/>
      <c r="E111" s="345"/>
      <c r="F111" s="345"/>
      <c r="G111" s="345"/>
      <c r="H111" s="345"/>
      <c r="I111" s="345"/>
      <c r="J111" s="345"/>
      <c r="K111" s="345"/>
      <c r="L111" s="345"/>
      <c r="M111" s="345"/>
      <c r="N111" s="345"/>
      <c r="O111" s="345"/>
      <c r="P111" s="345"/>
      <c r="Q111" s="345"/>
      <c r="R111" s="345"/>
      <c r="S111" s="345"/>
      <c r="T111" s="345"/>
      <c r="U111" s="345"/>
      <c r="V111" s="345"/>
      <c r="W111" s="345"/>
      <c r="X111" s="345"/>
      <c r="Y111" s="345"/>
      <c r="Z111" s="345"/>
      <c r="AA111" s="345"/>
      <c r="AB111" s="345"/>
      <c r="AC111" s="345"/>
      <c r="AD111" s="345"/>
      <c r="AE111" s="345"/>
      <c r="AF111" s="345"/>
      <c r="AG111" s="345"/>
      <c r="AH111" s="345"/>
      <c r="AI111" s="345"/>
      <c r="AJ111" s="345"/>
      <c r="AK111" s="345"/>
      <c r="AL111" s="345"/>
      <c r="AM111" s="345"/>
      <c r="AN111" s="345"/>
      <c r="AO111" s="345"/>
      <c r="AP111" s="345"/>
      <c r="AQ111" s="345"/>
      <c r="AR111" s="345"/>
      <c r="AS111" s="345"/>
      <c r="AT111" s="345"/>
      <c r="AU111" s="345"/>
      <c r="AV111" s="345"/>
      <c r="AW111" s="345"/>
      <c r="AX111" s="345"/>
    </row>
    <row r="112" spans="1:50">
      <c r="A112" s="345"/>
      <c r="B112" s="345"/>
      <c r="C112" s="345"/>
      <c r="D112" s="345"/>
      <c r="E112" s="345"/>
      <c r="F112" s="345"/>
      <c r="G112" s="345"/>
      <c r="H112" s="345"/>
      <c r="I112" s="345"/>
      <c r="J112" s="345"/>
      <c r="K112" s="345"/>
      <c r="L112" s="345"/>
      <c r="M112" s="345"/>
      <c r="N112" s="345"/>
      <c r="O112" s="345"/>
      <c r="P112" s="345"/>
      <c r="Q112" s="345"/>
      <c r="R112" s="345"/>
      <c r="S112" s="345"/>
      <c r="T112" s="345"/>
      <c r="U112" s="345"/>
      <c r="V112" s="345"/>
      <c r="W112" s="345"/>
      <c r="X112" s="345"/>
      <c r="Y112" s="345"/>
      <c r="Z112" s="345"/>
      <c r="AA112" s="345"/>
      <c r="AB112" s="345"/>
      <c r="AC112" s="345"/>
      <c r="AD112" s="345"/>
      <c r="AE112" s="345"/>
      <c r="AF112" s="345"/>
      <c r="AG112" s="345"/>
      <c r="AH112" s="345"/>
      <c r="AI112" s="345"/>
      <c r="AJ112" s="345"/>
      <c r="AK112" s="345"/>
      <c r="AL112" s="345"/>
      <c r="AM112" s="345"/>
      <c r="AN112" s="345"/>
      <c r="AO112" s="345"/>
      <c r="AP112" s="345"/>
      <c r="AQ112" s="345"/>
      <c r="AR112" s="345"/>
      <c r="AS112" s="345"/>
      <c r="AT112" s="345"/>
      <c r="AU112" s="345"/>
      <c r="AV112" s="345"/>
      <c r="AW112" s="345"/>
      <c r="AX112" s="345"/>
    </row>
    <row r="113" spans="1:50">
      <c r="A113" s="345"/>
      <c r="B113" s="345"/>
      <c r="C113" s="345"/>
      <c r="D113" s="345"/>
      <c r="E113" s="345"/>
      <c r="F113" s="345"/>
      <c r="G113" s="345"/>
      <c r="H113" s="345"/>
      <c r="I113" s="345"/>
      <c r="J113" s="345"/>
      <c r="K113" s="345"/>
      <c r="L113" s="345"/>
      <c r="M113" s="345"/>
      <c r="N113" s="345"/>
      <c r="O113" s="345"/>
      <c r="P113" s="345"/>
      <c r="Q113" s="345"/>
      <c r="R113" s="345"/>
      <c r="S113" s="345"/>
      <c r="T113" s="345"/>
      <c r="U113" s="345"/>
      <c r="V113" s="345"/>
      <c r="W113" s="345"/>
      <c r="X113" s="345"/>
      <c r="Y113" s="345"/>
      <c r="Z113" s="345"/>
      <c r="AA113" s="345"/>
      <c r="AB113" s="345"/>
      <c r="AC113" s="345"/>
      <c r="AD113" s="345"/>
      <c r="AE113" s="345"/>
      <c r="AF113" s="345"/>
      <c r="AG113" s="345"/>
      <c r="AH113" s="345"/>
      <c r="AI113" s="345"/>
      <c r="AJ113" s="345"/>
      <c r="AK113" s="345"/>
      <c r="AL113" s="345"/>
      <c r="AM113" s="345"/>
      <c r="AN113" s="345"/>
      <c r="AO113" s="345"/>
      <c r="AP113" s="345"/>
      <c r="AQ113" s="345"/>
      <c r="AR113" s="345"/>
      <c r="AS113" s="345"/>
      <c r="AT113" s="345"/>
      <c r="AU113" s="345"/>
      <c r="AV113" s="345"/>
      <c r="AW113" s="345"/>
      <c r="AX113" s="345"/>
    </row>
    <row r="114" spans="1:50">
      <c r="A114" s="345"/>
      <c r="B114" s="345"/>
      <c r="C114" s="345"/>
      <c r="D114" s="345"/>
      <c r="E114" s="345"/>
      <c r="F114" s="345"/>
      <c r="G114" s="345"/>
      <c r="H114" s="345"/>
      <c r="I114" s="345"/>
      <c r="J114" s="345"/>
      <c r="K114" s="345"/>
      <c r="L114" s="345"/>
      <c r="M114" s="345"/>
      <c r="N114" s="345"/>
      <c r="O114" s="345"/>
      <c r="P114" s="345"/>
      <c r="Q114" s="345"/>
      <c r="R114" s="345"/>
      <c r="S114" s="345"/>
      <c r="T114" s="345"/>
      <c r="U114" s="345"/>
      <c r="V114" s="345"/>
      <c r="W114" s="345"/>
      <c r="X114" s="345"/>
      <c r="Y114" s="345"/>
      <c r="Z114" s="345"/>
      <c r="AA114" s="345"/>
      <c r="AB114" s="345"/>
      <c r="AC114" s="345"/>
      <c r="AD114" s="345"/>
      <c r="AE114" s="345"/>
      <c r="AF114" s="345"/>
      <c r="AG114" s="345"/>
      <c r="AH114" s="345"/>
      <c r="AI114" s="345"/>
      <c r="AJ114" s="345"/>
      <c r="AK114" s="345"/>
      <c r="AL114" s="345"/>
      <c r="AM114" s="345"/>
      <c r="AN114" s="345"/>
      <c r="AO114" s="345"/>
      <c r="AP114" s="345"/>
      <c r="AQ114" s="345"/>
      <c r="AR114" s="345"/>
      <c r="AS114" s="345"/>
      <c r="AT114" s="345"/>
      <c r="AU114" s="345"/>
      <c r="AV114" s="345"/>
      <c r="AW114" s="345"/>
      <c r="AX114" s="345"/>
    </row>
    <row r="115" spans="1:50">
      <c r="A115" s="345"/>
      <c r="B115" s="345"/>
      <c r="C115" s="345"/>
      <c r="D115" s="345"/>
      <c r="E115" s="345"/>
      <c r="F115" s="345"/>
      <c r="G115" s="345"/>
      <c r="H115" s="345"/>
      <c r="I115" s="345"/>
      <c r="J115" s="345"/>
      <c r="K115" s="345"/>
      <c r="L115" s="345"/>
      <c r="M115" s="345"/>
      <c r="N115" s="345"/>
      <c r="O115" s="345"/>
      <c r="P115" s="345"/>
      <c r="Q115" s="345"/>
      <c r="R115" s="345"/>
      <c r="S115" s="345"/>
      <c r="T115" s="345"/>
      <c r="U115" s="345"/>
      <c r="V115" s="345"/>
      <c r="W115" s="345"/>
      <c r="X115" s="345"/>
      <c r="Y115" s="345"/>
      <c r="Z115" s="345"/>
      <c r="AA115" s="345"/>
      <c r="AB115" s="345"/>
      <c r="AC115" s="345"/>
      <c r="AD115" s="345"/>
      <c r="AE115" s="345"/>
      <c r="AF115" s="345"/>
      <c r="AG115" s="345"/>
      <c r="AH115" s="345"/>
      <c r="AI115" s="345"/>
      <c r="AJ115" s="345"/>
      <c r="AK115" s="345"/>
      <c r="AL115" s="345"/>
      <c r="AM115" s="345"/>
      <c r="AN115" s="345"/>
      <c r="AO115" s="345"/>
      <c r="AP115" s="345"/>
      <c r="AQ115" s="345"/>
      <c r="AR115" s="345"/>
      <c r="AS115" s="345"/>
      <c r="AT115" s="345"/>
      <c r="AU115" s="345"/>
      <c r="AV115" s="345"/>
      <c r="AW115" s="345"/>
      <c r="AX115" s="345"/>
    </row>
    <row r="116" spans="1:50">
      <c r="A116" s="345"/>
      <c r="B116" s="345"/>
      <c r="C116" s="345"/>
      <c r="D116" s="345"/>
      <c r="E116" s="345"/>
      <c r="F116" s="345"/>
      <c r="G116" s="345"/>
      <c r="H116" s="345"/>
      <c r="I116" s="345"/>
      <c r="J116" s="345"/>
      <c r="K116" s="345"/>
      <c r="L116" s="345"/>
      <c r="M116" s="345"/>
      <c r="N116" s="345"/>
      <c r="O116" s="345"/>
      <c r="P116" s="345"/>
      <c r="Q116" s="345"/>
      <c r="R116" s="345"/>
      <c r="S116" s="345"/>
      <c r="T116" s="345"/>
      <c r="U116" s="345"/>
      <c r="V116" s="345"/>
      <c r="W116" s="345"/>
      <c r="X116" s="345"/>
      <c r="Y116" s="345"/>
      <c r="Z116" s="345"/>
      <c r="AA116" s="345"/>
      <c r="AB116" s="345"/>
      <c r="AC116" s="345"/>
      <c r="AD116" s="345"/>
      <c r="AE116" s="345"/>
      <c r="AF116" s="345"/>
      <c r="AG116" s="345"/>
      <c r="AH116" s="345"/>
      <c r="AI116" s="345"/>
      <c r="AJ116" s="345"/>
      <c r="AK116" s="345"/>
      <c r="AL116" s="345"/>
      <c r="AM116" s="345"/>
      <c r="AN116" s="345"/>
      <c r="AO116" s="345"/>
      <c r="AP116" s="345"/>
      <c r="AQ116" s="345"/>
      <c r="AR116" s="345"/>
      <c r="AS116" s="345"/>
      <c r="AT116" s="345"/>
      <c r="AU116" s="345"/>
      <c r="AV116" s="345"/>
      <c r="AW116" s="345"/>
      <c r="AX116" s="345"/>
    </row>
    <row r="117" spans="1:50">
      <c r="A117" s="345"/>
      <c r="B117" s="345"/>
      <c r="C117" s="345"/>
      <c r="D117" s="345"/>
      <c r="E117" s="345"/>
      <c r="F117" s="345"/>
      <c r="G117" s="345"/>
      <c r="H117" s="345"/>
      <c r="I117" s="345"/>
      <c r="J117" s="345"/>
      <c r="K117" s="345"/>
      <c r="L117" s="345"/>
      <c r="M117" s="345"/>
      <c r="N117" s="345"/>
      <c r="O117" s="345"/>
      <c r="P117" s="345"/>
      <c r="Q117" s="345"/>
      <c r="R117" s="345"/>
      <c r="S117" s="345"/>
      <c r="T117" s="345"/>
      <c r="U117" s="345"/>
      <c r="V117" s="345"/>
      <c r="W117" s="345"/>
      <c r="X117" s="345"/>
      <c r="Y117" s="345"/>
      <c r="Z117" s="345"/>
      <c r="AA117" s="345"/>
      <c r="AB117" s="345"/>
      <c r="AC117" s="345"/>
      <c r="AD117" s="345"/>
      <c r="AE117" s="345"/>
      <c r="AF117" s="345"/>
      <c r="AG117" s="345"/>
      <c r="AH117" s="345"/>
      <c r="AI117" s="345"/>
      <c r="AJ117" s="345"/>
      <c r="AK117" s="345"/>
      <c r="AL117" s="345"/>
      <c r="AM117" s="345"/>
      <c r="AN117" s="345"/>
      <c r="AO117" s="345"/>
      <c r="AP117" s="345"/>
      <c r="AQ117" s="345"/>
      <c r="AR117" s="345"/>
      <c r="AS117" s="345"/>
      <c r="AT117" s="345"/>
      <c r="AU117" s="345"/>
      <c r="AV117" s="345"/>
      <c r="AW117" s="345"/>
      <c r="AX117" s="345"/>
    </row>
    <row r="118" spans="1:50">
      <c r="A118" s="345"/>
      <c r="B118" s="345"/>
      <c r="C118" s="345"/>
      <c r="D118" s="345"/>
      <c r="E118" s="345"/>
      <c r="F118" s="345"/>
      <c r="G118" s="345"/>
      <c r="H118" s="345"/>
      <c r="I118" s="345"/>
      <c r="J118" s="345"/>
      <c r="K118" s="345"/>
      <c r="L118" s="345"/>
      <c r="M118" s="345"/>
      <c r="N118" s="345"/>
      <c r="O118" s="345"/>
      <c r="P118" s="345"/>
      <c r="Q118" s="345"/>
      <c r="R118" s="345"/>
      <c r="S118" s="345"/>
      <c r="T118" s="345"/>
      <c r="U118" s="345"/>
      <c r="V118" s="345"/>
      <c r="W118" s="345"/>
      <c r="X118" s="345"/>
      <c r="Y118" s="345"/>
      <c r="Z118" s="345"/>
      <c r="AA118" s="345"/>
      <c r="AB118" s="345"/>
      <c r="AC118" s="345"/>
      <c r="AD118" s="345"/>
      <c r="AE118" s="345"/>
      <c r="AF118" s="345"/>
      <c r="AG118" s="345"/>
      <c r="AH118" s="345"/>
      <c r="AI118" s="345"/>
      <c r="AJ118" s="345"/>
      <c r="AK118" s="345"/>
      <c r="AL118" s="345"/>
      <c r="AM118" s="345"/>
      <c r="AN118" s="345"/>
      <c r="AO118" s="345"/>
      <c r="AP118" s="345"/>
      <c r="AQ118" s="345"/>
      <c r="AR118" s="345"/>
      <c r="AS118" s="345"/>
      <c r="AT118" s="345"/>
      <c r="AU118" s="345"/>
      <c r="AV118" s="345"/>
      <c r="AW118" s="345"/>
      <c r="AX118" s="345"/>
    </row>
    <row r="119" spans="1:50">
      <c r="A119" s="345"/>
      <c r="B119" s="345"/>
      <c r="C119" s="345"/>
      <c r="D119" s="345"/>
      <c r="E119" s="345"/>
      <c r="F119" s="345"/>
      <c r="G119" s="345"/>
      <c r="H119" s="345"/>
      <c r="I119" s="345"/>
      <c r="J119" s="345"/>
      <c r="K119" s="345"/>
      <c r="L119" s="345"/>
      <c r="M119" s="345"/>
      <c r="N119" s="345"/>
      <c r="O119" s="345"/>
      <c r="P119" s="345"/>
      <c r="Q119" s="345"/>
      <c r="R119" s="345"/>
      <c r="S119" s="345"/>
      <c r="T119" s="345"/>
      <c r="U119" s="345"/>
      <c r="V119" s="345"/>
      <c r="W119" s="345"/>
      <c r="X119" s="345"/>
      <c r="Y119" s="345"/>
      <c r="Z119" s="345"/>
      <c r="AA119" s="345"/>
      <c r="AB119" s="345"/>
      <c r="AC119" s="345"/>
      <c r="AD119" s="345"/>
      <c r="AE119" s="345"/>
      <c r="AF119" s="345"/>
      <c r="AG119" s="345"/>
      <c r="AH119" s="345"/>
      <c r="AI119" s="345"/>
      <c r="AJ119" s="345"/>
      <c r="AK119" s="345"/>
      <c r="AL119" s="345"/>
      <c r="AM119" s="345"/>
      <c r="AN119" s="345"/>
      <c r="AO119" s="345"/>
      <c r="AP119" s="345"/>
      <c r="AQ119" s="345"/>
      <c r="AR119" s="345"/>
      <c r="AS119" s="345"/>
      <c r="AT119" s="345"/>
      <c r="AU119" s="345"/>
      <c r="AV119" s="345"/>
      <c r="AW119" s="345"/>
      <c r="AX119" s="345"/>
    </row>
    <row r="120" spans="1:50">
      <c r="A120" s="345"/>
      <c r="B120" s="345"/>
      <c r="C120" s="345"/>
      <c r="D120" s="345"/>
      <c r="E120" s="345"/>
      <c r="F120" s="345"/>
      <c r="G120" s="345"/>
      <c r="H120" s="345"/>
      <c r="I120" s="345"/>
      <c r="J120" s="345"/>
      <c r="K120" s="345"/>
      <c r="L120" s="345"/>
      <c r="M120" s="345"/>
      <c r="N120" s="345"/>
      <c r="O120" s="345"/>
      <c r="P120" s="345"/>
      <c r="Q120" s="345"/>
      <c r="R120" s="345"/>
      <c r="S120" s="345"/>
      <c r="T120" s="345"/>
      <c r="U120" s="345"/>
      <c r="V120" s="345"/>
      <c r="W120" s="345"/>
      <c r="X120" s="345"/>
      <c r="Y120" s="345"/>
      <c r="Z120" s="345"/>
      <c r="AA120" s="345"/>
      <c r="AB120" s="345"/>
      <c r="AC120" s="345"/>
      <c r="AD120" s="345"/>
      <c r="AE120" s="345"/>
      <c r="AF120" s="345"/>
      <c r="AG120" s="345"/>
      <c r="AH120" s="345"/>
      <c r="AI120" s="345"/>
      <c r="AJ120" s="345"/>
      <c r="AK120" s="345"/>
      <c r="AL120" s="345"/>
      <c r="AM120" s="345"/>
      <c r="AN120" s="345"/>
      <c r="AO120" s="345"/>
      <c r="AP120" s="345"/>
      <c r="AQ120" s="345"/>
      <c r="AR120" s="345"/>
      <c r="AS120" s="345"/>
      <c r="AT120" s="345"/>
      <c r="AU120" s="345"/>
      <c r="AV120" s="345"/>
      <c r="AW120" s="345"/>
      <c r="AX120" s="345"/>
    </row>
    <row r="121" spans="1:50">
      <c r="A121" s="345"/>
      <c r="B121" s="345"/>
      <c r="C121" s="345"/>
      <c r="D121" s="345"/>
      <c r="E121" s="345"/>
      <c r="F121" s="345"/>
      <c r="G121" s="345"/>
      <c r="H121" s="345"/>
      <c r="I121" s="345"/>
      <c r="J121" s="345"/>
      <c r="K121" s="345"/>
      <c r="L121" s="345"/>
      <c r="M121" s="345"/>
      <c r="N121" s="345"/>
      <c r="O121" s="345"/>
      <c r="P121" s="345"/>
      <c r="Q121" s="345"/>
      <c r="R121" s="345"/>
      <c r="S121" s="345"/>
      <c r="T121" s="345"/>
      <c r="U121" s="345"/>
      <c r="V121" s="345"/>
      <c r="W121" s="345"/>
      <c r="X121" s="345"/>
      <c r="Y121" s="345"/>
      <c r="Z121" s="345"/>
      <c r="AA121" s="345"/>
      <c r="AB121" s="345"/>
      <c r="AC121" s="345"/>
      <c r="AD121" s="345"/>
      <c r="AE121" s="345"/>
      <c r="AF121" s="345"/>
      <c r="AG121" s="345"/>
      <c r="AH121" s="345"/>
      <c r="AI121" s="345"/>
      <c r="AJ121" s="345"/>
      <c r="AK121" s="345"/>
      <c r="AL121" s="345"/>
      <c r="AM121" s="345"/>
      <c r="AN121" s="345"/>
      <c r="AO121" s="345"/>
      <c r="AP121" s="345"/>
      <c r="AQ121" s="345"/>
      <c r="AR121" s="345"/>
      <c r="AS121" s="345"/>
      <c r="AT121" s="345"/>
      <c r="AU121" s="345"/>
      <c r="AV121" s="345"/>
      <c r="AW121" s="345"/>
      <c r="AX121" s="345"/>
    </row>
    <row r="122" spans="1:50">
      <c r="A122" s="345"/>
      <c r="B122" s="345"/>
      <c r="C122" s="345"/>
      <c r="D122" s="345"/>
      <c r="E122" s="345"/>
      <c r="F122" s="345"/>
      <c r="G122" s="345"/>
      <c r="H122" s="345"/>
      <c r="I122" s="345"/>
      <c r="J122" s="345"/>
      <c r="K122" s="345"/>
      <c r="L122" s="345"/>
      <c r="M122" s="345"/>
      <c r="N122" s="345"/>
      <c r="O122" s="345"/>
      <c r="P122" s="345"/>
      <c r="Q122" s="345"/>
      <c r="R122" s="345"/>
      <c r="S122" s="345"/>
      <c r="T122" s="345"/>
      <c r="U122" s="345"/>
      <c r="V122" s="345"/>
      <c r="W122" s="345"/>
      <c r="X122" s="345"/>
      <c r="Y122" s="345"/>
      <c r="Z122" s="345"/>
      <c r="AA122" s="345"/>
      <c r="AB122" s="345"/>
      <c r="AC122" s="345"/>
      <c r="AD122" s="345"/>
      <c r="AE122" s="345"/>
      <c r="AF122" s="345"/>
      <c r="AG122" s="345"/>
      <c r="AH122" s="345"/>
      <c r="AI122" s="345"/>
      <c r="AJ122" s="345"/>
      <c r="AK122" s="345"/>
      <c r="AL122" s="345"/>
      <c r="AM122" s="345"/>
      <c r="AN122" s="345"/>
      <c r="AO122" s="345"/>
      <c r="AP122" s="345"/>
      <c r="AQ122" s="345"/>
      <c r="AR122" s="345"/>
      <c r="AS122" s="345"/>
      <c r="AT122" s="345"/>
      <c r="AU122" s="345"/>
      <c r="AV122" s="345"/>
      <c r="AW122" s="345"/>
      <c r="AX122" s="345"/>
    </row>
    <row r="123" spans="1:50">
      <c r="A123" s="345"/>
      <c r="B123" s="345"/>
      <c r="C123" s="345"/>
      <c r="D123" s="345"/>
      <c r="E123" s="345"/>
      <c r="F123" s="345"/>
      <c r="G123" s="345"/>
      <c r="H123" s="345"/>
      <c r="I123" s="345"/>
      <c r="J123" s="345"/>
      <c r="K123" s="345"/>
      <c r="L123" s="345"/>
      <c r="M123" s="345"/>
      <c r="N123" s="345"/>
      <c r="O123" s="345"/>
      <c r="P123" s="345"/>
      <c r="Q123" s="345"/>
      <c r="R123" s="345"/>
      <c r="S123" s="345"/>
      <c r="T123" s="345"/>
      <c r="U123" s="345"/>
      <c r="V123" s="345"/>
      <c r="W123" s="345"/>
      <c r="X123" s="345"/>
      <c r="Y123" s="345"/>
      <c r="Z123" s="345"/>
      <c r="AA123" s="345"/>
      <c r="AB123" s="345"/>
      <c r="AC123" s="345"/>
      <c r="AD123" s="345"/>
      <c r="AE123" s="345"/>
      <c r="AF123" s="345"/>
      <c r="AG123" s="345"/>
      <c r="AH123" s="345"/>
      <c r="AI123" s="345"/>
      <c r="AJ123" s="345"/>
      <c r="AK123" s="345"/>
      <c r="AL123" s="345"/>
      <c r="AM123" s="345"/>
      <c r="AN123" s="345"/>
      <c r="AO123" s="345"/>
      <c r="AP123" s="345"/>
      <c r="AQ123" s="345"/>
      <c r="AR123" s="345"/>
      <c r="AS123" s="345"/>
      <c r="AT123" s="345"/>
      <c r="AU123" s="345"/>
      <c r="AV123" s="345"/>
      <c r="AW123" s="345"/>
      <c r="AX123" s="345"/>
    </row>
    <row r="124" spans="1:50">
      <c r="A124" s="345"/>
      <c r="B124" s="345"/>
      <c r="C124" s="345"/>
      <c r="D124" s="345"/>
      <c r="E124" s="345"/>
      <c r="F124" s="345"/>
      <c r="G124" s="345"/>
      <c r="H124" s="345"/>
      <c r="I124" s="345"/>
      <c r="J124" s="345"/>
      <c r="K124" s="345"/>
      <c r="L124" s="345"/>
      <c r="M124" s="345"/>
      <c r="N124" s="345"/>
      <c r="O124" s="345"/>
      <c r="P124" s="345"/>
      <c r="Q124" s="345"/>
      <c r="R124" s="345"/>
      <c r="S124" s="345"/>
      <c r="T124" s="345"/>
      <c r="U124" s="345"/>
      <c r="V124" s="345"/>
      <c r="W124" s="345"/>
      <c r="X124" s="345"/>
      <c r="Y124" s="345"/>
      <c r="Z124" s="345"/>
      <c r="AA124" s="345"/>
      <c r="AB124" s="345"/>
      <c r="AC124" s="345"/>
      <c r="AD124" s="345"/>
      <c r="AE124" s="345"/>
      <c r="AF124" s="345"/>
      <c r="AG124" s="345"/>
      <c r="AH124" s="345"/>
      <c r="AI124" s="345"/>
      <c r="AJ124" s="345"/>
      <c r="AK124" s="345"/>
      <c r="AL124" s="345"/>
      <c r="AM124" s="345"/>
      <c r="AN124" s="345"/>
      <c r="AO124" s="345"/>
      <c r="AP124" s="345"/>
      <c r="AQ124" s="345"/>
      <c r="AR124" s="345"/>
      <c r="AS124" s="345"/>
      <c r="AT124" s="345"/>
      <c r="AU124" s="345"/>
      <c r="AV124" s="345"/>
      <c r="AW124" s="345"/>
      <c r="AX124" s="345"/>
    </row>
    <row r="125" spans="1:50">
      <c r="A125" s="345"/>
      <c r="B125" s="345"/>
      <c r="C125" s="345"/>
      <c r="D125" s="345"/>
      <c r="E125" s="345"/>
      <c r="F125" s="345"/>
      <c r="G125" s="345"/>
      <c r="H125" s="345"/>
      <c r="I125" s="345"/>
      <c r="J125" s="345"/>
      <c r="K125" s="345"/>
      <c r="L125" s="345"/>
      <c r="M125" s="345"/>
      <c r="N125" s="345"/>
      <c r="O125" s="345"/>
      <c r="P125" s="345"/>
      <c r="Q125" s="345"/>
      <c r="R125" s="345"/>
      <c r="S125" s="345"/>
      <c r="T125" s="345"/>
      <c r="U125" s="345"/>
      <c r="V125" s="345"/>
      <c r="W125" s="345"/>
      <c r="X125" s="345"/>
      <c r="Y125" s="345"/>
      <c r="Z125" s="345"/>
      <c r="AA125" s="345"/>
      <c r="AB125" s="345"/>
      <c r="AC125" s="345"/>
      <c r="AD125" s="345"/>
      <c r="AE125" s="345"/>
      <c r="AF125" s="345"/>
      <c r="AG125" s="345"/>
      <c r="AH125" s="345"/>
      <c r="AI125" s="345"/>
      <c r="AJ125" s="345"/>
      <c r="AK125" s="345"/>
      <c r="AL125" s="345"/>
      <c r="AM125" s="345"/>
      <c r="AN125" s="345"/>
      <c r="AO125" s="345"/>
      <c r="AP125" s="345"/>
      <c r="AQ125" s="345"/>
      <c r="AR125" s="345"/>
      <c r="AS125" s="345"/>
      <c r="AT125" s="345"/>
      <c r="AU125" s="345"/>
      <c r="AV125" s="345"/>
      <c r="AW125" s="345"/>
      <c r="AX125" s="345"/>
    </row>
    <row r="126" spans="1:50">
      <c r="A126" s="345"/>
      <c r="B126" s="345"/>
      <c r="C126" s="345"/>
      <c r="D126" s="345"/>
      <c r="E126" s="345"/>
      <c r="F126" s="345"/>
      <c r="G126" s="345"/>
      <c r="H126" s="345"/>
      <c r="I126" s="345"/>
      <c r="J126" s="345"/>
      <c r="K126" s="345"/>
      <c r="L126" s="345"/>
      <c r="M126" s="345"/>
      <c r="N126" s="345"/>
      <c r="O126" s="345"/>
      <c r="P126" s="345"/>
      <c r="Q126" s="345"/>
      <c r="R126" s="345"/>
      <c r="S126" s="345"/>
      <c r="T126" s="345"/>
      <c r="U126" s="345"/>
      <c r="V126" s="345"/>
      <c r="W126" s="345"/>
      <c r="X126" s="345"/>
      <c r="Y126" s="345"/>
      <c r="Z126" s="345"/>
      <c r="AA126" s="345"/>
      <c r="AB126" s="345"/>
      <c r="AC126" s="345"/>
      <c r="AD126" s="345"/>
      <c r="AE126" s="345"/>
      <c r="AF126" s="345"/>
      <c r="AG126" s="345"/>
      <c r="AH126" s="345"/>
      <c r="AI126" s="345"/>
      <c r="AJ126" s="345"/>
      <c r="AK126" s="345"/>
      <c r="AL126" s="345"/>
      <c r="AM126" s="345"/>
      <c r="AN126" s="345"/>
      <c r="AO126" s="345"/>
      <c r="AP126" s="345"/>
      <c r="AQ126" s="345"/>
      <c r="AR126" s="345"/>
      <c r="AS126" s="345"/>
      <c r="AT126" s="345"/>
      <c r="AU126" s="345"/>
      <c r="AV126" s="345"/>
      <c r="AW126" s="345"/>
      <c r="AX126" s="345"/>
    </row>
  </sheetData>
  <sheetProtection password="D841" sheet="1" formatColumns="0" formatRows="0" selectLockedCells="1"/>
  <customSheetViews>
    <customSheetView guid="{DDA22D69-94B5-45BC-9EE2-6055A845129B}" state="hidden" topLeftCell="A13">
      <selection activeCell="K22" sqref="K22"/>
      <rowBreaks count="1" manualBreakCount="1">
        <brk id="58" max="12" man="1"/>
      </rowBreaks>
      <colBreaks count="1" manualBreakCount="1">
        <brk id="13" max="1048575" man="1"/>
      </colBreaks>
      <pageMargins left="0.7" right="0.7" top="0.75" bottom="0.75" header="0.3" footer="0.3"/>
      <pageSetup paperSize="9" scale="84" orientation="portrait" r:id="rId1"/>
    </customSheetView>
    <customSheetView guid="{1B7577DB-E3C4-4E68-B7CF-8F86FF7C5A82}" state="hidden" topLeftCell="A13">
      <selection activeCell="K22" sqref="K22"/>
      <rowBreaks count="1" manualBreakCount="1">
        <brk id="58" max="12" man="1"/>
      </rowBreaks>
      <colBreaks count="1" manualBreakCount="1">
        <brk id="13" max="1048575" man="1"/>
      </colBreaks>
      <pageMargins left="0.7" right="0.7" top="0.75" bottom="0.75" header="0.3" footer="0.3"/>
      <pageSetup paperSize="9" scale="84" orientation="portrait" r:id="rId2"/>
    </customSheetView>
    <customSheetView guid="{2BE9587E-F957-49DF-9716-3F2B35B49DC1}">
      <selection activeCell="K22" sqref="K22"/>
      <rowBreaks count="1" manualBreakCount="1">
        <brk id="58" max="12" man="1"/>
      </rowBreaks>
      <colBreaks count="1" manualBreakCount="1">
        <brk id="13" max="1048575" man="1"/>
      </colBreaks>
      <pageMargins left="0.7" right="0.7" top="0.75" bottom="0.75" header="0.3" footer="0.3"/>
      <pageSetup paperSize="9" scale="84" orientation="portrait" r:id="rId3"/>
    </customSheetView>
    <customSheetView guid="{60E5615C-64A2-4675-848A-970A515EAF91}" topLeftCell="A13">
      <selection activeCell="K22" sqref="K22"/>
      <rowBreaks count="1" manualBreakCount="1">
        <brk id="58" max="12" man="1"/>
      </rowBreaks>
      <colBreaks count="1" manualBreakCount="1">
        <brk id="13" max="1048575" man="1"/>
      </colBreaks>
      <pageMargins left="0.7" right="0.7" top="0.75" bottom="0.75" header="0.3" footer="0.3"/>
      <pageSetup paperSize="9" scale="84" orientation="portrait" r:id="rId4"/>
    </customSheetView>
    <customSheetView guid="{E7B1C62B-1F1D-4A62-BD87-EE62D3A36B6C}" state="hidden" topLeftCell="A13">
      <selection activeCell="K22" sqref="K22"/>
      <rowBreaks count="1" manualBreakCount="1">
        <brk id="58" max="12" man="1"/>
      </rowBreaks>
      <colBreaks count="1" manualBreakCount="1">
        <brk id="13" max="1048575" man="1"/>
      </colBreaks>
      <pageMargins left="0.7" right="0.7" top="0.75" bottom="0.75" header="0.3" footer="0.3"/>
      <pageSetup paperSize="9" scale="84" orientation="portrait" r:id="rId5"/>
    </customSheetView>
  </customSheetViews>
  <mergeCells count="12">
    <mergeCell ref="C35:L35"/>
    <mergeCell ref="C38:L38"/>
    <mergeCell ref="C23:L23"/>
    <mergeCell ref="F25:I25"/>
    <mergeCell ref="C27:L27"/>
    <mergeCell ref="C31:L31"/>
    <mergeCell ref="C33:L33"/>
    <mergeCell ref="C3:L3"/>
    <mergeCell ref="C4:L4"/>
    <mergeCell ref="C5:L5"/>
    <mergeCell ref="C17:L17"/>
    <mergeCell ref="C19:L19"/>
  </mergeCells>
  <pageMargins left="0.7" right="0.7" top="0.75" bottom="0.75" header="0.3" footer="0.3"/>
  <pageSetup paperSize="9" scale="84" orientation="portrait" r:id="rId6"/>
  <rowBreaks count="1" manualBreakCount="1">
    <brk id="58" max="12" man="1"/>
  </rowBreaks>
  <colBreaks count="1" manualBreakCount="1">
    <brk id="13"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R698"/>
  <sheetViews>
    <sheetView workbookViewId="0">
      <selection activeCell="C11" sqref="C11:K11"/>
    </sheetView>
  </sheetViews>
  <sheetFormatPr defaultRowHeight="15"/>
  <cols>
    <col min="1" max="1" width="1.5703125" customWidth="1"/>
    <col min="2" max="2" width="4.140625" customWidth="1"/>
    <col min="3" max="3" width="9.85546875" customWidth="1"/>
    <col min="4" max="4" width="9.7109375" customWidth="1"/>
    <col min="5" max="7" width="10.28515625" customWidth="1"/>
    <col min="8" max="8" width="9.7109375" customWidth="1"/>
    <col min="9" max="9" width="10.28515625" customWidth="1"/>
    <col min="10" max="10" width="15.7109375" customWidth="1"/>
    <col min="11" max="11" width="4.85546875" customWidth="1"/>
    <col min="12" max="12" width="8.7109375" customWidth="1"/>
  </cols>
  <sheetData>
    <row r="1" spans="1:44" ht="15.75" thickBo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row>
    <row r="2" spans="1:44" ht="18" customHeight="1" thickTop="1">
      <c r="A2" s="1"/>
      <c r="B2" s="426"/>
      <c r="C2" s="427"/>
      <c r="D2" s="427"/>
      <c r="E2" s="427"/>
      <c r="F2" s="427"/>
      <c r="G2" s="427"/>
      <c r="H2" s="427"/>
      <c r="I2" s="427"/>
      <c r="J2" s="427"/>
      <c r="K2" s="428"/>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row>
    <row r="3" spans="1:44" ht="18" customHeight="1">
      <c r="A3" s="1"/>
      <c r="B3" s="429"/>
      <c r="C3" s="6269" t="s">
        <v>549</v>
      </c>
      <c r="D3" s="6269"/>
      <c r="E3" s="6269"/>
      <c r="F3" s="6269"/>
      <c r="G3" s="6269"/>
      <c r="H3" s="6269"/>
      <c r="I3" s="6269"/>
      <c r="J3" s="6269"/>
      <c r="K3" s="430"/>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row>
    <row r="4" spans="1:44" ht="18" customHeight="1">
      <c r="A4" s="1"/>
      <c r="B4" s="429"/>
      <c r="C4" s="6270" t="s">
        <v>550</v>
      </c>
      <c r="D4" s="6270"/>
      <c r="E4" s="6270"/>
      <c r="F4" s="6270"/>
      <c r="G4" s="6270"/>
      <c r="H4" s="6270"/>
      <c r="I4" s="6270"/>
      <c r="J4" s="6270"/>
      <c r="K4" s="43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row>
    <row r="5" spans="1:44" ht="18" customHeight="1">
      <c r="A5" s="1"/>
      <c r="B5" s="429"/>
      <c r="C5" s="6271" t="s">
        <v>551</v>
      </c>
      <c r="D5" s="6271"/>
      <c r="E5" s="6271"/>
      <c r="F5" s="6271"/>
      <c r="G5" s="6271"/>
      <c r="H5" s="6271"/>
      <c r="I5" s="6271"/>
      <c r="J5" s="6271"/>
      <c r="K5" s="432"/>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row>
    <row r="6" spans="1:44" ht="18" customHeight="1">
      <c r="A6" s="1"/>
      <c r="B6" s="429"/>
      <c r="C6" s="6276" t="s">
        <v>552</v>
      </c>
      <c r="D6" s="6276"/>
      <c r="E6" s="6276"/>
      <c r="F6" s="6276"/>
      <c r="G6" s="6276"/>
      <c r="H6" s="6276"/>
      <c r="I6" s="6276"/>
      <c r="J6" s="6276"/>
      <c r="K6" s="432"/>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row>
    <row r="7" spans="1:44" ht="18" customHeight="1">
      <c r="A7" s="1"/>
      <c r="B7" s="429"/>
      <c r="C7" s="6277"/>
      <c r="D7" s="6277"/>
      <c r="E7" s="6277"/>
      <c r="F7" s="6277"/>
      <c r="G7" s="6277"/>
      <c r="H7" s="6277"/>
      <c r="I7" s="6277"/>
      <c r="J7" s="6277"/>
      <c r="K7" s="6278"/>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row>
    <row r="8" spans="1:44" ht="18" customHeight="1">
      <c r="A8" s="1"/>
      <c r="B8" s="429"/>
      <c r="C8" s="433"/>
      <c r="D8" s="433"/>
      <c r="E8" s="433"/>
      <c r="F8" s="433"/>
      <c r="G8" s="433"/>
      <c r="H8" s="433"/>
      <c r="I8" s="433" t="s">
        <v>553</v>
      </c>
      <c r="J8" s="433"/>
      <c r="K8" s="434"/>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row>
    <row r="9" spans="1:44" ht="18" customHeight="1">
      <c r="A9" s="1"/>
      <c r="B9" s="429"/>
      <c r="C9" s="433"/>
      <c r="D9" s="433"/>
      <c r="E9" s="433"/>
      <c r="F9" s="433"/>
      <c r="G9" s="433"/>
      <c r="H9" s="433"/>
      <c r="I9" s="433" t="s">
        <v>554</v>
      </c>
      <c r="J9" s="433"/>
      <c r="K9" s="434"/>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row>
    <row r="10" spans="1:44" ht="18" customHeight="1">
      <c r="A10" s="1"/>
      <c r="B10" s="429"/>
      <c r="C10" s="433"/>
      <c r="D10" s="433"/>
      <c r="E10" s="433"/>
      <c r="F10" s="433"/>
      <c r="G10" s="433"/>
      <c r="H10" s="433"/>
      <c r="I10" s="433"/>
      <c r="J10" s="433"/>
      <c r="K10" s="434"/>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row>
    <row r="11" spans="1:44" ht="18" customHeight="1">
      <c r="A11" s="1"/>
      <c r="B11" s="429"/>
      <c r="C11" s="6274" t="s">
        <v>555</v>
      </c>
      <c r="D11" s="6274"/>
      <c r="E11" s="6274"/>
      <c r="F11" s="6274"/>
      <c r="G11" s="6274"/>
      <c r="H11" s="6274"/>
      <c r="I11" s="6274"/>
      <c r="J11" s="6274"/>
      <c r="K11" s="6275"/>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row>
    <row r="12" spans="1:44" ht="18" customHeight="1">
      <c r="A12" s="1"/>
      <c r="B12" s="429"/>
      <c r="C12" s="6274" t="s">
        <v>556</v>
      </c>
      <c r="D12" s="6274"/>
      <c r="E12" s="6274"/>
      <c r="F12" s="6274"/>
      <c r="G12" s="6274"/>
      <c r="H12" s="6274"/>
      <c r="I12" s="6274"/>
      <c r="J12" s="6274"/>
      <c r="K12" s="6275"/>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row>
    <row r="13" spans="1:44" ht="18" customHeight="1">
      <c r="A13" s="1"/>
      <c r="B13" s="429"/>
      <c r="C13" s="6274" t="s">
        <v>557</v>
      </c>
      <c r="D13" s="6274"/>
      <c r="E13" s="6274"/>
      <c r="F13" s="6274"/>
      <c r="G13" s="6274"/>
      <c r="H13" s="6274"/>
      <c r="I13" s="6274"/>
      <c r="J13" s="6274"/>
      <c r="K13" s="6275"/>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row>
    <row r="14" spans="1:44" ht="18" customHeight="1">
      <c r="A14" s="1"/>
      <c r="B14" s="429"/>
      <c r="C14" s="6274" t="s">
        <v>558</v>
      </c>
      <c r="D14" s="6274"/>
      <c r="E14" s="6274"/>
      <c r="F14" s="6274"/>
      <c r="G14" s="6274"/>
      <c r="H14" s="6274"/>
      <c r="I14" s="6274"/>
      <c r="J14" s="6274"/>
      <c r="K14" s="6275"/>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row>
    <row r="15" spans="1:44" ht="18" customHeight="1">
      <c r="A15" s="1"/>
      <c r="B15" s="429"/>
      <c r="C15" s="433"/>
      <c r="D15" s="433"/>
      <c r="E15" s="433"/>
      <c r="F15" s="433"/>
      <c r="G15" s="433"/>
      <c r="H15" s="433"/>
      <c r="I15" s="433"/>
      <c r="J15" s="433"/>
      <c r="K15" s="434"/>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row>
    <row r="16" spans="1:44" ht="18" customHeight="1">
      <c r="A16" s="1"/>
      <c r="B16" s="429"/>
      <c r="C16" s="6274" t="s">
        <v>559</v>
      </c>
      <c r="D16" s="6274"/>
      <c r="E16" s="6274"/>
      <c r="F16" s="6274"/>
      <c r="G16" s="6274"/>
      <c r="H16" s="6274"/>
      <c r="I16" s="6274"/>
      <c r="J16" s="6274"/>
      <c r="K16" s="6275"/>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row>
    <row r="17" spans="1:44" ht="18" customHeight="1">
      <c r="A17" s="1"/>
      <c r="B17" s="429"/>
      <c r="C17" s="435"/>
      <c r="D17" s="435"/>
      <c r="E17" s="435"/>
      <c r="F17" s="435"/>
      <c r="G17" s="435"/>
      <c r="H17" s="435"/>
      <c r="I17" s="435"/>
      <c r="J17" s="435"/>
      <c r="K17" s="436"/>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row>
    <row r="18" spans="1:44" ht="18" customHeight="1">
      <c r="A18" s="1"/>
      <c r="B18" s="429"/>
      <c r="C18" s="6272" t="s">
        <v>560</v>
      </c>
      <c r="D18" s="6272"/>
      <c r="E18" s="6272"/>
      <c r="F18" s="6272"/>
      <c r="G18" s="6272"/>
      <c r="H18" s="6272"/>
      <c r="I18" s="6272"/>
      <c r="J18" s="6272"/>
      <c r="K18" s="6273"/>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row>
    <row r="19" spans="1:44" ht="18" customHeight="1">
      <c r="A19" s="1"/>
      <c r="B19" s="429"/>
      <c r="C19" s="433"/>
      <c r="D19" s="433"/>
      <c r="E19" s="433"/>
      <c r="F19" s="433"/>
      <c r="G19" s="433"/>
      <c r="H19" s="433"/>
      <c r="I19" s="433"/>
      <c r="J19" s="433"/>
      <c r="K19" s="434"/>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row>
    <row r="20" spans="1:44" ht="18" customHeight="1">
      <c r="A20" s="1"/>
      <c r="B20" s="429"/>
      <c r="C20" s="437" t="s">
        <v>561</v>
      </c>
      <c r="D20" s="433"/>
      <c r="E20" s="433"/>
      <c r="F20" s="433"/>
      <c r="G20" s="433"/>
      <c r="H20" s="433"/>
      <c r="I20" s="433"/>
      <c r="J20" s="433"/>
      <c r="K20" s="434"/>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row>
    <row r="21" spans="1:44" ht="18" customHeight="1">
      <c r="A21" s="1"/>
      <c r="B21" s="429"/>
      <c r="C21" s="433" t="s">
        <v>562</v>
      </c>
      <c r="D21" s="433"/>
      <c r="E21" s="433"/>
      <c r="F21" s="433"/>
      <c r="G21" s="433"/>
      <c r="H21" s="433"/>
      <c r="I21" s="433"/>
      <c r="J21" s="433"/>
      <c r="K21" s="434"/>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row>
    <row r="22" spans="1:44" ht="18" customHeight="1">
      <c r="A22" s="1"/>
      <c r="B22" s="429"/>
      <c r="C22" s="433" t="s">
        <v>563</v>
      </c>
      <c r="D22" s="433"/>
      <c r="E22" s="433"/>
      <c r="F22" s="433"/>
      <c r="G22" s="433"/>
      <c r="H22" s="433"/>
      <c r="I22" s="433"/>
      <c r="J22" s="433"/>
      <c r="K22" s="434"/>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row>
    <row r="23" spans="1:44" ht="18" customHeight="1">
      <c r="A23" s="1"/>
      <c r="B23" s="429"/>
      <c r="C23" s="433" t="s">
        <v>564</v>
      </c>
      <c r="D23" s="433"/>
      <c r="E23" s="433"/>
      <c r="F23" s="433"/>
      <c r="G23" s="433"/>
      <c r="H23" s="433"/>
      <c r="I23" s="433"/>
      <c r="J23" s="433"/>
      <c r="K23" s="434"/>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row>
    <row r="24" spans="1:44" ht="18" customHeight="1">
      <c r="A24" s="1"/>
      <c r="B24" s="429"/>
      <c r="C24" s="433" t="s">
        <v>565</v>
      </c>
      <c r="D24" s="433"/>
      <c r="E24" s="433"/>
      <c r="F24" s="433"/>
      <c r="G24" s="433"/>
      <c r="H24" s="433"/>
      <c r="I24" s="433"/>
      <c r="J24" s="433"/>
      <c r="K24" s="434"/>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row>
    <row r="25" spans="1:44" ht="18" customHeight="1">
      <c r="A25" s="1"/>
      <c r="B25" s="429"/>
      <c r="C25" s="433" t="s">
        <v>566</v>
      </c>
      <c r="D25" s="433"/>
      <c r="E25" s="433"/>
      <c r="F25" s="433"/>
      <c r="G25" s="433"/>
      <c r="H25" s="433"/>
      <c r="I25" s="433"/>
      <c r="J25" s="433"/>
      <c r="K25" s="434"/>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row>
    <row r="26" spans="1:44" ht="18" customHeight="1">
      <c r="A26" s="1"/>
      <c r="B26" s="429"/>
      <c r="C26" s="433" t="s">
        <v>566</v>
      </c>
      <c r="D26" s="433"/>
      <c r="E26" s="433"/>
      <c r="F26" s="433"/>
      <c r="G26" s="433"/>
      <c r="H26" s="433"/>
      <c r="I26" s="433"/>
      <c r="J26" s="433"/>
      <c r="K26" s="434"/>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row>
    <row r="27" spans="1:44" ht="18" customHeight="1">
      <c r="A27" s="1"/>
      <c r="B27" s="429"/>
      <c r="C27" s="433"/>
      <c r="D27" s="433"/>
      <c r="E27" s="433"/>
      <c r="F27" s="433"/>
      <c r="G27" s="433"/>
      <c r="H27" s="433"/>
      <c r="I27" s="433"/>
      <c r="J27" s="433"/>
      <c r="K27" s="434"/>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row>
    <row r="28" spans="1:44" ht="18" customHeight="1">
      <c r="A28" s="1"/>
      <c r="B28" s="429"/>
      <c r="C28" s="433" t="s">
        <v>567</v>
      </c>
      <c r="D28" s="433"/>
      <c r="E28" s="433"/>
      <c r="F28" s="433"/>
      <c r="G28" s="433"/>
      <c r="H28" s="433"/>
      <c r="I28" s="433"/>
      <c r="J28" s="433"/>
      <c r="K28" s="434"/>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row>
    <row r="29" spans="1:44" ht="18" customHeight="1">
      <c r="A29" s="1"/>
      <c r="B29" s="429"/>
      <c r="C29" s="433" t="s">
        <v>568</v>
      </c>
      <c r="D29" s="433"/>
      <c r="E29" s="433"/>
      <c r="F29" s="433"/>
      <c r="G29" s="433"/>
      <c r="H29" s="433"/>
      <c r="I29" s="433"/>
      <c r="J29" s="433"/>
      <c r="K29" s="434"/>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row>
    <row r="30" spans="1:44" ht="18" customHeight="1">
      <c r="A30" s="1"/>
      <c r="B30" s="429"/>
      <c r="C30" s="433" t="s">
        <v>569</v>
      </c>
      <c r="D30" s="433"/>
      <c r="E30" s="433"/>
      <c r="F30" s="433"/>
      <c r="G30" s="433"/>
      <c r="H30" s="433"/>
      <c r="I30" s="433"/>
      <c r="J30" s="433"/>
      <c r="K30" s="434"/>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row>
    <row r="31" spans="1:44" ht="18" customHeight="1">
      <c r="A31" s="1"/>
      <c r="B31" s="429"/>
      <c r="C31" s="433" t="s">
        <v>570</v>
      </c>
      <c r="D31" s="433"/>
      <c r="E31" s="433"/>
      <c r="F31" s="433"/>
      <c r="G31" s="433"/>
      <c r="H31" s="433"/>
      <c r="I31" s="433"/>
      <c r="J31" s="433"/>
      <c r="K31" s="434"/>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row>
    <row r="32" spans="1:44" ht="18" customHeight="1" thickBot="1">
      <c r="A32" s="1"/>
      <c r="B32" s="438"/>
      <c r="C32" s="439"/>
      <c r="D32" s="439"/>
      <c r="E32" s="439"/>
      <c r="F32" s="439"/>
      <c r="G32" s="439"/>
      <c r="H32" s="439"/>
      <c r="I32" s="439"/>
      <c r="J32" s="439"/>
      <c r="K32" s="440"/>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row>
    <row r="33" spans="1:44" ht="18" customHeight="1" thickTop="1">
      <c r="A33" s="1"/>
      <c r="B33" s="1"/>
      <c r="C33" s="344"/>
      <c r="D33" s="344"/>
      <c r="E33" s="344"/>
      <c r="F33" s="344"/>
      <c r="G33" s="344"/>
      <c r="H33" s="344"/>
      <c r="I33" s="344"/>
      <c r="J33" s="344"/>
      <c r="K33" s="344"/>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row>
    <row r="34" spans="1:44" ht="18" customHeight="1">
      <c r="A34" s="1"/>
      <c r="B34" s="1"/>
      <c r="C34" s="344"/>
      <c r="D34" s="344"/>
      <c r="E34" s="344"/>
      <c r="F34" s="344"/>
      <c r="G34" s="344"/>
      <c r="H34" s="344"/>
      <c r="I34" s="344"/>
      <c r="J34" s="344"/>
      <c r="K34" s="344"/>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row>
    <row r="35" spans="1:44" ht="18" customHeight="1">
      <c r="A35" s="1"/>
      <c r="B35" s="1"/>
      <c r="C35" s="344"/>
      <c r="D35" s="344"/>
      <c r="E35" s="344"/>
      <c r="F35" s="344"/>
      <c r="G35" s="344"/>
      <c r="H35" s="344"/>
      <c r="I35" s="344"/>
      <c r="J35" s="344"/>
      <c r="K35" s="344"/>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row>
    <row r="36" spans="1:44" ht="18" customHeight="1">
      <c r="A36" s="1"/>
      <c r="B36" s="1"/>
      <c r="C36" s="344"/>
      <c r="D36" s="344"/>
      <c r="E36" s="344"/>
      <c r="F36" s="344"/>
      <c r="G36" s="344"/>
      <c r="H36" s="344"/>
      <c r="I36" s="344"/>
      <c r="J36" s="344"/>
      <c r="K36" s="344"/>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row>
    <row r="37" spans="1:44" ht="18" customHeight="1">
      <c r="A37" s="1"/>
      <c r="B37" s="1"/>
      <c r="C37" s="344"/>
      <c r="D37" s="344"/>
      <c r="E37" s="344"/>
      <c r="F37" s="344"/>
      <c r="G37" s="344"/>
      <c r="H37" s="344"/>
      <c r="I37" s="344"/>
      <c r="J37" s="344"/>
      <c r="K37" s="344"/>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row>
    <row r="38" spans="1:44">
      <c r="A38" s="1"/>
      <c r="B38" s="1"/>
      <c r="C38" s="344"/>
      <c r="D38" s="344"/>
      <c r="E38" s="344"/>
      <c r="F38" s="344"/>
      <c r="G38" s="344"/>
      <c r="H38" s="344"/>
      <c r="I38" s="344"/>
      <c r="J38" s="344"/>
      <c r="K38" s="344"/>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row>
    <row r="39" spans="1:44">
      <c r="A39" s="1"/>
      <c r="B39" s="1"/>
      <c r="C39" s="344"/>
      <c r="D39" s="344"/>
      <c r="E39" s="344"/>
      <c r="F39" s="344"/>
      <c r="G39" s="344"/>
      <c r="H39" s="344"/>
      <c r="I39" s="344"/>
      <c r="J39" s="344"/>
      <c r="K39" s="344"/>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row>
    <row r="40" spans="1:44">
      <c r="A40" s="1"/>
      <c r="B40" s="1"/>
      <c r="C40" s="344"/>
      <c r="D40" s="344"/>
      <c r="E40" s="344"/>
      <c r="F40" s="344"/>
      <c r="G40" s="344"/>
      <c r="H40" s="344"/>
      <c r="I40" s="344"/>
      <c r="J40" s="344"/>
      <c r="K40" s="344"/>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row>
    <row r="41" spans="1:44">
      <c r="A41" s="1"/>
      <c r="B41" s="1"/>
      <c r="C41" s="344"/>
      <c r="D41" s="344"/>
      <c r="E41" s="344"/>
      <c r="F41" s="344"/>
      <c r="G41" s="344"/>
      <c r="H41" s="344"/>
      <c r="I41" s="344"/>
      <c r="J41" s="344"/>
      <c r="K41" s="344"/>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row>
    <row r="42" spans="1:44">
      <c r="A42" s="1"/>
      <c r="B42" s="1"/>
      <c r="C42" s="344"/>
      <c r="D42" s="344"/>
      <c r="E42" s="344"/>
      <c r="F42" s="344"/>
      <c r="G42" s="344"/>
      <c r="H42" s="344"/>
      <c r="I42" s="344"/>
      <c r="J42" s="344"/>
      <c r="K42" s="344"/>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row>
    <row r="43" spans="1:44">
      <c r="A43" s="1"/>
      <c r="B43" s="1"/>
      <c r="C43" s="344"/>
      <c r="D43" s="344"/>
      <c r="E43" s="344"/>
      <c r="F43" s="344"/>
      <c r="G43" s="344"/>
      <c r="H43" s="344"/>
      <c r="I43" s="344"/>
      <c r="J43" s="344"/>
      <c r="K43" s="344"/>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row>
    <row r="44" spans="1:44">
      <c r="A44" s="1"/>
      <c r="B44" s="1"/>
      <c r="C44" s="344"/>
      <c r="D44" s="344"/>
      <c r="E44" s="344"/>
      <c r="F44" s="344"/>
      <c r="G44" s="344"/>
      <c r="H44" s="344"/>
      <c r="I44" s="344"/>
      <c r="J44" s="344"/>
      <c r="K44" s="344"/>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row>
    <row r="45" spans="1:44">
      <c r="A45" s="1"/>
      <c r="B45" s="1"/>
      <c r="C45" s="344"/>
      <c r="D45" s="344"/>
      <c r="E45" s="344"/>
      <c r="F45" s="344"/>
      <c r="G45" s="344"/>
      <c r="H45" s="344"/>
      <c r="I45" s="344"/>
      <c r="J45" s="344"/>
      <c r="K45" s="344"/>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row>
    <row r="46" spans="1:44">
      <c r="A46" s="1"/>
      <c r="B46" s="1"/>
      <c r="C46" s="344"/>
      <c r="D46" s="344"/>
      <c r="E46" s="344"/>
      <c r="F46" s="344"/>
      <c r="G46" s="344"/>
      <c r="H46" s="344"/>
      <c r="I46" s="344"/>
      <c r="J46" s="344"/>
      <c r="K46" s="344"/>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row>
    <row r="47" spans="1:44">
      <c r="A47" s="1"/>
      <c r="B47" s="1"/>
      <c r="C47" s="344"/>
      <c r="D47" s="344"/>
      <c r="E47" s="344"/>
      <c r="F47" s="344"/>
      <c r="G47" s="344"/>
      <c r="H47" s="344"/>
      <c r="I47" s="344"/>
      <c r="J47" s="344"/>
      <c r="K47" s="344"/>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row>
    <row r="48" spans="1:44">
      <c r="A48" s="1"/>
      <c r="B48" s="1"/>
      <c r="C48" s="344"/>
      <c r="D48" s="344"/>
      <c r="E48" s="344"/>
      <c r="F48" s="344"/>
      <c r="G48" s="344"/>
      <c r="H48" s="344"/>
      <c r="I48" s="344"/>
      <c r="J48" s="344"/>
      <c r="K48" s="344"/>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row>
    <row r="49" spans="1:44">
      <c r="A49" s="1"/>
      <c r="B49" s="1"/>
      <c r="C49" s="344"/>
      <c r="D49" s="344"/>
      <c r="E49" s="344"/>
      <c r="F49" s="344"/>
      <c r="G49" s="344"/>
      <c r="H49" s="344"/>
      <c r="I49" s="344"/>
      <c r="J49" s="344"/>
      <c r="K49" s="344"/>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row>
    <row r="50" spans="1:44">
      <c r="A50" s="1"/>
      <c r="B50" s="1"/>
      <c r="C50" s="344"/>
      <c r="D50" s="344"/>
      <c r="E50" s="344"/>
      <c r="F50" s="344"/>
      <c r="G50" s="344"/>
      <c r="H50" s="344"/>
      <c r="I50" s="344"/>
      <c r="J50" s="344"/>
      <c r="K50" s="344"/>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row>
    <row r="51" spans="1:44">
      <c r="A51" s="1"/>
      <c r="B51" s="1"/>
      <c r="C51" s="344"/>
      <c r="D51" s="344"/>
      <c r="E51" s="344"/>
      <c r="F51" s="344"/>
      <c r="G51" s="344"/>
      <c r="H51" s="344"/>
      <c r="I51" s="344"/>
      <c r="J51" s="344"/>
      <c r="K51" s="344"/>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row>
    <row r="52" spans="1:44">
      <c r="A52" s="1"/>
      <c r="B52" s="1"/>
      <c r="C52" s="344"/>
      <c r="D52" s="344"/>
      <c r="E52" s="344"/>
      <c r="F52" s="344"/>
      <c r="G52" s="344"/>
      <c r="H52" s="344"/>
      <c r="I52" s="344"/>
      <c r="J52" s="344"/>
      <c r="K52" s="344"/>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row>
    <row r="53" spans="1:44">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row>
    <row r="54" spans="1:44">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row>
    <row r="55" spans="1:44">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row>
    <row r="56" spans="1:44">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row>
    <row r="57" spans="1:44">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row>
    <row r="58" spans="1:44">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row>
    <row r="59" spans="1:44">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row>
    <row r="60" spans="1:44">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row>
    <row r="61" spans="1:44">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row>
    <row r="62" spans="1:44">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row>
    <row r="63" spans="1:44">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row>
    <row r="64" spans="1:44">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row>
    <row r="65" spans="1:44">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row>
    <row r="66" spans="1:44">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row>
    <row r="67" spans="1:44">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row>
    <row r="68" spans="1:44">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row>
    <row r="69" spans="1:44">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row>
    <row r="70" spans="1:44">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row>
    <row r="71" spans="1:44">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row>
    <row r="72" spans="1:44">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row>
    <row r="73" spans="1:4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row>
    <row r="74" spans="1:44">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row>
    <row r="75" spans="1:44">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row>
    <row r="76" spans="1:44">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row>
    <row r="77" spans="1:44">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row>
    <row r="78" spans="1:44">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row>
    <row r="79" spans="1:44">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row>
    <row r="80" spans="1:44">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row>
    <row r="81" spans="1:44">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row>
    <row r="82" spans="1:44">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row>
    <row r="83" spans="1:44">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row>
    <row r="84" spans="1:44">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row>
    <row r="85" spans="1:44">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row>
    <row r="86" spans="1:44">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row>
    <row r="87" spans="1:44">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row>
    <row r="88" spans="1:44">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row>
    <row r="89" spans="1:44">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row>
    <row r="90" spans="1:44">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row>
    <row r="91" spans="1:44">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row>
    <row r="92" spans="1:44">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row>
    <row r="93" spans="1:44">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row>
    <row r="94" spans="1:44">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row>
    <row r="95" spans="1:44">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row>
    <row r="96" spans="1:44">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row>
    <row r="97" spans="1:44">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row>
    <row r="98" spans="1:44">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row>
    <row r="99" spans="1:44">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row>
    <row r="100" spans="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row>
    <row r="101" spans="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row>
    <row r="102" spans="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row>
    <row r="103" spans="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row>
    <row r="104" spans="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row>
    <row r="105" spans="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row>
    <row r="106" spans="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row>
    <row r="107" spans="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row>
    <row r="108" spans="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row>
    <row r="109" spans="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row>
    <row r="110" spans="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row>
    <row r="111" spans="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row>
    <row r="112" spans="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row>
    <row r="113" spans="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row>
    <row r="114" spans="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row>
    <row r="115" spans="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row>
    <row r="116" spans="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row>
    <row r="117" spans="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row>
    <row r="118" spans="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row>
    <row r="119" spans="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row>
    <row r="120" spans="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row>
    <row r="121" spans="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row>
    <row r="122" spans="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row>
    <row r="123" spans="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row>
    <row r="124" spans="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row>
    <row r="125" spans="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row>
    <row r="126" spans="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row>
    <row r="127" spans="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row>
    <row r="128" spans="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row>
    <row r="129" spans="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row>
    <row r="130" spans="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row>
    <row r="131" spans="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row>
    <row r="132" spans="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row>
    <row r="133" spans="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row>
    <row r="134" spans="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row>
    <row r="135" spans="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row>
    <row r="136" spans="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row>
    <row r="137" spans="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row>
    <row r="138" spans="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row>
    <row r="139" spans="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row>
    <row r="140" spans="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row>
    <row r="141" spans="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row>
    <row r="142" spans="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row>
    <row r="143" spans="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row>
    <row r="144" spans="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row>
    <row r="145" spans="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row>
    <row r="146" spans="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row>
    <row r="147" spans="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row>
    <row r="148" spans="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row>
    <row r="149" spans="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row>
    <row r="150" spans="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row>
    <row r="151" spans="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row>
    <row r="152" spans="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row>
    <row r="153" spans="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row>
    <row r="154" spans="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row>
    <row r="155" spans="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row>
    <row r="156" spans="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row>
    <row r="157" spans="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row>
    <row r="158" spans="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row>
    <row r="159" spans="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row>
    <row r="160" spans="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row>
    <row r="161" spans="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row>
    <row r="162" spans="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row>
    <row r="163" spans="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row>
    <row r="164" spans="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row>
    <row r="165" spans="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row>
    <row r="166" spans="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row>
    <row r="167" spans="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row>
    <row r="168" spans="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row>
    <row r="169" spans="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row>
    <row r="170" spans="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row>
    <row r="171" spans="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row>
    <row r="172" spans="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row>
    <row r="173" spans="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row>
    <row r="174" spans="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row>
    <row r="175" spans="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row>
    <row r="176" spans="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row>
    <row r="177" spans="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row>
    <row r="178" spans="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row>
    <row r="179" spans="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row>
    <row r="180" spans="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row>
    <row r="181" spans="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row>
    <row r="182" spans="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row>
    <row r="183" spans="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row>
    <row r="184" spans="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row>
    <row r="185" spans="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row>
    <row r="186" spans="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row>
    <row r="187" spans="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row>
    <row r="188" spans="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row>
    <row r="189" spans="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row>
    <row r="190" spans="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row>
    <row r="191" spans="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row>
    <row r="192" spans="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row>
    <row r="193" spans="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row>
    <row r="194" spans="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row>
    <row r="195" spans="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row>
    <row r="196" spans="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row>
    <row r="197" spans="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row>
    <row r="198" spans="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row>
    <row r="199" spans="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row>
    <row r="200" spans="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row>
    <row r="201" spans="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row>
    <row r="202" spans="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row>
    <row r="203" spans="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row>
    <row r="204" spans="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row>
    <row r="205" spans="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row>
    <row r="206" spans="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row>
    <row r="207" spans="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row>
    <row r="208" spans="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row>
    <row r="209" spans="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row>
    <row r="210" spans="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row>
    <row r="211" spans="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row>
    <row r="212" spans="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row>
    <row r="213" spans="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row>
    <row r="214" spans="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row>
    <row r="215" spans="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row>
    <row r="216" spans="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row>
    <row r="217" spans="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row>
    <row r="218" spans="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row>
    <row r="219" spans="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row>
    <row r="220" spans="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row>
    <row r="221" spans="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row>
    <row r="222" spans="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row>
    <row r="223" spans="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row>
    <row r="224" spans="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row>
    <row r="225" spans="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row>
    <row r="226" spans="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row>
    <row r="227" spans="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row>
    <row r="228" spans="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row>
    <row r="229" spans="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row>
    <row r="230" spans="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row>
    <row r="231" spans="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row>
    <row r="232" spans="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row>
    <row r="233" spans="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row>
    <row r="234" spans="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row>
    <row r="235" spans="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row>
    <row r="236" spans="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row>
    <row r="237" spans="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row>
    <row r="238" spans="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row>
    <row r="239" spans="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row>
    <row r="240" spans="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row>
    <row r="241" spans="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row>
    <row r="242" spans="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row>
    <row r="243" spans="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row>
    <row r="244" spans="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row>
    <row r="245" spans="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row>
    <row r="246" spans="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row>
    <row r="247" spans="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row>
    <row r="248" spans="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row>
    <row r="249" spans="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row>
    <row r="250" spans="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row>
    <row r="251" spans="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row>
    <row r="252" spans="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row>
    <row r="253" spans="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row>
    <row r="254" spans="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row>
    <row r="255" spans="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row>
    <row r="256" spans="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row>
    <row r="257" spans="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row>
    <row r="258" spans="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row>
    <row r="259" spans="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row>
    <row r="260" spans="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row>
    <row r="261" spans="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row>
    <row r="262" spans="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row>
    <row r="263" spans="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row>
    <row r="264" spans="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row>
    <row r="265" spans="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row>
    <row r="266" spans="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row>
    <row r="267" spans="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row>
    <row r="268" spans="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row>
    <row r="269" spans="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row>
    <row r="270" spans="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row>
    <row r="271" spans="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row>
    <row r="272" spans="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row>
    <row r="273" spans="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row>
    <row r="274" spans="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row>
    <row r="275" spans="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row>
    <row r="276" spans="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row>
    <row r="277" spans="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row>
    <row r="278" spans="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row>
    <row r="279" spans="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row>
    <row r="280" spans="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row>
    <row r="281" spans="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row>
    <row r="282" spans="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row>
    <row r="283" spans="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row>
    <row r="284" spans="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row>
    <row r="285" spans="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row>
    <row r="286" spans="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row>
    <row r="287" spans="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row>
    <row r="288" spans="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row>
    <row r="289" spans="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row>
    <row r="290" spans="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row>
    <row r="291" spans="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row>
    <row r="292" spans="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row>
    <row r="293" spans="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row>
    <row r="294" spans="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row>
    <row r="295" spans="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row>
    <row r="296" spans="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row>
    <row r="297" spans="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row>
    <row r="298" spans="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row>
    <row r="299" spans="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row>
    <row r="300" spans="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row>
    <row r="301" spans="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row>
    <row r="302" spans="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row>
    <row r="303" spans="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row>
    <row r="304" spans="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row>
    <row r="305" spans="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row>
    <row r="306" spans="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row>
    <row r="307" spans="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row>
    <row r="308" spans="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row>
    <row r="309" spans="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row>
    <row r="310" spans="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row>
    <row r="311" spans="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row>
    <row r="312" spans="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row>
    <row r="313" spans="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row>
    <row r="314" spans="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row>
    <row r="315" spans="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row>
    <row r="316" spans="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row>
    <row r="317" spans="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row>
    <row r="318" spans="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row>
    <row r="319" spans="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row>
    <row r="320" spans="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row>
    <row r="321" spans="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row>
    <row r="322" spans="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row>
    <row r="323" spans="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row>
    <row r="324" spans="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row>
    <row r="325" spans="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row>
    <row r="326" spans="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row>
    <row r="327" spans="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row>
    <row r="328" spans="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row>
    <row r="329" spans="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row>
    <row r="330" spans="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row>
    <row r="331" spans="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row>
    <row r="332" spans="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row>
    <row r="333" spans="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row>
    <row r="334" spans="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row>
    <row r="335" spans="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row>
    <row r="336" spans="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row>
    <row r="337" spans="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row>
    <row r="338" spans="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row>
    <row r="339" spans="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row>
    <row r="340" spans="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row>
    <row r="341" spans="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row>
    <row r="342" spans="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row>
    <row r="343" spans="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row>
    <row r="344" spans="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row>
    <row r="345" spans="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row>
    <row r="346" spans="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row>
    <row r="347" spans="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row>
    <row r="348" spans="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row>
    <row r="349" spans="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row>
    <row r="350" spans="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row>
    <row r="351" spans="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row>
    <row r="352" spans="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row>
    <row r="353" spans="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row>
    <row r="354" spans="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row>
    <row r="355" spans="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row>
    <row r="356" spans="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row>
    <row r="357" spans="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row>
    <row r="358" spans="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row>
    <row r="359" spans="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row>
    <row r="360" spans="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row>
    <row r="361" spans="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row>
    <row r="362" spans="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row>
    <row r="363" spans="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row>
    <row r="364" spans="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row>
    <row r="365" spans="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row>
    <row r="366" spans="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row>
    <row r="367" spans="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row>
    <row r="368" spans="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row>
    <row r="369" spans="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row>
    <row r="370" spans="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row>
    <row r="371" spans="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row>
    <row r="372" spans="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row>
    <row r="373" spans="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row>
    <row r="374" spans="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row>
    <row r="375" spans="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row>
    <row r="376" spans="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row>
    <row r="377" spans="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row>
    <row r="378" spans="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row>
    <row r="379" spans="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row>
    <row r="380" spans="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row>
    <row r="381" spans="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row>
    <row r="382" spans="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row>
    <row r="383" spans="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row>
    <row r="384" spans="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row>
    <row r="385" spans="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row>
    <row r="386" spans="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row>
    <row r="387" spans="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row>
    <row r="388" spans="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row>
    <row r="389" spans="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row>
    <row r="390" spans="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row>
    <row r="391" spans="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row>
    <row r="392" spans="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row>
    <row r="393" spans="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row>
    <row r="394" spans="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row>
    <row r="395" spans="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row>
    <row r="396" spans="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row>
    <row r="397" spans="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row>
    <row r="398" spans="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row>
    <row r="399" spans="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row>
    <row r="400" spans="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row>
    <row r="401" spans="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row>
    <row r="402" spans="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row>
    <row r="403" spans="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row>
    <row r="404" spans="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row>
    <row r="405" spans="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row>
    <row r="406" spans="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row>
    <row r="407" spans="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row>
    <row r="408" spans="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row>
    <row r="409" spans="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row>
    <row r="410" spans="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row>
    <row r="411" spans="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row>
    <row r="412" spans="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row>
    <row r="413" spans="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row>
    <row r="414" spans="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row>
    <row r="415" spans="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row>
    <row r="416" spans="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row>
    <row r="417" spans="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row>
    <row r="418" spans="1:44">
      <c r="A418" s="1"/>
      <c r="B418" s="1"/>
      <c r="C418" s="1"/>
      <c r="D418" s="1"/>
      <c r="E418" s="1"/>
      <c r="F418" s="1"/>
      <c r="G418" s="1"/>
      <c r="H418" s="1"/>
      <c r="I418" s="1"/>
      <c r="J418" s="1"/>
      <c r="K418" s="1"/>
    </row>
    <row r="419" spans="1:44">
      <c r="A419" s="1"/>
      <c r="B419" s="1"/>
      <c r="C419" s="1"/>
      <c r="D419" s="1"/>
      <c r="E419" s="1"/>
      <c r="F419" s="1"/>
      <c r="G419" s="1"/>
      <c r="H419" s="1"/>
      <c r="I419" s="1"/>
      <c r="J419" s="1"/>
      <c r="K419" s="1"/>
    </row>
    <row r="420" spans="1:44">
      <c r="A420" s="1"/>
      <c r="B420" s="1"/>
      <c r="C420" s="1"/>
      <c r="D420" s="1"/>
      <c r="E420" s="1"/>
      <c r="F420" s="1"/>
      <c r="G420" s="1"/>
      <c r="H420" s="1"/>
      <c r="I420" s="1"/>
      <c r="J420" s="1"/>
      <c r="K420" s="1"/>
    </row>
    <row r="421" spans="1:44">
      <c r="A421" s="1"/>
      <c r="B421" s="1"/>
      <c r="C421" s="1"/>
      <c r="D421" s="1"/>
      <c r="E421" s="1"/>
      <c r="F421" s="1"/>
      <c r="G421" s="1"/>
      <c r="H421" s="1"/>
      <c r="I421" s="1"/>
      <c r="J421" s="1"/>
      <c r="K421" s="1"/>
    </row>
    <row r="422" spans="1:44">
      <c r="A422" s="1"/>
      <c r="B422" s="1"/>
      <c r="C422" s="1"/>
      <c r="D422" s="1"/>
      <c r="E422" s="1"/>
      <c r="F422" s="1"/>
      <c r="G422" s="1"/>
      <c r="H422" s="1"/>
      <c r="I422" s="1"/>
      <c r="J422" s="1"/>
      <c r="K422" s="1"/>
    </row>
    <row r="423" spans="1:44">
      <c r="A423" s="1"/>
      <c r="B423" s="1"/>
      <c r="C423" s="1"/>
      <c r="D423" s="1"/>
      <c r="E423" s="1"/>
      <c r="F423" s="1"/>
      <c r="G423" s="1"/>
      <c r="H423" s="1"/>
      <c r="I423" s="1"/>
      <c r="J423" s="1"/>
      <c r="K423" s="1"/>
    </row>
    <row r="424" spans="1:44">
      <c r="A424" s="1"/>
      <c r="B424" s="1"/>
      <c r="C424" s="1"/>
      <c r="D424" s="1"/>
      <c r="E424" s="1"/>
      <c r="F424" s="1"/>
      <c r="G424" s="1"/>
      <c r="H424" s="1"/>
      <c r="I424" s="1"/>
      <c r="J424" s="1"/>
      <c r="K424" s="1"/>
    </row>
    <row r="425" spans="1:44">
      <c r="A425" s="1"/>
      <c r="B425" s="1"/>
      <c r="C425" s="1"/>
      <c r="D425" s="1"/>
      <c r="E425" s="1"/>
      <c r="F425" s="1"/>
      <c r="G425" s="1"/>
      <c r="H425" s="1"/>
      <c r="I425" s="1"/>
      <c r="J425" s="1"/>
      <c r="K425" s="1"/>
    </row>
    <row r="426" spans="1:44">
      <c r="A426" s="1"/>
      <c r="B426" s="1"/>
      <c r="C426" s="1"/>
      <c r="D426" s="1"/>
      <c r="E426" s="1"/>
      <c r="F426" s="1"/>
      <c r="G426" s="1"/>
      <c r="H426" s="1"/>
      <c r="I426" s="1"/>
      <c r="J426" s="1"/>
      <c r="K426" s="1"/>
    </row>
    <row r="427" spans="1:44">
      <c r="A427" s="1"/>
      <c r="B427" s="1"/>
      <c r="C427" s="1"/>
      <c r="D427" s="1"/>
      <c r="E427" s="1"/>
      <c r="F427" s="1"/>
      <c r="G427" s="1"/>
      <c r="H427" s="1"/>
      <c r="I427" s="1"/>
      <c r="J427" s="1"/>
      <c r="K427" s="1"/>
    </row>
    <row r="428" spans="1:44">
      <c r="A428" s="1"/>
      <c r="B428" s="1"/>
      <c r="C428" s="1"/>
      <c r="D428" s="1"/>
      <c r="E428" s="1"/>
      <c r="F428" s="1"/>
      <c r="G428" s="1"/>
      <c r="H428" s="1"/>
      <c r="I428" s="1"/>
      <c r="J428" s="1"/>
      <c r="K428" s="1"/>
    </row>
    <row r="429" spans="1:44">
      <c r="A429" s="1"/>
      <c r="B429" s="1"/>
      <c r="C429" s="1"/>
      <c r="D429" s="1"/>
      <c r="E429" s="1"/>
      <c r="F429" s="1"/>
      <c r="G429" s="1"/>
      <c r="H429" s="1"/>
      <c r="I429" s="1"/>
      <c r="J429" s="1"/>
      <c r="K429" s="1"/>
    </row>
    <row r="430" spans="1:44">
      <c r="A430" s="1"/>
      <c r="B430" s="1"/>
      <c r="C430" s="1"/>
      <c r="D430" s="1"/>
      <c r="E430" s="1"/>
      <c r="F430" s="1"/>
      <c r="G430" s="1"/>
      <c r="H430" s="1"/>
      <c r="I430" s="1"/>
      <c r="J430" s="1"/>
      <c r="K430" s="1"/>
    </row>
    <row r="431" spans="1:44">
      <c r="A431" s="1"/>
      <c r="B431" s="1"/>
      <c r="C431" s="1"/>
      <c r="D431" s="1"/>
      <c r="E431" s="1"/>
      <c r="F431" s="1"/>
      <c r="G431" s="1"/>
      <c r="H431" s="1"/>
      <c r="I431" s="1"/>
      <c r="J431" s="1"/>
      <c r="K431" s="1"/>
    </row>
    <row r="432" spans="1:44">
      <c r="A432" s="1"/>
      <c r="B432" s="1"/>
      <c r="C432" s="1"/>
      <c r="D432" s="1"/>
      <c r="E432" s="1"/>
      <c r="F432" s="1"/>
      <c r="G432" s="1"/>
      <c r="H432" s="1"/>
      <c r="I432" s="1"/>
      <c r="J432" s="1"/>
      <c r="K432" s="1"/>
    </row>
    <row r="433" spans="1:11">
      <c r="A433" s="1"/>
      <c r="B433" s="1"/>
      <c r="C433" s="1"/>
      <c r="D433" s="1"/>
      <c r="E433" s="1"/>
      <c r="F433" s="1"/>
      <c r="G433" s="1"/>
      <c r="H433" s="1"/>
      <c r="I433" s="1"/>
      <c r="J433" s="1"/>
      <c r="K433" s="1"/>
    </row>
    <row r="434" spans="1:11">
      <c r="A434" s="1"/>
      <c r="B434" s="1"/>
      <c r="C434" s="1"/>
      <c r="D434" s="1"/>
      <c r="E434" s="1"/>
      <c r="F434" s="1"/>
      <c r="G434" s="1"/>
      <c r="H434" s="1"/>
      <c r="I434" s="1"/>
      <c r="J434" s="1"/>
      <c r="K434" s="1"/>
    </row>
    <row r="435" spans="1:11">
      <c r="A435" s="1"/>
      <c r="B435" s="1"/>
      <c r="C435" s="1"/>
      <c r="D435" s="1"/>
      <c r="E435" s="1"/>
      <c r="F435" s="1"/>
      <c r="G435" s="1"/>
      <c r="H435" s="1"/>
      <c r="I435" s="1"/>
      <c r="J435" s="1"/>
      <c r="K435" s="1"/>
    </row>
    <row r="436" spans="1:11">
      <c r="A436" s="1"/>
      <c r="B436" s="1"/>
      <c r="C436" s="1"/>
      <c r="D436" s="1"/>
      <c r="E436" s="1"/>
      <c r="F436" s="1"/>
      <c r="G436" s="1"/>
      <c r="H436" s="1"/>
      <c r="I436" s="1"/>
      <c r="J436" s="1"/>
      <c r="K436" s="1"/>
    </row>
    <row r="437" spans="1:11">
      <c r="A437" s="1"/>
      <c r="B437" s="1"/>
      <c r="C437" s="1"/>
      <c r="D437" s="1"/>
      <c r="E437" s="1"/>
      <c r="F437" s="1"/>
      <c r="G437" s="1"/>
      <c r="H437" s="1"/>
      <c r="I437" s="1"/>
      <c r="J437" s="1"/>
      <c r="K437" s="1"/>
    </row>
    <row r="438" spans="1:11">
      <c r="A438" s="1"/>
      <c r="B438" s="1"/>
      <c r="C438" s="1"/>
      <c r="D438" s="1"/>
      <c r="E438" s="1"/>
      <c r="F438" s="1"/>
      <c r="G438" s="1"/>
      <c r="H438" s="1"/>
      <c r="I438" s="1"/>
      <c r="J438" s="1"/>
      <c r="K438" s="1"/>
    </row>
    <row r="439" spans="1:11">
      <c r="A439" s="1"/>
      <c r="B439" s="1"/>
      <c r="C439" s="1"/>
      <c r="D439" s="1"/>
      <c r="E439" s="1"/>
      <c r="F439" s="1"/>
      <c r="G439" s="1"/>
      <c r="H439" s="1"/>
      <c r="I439" s="1"/>
      <c r="J439" s="1"/>
      <c r="K439" s="1"/>
    </row>
    <row r="440" spans="1:11">
      <c r="A440" s="1"/>
      <c r="B440" s="1"/>
      <c r="C440" s="1"/>
      <c r="D440" s="1"/>
      <c r="E440" s="1"/>
      <c r="F440" s="1"/>
      <c r="G440" s="1"/>
      <c r="H440" s="1"/>
      <c r="I440" s="1"/>
      <c r="J440" s="1"/>
      <c r="K440" s="1"/>
    </row>
    <row r="441" spans="1:11">
      <c r="A441" s="1"/>
      <c r="B441" s="1"/>
      <c r="C441" s="1"/>
      <c r="D441" s="1"/>
      <c r="E441" s="1"/>
      <c r="F441" s="1"/>
      <c r="G441" s="1"/>
      <c r="H441" s="1"/>
      <c r="I441" s="1"/>
      <c r="J441" s="1"/>
      <c r="K441" s="1"/>
    </row>
    <row r="442" spans="1:11">
      <c r="A442" s="1"/>
      <c r="B442" s="1"/>
      <c r="C442" s="1"/>
      <c r="D442" s="1"/>
      <c r="E442" s="1"/>
      <c r="F442" s="1"/>
      <c r="G442" s="1"/>
      <c r="H442" s="1"/>
      <c r="I442" s="1"/>
      <c r="J442" s="1"/>
      <c r="K442" s="1"/>
    </row>
    <row r="443" spans="1:11">
      <c r="A443" s="1"/>
      <c r="B443" s="1"/>
      <c r="C443" s="1"/>
      <c r="D443" s="1"/>
      <c r="E443" s="1"/>
      <c r="F443" s="1"/>
      <c r="G443" s="1"/>
      <c r="H443" s="1"/>
      <c r="I443" s="1"/>
      <c r="J443" s="1"/>
      <c r="K443" s="1"/>
    </row>
    <row r="444" spans="1:11">
      <c r="A444" s="1"/>
      <c r="B444" s="1"/>
      <c r="C444" s="1"/>
      <c r="D444" s="1"/>
      <c r="E444" s="1"/>
      <c r="F444" s="1"/>
      <c r="G444" s="1"/>
      <c r="H444" s="1"/>
      <c r="I444" s="1"/>
      <c r="J444" s="1"/>
      <c r="K444" s="1"/>
    </row>
    <row r="445" spans="1:11">
      <c r="A445" s="1"/>
      <c r="B445" s="1"/>
      <c r="C445" s="1"/>
      <c r="D445" s="1"/>
      <c r="E445" s="1"/>
      <c r="F445" s="1"/>
      <c r="G445" s="1"/>
      <c r="H445" s="1"/>
      <c r="I445" s="1"/>
      <c r="J445" s="1"/>
      <c r="K445" s="1"/>
    </row>
    <row r="446" spans="1:11">
      <c r="A446" s="1"/>
      <c r="B446" s="1"/>
      <c r="C446" s="1"/>
      <c r="D446" s="1"/>
      <c r="E446" s="1"/>
      <c r="F446" s="1"/>
      <c r="G446" s="1"/>
      <c r="H446" s="1"/>
      <c r="I446" s="1"/>
      <c r="J446" s="1"/>
      <c r="K446" s="1"/>
    </row>
    <row r="447" spans="1:11">
      <c r="A447" s="1"/>
      <c r="B447" s="1"/>
      <c r="C447" s="1"/>
      <c r="D447" s="1"/>
      <c r="E447" s="1"/>
      <c r="F447" s="1"/>
      <c r="G447" s="1"/>
      <c r="H447" s="1"/>
      <c r="I447" s="1"/>
      <c r="J447" s="1"/>
      <c r="K447" s="1"/>
    </row>
    <row r="448" spans="1:11">
      <c r="A448" s="1"/>
      <c r="B448" s="1"/>
      <c r="C448" s="1"/>
      <c r="D448" s="1"/>
      <c r="E448" s="1"/>
      <c r="F448" s="1"/>
      <c r="G448" s="1"/>
      <c r="H448" s="1"/>
      <c r="I448" s="1"/>
      <c r="J448" s="1"/>
      <c r="K448" s="1"/>
    </row>
    <row r="449" spans="1:11">
      <c r="A449" s="1"/>
      <c r="B449" s="1"/>
      <c r="C449" s="1"/>
      <c r="D449" s="1"/>
      <c r="E449" s="1"/>
      <c r="F449" s="1"/>
      <c r="G449" s="1"/>
      <c r="H449" s="1"/>
      <c r="I449" s="1"/>
      <c r="J449" s="1"/>
      <c r="K449" s="1"/>
    </row>
    <row r="450" spans="1:11">
      <c r="A450" s="1"/>
      <c r="B450" s="1"/>
      <c r="C450" s="1"/>
      <c r="D450" s="1"/>
      <c r="E450" s="1"/>
      <c r="F450" s="1"/>
      <c r="G450" s="1"/>
      <c r="H450" s="1"/>
      <c r="I450" s="1"/>
      <c r="J450" s="1"/>
      <c r="K450" s="1"/>
    </row>
    <row r="451" spans="1:11">
      <c r="A451" s="1"/>
      <c r="B451" s="1"/>
      <c r="C451" s="1"/>
      <c r="D451" s="1"/>
      <c r="E451" s="1"/>
      <c r="F451" s="1"/>
      <c r="G451" s="1"/>
      <c r="H451" s="1"/>
      <c r="I451" s="1"/>
      <c r="J451" s="1"/>
      <c r="K451" s="1"/>
    </row>
    <row r="452" spans="1:11">
      <c r="A452" s="1"/>
      <c r="B452" s="1"/>
      <c r="C452" s="1"/>
      <c r="D452" s="1"/>
      <c r="E452" s="1"/>
      <c r="F452" s="1"/>
      <c r="G452" s="1"/>
      <c r="H452" s="1"/>
      <c r="I452" s="1"/>
      <c r="J452" s="1"/>
      <c r="K452" s="1"/>
    </row>
    <row r="453" spans="1:11">
      <c r="A453" s="1"/>
      <c r="B453" s="1"/>
      <c r="C453" s="1"/>
      <c r="D453" s="1"/>
      <c r="E453" s="1"/>
      <c r="F453" s="1"/>
      <c r="G453" s="1"/>
      <c r="H453" s="1"/>
      <c r="I453" s="1"/>
      <c r="J453" s="1"/>
      <c r="K453" s="1"/>
    </row>
    <row r="454" spans="1:11">
      <c r="A454" s="1"/>
      <c r="B454" s="1"/>
      <c r="C454" s="1"/>
      <c r="D454" s="1"/>
      <c r="E454" s="1"/>
      <c r="F454" s="1"/>
      <c r="G454" s="1"/>
      <c r="H454" s="1"/>
      <c r="I454" s="1"/>
      <c r="J454" s="1"/>
      <c r="K454" s="1"/>
    </row>
    <row r="455" spans="1:11">
      <c r="A455" s="1"/>
      <c r="B455" s="1"/>
      <c r="C455" s="1"/>
      <c r="D455" s="1"/>
      <c r="E455" s="1"/>
      <c r="F455" s="1"/>
      <c r="G455" s="1"/>
      <c r="H455" s="1"/>
      <c r="I455" s="1"/>
      <c r="J455" s="1"/>
      <c r="K455" s="1"/>
    </row>
    <row r="456" spans="1:11">
      <c r="A456" s="1"/>
      <c r="B456" s="1"/>
      <c r="C456" s="1"/>
      <c r="D456" s="1"/>
      <c r="E456" s="1"/>
      <c r="F456" s="1"/>
      <c r="G456" s="1"/>
      <c r="H456" s="1"/>
      <c r="I456" s="1"/>
      <c r="J456" s="1"/>
      <c r="K456" s="1"/>
    </row>
    <row r="457" spans="1:11">
      <c r="A457" s="1"/>
      <c r="B457" s="1"/>
      <c r="C457" s="1"/>
      <c r="D457" s="1"/>
      <c r="E457" s="1"/>
      <c r="F457" s="1"/>
      <c r="G457" s="1"/>
      <c r="H457" s="1"/>
      <c r="I457" s="1"/>
      <c r="J457" s="1"/>
      <c r="K457" s="1"/>
    </row>
    <row r="458" spans="1:11">
      <c r="A458" s="1"/>
      <c r="B458" s="1"/>
      <c r="C458" s="1"/>
      <c r="D458" s="1"/>
      <c r="E458" s="1"/>
      <c r="F458" s="1"/>
      <c r="G458" s="1"/>
      <c r="H458" s="1"/>
      <c r="I458" s="1"/>
      <c r="J458" s="1"/>
      <c r="K458" s="1"/>
    </row>
    <row r="459" spans="1:11">
      <c r="A459" s="1"/>
      <c r="B459" s="1"/>
      <c r="C459" s="1"/>
      <c r="D459" s="1"/>
      <c r="E459" s="1"/>
      <c r="F459" s="1"/>
      <c r="G459" s="1"/>
      <c r="H459" s="1"/>
      <c r="I459" s="1"/>
      <c r="J459" s="1"/>
      <c r="K459" s="1"/>
    </row>
    <row r="460" spans="1:11">
      <c r="A460" s="1"/>
      <c r="B460" s="1"/>
      <c r="C460" s="1"/>
      <c r="D460" s="1"/>
      <c r="E460" s="1"/>
      <c r="F460" s="1"/>
      <c r="G460" s="1"/>
      <c r="H460" s="1"/>
      <c r="I460" s="1"/>
      <c r="J460" s="1"/>
      <c r="K460" s="1"/>
    </row>
    <row r="461" spans="1:11">
      <c r="A461" s="1"/>
      <c r="B461" s="1"/>
      <c r="C461" s="1"/>
      <c r="D461" s="1"/>
      <c r="E461" s="1"/>
      <c r="F461" s="1"/>
      <c r="G461" s="1"/>
      <c r="H461" s="1"/>
      <c r="I461" s="1"/>
      <c r="J461" s="1"/>
      <c r="K461" s="1"/>
    </row>
    <row r="462" spans="1:11">
      <c r="A462" s="1"/>
      <c r="B462" s="1"/>
      <c r="C462" s="1"/>
      <c r="D462" s="1"/>
      <c r="E462" s="1"/>
      <c r="F462" s="1"/>
      <c r="G462" s="1"/>
      <c r="H462" s="1"/>
      <c r="I462" s="1"/>
      <c r="J462" s="1"/>
      <c r="K462" s="1"/>
    </row>
    <row r="463" spans="1:11">
      <c r="A463" s="1"/>
      <c r="B463" s="1"/>
      <c r="C463" s="1"/>
      <c r="D463" s="1"/>
      <c r="E463" s="1"/>
      <c r="F463" s="1"/>
      <c r="G463" s="1"/>
      <c r="H463" s="1"/>
      <c r="I463" s="1"/>
      <c r="J463" s="1"/>
      <c r="K463" s="1"/>
    </row>
    <row r="464" spans="1:11">
      <c r="A464" s="1"/>
      <c r="B464" s="1"/>
      <c r="C464" s="1"/>
      <c r="D464" s="1"/>
      <c r="E464" s="1"/>
      <c r="F464" s="1"/>
      <c r="G464" s="1"/>
      <c r="H464" s="1"/>
      <c r="I464" s="1"/>
      <c r="J464" s="1"/>
      <c r="K464" s="1"/>
    </row>
    <row r="465" spans="1:11">
      <c r="A465" s="1"/>
      <c r="B465" s="1"/>
      <c r="C465" s="1"/>
      <c r="D465" s="1"/>
      <c r="E465" s="1"/>
      <c r="F465" s="1"/>
      <c r="G465" s="1"/>
      <c r="H465" s="1"/>
      <c r="I465" s="1"/>
      <c r="J465" s="1"/>
      <c r="K465" s="1"/>
    </row>
    <row r="466" spans="1:11">
      <c r="A466" s="1"/>
      <c r="B466" s="1"/>
      <c r="C466" s="1"/>
      <c r="D466" s="1"/>
      <c r="E466" s="1"/>
      <c r="F466" s="1"/>
      <c r="G466" s="1"/>
      <c r="H466" s="1"/>
      <c r="I466" s="1"/>
      <c r="J466" s="1"/>
      <c r="K466" s="1"/>
    </row>
    <row r="467" spans="1:11">
      <c r="A467" s="1"/>
      <c r="B467" s="1"/>
      <c r="C467" s="1"/>
      <c r="D467" s="1"/>
      <c r="E467" s="1"/>
      <c r="F467" s="1"/>
      <c r="G467" s="1"/>
      <c r="H467" s="1"/>
      <c r="I467" s="1"/>
      <c r="J467" s="1"/>
      <c r="K467" s="1"/>
    </row>
    <row r="468" spans="1:11">
      <c r="A468" s="1"/>
      <c r="B468" s="1"/>
      <c r="C468" s="1"/>
      <c r="D468" s="1"/>
      <c r="E468" s="1"/>
      <c r="F468" s="1"/>
      <c r="G468" s="1"/>
      <c r="H468" s="1"/>
      <c r="I468" s="1"/>
      <c r="J468" s="1"/>
      <c r="K468" s="1"/>
    </row>
    <row r="469" spans="1:11">
      <c r="A469" s="1"/>
      <c r="B469" s="1"/>
      <c r="C469" s="1"/>
      <c r="D469" s="1"/>
      <c r="E469" s="1"/>
      <c r="F469" s="1"/>
      <c r="G469" s="1"/>
      <c r="H469" s="1"/>
      <c r="I469" s="1"/>
      <c r="J469" s="1"/>
      <c r="K469" s="1"/>
    </row>
    <row r="470" spans="1:11">
      <c r="A470" s="1"/>
      <c r="B470" s="1"/>
      <c r="C470" s="1"/>
      <c r="D470" s="1"/>
      <c r="E470" s="1"/>
      <c r="F470" s="1"/>
      <c r="G470" s="1"/>
      <c r="H470" s="1"/>
      <c r="I470" s="1"/>
      <c r="J470" s="1"/>
      <c r="K470" s="1"/>
    </row>
    <row r="471" spans="1:11">
      <c r="A471" s="1"/>
      <c r="B471" s="1"/>
      <c r="C471" s="1"/>
      <c r="D471" s="1"/>
      <c r="E471" s="1"/>
      <c r="F471" s="1"/>
      <c r="G471" s="1"/>
      <c r="H471" s="1"/>
      <c r="I471" s="1"/>
      <c r="J471" s="1"/>
      <c r="K471" s="1"/>
    </row>
    <row r="472" spans="1:11">
      <c r="A472" s="1"/>
      <c r="B472" s="1"/>
      <c r="C472" s="1"/>
      <c r="D472" s="1"/>
      <c r="E472" s="1"/>
      <c r="F472" s="1"/>
      <c r="G472" s="1"/>
      <c r="H472" s="1"/>
      <c r="I472" s="1"/>
      <c r="J472" s="1"/>
      <c r="K472" s="1"/>
    </row>
    <row r="473" spans="1:11">
      <c r="A473" s="1"/>
      <c r="B473" s="1"/>
      <c r="C473" s="1"/>
      <c r="D473" s="1"/>
      <c r="E473" s="1"/>
      <c r="F473" s="1"/>
      <c r="G473" s="1"/>
      <c r="H473" s="1"/>
      <c r="I473" s="1"/>
      <c r="J473" s="1"/>
      <c r="K473" s="1"/>
    </row>
    <row r="474" spans="1:11">
      <c r="A474" s="1"/>
      <c r="B474" s="1"/>
      <c r="C474" s="1"/>
      <c r="D474" s="1"/>
      <c r="E474" s="1"/>
      <c r="F474" s="1"/>
      <c r="G474" s="1"/>
      <c r="H474" s="1"/>
      <c r="I474" s="1"/>
      <c r="J474" s="1"/>
      <c r="K474" s="1"/>
    </row>
    <row r="475" spans="1:11">
      <c r="A475" s="1"/>
      <c r="B475" s="1"/>
      <c r="C475" s="1"/>
      <c r="D475" s="1"/>
      <c r="E475" s="1"/>
      <c r="F475" s="1"/>
      <c r="G475" s="1"/>
      <c r="H475" s="1"/>
      <c r="I475" s="1"/>
      <c r="J475" s="1"/>
      <c r="K475" s="1"/>
    </row>
    <row r="476" spans="1:11">
      <c r="A476" s="1"/>
      <c r="B476" s="1"/>
      <c r="C476" s="1"/>
      <c r="D476" s="1"/>
      <c r="E476" s="1"/>
      <c r="F476" s="1"/>
      <c r="G476" s="1"/>
      <c r="H476" s="1"/>
      <c r="I476" s="1"/>
      <c r="J476" s="1"/>
      <c r="K476" s="1"/>
    </row>
    <row r="477" spans="1:11">
      <c r="A477" s="1"/>
      <c r="B477" s="1"/>
      <c r="C477" s="1"/>
      <c r="D477" s="1"/>
      <c r="E477" s="1"/>
      <c r="F477" s="1"/>
      <c r="G477" s="1"/>
      <c r="H477" s="1"/>
      <c r="I477" s="1"/>
      <c r="J477" s="1"/>
      <c r="K477" s="1"/>
    </row>
    <row r="478" spans="1:11">
      <c r="A478" s="1"/>
      <c r="B478" s="1"/>
      <c r="C478" s="1"/>
      <c r="D478" s="1"/>
      <c r="E478" s="1"/>
      <c r="F478" s="1"/>
      <c r="G478" s="1"/>
      <c r="H478" s="1"/>
      <c r="I478" s="1"/>
      <c r="J478" s="1"/>
      <c r="K478" s="1"/>
    </row>
    <row r="479" spans="1:11">
      <c r="A479" s="1"/>
      <c r="B479" s="1"/>
      <c r="C479" s="1"/>
      <c r="D479" s="1"/>
      <c r="E479" s="1"/>
      <c r="F479" s="1"/>
      <c r="G479" s="1"/>
      <c r="H479" s="1"/>
      <c r="I479" s="1"/>
      <c r="J479" s="1"/>
      <c r="K479" s="1"/>
    </row>
    <row r="480" spans="1:11">
      <c r="A480" s="1"/>
      <c r="B480" s="1"/>
      <c r="C480" s="1"/>
      <c r="D480" s="1"/>
      <c r="E480" s="1"/>
      <c r="F480" s="1"/>
      <c r="G480" s="1"/>
      <c r="H480" s="1"/>
      <c r="I480" s="1"/>
      <c r="J480" s="1"/>
      <c r="K480" s="1"/>
    </row>
    <row r="481" spans="1:11">
      <c r="A481" s="1"/>
      <c r="B481" s="1"/>
      <c r="C481" s="1"/>
      <c r="D481" s="1"/>
      <c r="E481" s="1"/>
      <c r="F481" s="1"/>
      <c r="G481" s="1"/>
      <c r="H481" s="1"/>
      <c r="I481" s="1"/>
      <c r="J481" s="1"/>
      <c r="K481" s="1"/>
    </row>
    <row r="482" spans="1:11">
      <c r="A482" s="1"/>
    </row>
    <row r="483" spans="1:11">
      <c r="A483" s="1"/>
    </row>
    <row r="484" spans="1:11">
      <c r="A484" s="1"/>
    </row>
    <row r="485" spans="1:11">
      <c r="A485" s="1"/>
    </row>
    <row r="486" spans="1:11">
      <c r="A486" s="1"/>
    </row>
    <row r="487" spans="1:11">
      <c r="A487" s="1"/>
    </row>
    <row r="488" spans="1:11">
      <c r="A488" s="1"/>
    </row>
    <row r="489" spans="1:11">
      <c r="A489" s="1"/>
    </row>
    <row r="490" spans="1:11">
      <c r="A490" s="1"/>
    </row>
    <row r="491" spans="1:11">
      <c r="A491" s="1"/>
    </row>
    <row r="492" spans="1:11">
      <c r="A492" s="1"/>
    </row>
    <row r="493" spans="1:11">
      <c r="A493" s="1"/>
    </row>
    <row r="494" spans="1:11">
      <c r="A494" s="1"/>
    </row>
    <row r="495" spans="1:11">
      <c r="A495" s="1"/>
    </row>
    <row r="496" spans="1:11">
      <c r="A496" s="1"/>
    </row>
    <row r="497" spans="1:1">
      <c r="A497" s="1"/>
    </row>
    <row r="498" spans="1:1">
      <c r="A498" s="1"/>
    </row>
    <row r="499" spans="1:1">
      <c r="A499" s="1"/>
    </row>
    <row r="500" spans="1:1">
      <c r="A500" s="1"/>
    </row>
    <row r="501" spans="1:1">
      <c r="A501" s="1"/>
    </row>
    <row r="502" spans="1:1">
      <c r="A502" s="1"/>
    </row>
    <row r="503" spans="1:1">
      <c r="A503" s="1"/>
    </row>
    <row r="504" spans="1:1">
      <c r="A504" s="1"/>
    </row>
    <row r="505" spans="1:1">
      <c r="A505" s="1"/>
    </row>
    <row r="506" spans="1:1">
      <c r="A506" s="1"/>
    </row>
    <row r="507" spans="1:1">
      <c r="A507" s="1"/>
    </row>
    <row r="508" spans="1:1">
      <c r="A508" s="1"/>
    </row>
    <row r="509" spans="1:1">
      <c r="A509" s="1"/>
    </row>
    <row r="510" spans="1:1">
      <c r="A510" s="1"/>
    </row>
    <row r="511" spans="1:1">
      <c r="A511" s="1"/>
    </row>
    <row r="512" spans="1:1">
      <c r="A512" s="1"/>
    </row>
    <row r="513" spans="1:1">
      <c r="A513" s="1"/>
    </row>
    <row r="514" spans="1:1">
      <c r="A514" s="1"/>
    </row>
    <row r="515" spans="1:1">
      <c r="A515" s="1"/>
    </row>
    <row r="516" spans="1:1">
      <c r="A516" s="1"/>
    </row>
    <row r="517" spans="1:1">
      <c r="A517" s="1"/>
    </row>
    <row r="518" spans="1:1">
      <c r="A518" s="1"/>
    </row>
    <row r="519" spans="1:1">
      <c r="A519" s="1"/>
    </row>
    <row r="520" spans="1:1">
      <c r="A520" s="1"/>
    </row>
    <row r="521" spans="1:1">
      <c r="A521" s="1"/>
    </row>
    <row r="522" spans="1:1">
      <c r="A522" s="1"/>
    </row>
    <row r="523" spans="1:1">
      <c r="A523" s="1"/>
    </row>
    <row r="524" spans="1:1">
      <c r="A524" s="1"/>
    </row>
    <row r="525" spans="1:1">
      <c r="A525" s="1"/>
    </row>
    <row r="526" spans="1:1">
      <c r="A526" s="1"/>
    </row>
    <row r="527" spans="1:1">
      <c r="A527" s="1"/>
    </row>
    <row r="528" spans="1:1">
      <c r="A528" s="1"/>
    </row>
    <row r="529" spans="1:1">
      <c r="A529" s="1"/>
    </row>
    <row r="530" spans="1:1">
      <c r="A530" s="1"/>
    </row>
    <row r="531" spans="1:1">
      <c r="A531" s="1"/>
    </row>
    <row r="532" spans="1:1">
      <c r="A532" s="1"/>
    </row>
    <row r="533" spans="1:1">
      <c r="A533" s="1"/>
    </row>
    <row r="534" spans="1:1">
      <c r="A534" s="1"/>
    </row>
    <row r="535" spans="1:1">
      <c r="A535" s="1"/>
    </row>
    <row r="536" spans="1:1">
      <c r="A536" s="1"/>
    </row>
    <row r="537" spans="1:1">
      <c r="A537" s="1"/>
    </row>
    <row r="538" spans="1:1">
      <c r="A538" s="1"/>
    </row>
    <row r="539" spans="1:1">
      <c r="A539" s="1"/>
    </row>
    <row r="540" spans="1:1">
      <c r="A540" s="1"/>
    </row>
    <row r="541" spans="1:1">
      <c r="A541" s="1"/>
    </row>
    <row r="542" spans="1:1">
      <c r="A542" s="1"/>
    </row>
    <row r="543" spans="1:1">
      <c r="A543" s="1"/>
    </row>
    <row r="544" spans="1:1">
      <c r="A544" s="1"/>
    </row>
    <row r="545" spans="1:1">
      <c r="A545" s="1"/>
    </row>
    <row r="546" spans="1:1">
      <c r="A546" s="1"/>
    </row>
    <row r="547" spans="1:1">
      <c r="A547" s="1"/>
    </row>
    <row r="548" spans="1:1">
      <c r="A548" s="1"/>
    </row>
    <row r="549" spans="1:1">
      <c r="A549" s="1"/>
    </row>
    <row r="550" spans="1:1">
      <c r="A550" s="1"/>
    </row>
    <row r="551" spans="1:1">
      <c r="A551" s="1"/>
    </row>
    <row r="552" spans="1:1">
      <c r="A552" s="1"/>
    </row>
    <row r="553" spans="1:1">
      <c r="A553" s="1"/>
    </row>
    <row r="554" spans="1:1">
      <c r="A554" s="1"/>
    </row>
    <row r="555" spans="1:1">
      <c r="A555" s="1"/>
    </row>
    <row r="556" spans="1:1">
      <c r="A556" s="1"/>
    </row>
    <row r="557" spans="1:1">
      <c r="A557" s="1"/>
    </row>
    <row r="558" spans="1:1">
      <c r="A558" s="1"/>
    </row>
    <row r="559" spans="1:1">
      <c r="A559" s="1"/>
    </row>
    <row r="560" spans="1:1">
      <c r="A560" s="1"/>
    </row>
    <row r="561" spans="1:1">
      <c r="A561" s="1"/>
    </row>
    <row r="562" spans="1:1">
      <c r="A562" s="1"/>
    </row>
    <row r="563" spans="1:1">
      <c r="A563" s="1"/>
    </row>
    <row r="564" spans="1:1">
      <c r="A564" s="1"/>
    </row>
    <row r="565" spans="1:1">
      <c r="A565" s="1"/>
    </row>
    <row r="566" spans="1:1">
      <c r="A566" s="1"/>
    </row>
    <row r="567" spans="1:1">
      <c r="A567" s="1"/>
    </row>
    <row r="568" spans="1:1">
      <c r="A568" s="1"/>
    </row>
    <row r="569" spans="1:1">
      <c r="A569" s="1"/>
    </row>
    <row r="570" spans="1:1">
      <c r="A570" s="1"/>
    </row>
    <row r="571" spans="1:1">
      <c r="A571" s="1"/>
    </row>
    <row r="572" spans="1:1">
      <c r="A572" s="1"/>
    </row>
    <row r="573" spans="1:1">
      <c r="A573" s="1"/>
    </row>
    <row r="574" spans="1:1">
      <c r="A574" s="1"/>
    </row>
    <row r="575" spans="1:1">
      <c r="A575" s="1"/>
    </row>
    <row r="576" spans="1:1">
      <c r="A576" s="1"/>
    </row>
    <row r="577" spans="1:1">
      <c r="A577" s="1"/>
    </row>
    <row r="578" spans="1:1">
      <c r="A578" s="1"/>
    </row>
    <row r="579" spans="1:1">
      <c r="A579" s="1"/>
    </row>
    <row r="580" spans="1:1">
      <c r="A580" s="1"/>
    </row>
    <row r="581" spans="1:1">
      <c r="A581" s="1"/>
    </row>
    <row r="582" spans="1:1">
      <c r="A582" s="1"/>
    </row>
    <row r="583" spans="1:1">
      <c r="A583" s="1"/>
    </row>
    <row r="584" spans="1:1">
      <c r="A584" s="1"/>
    </row>
    <row r="585" spans="1:1">
      <c r="A585" s="1"/>
    </row>
    <row r="586" spans="1:1">
      <c r="A586" s="1"/>
    </row>
    <row r="587" spans="1:1">
      <c r="A587" s="1"/>
    </row>
    <row r="588" spans="1:1">
      <c r="A588" s="1"/>
    </row>
    <row r="589" spans="1:1">
      <c r="A589" s="1"/>
    </row>
    <row r="590" spans="1:1">
      <c r="A590" s="1"/>
    </row>
    <row r="591" spans="1:1">
      <c r="A591" s="1"/>
    </row>
    <row r="592" spans="1:1">
      <c r="A592" s="1"/>
    </row>
    <row r="593" spans="1:1">
      <c r="A593" s="1"/>
    </row>
    <row r="594" spans="1:1">
      <c r="A594" s="1"/>
    </row>
    <row r="595" spans="1:1">
      <c r="A595" s="1"/>
    </row>
    <row r="596" spans="1:1">
      <c r="A596" s="1"/>
    </row>
    <row r="597" spans="1:1">
      <c r="A597" s="1"/>
    </row>
    <row r="598" spans="1:1">
      <c r="A598" s="1"/>
    </row>
    <row r="599" spans="1:1">
      <c r="A599" s="1"/>
    </row>
    <row r="600" spans="1:1">
      <c r="A600" s="1"/>
    </row>
    <row r="601" spans="1:1">
      <c r="A601" s="1"/>
    </row>
    <row r="602" spans="1:1">
      <c r="A602" s="1"/>
    </row>
    <row r="603" spans="1:1">
      <c r="A603" s="1"/>
    </row>
    <row r="604" spans="1:1">
      <c r="A604" s="1"/>
    </row>
    <row r="605" spans="1:1">
      <c r="A605" s="1"/>
    </row>
    <row r="606" spans="1:1">
      <c r="A606" s="1"/>
    </row>
    <row r="607" spans="1:1">
      <c r="A607" s="1"/>
    </row>
    <row r="608" spans="1:1">
      <c r="A608" s="1"/>
    </row>
    <row r="609" spans="1:1">
      <c r="A609" s="1"/>
    </row>
    <row r="610" spans="1:1">
      <c r="A610" s="1"/>
    </row>
    <row r="611" spans="1:1">
      <c r="A611" s="1"/>
    </row>
    <row r="612" spans="1:1">
      <c r="A612" s="1"/>
    </row>
    <row r="613" spans="1:1">
      <c r="A613" s="1"/>
    </row>
    <row r="614" spans="1:1">
      <c r="A614" s="1"/>
    </row>
    <row r="615" spans="1:1">
      <c r="A615" s="1"/>
    </row>
    <row r="616" spans="1:1">
      <c r="A616" s="1"/>
    </row>
    <row r="617" spans="1:1">
      <c r="A617" s="1"/>
    </row>
    <row r="618" spans="1:1">
      <c r="A618" s="1"/>
    </row>
    <row r="619" spans="1:1">
      <c r="A619" s="1"/>
    </row>
    <row r="620" spans="1:1">
      <c r="A620" s="1"/>
    </row>
    <row r="621" spans="1:1">
      <c r="A621" s="1"/>
    </row>
    <row r="622" spans="1:1">
      <c r="A622" s="1"/>
    </row>
    <row r="623" spans="1:1">
      <c r="A623" s="1"/>
    </row>
    <row r="624" spans="1:1">
      <c r="A624" s="1"/>
    </row>
    <row r="625" spans="1:1">
      <c r="A625" s="1"/>
    </row>
    <row r="626" spans="1:1">
      <c r="A626" s="1"/>
    </row>
    <row r="627" spans="1:1">
      <c r="A627" s="1"/>
    </row>
    <row r="628" spans="1:1">
      <c r="A628" s="1"/>
    </row>
    <row r="629" spans="1:1">
      <c r="A629" s="1"/>
    </row>
    <row r="630" spans="1:1">
      <c r="A630" s="1"/>
    </row>
    <row r="631" spans="1:1">
      <c r="A631" s="1"/>
    </row>
    <row r="632" spans="1:1">
      <c r="A632" s="1"/>
    </row>
    <row r="633" spans="1:1">
      <c r="A633" s="1"/>
    </row>
    <row r="634" spans="1:1">
      <c r="A634" s="1"/>
    </row>
    <row r="635" spans="1:1">
      <c r="A635" s="1"/>
    </row>
    <row r="636" spans="1:1">
      <c r="A636" s="1"/>
    </row>
    <row r="637" spans="1:1">
      <c r="A637" s="1"/>
    </row>
    <row r="638" spans="1:1">
      <c r="A638" s="1"/>
    </row>
    <row r="639" spans="1:1">
      <c r="A639" s="1"/>
    </row>
    <row r="640" spans="1:1">
      <c r="A640" s="1"/>
    </row>
    <row r="641" spans="1:1">
      <c r="A641" s="1"/>
    </row>
    <row r="642" spans="1:1">
      <c r="A642" s="1"/>
    </row>
    <row r="643" spans="1:1">
      <c r="A643" s="1"/>
    </row>
    <row r="644" spans="1:1">
      <c r="A644" s="1"/>
    </row>
    <row r="645" spans="1:1">
      <c r="A645" s="1"/>
    </row>
    <row r="646" spans="1:1">
      <c r="A646" s="1"/>
    </row>
    <row r="647" spans="1:1">
      <c r="A647" s="1"/>
    </row>
    <row r="648" spans="1:1">
      <c r="A648" s="1"/>
    </row>
    <row r="649" spans="1:1">
      <c r="A649" s="1"/>
    </row>
    <row r="650" spans="1:1">
      <c r="A650" s="1"/>
    </row>
    <row r="651" spans="1:1">
      <c r="A651" s="1"/>
    </row>
    <row r="652" spans="1:1">
      <c r="A652" s="1"/>
    </row>
    <row r="653" spans="1:1">
      <c r="A653" s="1"/>
    </row>
    <row r="654" spans="1:1">
      <c r="A654" s="1"/>
    </row>
    <row r="655" spans="1:1">
      <c r="A655" s="1"/>
    </row>
    <row r="656" spans="1:1">
      <c r="A656" s="1"/>
    </row>
    <row r="657" spans="1:1">
      <c r="A657" s="1"/>
    </row>
    <row r="658" spans="1:1">
      <c r="A658" s="1"/>
    </row>
    <row r="659" spans="1:1">
      <c r="A659" s="1"/>
    </row>
    <row r="660" spans="1:1">
      <c r="A660" s="1"/>
    </row>
    <row r="661" spans="1:1">
      <c r="A661" s="1"/>
    </row>
    <row r="662" spans="1:1">
      <c r="A662" s="1"/>
    </row>
    <row r="663" spans="1:1">
      <c r="A663" s="1"/>
    </row>
    <row r="664" spans="1:1">
      <c r="A664" s="1"/>
    </row>
    <row r="665" spans="1:1">
      <c r="A665" s="1"/>
    </row>
    <row r="666" spans="1:1">
      <c r="A666" s="1"/>
    </row>
    <row r="667" spans="1:1">
      <c r="A667" s="1"/>
    </row>
    <row r="668" spans="1:1">
      <c r="A668" s="1"/>
    </row>
    <row r="669" spans="1:1">
      <c r="A669" s="1"/>
    </row>
    <row r="670" spans="1:1">
      <c r="A670" s="1"/>
    </row>
    <row r="671" spans="1:1">
      <c r="A671" s="1"/>
    </row>
    <row r="672" spans="1:1">
      <c r="A672" s="1"/>
    </row>
    <row r="673" spans="1:1">
      <c r="A673" s="1"/>
    </row>
    <row r="674" spans="1:1">
      <c r="A674" s="1"/>
    </row>
    <row r="675" spans="1:1">
      <c r="A675" s="1"/>
    </row>
    <row r="676" spans="1:1">
      <c r="A676" s="1"/>
    </row>
    <row r="677" spans="1:1">
      <c r="A677" s="1"/>
    </row>
    <row r="678" spans="1:1">
      <c r="A678" s="1"/>
    </row>
    <row r="679" spans="1:1">
      <c r="A679" s="1"/>
    </row>
    <row r="680" spans="1:1">
      <c r="A680" s="1"/>
    </row>
    <row r="681" spans="1:1">
      <c r="A681" s="1"/>
    </row>
    <row r="682" spans="1:1">
      <c r="A682" s="1"/>
    </row>
    <row r="683" spans="1:1">
      <c r="A683" s="1"/>
    </row>
    <row r="684" spans="1:1">
      <c r="A684" s="1"/>
    </row>
    <row r="685" spans="1:1">
      <c r="A685" s="1"/>
    </row>
    <row r="686" spans="1:1">
      <c r="A686" s="1"/>
    </row>
    <row r="687" spans="1:1">
      <c r="A687" s="1"/>
    </row>
    <row r="688" spans="1:1">
      <c r="A688" s="1"/>
    </row>
    <row r="689" spans="1:1">
      <c r="A689" s="1"/>
    </row>
    <row r="690" spans="1:1">
      <c r="A690" s="1"/>
    </row>
    <row r="691" spans="1:1">
      <c r="A691" s="1"/>
    </row>
    <row r="692" spans="1:1">
      <c r="A692" s="1"/>
    </row>
    <row r="693" spans="1:1">
      <c r="A693" s="1"/>
    </row>
    <row r="694" spans="1:1">
      <c r="A694" s="1"/>
    </row>
    <row r="695" spans="1:1">
      <c r="A695" s="1"/>
    </row>
    <row r="696" spans="1:1">
      <c r="A696" s="1"/>
    </row>
    <row r="697" spans="1:1">
      <c r="A697" s="1"/>
    </row>
    <row r="698" spans="1:1">
      <c r="A698" s="1"/>
    </row>
  </sheetData>
  <sheetProtection password="D841" sheet="1" objects="1" scenarios="1" selectLockedCells="1"/>
  <customSheetViews>
    <customSheetView guid="{DDA22D69-94B5-45BC-9EE2-6055A845129B}" state="hidden">
      <selection activeCell="C11" sqref="C11:K11"/>
      <pageMargins left="0.33" right="0.25" top="0.75" bottom="0.75" header="0.3" footer="0.3"/>
      <pageSetup paperSize="9" orientation="portrait" r:id="rId1"/>
    </customSheetView>
    <customSheetView guid="{1B7577DB-E3C4-4E68-B7CF-8F86FF7C5A82}" state="hidden">
      <selection activeCell="C11" sqref="C11:K11"/>
      <pageMargins left="0.33" right="0.25" top="0.75" bottom="0.75" header="0.3" footer="0.3"/>
      <pageSetup paperSize="9" orientation="portrait" r:id="rId2"/>
    </customSheetView>
    <customSheetView guid="{2BE9587E-F957-49DF-9716-3F2B35B49DC1}" topLeftCell="A19">
      <selection activeCell="M62" sqref="M62:N62"/>
      <pageMargins left="0.33" right="0.25" top="0.75" bottom="0.75" header="0.3" footer="0.3"/>
      <pageSetup paperSize="9" orientation="portrait" r:id="rId3"/>
    </customSheetView>
    <customSheetView guid="{60E5615C-64A2-4675-848A-970A515EAF91}">
      <selection activeCell="C11" sqref="C11:K11"/>
      <pageMargins left="0.33" right="0.25" top="0.75" bottom="0.75" header="0.3" footer="0.3"/>
      <pageSetup paperSize="9" orientation="portrait" r:id="rId4"/>
    </customSheetView>
    <customSheetView guid="{E7B1C62B-1F1D-4A62-BD87-EE62D3A36B6C}" state="hidden">
      <selection activeCell="C11" sqref="C11:K11"/>
      <pageMargins left="0.33" right="0.25" top="0.75" bottom="0.75" header="0.3" footer="0.3"/>
      <pageSetup paperSize="9" orientation="portrait" r:id="rId5"/>
    </customSheetView>
  </customSheetViews>
  <mergeCells count="11">
    <mergeCell ref="C3:J3"/>
    <mergeCell ref="C4:J4"/>
    <mergeCell ref="C5:J5"/>
    <mergeCell ref="C18:K18"/>
    <mergeCell ref="C11:K11"/>
    <mergeCell ref="C12:K12"/>
    <mergeCell ref="C13:K13"/>
    <mergeCell ref="C6:J6"/>
    <mergeCell ref="C7:K7"/>
    <mergeCell ref="C14:K14"/>
    <mergeCell ref="C16:K16"/>
  </mergeCells>
  <pageMargins left="0.33" right="0.25" top="0.75" bottom="0.75" header="0.3" footer="0.3"/>
  <pageSetup paperSize="9" orientation="portrait"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W181"/>
  <sheetViews>
    <sheetView topLeftCell="A100" workbookViewId="0">
      <selection activeCell="P12" sqref="P12"/>
    </sheetView>
  </sheetViews>
  <sheetFormatPr defaultRowHeight="15"/>
  <cols>
    <col min="1" max="16384" width="9.140625" style="1"/>
  </cols>
  <sheetData>
    <row r="1" spans="1:23">
      <c r="A1" s="383"/>
      <c r="B1" s="383"/>
      <c r="C1" s="383"/>
      <c r="D1" s="383"/>
      <c r="E1" s="383"/>
      <c r="F1" s="383"/>
      <c r="G1" s="383"/>
      <c r="H1" s="383"/>
      <c r="I1" s="383"/>
      <c r="J1" s="383"/>
      <c r="K1" s="383"/>
      <c r="L1" s="383"/>
      <c r="M1" s="383"/>
      <c r="N1" s="383"/>
      <c r="O1" s="383"/>
      <c r="P1" s="383"/>
      <c r="Q1" s="383"/>
      <c r="R1" s="383"/>
      <c r="S1" s="383"/>
      <c r="T1" s="383"/>
      <c r="U1" s="383"/>
      <c r="V1" s="383"/>
      <c r="W1" s="383"/>
    </row>
    <row r="2" spans="1:23">
      <c r="A2" s="383"/>
      <c r="B2" s="6282" t="s">
        <v>779</v>
      </c>
      <c r="C2" s="6282"/>
      <c r="D2" s="6282"/>
      <c r="E2" s="6282"/>
      <c r="F2" s="6282"/>
      <c r="G2" s="6282"/>
      <c r="H2" s="6282"/>
      <c r="I2" s="6282"/>
      <c r="J2" s="6282"/>
      <c r="K2" s="6282"/>
      <c r="L2" s="6282"/>
      <c r="M2" s="6282"/>
      <c r="N2" s="6282"/>
      <c r="O2" s="383"/>
      <c r="P2" s="383"/>
      <c r="Q2" s="383"/>
      <c r="R2" s="383"/>
      <c r="S2" s="383"/>
      <c r="T2" s="383"/>
      <c r="U2" s="383"/>
      <c r="V2" s="383"/>
      <c r="W2" s="383"/>
    </row>
    <row r="3" spans="1:23" ht="27.75" customHeight="1">
      <c r="A3" s="615"/>
      <c r="B3" s="6282"/>
      <c r="C3" s="6282"/>
      <c r="D3" s="6282"/>
      <c r="E3" s="6282"/>
      <c r="F3" s="6282"/>
      <c r="G3" s="6282"/>
      <c r="H3" s="6282"/>
      <c r="I3" s="6282"/>
      <c r="J3" s="6282"/>
      <c r="K3" s="6282"/>
      <c r="L3" s="6282"/>
      <c r="M3" s="6282"/>
      <c r="N3" s="6282"/>
      <c r="O3" s="383"/>
      <c r="P3" s="383"/>
      <c r="Q3" s="383"/>
      <c r="R3" s="383"/>
      <c r="S3" s="383"/>
      <c r="T3" s="383"/>
      <c r="U3" s="383"/>
      <c r="V3" s="383"/>
      <c r="W3" s="383"/>
    </row>
    <row r="4" spans="1:23">
      <c r="A4" s="383"/>
      <c r="B4" s="616"/>
      <c r="C4" s="383"/>
      <c r="D4" s="383"/>
      <c r="E4" s="383"/>
      <c r="F4" s="383"/>
      <c r="G4" s="383"/>
      <c r="H4" s="383"/>
      <c r="I4" s="383"/>
      <c r="J4" s="383"/>
      <c r="K4" s="383"/>
      <c r="L4" s="383"/>
      <c r="M4" s="383"/>
      <c r="N4" s="383"/>
      <c r="O4" s="383"/>
      <c r="P4" s="383"/>
      <c r="Q4" s="383"/>
      <c r="R4" s="383"/>
      <c r="S4" s="383"/>
      <c r="T4" s="383"/>
      <c r="U4" s="383"/>
      <c r="V4" s="383"/>
      <c r="W4" s="383"/>
    </row>
    <row r="5" spans="1:23">
      <c r="A5" s="383"/>
      <c r="B5" s="383"/>
      <c r="C5" s="383"/>
      <c r="D5" s="383"/>
      <c r="E5" s="383"/>
      <c r="F5" s="383"/>
      <c r="G5" s="383"/>
      <c r="H5" s="383"/>
      <c r="I5" s="383"/>
      <c r="J5" s="383"/>
      <c r="K5" s="383"/>
      <c r="L5" s="383"/>
      <c r="M5" s="383"/>
      <c r="N5" s="383"/>
      <c r="O5" s="383"/>
      <c r="P5" s="383"/>
      <c r="Q5" s="383"/>
      <c r="R5" s="383"/>
      <c r="S5" s="383"/>
      <c r="T5" s="383"/>
      <c r="U5" s="383"/>
      <c r="V5" s="383"/>
      <c r="W5" s="383"/>
    </row>
    <row r="6" spans="1:23">
      <c r="A6" s="383"/>
      <c r="B6" s="383"/>
      <c r="C6" s="383"/>
      <c r="D6" s="383"/>
      <c r="E6" s="383"/>
      <c r="F6" s="383"/>
      <c r="G6" s="383"/>
      <c r="H6" s="383"/>
      <c r="I6" s="383"/>
      <c r="J6" s="383"/>
      <c r="K6" s="383"/>
      <c r="L6" s="383"/>
      <c r="M6" s="383"/>
      <c r="N6" s="383"/>
      <c r="O6" s="383"/>
      <c r="P6" s="383"/>
      <c r="Q6" s="383"/>
      <c r="R6" s="383"/>
      <c r="S6" s="383"/>
      <c r="T6" s="383"/>
      <c r="U6" s="383"/>
      <c r="V6" s="383"/>
      <c r="W6" s="383"/>
    </row>
    <row r="7" spans="1:23">
      <c r="A7" s="383"/>
      <c r="B7" s="383"/>
      <c r="C7" s="383"/>
      <c r="D7" s="383"/>
      <c r="E7" s="383"/>
      <c r="F7" s="383"/>
      <c r="G7" s="383"/>
      <c r="H7" s="383"/>
      <c r="I7" s="383"/>
      <c r="J7" s="383"/>
      <c r="K7" s="383"/>
      <c r="L7" s="383"/>
      <c r="M7" s="383"/>
      <c r="N7" s="383"/>
      <c r="O7" s="383"/>
      <c r="P7" s="383"/>
      <c r="Q7" s="383"/>
      <c r="R7" s="383"/>
      <c r="S7" s="383"/>
      <c r="T7" s="383"/>
      <c r="U7" s="383"/>
      <c r="V7" s="383"/>
      <c r="W7" s="383"/>
    </row>
    <row r="8" spans="1:23">
      <c r="A8" s="383"/>
      <c r="B8" s="383"/>
      <c r="C8" s="383"/>
      <c r="D8" s="383"/>
      <c r="E8" s="383"/>
      <c r="F8" s="383"/>
      <c r="G8" s="383"/>
      <c r="H8" s="383"/>
      <c r="I8" s="383"/>
      <c r="J8" s="383"/>
      <c r="K8" s="383"/>
      <c r="L8" s="383"/>
      <c r="M8" s="383"/>
      <c r="N8" s="383"/>
      <c r="O8" s="383"/>
      <c r="P8" s="383"/>
      <c r="Q8" s="383"/>
      <c r="R8" s="383"/>
      <c r="S8" s="383"/>
      <c r="T8" s="383"/>
      <c r="U8" s="383"/>
      <c r="V8" s="383"/>
      <c r="W8" s="383"/>
    </row>
    <row r="9" spans="1:23">
      <c r="A9" s="383"/>
      <c r="B9" s="383"/>
      <c r="C9" s="383"/>
      <c r="D9" s="383"/>
      <c r="E9" s="383"/>
      <c r="F9" s="383"/>
      <c r="G9" s="383"/>
      <c r="H9" s="383"/>
      <c r="I9" s="383"/>
      <c r="J9" s="383"/>
      <c r="K9" s="383"/>
      <c r="L9" s="383"/>
      <c r="M9" s="383"/>
      <c r="N9" s="383"/>
      <c r="O9" s="383"/>
      <c r="P9" s="383"/>
      <c r="Q9" s="383"/>
      <c r="R9" s="383"/>
      <c r="S9" s="383"/>
      <c r="T9" s="383"/>
      <c r="U9" s="383"/>
      <c r="V9" s="383"/>
      <c r="W9" s="383"/>
    </row>
    <row r="10" spans="1:23">
      <c r="A10" s="383"/>
      <c r="B10" s="383"/>
      <c r="C10" s="383"/>
      <c r="D10" s="383"/>
      <c r="E10" s="383"/>
      <c r="F10" s="383"/>
      <c r="G10" s="383"/>
      <c r="H10" s="383"/>
      <c r="I10" s="383"/>
      <c r="J10" s="383"/>
      <c r="K10" s="383"/>
      <c r="L10" s="383"/>
      <c r="M10" s="383"/>
      <c r="N10" s="383"/>
      <c r="O10" s="383"/>
      <c r="P10" s="383"/>
      <c r="Q10" s="383"/>
      <c r="R10" s="383"/>
      <c r="S10" s="383"/>
      <c r="T10" s="383"/>
      <c r="U10" s="383"/>
      <c r="V10" s="383"/>
      <c r="W10" s="383"/>
    </row>
    <row r="11" spans="1:23">
      <c r="A11" s="383"/>
      <c r="B11" s="383"/>
      <c r="C11" s="383"/>
      <c r="D11" s="383"/>
      <c r="E11" s="383"/>
      <c r="F11" s="383"/>
      <c r="G11" s="383"/>
      <c r="H11" s="383"/>
      <c r="I11" s="383"/>
      <c r="J11" s="383"/>
      <c r="K11" s="383"/>
      <c r="L11" s="383"/>
      <c r="M11" s="383"/>
      <c r="N11" s="383"/>
      <c r="O11" s="383"/>
      <c r="P11" s="383"/>
      <c r="Q11" s="383"/>
      <c r="R11" s="383"/>
      <c r="S11" s="383"/>
      <c r="T11" s="383"/>
      <c r="U11" s="383"/>
      <c r="V11" s="383"/>
      <c r="W11" s="383"/>
    </row>
    <row r="12" spans="1:23">
      <c r="A12" s="383"/>
      <c r="B12" s="383"/>
      <c r="C12" s="383"/>
      <c r="D12" s="383"/>
      <c r="E12" s="383"/>
      <c r="F12" s="383"/>
      <c r="G12" s="383"/>
      <c r="H12" s="383"/>
      <c r="I12" s="383"/>
      <c r="J12" s="383"/>
      <c r="K12" s="383"/>
      <c r="L12" s="383"/>
      <c r="M12" s="383"/>
      <c r="N12" s="383"/>
      <c r="O12" s="383"/>
      <c r="P12" s="383"/>
      <c r="Q12" s="383"/>
      <c r="R12" s="383"/>
      <c r="S12" s="383"/>
      <c r="T12" s="383"/>
      <c r="U12" s="383"/>
      <c r="V12" s="383"/>
      <c r="W12" s="383"/>
    </row>
    <row r="13" spans="1:23">
      <c r="A13" s="383"/>
      <c r="B13" s="383"/>
      <c r="C13" s="383"/>
      <c r="D13" s="383"/>
      <c r="E13" s="383"/>
      <c r="F13" s="383"/>
      <c r="G13" s="383"/>
      <c r="H13" s="383"/>
      <c r="I13" s="383"/>
      <c r="J13" s="383"/>
      <c r="K13" s="383"/>
      <c r="L13" s="383"/>
      <c r="M13" s="383"/>
      <c r="N13" s="383"/>
      <c r="O13" s="383"/>
      <c r="P13" s="383"/>
      <c r="Q13" s="383"/>
      <c r="R13" s="383"/>
      <c r="S13" s="383"/>
      <c r="T13" s="383"/>
      <c r="U13" s="383"/>
      <c r="V13" s="383"/>
      <c r="W13" s="383"/>
    </row>
    <row r="14" spans="1:23">
      <c r="A14" s="383"/>
      <c r="B14" s="383"/>
      <c r="C14" s="383"/>
      <c r="D14" s="383"/>
      <c r="E14" s="383"/>
      <c r="F14" s="383"/>
      <c r="G14" s="383"/>
      <c r="H14" s="383"/>
      <c r="I14" s="383"/>
      <c r="J14" s="383"/>
      <c r="K14" s="383"/>
      <c r="L14" s="383"/>
      <c r="M14" s="383"/>
      <c r="N14" s="383"/>
      <c r="O14" s="383"/>
      <c r="P14" s="383"/>
      <c r="Q14" s="383"/>
      <c r="R14" s="383"/>
      <c r="S14" s="383"/>
      <c r="T14" s="383"/>
      <c r="U14" s="383"/>
      <c r="V14" s="383"/>
      <c r="W14" s="383"/>
    </row>
    <row r="15" spans="1:23">
      <c r="A15" s="383"/>
      <c r="B15" s="383"/>
      <c r="C15" s="383"/>
      <c r="D15" s="383"/>
      <c r="E15" s="383"/>
      <c r="F15" s="383"/>
      <c r="G15" s="383"/>
      <c r="H15" s="383"/>
      <c r="I15" s="383"/>
      <c r="J15" s="383"/>
      <c r="K15" s="383"/>
      <c r="L15" s="383"/>
      <c r="M15" s="383"/>
      <c r="N15" s="383"/>
      <c r="O15" s="383"/>
      <c r="P15" s="383"/>
      <c r="Q15" s="383"/>
      <c r="R15" s="383"/>
      <c r="S15" s="383"/>
      <c r="T15" s="383"/>
      <c r="U15" s="383"/>
      <c r="V15" s="383"/>
      <c r="W15" s="383"/>
    </row>
    <row r="16" spans="1:23">
      <c r="A16" s="383"/>
      <c r="B16" s="383"/>
      <c r="C16" s="383"/>
      <c r="D16" s="383"/>
      <c r="E16" s="383"/>
      <c r="F16" s="383"/>
      <c r="G16" s="383"/>
      <c r="H16" s="383"/>
      <c r="I16" s="383"/>
      <c r="J16" s="383"/>
      <c r="K16" s="383"/>
      <c r="L16" s="383"/>
      <c r="M16" s="383"/>
      <c r="N16" s="383"/>
      <c r="O16" s="383"/>
      <c r="P16" s="383"/>
      <c r="Q16" s="383"/>
      <c r="R16" s="383"/>
      <c r="S16" s="383"/>
      <c r="T16" s="383"/>
      <c r="U16" s="383"/>
      <c r="V16" s="383"/>
      <c r="W16" s="383"/>
    </row>
    <row r="17" spans="1:23">
      <c r="A17" s="383"/>
      <c r="B17" s="383"/>
      <c r="C17" s="383"/>
      <c r="D17" s="383"/>
      <c r="E17" s="383"/>
      <c r="F17" s="383"/>
      <c r="G17" s="383"/>
      <c r="H17" s="383"/>
      <c r="I17" s="383"/>
      <c r="J17" s="383"/>
      <c r="K17" s="383"/>
      <c r="L17" s="383"/>
      <c r="M17" s="383"/>
      <c r="N17" s="383"/>
      <c r="O17" s="383"/>
      <c r="P17" s="383"/>
      <c r="Q17" s="383"/>
      <c r="R17" s="383"/>
      <c r="S17" s="383"/>
      <c r="T17" s="383"/>
      <c r="U17" s="383"/>
      <c r="V17" s="383"/>
      <c r="W17" s="383"/>
    </row>
    <row r="18" spans="1:23">
      <c r="A18" s="383"/>
      <c r="B18" s="383"/>
      <c r="C18" s="383"/>
      <c r="D18" s="383"/>
      <c r="E18" s="383"/>
      <c r="F18" s="383"/>
      <c r="G18" s="383"/>
      <c r="H18" s="383"/>
      <c r="I18" s="383"/>
      <c r="J18" s="383"/>
      <c r="K18" s="383"/>
      <c r="L18" s="383"/>
      <c r="M18" s="383"/>
      <c r="N18" s="383"/>
      <c r="O18" s="383"/>
      <c r="P18" s="383"/>
      <c r="Q18" s="383"/>
      <c r="R18" s="383"/>
      <c r="S18" s="383"/>
      <c r="T18" s="383"/>
      <c r="U18" s="383"/>
      <c r="V18" s="383"/>
      <c r="W18" s="383"/>
    </row>
    <row r="19" spans="1:23">
      <c r="A19" s="383"/>
      <c r="B19" s="383"/>
      <c r="C19" s="383"/>
      <c r="D19" s="383"/>
      <c r="E19" s="383"/>
      <c r="F19" s="383"/>
      <c r="G19" s="383"/>
      <c r="H19" s="383"/>
      <c r="I19" s="383"/>
      <c r="J19" s="383"/>
      <c r="K19" s="383"/>
      <c r="L19" s="383"/>
      <c r="M19" s="383"/>
      <c r="N19" s="383"/>
      <c r="O19" s="383"/>
      <c r="P19" s="383"/>
      <c r="Q19" s="383"/>
      <c r="R19" s="383"/>
      <c r="S19" s="383"/>
      <c r="T19" s="383"/>
      <c r="U19" s="383"/>
      <c r="V19" s="383"/>
      <c r="W19" s="383"/>
    </row>
    <row r="20" spans="1:23">
      <c r="A20" s="383"/>
      <c r="B20" s="383"/>
      <c r="C20" s="383"/>
      <c r="D20" s="383"/>
      <c r="E20" s="383"/>
      <c r="F20" s="383"/>
      <c r="G20" s="383"/>
      <c r="H20" s="383"/>
      <c r="I20" s="383"/>
      <c r="J20" s="383"/>
      <c r="K20" s="383"/>
      <c r="L20" s="383"/>
      <c r="M20" s="383"/>
      <c r="N20" s="383"/>
      <c r="O20" s="383"/>
      <c r="P20" s="383"/>
      <c r="Q20" s="383"/>
      <c r="R20" s="383"/>
      <c r="S20" s="383"/>
      <c r="T20" s="383"/>
      <c r="U20" s="383"/>
      <c r="V20" s="383"/>
      <c r="W20" s="383"/>
    </row>
    <row r="21" spans="1:23">
      <c r="A21" s="383"/>
      <c r="B21" s="383"/>
      <c r="C21" s="383"/>
      <c r="D21" s="383"/>
      <c r="E21" s="383"/>
      <c r="F21" s="383"/>
      <c r="G21" s="383"/>
      <c r="H21" s="383"/>
      <c r="I21" s="383"/>
      <c r="J21" s="383"/>
      <c r="K21" s="383"/>
      <c r="L21" s="383"/>
      <c r="M21" s="383"/>
      <c r="N21" s="383"/>
      <c r="O21" s="383"/>
      <c r="P21" s="383"/>
      <c r="Q21" s="383"/>
      <c r="R21" s="383"/>
      <c r="S21" s="383"/>
      <c r="T21" s="383"/>
      <c r="U21" s="383"/>
      <c r="V21" s="383"/>
      <c r="W21" s="383"/>
    </row>
    <row r="22" spans="1:23">
      <c r="A22" s="383"/>
      <c r="B22" s="383"/>
      <c r="C22" s="383"/>
      <c r="D22" s="383"/>
      <c r="E22" s="383"/>
      <c r="F22" s="383"/>
      <c r="G22" s="383"/>
      <c r="H22" s="383"/>
      <c r="I22" s="383"/>
      <c r="J22" s="383"/>
      <c r="K22" s="383"/>
      <c r="L22" s="383"/>
      <c r="M22" s="383"/>
      <c r="N22" s="383"/>
      <c r="O22" s="383"/>
      <c r="P22" s="383"/>
      <c r="Q22" s="383"/>
      <c r="R22" s="383"/>
      <c r="S22" s="383"/>
      <c r="T22" s="383"/>
      <c r="U22" s="383"/>
      <c r="V22" s="383"/>
      <c r="W22" s="383"/>
    </row>
    <row r="23" spans="1:23">
      <c r="A23" s="383"/>
      <c r="B23" s="383"/>
      <c r="C23" s="383"/>
      <c r="D23" s="383"/>
      <c r="E23" s="383"/>
      <c r="F23" s="383"/>
      <c r="G23" s="383"/>
      <c r="H23" s="383"/>
      <c r="I23" s="383"/>
      <c r="J23" s="383"/>
      <c r="K23" s="383"/>
      <c r="L23" s="383"/>
      <c r="M23" s="383"/>
      <c r="N23" s="383"/>
      <c r="O23" s="383"/>
      <c r="P23" s="383"/>
      <c r="Q23" s="383"/>
      <c r="R23" s="383"/>
      <c r="S23" s="383"/>
      <c r="T23" s="383"/>
      <c r="U23" s="383"/>
      <c r="V23" s="383"/>
      <c r="W23" s="383"/>
    </row>
    <row r="24" spans="1:23">
      <c r="A24" s="383"/>
      <c r="B24" s="383"/>
      <c r="C24" s="383"/>
      <c r="D24" s="383"/>
      <c r="E24" s="383"/>
      <c r="F24" s="383"/>
      <c r="G24" s="383"/>
      <c r="H24" s="383"/>
      <c r="I24" s="383"/>
      <c r="J24" s="383"/>
      <c r="K24" s="383"/>
      <c r="L24" s="383"/>
      <c r="M24" s="383"/>
      <c r="N24" s="383"/>
      <c r="O24" s="383"/>
      <c r="P24" s="383"/>
      <c r="Q24" s="383"/>
      <c r="R24" s="383"/>
      <c r="S24" s="383"/>
      <c r="T24" s="383"/>
      <c r="U24" s="383"/>
      <c r="V24" s="383"/>
      <c r="W24" s="383"/>
    </row>
    <row r="25" spans="1:23">
      <c r="A25" s="383"/>
      <c r="B25" s="383"/>
      <c r="C25" s="383"/>
      <c r="D25" s="383"/>
      <c r="E25" s="383"/>
      <c r="F25" s="383"/>
      <c r="G25" s="383"/>
      <c r="H25" s="383"/>
      <c r="I25" s="383"/>
      <c r="J25" s="383"/>
      <c r="K25" s="383"/>
      <c r="L25" s="383"/>
      <c r="M25" s="383"/>
      <c r="N25" s="383"/>
      <c r="O25" s="383"/>
      <c r="P25" s="383"/>
      <c r="Q25" s="383"/>
      <c r="R25" s="383"/>
      <c r="S25" s="383"/>
      <c r="T25" s="383"/>
      <c r="U25" s="383"/>
      <c r="V25" s="383"/>
      <c r="W25" s="383"/>
    </row>
    <row r="26" spans="1:23">
      <c r="A26" s="383"/>
      <c r="B26" s="383"/>
      <c r="C26" s="383"/>
      <c r="D26" s="383"/>
      <c r="E26" s="383"/>
      <c r="F26" s="383"/>
      <c r="G26" s="383"/>
      <c r="H26" s="383"/>
      <c r="I26" s="383"/>
      <c r="J26" s="383"/>
      <c r="K26" s="383"/>
      <c r="L26" s="383"/>
      <c r="M26" s="383"/>
      <c r="N26" s="383"/>
      <c r="O26" s="383"/>
      <c r="P26" s="383"/>
      <c r="Q26" s="383"/>
      <c r="R26" s="383"/>
      <c r="S26" s="383"/>
      <c r="T26" s="383"/>
      <c r="U26" s="383"/>
      <c r="V26" s="383"/>
      <c r="W26" s="383"/>
    </row>
    <row r="27" spans="1:23">
      <c r="A27" s="383"/>
      <c r="B27" s="383"/>
      <c r="C27" s="383"/>
      <c r="D27" s="383"/>
      <c r="E27" s="383"/>
      <c r="F27" s="383"/>
      <c r="G27" s="383"/>
      <c r="H27" s="383"/>
      <c r="I27" s="383"/>
      <c r="J27" s="383"/>
      <c r="K27" s="383"/>
      <c r="L27" s="383"/>
      <c r="M27" s="383"/>
      <c r="N27" s="383"/>
      <c r="O27" s="383"/>
      <c r="P27" s="383"/>
      <c r="Q27" s="383"/>
      <c r="R27" s="383"/>
      <c r="S27" s="383"/>
      <c r="T27" s="383"/>
      <c r="U27" s="383"/>
      <c r="V27" s="383"/>
      <c r="W27" s="383"/>
    </row>
    <row r="28" spans="1:23">
      <c r="A28" s="383"/>
      <c r="B28" s="383"/>
      <c r="C28" s="383"/>
      <c r="D28" s="383"/>
      <c r="E28" s="383"/>
      <c r="F28" s="383"/>
      <c r="G28" s="383"/>
      <c r="H28" s="383"/>
      <c r="I28" s="383"/>
      <c r="J28" s="383"/>
      <c r="K28" s="383"/>
      <c r="L28" s="383"/>
      <c r="M28" s="383"/>
      <c r="N28" s="383"/>
      <c r="O28" s="383"/>
      <c r="P28" s="383"/>
      <c r="Q28" s="383"/>
      <c r="R28" s="383"/>
      <c r="S28" s="383"/>
      <c r="T28" s="383"/>
      <c r="U28" s="383"/>
      <c r="V28" s="383"/>
      <c r="W28" s="383"/>
    </row>
    <row r="29" spans="1:23">
      <c r="A29" s="383"/>
      <c r="B29" s="383"/>
      <c r="C29" s="383"/>
      <c r="D29" s="383"/>
      <c r="E29" s="383"/>
      <c r="F29" s="383"/>
      <c r="G29" s="383"/>
      <c r="H29" s="383"/>
      <c r="I29" s="383"/>
      <c r="J29" s="383"/>
      <c r="K29" s="383"/>
      <c r="L29" s="383"/>
      <c r="M29" s="383"/>
      <c r="N29" s="383"/>
      <c r="O29" s="383"/>
      <c r="P29" s="383"/>
      <c r="Q29" s="383"/>
      <c r="R29" s="383"/>
      <c r="S29" s="383"/>
      <c r="T29" s="383"/>
      <c r="U29" s="383"/>
      <c r="V29" s="383"/>
      <c r="W29" s="383"/>
    </row>
    <row r="30" spans="1:23">
      <c r="A30" s="383"/>
      <c r="B30" s="6283" t="s">
        <v>780</v>
      </c>
      <c r="C30" s="6283"/>
      <c r="D30" s="6283"/>
      <c r="E30" s="6283"/>
      <c r="F30" s="6283"/>
      <c r="G30" s="6283"/>
      <c r="H30" s="6283"/>
      <c r="I30" s="6283"/>
      <c r="J30" s="6283"/>
      <c r="K30" s="6283"/>
      <c r="L30" s="6283"/>
      <c r="M30" s="6283"/>
      <c r="N30" s="6283"/>
      <c r="O30" s="383"/>
      <c r="P30" s="383"/>
      <c r="Q30" s="383"/>
      <c r="R30" s="383"/>
      <c r="S30" s="383"/>
      <c r="T30" s="383"/>
      <c r="U30" s="383"/>
      <c r="V30" s="383"/>
      <c r="W30" s="383"/>
    </row>
    <row r="31" spans="1:23">
      <c r="A31" s="383"/>
      <c r="B31" s="6283"/>
      <c r="C31" s="6283"/>
      <c r="D31" s="6283"/>
      <c r="E31" s="6283"/>
      <c r="F31" s="6283"/>
      <c r="G31" s="6283"/>
      <c r="H31" s="6283"/>
      <c r="I31" s="6283"/>
      <c r="J31" s="6283"/>
      <c r="K31" s="6283"/>
      <c r="L31" s="6283"/>
      <c r="M31" s="6283"/>
      <c r="N31" s="6283"/>
      <c r="O31" s="383"/>
      <c r="P31" s="383"/>
      <c r="Q31" s="383"/>
      <c r="R31" s="383"/>
      <c r="S31" s="383"/>
      <c r="T31" s="383"/>
      <c r="U31" s="383"/>
      <c r="V31" s="383"/>
      <c r="W31" s="383"/>
    </row>
    <row r="32" spans="1:23">
      <c r="A32" s="383"/>
      <c r="B32" s="6283"/>
      <c r="C32" s="6283"/>
      <c r="D32" s="6283"/>
      <c r="E32" s="6283"/>
      <c r="F32" s="6283"/>
      <c r="G32" s="6283"/>
      <c r="H32" s="6283"/>
      <c r="I32" s="6283"/>
      <c r="J32" s="6283"/>
      <c r="K32" s="6283"/>
      <c r="L32" s="6283"/>
      <c r="M32" s="6283"/>
      <c r="N32" s="6283"/>
      <c r="O32" s="383"/>
      <c r="P32" s="383"/>
      <c r="Q32" s="383"/>
      <c r="R32" s="383"/>
      <c r="S32" s="383"/>
      <c r="T32" s="383"/>
      <c r="U32" s="383"/>
      <c r="V32" s="383"/>
      <c r="W32" s="383"/>
    </row>
    <row r="33" spans="1:23">
      <c r="A33" s="383"/>
      <c r="B33" s="6283"/>
      <c r="C33" s="6283"/>
      <c r="D33" s="6283"/>
      <c r="E33" s="6283"/>
      <c r="F33" s="6283"/>
      <c r="G33" s="6283"/>
      <c r="H33" s="6283"/>
      <c r="I33" s="6283"/>
      <c r="J33" s="6283"/>
      <c r="K33" s="6283"/>
      <c r="L33" s="6283"/>
      <c r="M33" s="6283"/>
      <c r="N33" s="6283"/>
      <c r="O33" s="383"/>
      <c r="P33" s="383"/>
      <c r="Q33" s="383"/>
      <c r="R33" s="383"/>
      <c r="S33" s="383"/>
      <c r="T33" s="383"/>
      <c r="U33" s="383"/>
      <c r="V33" s="383"/>
      <c r="W33" s="383"/>
    </row>
    <row r="34" spans="1:23">
      <c r="A34" s="383"/>
      <c r="B34" s="6283"/>
      <c r="C34" s="6283"/>
      <c r="D34" s="6283"/>
      <c r="E34" s="6283"/>
      <c r="F34" s="6283"/>
      <c r="G34" s="6283"/>
      <c r="H34" s="6283"/>
      <c r="I34" s="6283"/>
      <c r="J34" s="6283"/>
      <c r="K34" s="6283"/>
      <c r="L34" s="6283"/>
      <c r="M34" s="6283"/>
      <c r="N34" s="6283"/>
      <c r="O34" s="383"/>
      <c r="P34" s="383"/>
      <c r="Q34" s="383"/>
      <c r="R34" s="383"/>
      <c r="S34" s="383"/>
      <c r="T34" s="383"/>
      <c r="U34" s="383"/>
      <c r="V34" s="383"/>
      <c r="W34" s="383"/>
    </row>
    <row r="35" spans="1:23">
      <c r="A35" s="383"/>
      <c r="B35" s="383"/>
      <c r="C35" s="383"/>
      <c r="D35" s="383"/>
      <c r="E35" s="383"/>
      <c r="F35" s="383"/>
      <c r="G35" s="383"/>
      <c r="H35" s="383"/>
      <c r="I35" s="383"/>
      <c r="J35" s="383"/>
      <c r="K35" s="383"/>
      <c r="L35" s="383"/>
      <c r="M35" s="383"/>
      <c r="N35" s="383"/>
      <c r="O35" s="383"/>
      <c r="P35" s="383"/>
      <c r="Q35" s="383"/>
      <c r="R35" s="383"/>
      <c r="S35" s="383"/>
      <c r="T35" s="383"/>
      <c r="U35" s="383"/>
      <c r="V35" s="383"/>
      <c r="W35" s="383"/>
    </row>
    <row r="36" spans="1:23">
      <c r="A36" s="383"/>
      <c r="B36" s="383"/>
      <c r="C36" s="383"/>
      <c r="D36" s="383"/>
      <c r="E36" s="383"/>
      <c r="F36" s="383"/>
      <c r="G36" s="383"/>
      <c r="H36" s="383"/>
      <c r="I36" s="383"/>
      <c r="J36" s="383"/>
      <c r="K36" s="383"/>
      <c r="L36" s="383"/>
      <c r="M36" s="383"/>
      <c r="N36" s="383"/>
      <c r="O36" s="383"/>
      <c r="P36" s="383"/>
      <c r="Q36" s="383"/>
      <c r="R36" s="383"/>
      <c r="S36" s="383"/>
      <c r="T36" s="383"/>
      <c r="U36" s="383"/>
      <c r="V36" s="383"/>
      <c r="W36" s="383"/>
    </row>
    <row r="37" spans="1:23" ht="15.75" customHeight="1">
      <c r="A37" s="383"/>
      <c r="B37" s="6284" t="s">
        <v>781</v>
      </c>
      <c r="C37" s="6284"/>
      <c r="D37" s="6284"/>
      <c r="E37" s="6284"/>
      <c r="F37" s="6284"/>
      <c r="G37" s="6284"/>
      <c r="H37" s="6284"/>
      <c r="I37" s="6284"/>
      <c r="J37" s="6284"/>
      <c r="K37" s="6284"/>
      <c r="L37" s="6284"/>
      <c r="M37" s="6284"/>
      <c r="N37" s="6284"/>
      <c r="O37" s="383"/>
      <c r="P37" s="383"/>
      <c r="Q37" s="383"/>
      <c r="R37" s="383"/>
      <c r="S37" s="383"/>
      <c r="T37" s="383"/>
      <c r="U37" s="383"/>
      <c r="V37" s="383"/>
      <c r="W37" s="383"/>
    </row>
    <row r="38" spans="1:23">
      <c r="A38" s="383"/>
      <c r="B38" s="6284"/>
      <c r="C38" s="6284"/>
      <c r="D38" s="6284"/>
      <c r="E38" s="6284"/>
      <c r="F38" s="6284"/>
      <c r="G38" s="6284"/>
      <c r="H38" s="6284"/>
      <c r="I38" s="6284"/>
      <c r="J38" s="6284"/>
      <c r="K38" s="6284"/>
      <c r="L38" s="6284"/>
      <c r="M38" s="6284"/>
      <c r="N38" s="6284"/>
      <c r="O38" s="383"/>
      <c r="P38" s="383"/>
      <c r="Q38" s="383"/>
      <c r="R38" s="383"/>
      <c r="S38" s="383"/>
      <c r="T38" s="383"/>
      <c r="U38" s="383"/>
      <c r="V38" s="383"/>
      <c r="W38" s="383"/>
    </row>
    <row r="39" spans="1:23" ht="53.25" customHeight="1">
      <c r="A39" s="383"/>
      <c r="B39" s="6279" t="s">
        <v>782</v>
      </c>
      <c r="C39" s="6279"/>
      <c r="D39" s="6279"/>
      <c r="E39" s="6279"/>
      <c r="F39" s="6279"/>
      <c r="G39" s="6279"/>
      <c r="H39" s="6279"/>
      <c r="I39" s="6279"/>
      <c r="J39" s="6279"/>
      <c r="K39" s="6279"/>
      <c r="L39" s="6279"/>
      <c r="M39" s="6279"/>
      <c r="N39" s="6279"/>
      <c r="O39" s="383"/>
      <c r="P39" s="383"/>
      <c r="Q39" s="383"/>
      <c r="R39" s="383"/>
      <c r="S39" s="383"/>
      <c r="T39" s="383"/>
      <c r="U39" s="383"/>
      <c r="V39" s="383"/>
      <c r="W39" s="383"/>
    </row>
    <row r="40" spans="1:23">
      <c r="A40" s="383"/>
      <c r="B40" s="6280" t="s">
        <v>783</v>
      </c>
      <c r="C40" s="6280"/>
      <c r="D40" s="6280"/>
      <c r="E40" s="6280"/>
      <c r="F40" s="6280"/>
      <c r="G40" s="6280"/>
      <c r="H40" s="6280"/>
      <c r="I40" s="6280"/>
      <c r="J40" s="6280"/>
      <c r="K40" s="6280"/>
      <c r="L40" s="6280"/>
      <c r="M40" s="6280"/>
      <c r="N40" s="6280"/>
      <c r="O40" s="383"/>
      <c r="P40" s="383"/>
      <c r="Q40" s="383"/>
      <c r="R40" s="383"/>
      <c r="S40" s="383"/>
      <c r="T40" s="383"/>
      <c r="U40" s="383"/>
      <c r="V40" s="383"/>
      <c r="W40" s="383"/>
    </row>
    <row r="41" spans="1:23" ht="19.5" customHeight="1">
      <c r="A41" s="383"/>
      <c r="B41" s="6280"/>
      <c r="C41" s="6280"/>
      <c r="D41" s="6280"/>
      <c r="E41" s="6280"/>
      <c r="F41" s="6280"/>
      <c r="G41" s="6280"/>
      <c r="H41" s="6280"/>
      <c r="I41" s="6280"/>
      <c r="J41" s="6280"/>
      <c r="K41" s="6280"/>
      <c r="L41" s="6280"/>
      <c r="M41" s="6280"/>
      <c r="N41" s="6280"/>
      <c r="O41" s="383"/>
      <c r="P41" s="383"/>
      <c r="Q41" s="383"/>
      <c r="R41" s="383"/>
      <c r="S41" s="383"/>
      <c r="T41" s="383"/>
      <c r="U41" s="383"/>
      <c r="V41" s="383"/>
      <c r="W41" s="383"/>
    </row>
    <row r="42" spans="1:23">
      <c r="A42" s="383"/>
      <c r="B42" s="6280" t="s">
        <v>784</v>
      </c>
      <c r="C42" s="6280"/>
      <c r="D42" s="6280"/>
      <c r="E42" s="6280"/>
      <c r="F42" s="6280"/>
      <c r="G42" s="6280"/>
      <c r="H42" s="6280"/>
      <c r="I42" s="6280"/>
      <c r="J42" s="6280"/>
      <c r="K42" s="6280"/>
      <c r="L42" s="6280"/>
      <c r="M42" s="6280"/>
      <c r="N42" s="6280"/>
      <c r="O42" s="383"/>
      <c r="P42" s="383"/>
      <c r="Q42" s="383"/>
      <c r="R42" s="383"/>
      <c r="S42" s="383"/>
      <c r="T42" s="383"/>
      <c r="U42" s="383"/>
      <c r="V42" s="383"/>
      <c r="W42" s="383"/>
    </row>
    <row r="43" spans="1:23" ht="21.75" customHeight="1">
      <c r="A43" s="383"/>
      <c r="B43" s="6280"/>
      <c r="C43" s="6280"/>
      <c r="D43" s="6280"/>
      <c r="E43" s="6280"/>
      <c r="F43" s="6280"/>
      <c r="G43" s="6280"/>
      <c r="H43" s="6280"/>
      <c r="I43" s="6280"/>
      <c r="J43" s="6280"/>
      <c r="K43" s="6280"/>
      <c r="L43" s="6280"/>
      <c r="M43" s="6280"/>
      <c r="N43" s="6280"/>
      <c r="O43" s="383"/>
      <c r="P43" s="383"/>
      <c r="Q43" s="383"/>
      <c r="R43" s="383"/>
      <c r="S43" s="383"/>
      <c r="T43" s="383"/>
      <c r="U43" s="383"/>
      <c r="V43" s="383"/>
      <c r="W43" s="383"/>
    </row>
    <row r="44" spans="1:23">
      <c r="A44" s="383"/>
      <c r="B44" s="6279" t="s">
        <v>785</v>
      </c>
      <c r="C44" s="6279"/>
      <c r="D44" s="6279"/>
      <c r="E44" s="6279"/>
      <c r="F44" s="6279"/>
      <c r="G44" s="6279"/>
      <c r="H44" s="6279"/>
      <c r="I44" s="6279"/>
      <c r="J44" s="6279"/>
      <c r="K44" s="6279"/>
      <c r="L44" s="6279"/>
      <c r="M44" s="6279"/>
      <c r="N44" s="6279"/>
      <c r="O44" s="383"/>
      <c r="P44" s="383"/>
      <c r="Q44" s="383"/>
      <c r="R44" s="383"/>
      <c r="S44" s="383"/>
      <c r="T44" s="383"/>
      <c r="U44" s="383"/>
      <c r="V44" s="383"/>
      <c r="W44" s="383"/>
    </row>
    <row r="45" spans="1:23" ht="24" customHeight="1">
      <c r="A45" s="383"/>
      <c r="B45" s="6279"/>
      <c r="C45" s="6279"/>
      <c r="D45" s="6279"/>
      <c r="E45" s="6279"/>
      <c r="F45" s="6279"/>
      <c r="G45" s="6279"/>
      <c r="H45" s="6279"/>
      <c r="I45" s="6279"/>
      <c r="J45" s="6279"/>
      <c r="K45" s="6279"/>
      <c r="L45" s="6279"/>
      <c r="M45" s="6279"/>
      <c r="N45" s="6279"/>
      <c r="O45" s="383"/>
      <c r="P45" s="383"/>
      <c r="Q45" s="383"/>
      <c r="R45" s="383"/>
      <c r="S45" s="383"/>
      <c r="T45" s="383"/>
      <c r="U45" s="383"/>
      <c r="V45" s="383"/>
      <c r="W45" s="383"/>
    </row>
    <row r="46" spans="1:23">
      <c r="A46" s="383"/>
      <c r="B46" s="6280" t="s">
        <v>786</v>
      </c>
      <c r="C46" s="6280"/>
      <c r="D46" s="6280"/>
      <c r="E46" s="6280"/>
      <c r="F46" s="6280"/>
      <c r="G46" s="6280"/>
      <c r="H46" s="6280"/>
      <c r="I46" s="6280"/>
      <c r="J46" s="6280"/>
      <c r="K46" s="6280"/>
      <c r="L46" s="6280"/>
      <c r="M46" s="6280"/>
      <c r="N46" s="6280"/>
      <c r="O46" s="383"/>
      <c r="P46" s="383"/>
      <c r="Q46" s="383"/>
      <c r="R46" s="383"/>
      <c r="S46" s="383"/>
      <c r="T46" s="383"/>
      <c r="U46" s="383"/>
      <c r="V46" s="383"/>
      <c r="W46" s="383"/>
    </row>
    <row r="47" spans="1:23" ht="18.75" customHeight="1">
      <c r="A47" s="383"/>
      <c r="B47" s="6280"/>
      <c r="C47" s="6280"/>
      <c r="D47" s="6280"/>
      <c r="E47" s="6280"/>
      <c r="F47" s="6280"/>
      <c r="G47" s="6280"/>
      <c r="H47" s="6280"/>
      <c r="I47" s="6280"/>
      <c r="J47" s="6280"/>
      <c r="K47" s="6280"/>
      <c r="L47" s="6280"/>
      <c r="M47" s="6280"/>
      <c r="N47" s="6280"/>
      <c r="O47" s="383"/>
      <c r="P47" s="383"/>
      <c r="Q47" s="383"/>
      <c r="R47" s="383"/>
      <c r="S47" s="383"/>
      <c r="T47" s="383"/>
      <c r="U47" s="383"/>
      <c r="V47" s="383"/>
      <c r="W47" s="383"/>
    </row>
    <row r="48" spans="1:23">
      <c r="A48" s="383"/>
      <c r="B48" s="6280" t="s">
        <v>787</v>
      </c>
      <c r="C48" s="6280"/>
      <c r="D48" s="6280"/>
      <c r="E48" s="6280"/>
      <c r="F48" s="6280"/>
      <c r="G48" s="6280"/>
      <c r="H48" s="6280"/>
      <c r="I48" s="6280"/>
      <c r="J48" s="6280"/>
      <c r="K48" s="6280"/>
      <c r="L48" s="6280"/>
      <c r="M48" s="6280"/>
      <c r="N48" s="6280"/>
      <c r="O48" s="383"/>
      <c r="P48" s="383"/>
      <c r="Q48" s="383"/>
      <c r="R48" s="383"/>
      <c r="S48" s="383"/>
      <c r="T48" s="383"/>
      <c r="U48" s="383"/>
      <c r="V48" s="383"/>
      <c r="W48" s="383"/>
    </row>
    <row r="49" spans="1:23" ht="18" customHeight="1">
      <c r="A49" s="383"/>
      <c r="B49" s="6280"/>
      <c r="C49" s="6280"/>
      <c r="D49" s="6280"/>
      <c r="E49" s="6280"/>
      <c r="F49" s="6280"/>
      <c r="G49" s="6280"/>
      <c r="H49" s="6280"/>
      <c r="I49" s="6280"/>
      <c r="J49" s="6280"/>
      <c r="K49" s="6280"/>
      <c r="L49" s="6280"/>
      <c r="M49" s="6280"/>
      <c r="N49" s="6280"/>
      <c r="O49" s="383"/>
      <c r="P49" s="383"/>
      <c r="Q49" s="383"/>
      <c r="R49" s="383"/>
      <c r="S49" s="383"/>
      <c r="T49" s="383"/>
      <c r="U49" s="383"/>
      <c r="V49" s="383"/>
      <c r="W49" s="383"/>
    </row>
    <row r="50" spans="1:23">
      <c r="A50" s="383"/>
      <c r="B50" s="6279" t="s">
        <v>788</v>
      </c>
      <c r="C50" s="6279"/>
      <c r="D50" s="6279"/>
      <c r="E50" s="6279"/>
      <c r="F50" s="6279"/>
      <c r="G50" s="6279"/>
      <c r="H50" s="6279"/>
      <c r="I50" s="6279"/>
      <c r="J50" s="6279"/>
      <c r="K50" s="6279"/>
      <c r="L50" s="6279"/>
      <c r="M50" s="6279"/>
      <c r="N50" s="6279"/>
      <c r="O50" s="383"/>
      <c r="P50" s="383"/>
      <c r="Q50" s="383"/>
      <c r="R50" s="383"/>
      <c r="S50" s="383"/>
      <c r="T50" s="383"/>
      <c r="U50" s="383"/>
      <c r="V50" s="383"/>
      <c r="W50" s="383"/>
    </row>
    <row r="51" spans="1:23" ht="29.25" customHeight="1">
      <c r="A51" s="383"/>
      <c r="B51" s="6279"/>
      <c r="C51" s="6279"/>
      <c r="D51" s="6279"/>
      <c r="E51" s="6279"/>
      <c r="F51" s="6279"/>
      <c r="G51" s="6279"/>
      <c r="H51" s="6279"/>
      <c r="I51" s="6279"/>
      <c r="J51" s="6279"/>
      <c r="K51" s="6279"/>
      <c r="L51" s="6279"/>
      <c r="M51" s="6279"/>
      <c r="N51" s="6279"/>
      <c r="O51" s="383"/>
      <c r="P51" s="383"/>
      <c r="Q51" s="383"/>
      <c r="R51" s="383"/>
      <c r="S51" s="383"/>
      <c r="T51" s="383"/>
      <c r="U51" s="383"/>
      <c r="V51" s="383"/>
      <c r="W51" s="383"/>
    </row>
    <row r="52" spans="1:23">
      <c r="A52" s="383"/>
      <c r="B52" s="617"/>
      <c r="C52" s="383"/>
      <c r="D52" s="383"/>
      <c r="E52" s="383"/>
      <c r="F52" s="383"/>
      <c r="G52" s="383"/>
      <c r="H52" s="383"/>
      <c r="I52" s="383"/>
      <c r="J52" s="383"/>
      <c r="K52" s="383"/>
      <c r="L52" s="383"/>
      <c r="M52" s="383"/>
      <c r="N52" s="383"/>
      <c r="O52" s="383"/>
      <c r="P52" s="383"/>
      <c r="Q52" s="383"/>
      <c r="R52" s="383"/>
      <c r="S52" s="383"/>
      <c r="T52" s="383"/>
      <c r="U52" s="383"/>
      <c r="V52" s="383"/>
      <c r="W52" s="383"/>
    </row>
    <row r="53" spans="1:23">
      <c r="A53" s="383"/>
      <c r="B53" s="618"/>
      <c r="C53" s="383"/>
      <c r="D53" s="383"/>
      <c r="E53" s="383"/>
      <c r="F53" s="383"/>
      <c r="G53" s="383"/>
      <c r="H53" s="383"/>
      <c r="I53" s="383"/>
      <c r="J53" s="383"/>
      <c r="K53" s="383"/>
      <c r="L53" s="383"/>
      <c r="M53" s="383"/>
      <c r="N53" s="383"/>
      <c r="O53" s="383"/>
      <c r="P53" s="383"/>
      <c r="Q53" s="383"/>
      <c r="R53" s="383"/>
      <c r="S53" s="383"/>
      <c r="T53" s="383"/>
      <c r="U53" s="383"/>
      <c r="V53" s="383"/>
      <c r="W53" s="383"/>
    </row>
    <row r="54" spans="1:23">
      <c r="A54" s="383"/>
      <c r="B54" s="618"/>
      <c r="C54" s="383"/>
      <c r="D54" s="383"/>
      <c r="E54" s="383"/>
      <c r="F54" s="383"/>
      <c r="G54" s="383"/>
      <c r="H54" s="383"/>
      <c r="I54" s="383"/>
      <c r="J54" s="383"/>
      <c r="K54" s="383"/>
      <c r="L54" s="383"/>
      <c r="M54" s="383"/>
      <c r="N54" s="383"/>
      <c r="O54" s="383"/>
      <c r="P54" s="383"/>
      <c r="Q54" s="383"/>
      <c r="R54" s="383"/>
      <c r="S54" s="383"/>
      <c r="T54" s="383"/>
      <c r="U54" s="383"/>
      <c r="V54" s="383"/>
      <c r="W54" s="383"/>
    </row>
    <row r="55" spans="1:23">
      <c r="A55" s="383"/>
      <c r="B55" s="618"/>
      <c r="C55" s="383"/>
      <c r="D55" s="383"/>
      <c r="E55" s="383"/>
      <c r="F55" s="383"/>
      <c r="G55" s="383"/>
      <c r="H55" s="383"/>
      <c r="I55" s="383"/>
      <c r="J55" s="383"/>
      <c r="K55" s="383"/>
      <c r="L55" s="383"/>
      <c r="M55" s="383"/>
      <c r="N55" s="383"/>
      <c r="O55" s="383"/>
      <c r="P55" s="383"/>
      <c r="Q55" s="383"/>
      <c r="R55" s="383"/>
      <c r="S55" s="383"/>
      <c r="T55" s="383"/>
      <c r="U55" s="383"/>
      <c r="V55" s="383"/>
      <c r="W55" s="383"/>
    </row>
    <row r="56" spans="1:23">
      <c r="A56" s="383"/>
      <c r="B56" s="618"/>
      <c r="C56" s="383"/>
      <c r="D56" s="383"/>
      <c r="E56" s="383"/>
      <c r="F56" s="383"/>
      <c r="G56" s="383"/>
      <c r="H56" s="383"/>
      <c r="I56" s="383"/>
      <c r="J56" s="383"/>
      <c r="K56" s="383"/>
      <c r="L56" s="383"/>
      <c r="M56" s="383"/>
      <c r="N56" s="383"/>
      <c r="O56" s="383"/>
      <c r="P56" s="383"/>
      <c r="Q56" s="383"/>
      <c r="R56" s="383"/>
      <c r="S56" s="383"/>
      <c r="T56" s="383"/>
      <c r="U56" s="383"/>
      <c r="V56" s="383"/>
      <c r="W56" s="383"/>
    </row>
    <row r="57" spans="1:23">
      <c r="A57" s="383"/>
      <c r="B57" s="618"/>
      <c r="C57" s="383"/>
      <c r="D57" s="383"/>
      <c r="E57" s="383"/>
      <c r="F57" s="383"/>
      <c r="G57" s="383"/>
      <c r="H57" s="383"/>
      <c r="I57" s="383"/>
      <c r="J57" s="383"/>
      <c r="K57" s="383"/>
      <c r="L57" s="383"/>
      <c r="M57" s="383"/>
      <c r="N57" s="383"/>
      <c r="O57" s="383"/>
      <c r="P57" s="383"/>
      <c r="Q57" s="383"/>
      <c r="R57" s="383"/>
      <c r="S57" s="383"/>
      <c r="T57" s="383"/>
      <c r="U57" s="383"/>
      <c r="V57" s="383"/>
      <c r="W57" s="383"/>
    </row>
    <row r="58" spans="1:23">
      <c r="A58" s="383"/>
      <c r="B58" s="618"/>
      <c r="C58" s="383"/>
      <c r="D58" s="383"/>
      <c r="E58" s="383"/>
      <c r="F58" s="383"/>
      <c r="G58" s="383"/>
      <c r="H58" s="383"/>
      <c r="I58" s="383"/>
      <c r="J58" s="383"/>
      <c r="K58" s="383"/>
      <c r="L58" s="383"/>
      <c r="M58" s="383"/>
      <c r="N58" s="383"/>
      <c r="O58" s="383"/>
      <c r="P58" s="383"/>
      <c r="Q58" s="383"/>
      <c r="R58" s="383"/>
      <c r="S58" s="383"/>
      <c r="T58" s="383"/>
      <c r="U58" s="383"/>
      <c r="V58" s="383"/>
      <c r="W58" s="383"/>
    </row>
    <row r="59" spans="1:23">
      <c r="A59" s="383"/>
      <c r="B59" s="618"/>
      <c r="C59" s="383"/>
      <c r="D59" s="383"/>
      <c r="E59" s="383"/>
      <c r="F59" s="383"/>
      <c r="G59" s="383"/>
      <c r="H59" s="383"/>
      <c r="I59" s="383"/>
      <c r="J59" s="383"/>
      <c r="K59" s="383"/>
      <c r="L59" s="383"/>
      <c r="M59" s="383"/>
      <c r="N59" s="383"/>
      <c r="O59" s="383"/>
      <c r="P59" s="383"/>
      <c r="Q59" s="383"/>
      <c r="R59" s="383"/>
      <c r="S59" s="383"/>
      <c r="T59" s="383"/>
      <c r="U59" s="383"/>
      <c r="V59" s="383"/>
      <c r="W59" s="383"/>
    </row>
    <row r="60" spans="1:23">
      <c r="A60" s="383"/>
      <c r="B60" s="618"/>
      <c r="C60" s="383"/>
      <c r="D60" s="383"/>
      <c r="E60" s="383"/>
      <c r="F60" s="383"/>
      <c r="G60" s="383"/>
      <c r="H60" s="383"/>
      <c r="I60" s="383"/>
      <c r="J60" s="383"/>
      <c r="K60" s="383"/>
      <c r="L60" s="383"/>
      <c r="M60" s="383"/>
      <c r="N60" s="383"/>
      <c r="O60" s="383"/>
      <c r="P60" s="383"/>
      <c r="Q60" s="383"/>
      <c r="R60" s="383"/>
      <c r="S60" s="383"/>
      <c r="T60" s="383"/>
      <c r="U60" s="383"/>
      <c r="V60" s="383"/>
      <c r="W60" s="383"/>
    </row>
    <row r="61" spans="1:23">
      <c r="A61" s="383"/>
      <c r="B61" s="618"/>
      <c r="C61" s="383"/>
      <c r="D61" s="383"/>
      <c r="E61" s="383"/>
      <c r="F61" s="383"/>
      <c r="G61" s="383"/>
      <c r="H61" s="383"/>
      <c r="I61" s="383"/>
      <c r="J61" s="383"/>
      <c r="K61" s="383"/>
      <c r="L61" s="383"/>
      <c r="M61" s="383"/>
      <c r="N61" s="383"/>
      <c r="O61" s="383"/>
      <c r="P61" s="383"/>
      <c r="Q61" s="383"/>
      <c r="R61" s="383"/>
      <c r="S61" s="383"/>
      <c r="T61" s="383"/>
      <c r="U61" s="383"/>
      <c r="V61" s="383"/>
      <c r="W61" s="383"/>
    </row>
    <row r="62" spans="1:23">
      <c r="A62" s="383"/>
      <c r="B62" s="618"/>
      <c r="C62" s="383"/>
      <c r="D62" s="383"/>
      <c r="E62" s="383"/>
      <c r="F62" s="383"/>
      <c r="G62" s="383"/>
      <c r="H62" s="383"/>
      <c r="I62" s="383"/>
      <c r="J62" s="383"/>
      <c r="K62" s="383"/>
      <c r="L62" s="383"/>
      <c r="M62" s="383"/>
      <c r="N62" s="383"/>
      <c r="O62" s="383"/>
      <c r="P62" s="383"/>
      <c r="Q62" s="383"/>
      <c r="R62" s="383"/>
      <c r="S62" s="383"/>
      <c r="T62" s="383"/>
      <c r="U62" s="383"/>
      <c r="V62" s="383"/>
      <c r="W62" s="383"/>
    </row>
    <row r="63" spans="1:23">
      <c r="A63" s="383"/>
      <c r="B63" s="618"/>
      <c r="C63" s="383"/>
      <c r="D63" s="383"/>
      <c r="E63" s="383"/>
      <c r="F63" s="383"/>
      <c r="G63" s="383"/>
      <c r="H63" s="383"/>
      <c r="I63" s="383"/>
      <c r="J63" s="383"/>
      <c r="K63" s="383"/>
      <c r="L63" s="383"/>
      <c r="M63" s="383"/>
      <c r="N63" s="383"/>
      <c r="O63" s="383"/>
      <c r="P63" s="383"/>
      <c r="Q63" s="383"/>
      <c r="R63" s="383"/>
      <c r="S63" s="383"/>
      <c r="T63" s="383"/>
      <c r="U63" s="383"/>
      <c r="V63" s="383"/>
      <c r="W63" s="383"/>
    </row>
    <row r="64" spans="1:23">
      <c r="A64" s="383"/>
      <c r="B64" s="618"/>
      <c r="C64" s="383"/>
      <c r="D64" s="383"/>
      <c r="E64" s="383"/>
      <c r="F64" s="383"/>
      <c r="G64" s="383"/>
      <c r="H64" s="383"/>
      <c r="I64" s="383"/>
      <c r="J64" s="383"/>
      <c r="K64" s="383"/>
      <c r="L64" s="383"/>
      <c r="M64" s="383"/>
      <c r="N64" s="383"/>
      <c r="O64" s="383"/>
      <c r="P64" s="383"/>
      <c r="Q64" s="383"/>
      <c r="R64" s="383"/>
      <c r="S64" s="383"/>
      <c r="T64" s="383"/>
      <c r="U64" s="383"/>
      <c r="V64" s="383"/>
      <c r="W64" s="383"/>
    </row>
    <row r="65" spans="1:23">
      <c r="A65" s="383"/>
      <c r="B65" s="618"/>
      <c r="C65" s="383"/>
      <c r="D65" s="383"/>
      <c r="E65" s="383"/>
      <c r="F65" s="383"/>
      <c r="G65" s="383"/>
      <c r="H65" s="383"/>
      <c r="I65" s="383"/>
      <c r="J65" s="383"/>
      <c r="K65" s="383"/>
      <c r="L65" s="383"/>
      <c r="M65" s="383"/>
      <c r="N65" s="383"/>
      <c r="O65" s="383"/>
      <c r="P65" s="383"/>
      <c r="Q65" s="383"/>
      <c r="R65" s="383"/>
      <c r="S65" s="383"/>
      <c r="T65" s="383"/>
      <c r="U65" s="383"/>
      <c r="V65" s="383"/>
      <c r="W65" s="383"/>
    </row>
    <row r="66" spans="1:23">
      <c r="A66" s="383"/>
      <c r="B66" s="618"/>
      <c r="C66" s="383"/>
      <c r="D66" s="383"/>
      <c r="E66" s="383"/>
      <c r="F66" s="383"/>
      <c r="G66" s="383"/>
      <c r="H66" s="383"/>
      <c r="I66" s="383"/>
      <c r="J66" s="383"/>
      <c r="K66" s="383"/>
      <c r="L66" s="383"/>
      <c r="M66" s="383"/>
      <c r="N66" s="383"/>
      <c r="O66" s="383"/>
      <c r="P66" s="383"/>
      <c r="Q66" s="383"/>
      <c r="R66" s="383"/>
      <c r="S66" s="383"/>
      <c r="T66" s="383"/>
      <c r="U66" s="383"/>
      <c r="V66" s="383"/>
      <c r="W66" s="383"/>
    </row>
    <row r="67" spans="1:23">
      <c r="A67" s="383"/>
      <c r="B67" s="618"/>
      <c r="C67" s="383"/>
      <c r="D67" s="383"/>
      <c r="E67" s="383"/>
      <c r="F67" s="383"/>
      <c r="G67" s="383"/>
      <c r="H67" s="383"/>
      <c r="I67" s="383"/>
      <c r="J67" s="383"/>
      <c r="K67" s="383"/>
      <c r="L67" s="383"/>
      <c r="M67" s="383"/>
      <c r="N67" s="383"/>
      <c r="O67" s="383"/>
      <c r="P67" s="383"/>
      <c r="Q67" s="383"/>
      <c r="R67" s="383"/>
      <c r="S67" s="383"/>
      <c r="T67" s="383"/>
      <c r="U67" s="383"/>
      <c r="V67" s="383"/>
      <c r="W67" s="383"/>
    </row>
    <row r="68" spans="1:23">
      <c r="A68" s="383"/>
      <c r="B68" s="618"/>
      <c r="C68" s="383"/>
      <c r="D68" s="383"/>
      <c r="E68" s="383"/>
      <c r="F68" s="383"/>
      <c r="G68" s="383"/>
      <c r="H68" s="383"/>
      <c r="I68" s="383"/>
      <c r="J68" s="383"/>
      <c r="K68" s="383"/>
      <c r="L68" s="383"/>
      <c r="M68" s="383"/>
      <c r="N68" s="383"/>
      <c r="O68" s="383"/>
      <c r="P68" s="383"/>
      <c r="Q68" s="383"/>
      <c r="R68" s="383"/>
      <c r="S68" s="383"/>
      <c r="T68" s="383"/>
      <c r="U68" s="383"/>
      <c r="V68" s="383"/>
      <c r="W68" s="383"/>
    </row>
    <row r="69" spans="1:23">
      <c r="A69" s="383"/>
      <c r="B69" s="618"/>
      <c r="C69" s="383"/>
      <c r="D69" s="383"/>
      <c r="E69" s="383"/>
      <c r="F69" s="383"/>
      <c r="G69" s="383"/>
      <c r="H69" s="383"/>
      <c r="I69" s="383"/>
      <c r="J69" s="383"/>
      <c r="K69" s="383"/>
      <c r="L69" s="383"/>
      <c r="M69" s="383"/>
      <c r="N69" s="383"/>
      <c r="O69" s="383"/>
      <c r="P69" s="383"/>
      <c r="Q69" s="383"/>
      <c r="R69" s="383"/>
      <c r="S69" s="383"/>
      <c r="T69" s="383"/>
      <c r="U69" s="383"/>
      <c r="V69" s="383"/>
      <c r="W69" s="383"/>
    </row>
    <row r="70" spans="1:23">
      <c r="A70" s="383"/>
      <c r="B70" s="383"/>
      <c r="C70" s="383"/>
      <c r="D70" s="383"/>
      <c r="E70" s="383"/>
      <c r="F70" s="383"/>
      <c r="G70" s="383"/>
      <c r="H70" s="383"/>
      <c r="I70" s="383"/>
      <c r="J70" s="383"/>
      <c r="K70" s="383"/>
      <c r="L70" s="383"/>
      <c r="M70" s="383"/>
      <c r="N70" s="383"/>
      <c r="O70" s="383"/>
      <c r="P70" s="383"/>
      <c r="Q70" s="383"/>
      <c r="R70" s="383"/>
      <c r="S70" s="383"/>
      <c r="T70" s="383"/>
      <c r="U70" s="383"/>
      <c r="V70" s="383"/>
      <c r="W70" s="383"/>
    </row>
    <row r="71" spans="1:23">
      <c r="A71" s="383"/>
      <c r="B71" s="383"/>
      <c r="C71" s="383"/>
      <c r="D71" s="383"/>
      <c r="E71" s="383"/>
      <c r="F71" s="383"/>
      <c r="G71" s="383"/>
      <c r="H71" s="383"/>
      <c r="I71" s="383"/>
      <c r="J71" s="383"/>
      <c r="K71" s="383"/>
      <c r="L71" s="383"/>
      <c r="M71" s="383"/>
      <c r="N71" s="383"/>
      <c r="O71" s="383"/>
      <c r="P71" s="383"/>
      <c r="Q71" s="383"/>
      <c r="R71" s="383"/>
      <c r="S71" s="383"/>
      <c r="T71" s="383"/>
      <c r="U71" s="383"/>
      <c r="V71" s="383"/>
      <c r="W71" s="383"/>
    </row>
    <row r="72" spans="1:23">
      <c r="A72" s="383"/>
      <c r="B72" s="383"/>
      <c r="C72" s="383"/>
      <c r="D72" s="383"/>
      <c r="E72" s="383"/>
      <c r="F72" s="383"/>
      <c r="G72" s="383"/>
      <c r="H72" s="383"/>
      <c r="I72" s="383"/>
      <c r="J72" s="383"/>
      <c r="K72" s="383"/>
      <c r="L72" s="383"/>
      <c r="M72" s="383"/>
      <c r="N72" s="383"/>
      <c r="O72" s="383"/>
      <c r="P72" s="383"/>
      <c r="Q72" s="383"/>
      <c r="R72" s="383"/>
      <c r="S72" s="383"/>
      <c r="T72" s="383"/>
      <c r="U72" s="383"/>
      <c r="V72" s="383"/>
      <c r="W72" s="383"/>
    </row>
    <row r="73" spans="1:23">
      <c r="A73" s="383"/>
      <c r="B73" s="383"/>
      <c r="C73" s="383"/>
      <c r="D73" s="383"/>
      <c r="E73" s="383"/>
      <c r="F73" s="383"/>
      <c r="G73" s="383"/>
      <c r="H73" s="383"/>
      <c r="I73" s="383"/>
      <c r="J73" s="383"/>
      <c r="K73" s="383"/>
      <c r="L73" s="383"/>
      <c r="M73" s="383"/>
      <c r="N73" s="383"/>
      <c r="O73" s="383"/>
      <c r="P73" s="383"/>
      <c r="Q73" s="383"/>
      <c r="R73" s="383"/>
      <c r="S73" s="383"/>
      <c r="T73" s="383"/>
      <c r="U73" s="383"/>
      <c r="V73" s="383"/>
      <c r="W73" s="383"/>
    </row>
    <row r="74" spans="1:23">
      <c r="A74" s="383"/>
      <c r="B74" s="383"/>
      <c r="C74" s="383"/>
      <c r="D74" s="383"/>
      <c r="E74" s="383"/>
      <c r="F74" s="383"/>
      <c r="G74" s="383"/>
      <c r="H74" s="383"/>
      <c r="I74" s="383"/>
      <c r="J74" s="383"/>
      <c r="K74" s="383"/>
      <c r="L74" s="383"/>
      <c r="M74" s="383"/>
      <c r="N74" s="383"/>
      <c r="O74" s="383"/>
      <c r="P74" s="383"/>
      <c r="Q74" s="383"/>
      <c r="R74" s="383"/>
      <c r="S74" s="383"/>
      <c r="T74" s="383"/>
      <c r="U74" s="383"/>
      <c r="V74" s="383"/>
      <c r="W74" s="383"/>
    </row>
    <row r="75" spans="1:23">
      <c r="A75" s="383"/>
      <c r="B75" s="383"/>
      <c r="C75" s="383"/>
      <c r="D75" s="383"/>
      <c r="E75" s="383"/>
      <c r="F75" s="383"/>
      <c r="G75" s="383"/>
      <c r="H75" s="383"/>
      <c r="I75" s="383"/>
      <c r="J75" s="383"/>
      <c r="K75" s="383"/>
      <c r="L75" s="383"/>
      <c r="M75" s="383"/>
      <c r="N75" s="383"/>
      <c r="O75" s="383"/>
      <c r="P75" s="383"/>
      <c r="Q75" s="383"/>
      <c r="R75" s="383"/>
      <c r="S75" s="383"/>
      <c r="T75" s="383"/>
      <c r="U75" s="383"/>
      <c r="V75" s="383"/>
      <c r="W75" s="383"/>
    </row>
    <row r="76" spans="1:23">
      <c r="A76" s="383"/>
      <c r="B76" s="383"/>
      <c r="C76" s="383"/>
      <c r="D76" s="383"/>
      <c r="E76" s="383"/>
      <c r="F76" s="383"/>
      <c r="G76" s="383"/>
      <c r="H76" s="383"/>
      <c r="I76" s="383"/>
      <c r="J76" s="383"/>
      <c r="K76" s="383"/>
      <c r="L76" s="383"/>
      <c r="M76" s="383"/>
      <c r="N76" s="383"/>
      <c r="O76" s="383"/>
      <c r="P76" s="383"/>
      <c r="Q76" s="383"/>
      <c r="R76" s="383"/>
      <c r="S76" s="383"/>
      <c r="T76" s="383"/>
      <c r="U76" s="383"/>
      <c r="V76" s="383"/>
      <c r="W76" s="383"/>
    </row>
    <row r="77" spans="1:23">
      <c r="A77" s="383"/>
      <c r="B77" s="6281"/>
      <c r="C77" s="6281"/>
      <c r="D77" s="6281"/>
      <c r="E77" s="6281"/>
      <c r="F77" s="6281"/>
      <c r="G77" s="6281"/>
      <c r="H77" s="6281"/>
      <c r="I77" s="6281"/>
      <c r="J77" s="6281"/>
      <c r="K77" s="6281"/>
      <c r="L77" s="6281"/>
      <c r="M77" s="383"/>
      <c r="N77" s="383"/>
      <c r="O77" s="383"/>
      <c r="P77" s="383"/>
      <c r="Q77" s="383"/>
      <c r="R77" s="383"/>
      <c r="S77" s="383"/>
      <c r="T77" s="383"/>
      <c r="U77" s="383"/>
      <c r="V77" s="383"/>
      <c r="W77" s="383"/>
    </row>
    <row r="78" spans="1:23">
      <c r="A78" s="383"/>
      <c r="B78" s="6281"/>
      <c r="C78" s="6281"/>
      <c r="D78" s="6281"/>
      <c r="E78" s="6281"/>
      <c r="F78" s="6281"/>
      <c r="G78" s="6281"/>
      <c r="H78" s="6281"/>
      <c r="I78" s="6281"/>
      <c r="J78" s="6281"/>
      <c r="K78" s="6281"/>
      <c r="L78" s="6281"/>
      <c r="M78" s="383"/>
      <c r="N78" s="383"/>
      <c r="O78" s="383"/>
      <c r="P78" s="383"/>
      <c r="Q78" s="383"/>
      <c r="R78" s="383"/>
      <c r="S78" s="383"/>
      <c r="T78" s="383"/>
      <c r="U78" s="383"/>
      <c r="V78" s="383"/>
      <c r="W78" s="383"/>
    </row>
    <row r="79" spans="1:23">
      <c r="A79" s="383"/>
      <c r="B79" s="383"/>
      <c r="C79" s="383"/>
      <c r="D79" s="383"/>
      <c r="E79" s="383"/>
      <c r="F79" s="383"/>
      <c r="G79" s="383"/>
      <c r="H79" s="383"/>
      <c r="I79" s="383"/>
      <c r="J79" s="383"/>
      <c r="K79" s="383"/>
      <c r="L79" s="383"/>
      <c r="M79" s="383"/>
      <c r="N79" s="383"/>
      <c r="O79" s="383"/>
      <c r="P79" s="383"/>
      <c r="Q79" s="383"/>
      <c r="R79" s="383"/>
      <c r="S79" s="383"/>
      <c r="T79" s="383"/>
      <c r="U79" s="383"/>
      <c r="V79" s="383"/>
      <c r="W79" s="383"/>
    </row>
    <row r="80" spans="1:23">
      <c r="A80" s="383"/>
      <c r="B80" s="383"/>
      <c r="C80" s="383"/>
      <c r="D80" s="383"/>
      <c r="E80" s="383"/>
      <c r="F80" s="383"/>
      <c r="G80" s="383"/>
      <c r="H80" s="383"/>
      <c r="I80" s="383"/>
      <c r="J80" s="383"/>
      <c r="K80" s="383"/>
      <c r="L80" s="383"/>
      <c r="M80" s="383"/>
      <c r="N80" s="383"/>
      <c r="O80" s="383"/>
      <c r="P80" s="383"/>
      <c r="Q80" s="383"/>
      <c r="R80" s="383"/>
      <c r="S80" s="383"/>
      <c r="T80" s="383"/>
      <c r="U80" s="383"/>
      <c r="V80" s="383"/>
      <c r="W80" s="383"/>
    </row>
    <row r="81" spans="1:23">
      <c r="A81" s="383"/>
      <c r="B81" s="383"/>
      <c r="C81" s="383"/>
      <c r="D81" s="383"/>
      <c r="E81" s="383"/>
      <c r="F81" s="383"/>
      <c r="G81" s="383"/>
      <c r="H81" s="383"/>
      <c r="I81" s="383"/>
      <c r="J81" s="383"/>
      <c r="K81" s="383"/>
      <c r="L81" s="383"/>
      <c r="M81" s="383"/>
      <c r="N81" s="383"/>
      <c r="O81" s="383"/>
      <c r="P81" s="383"/>
      <c r="Q81" s="383"/>
      <c r="R81" s="383"/>
      <c r="S81" s="383"/>
      <c r="T81" s="383"/>
      <c r="U81" s="383"/>
      <c r="V81" s="383"/>
      <c r="W81" s="383"/>
    </row>
    <row r="82" spans="1:23">
      <c r="A82" s="383"/>
      <c r="B82" s="383"/>
      <c r="C82" s="383"/>
      <c r="D82" s="383"/>
      <c r="E82" s="383"/>
      <c r="F82" s="383"/>
      <c r="G82" s="383"/>
      <c r="H82" s="383"/>
      <c r="I82" s="383"/>
      <c r="J82" s="383"/>
      <c r="K82" s="383"/>
      <c r="L82" s="383"/>
      <c r="M82" s="383"/>
      <c r="N82" s="383"/>
      <c r="O82" s="383"/>
      <c r="P82" s="383"/>
      <c r="Q82" s="383"/>
      <c r="R82" s="383"/>
      <c r="S82" s="383"/>
      <c r="T82" s="383"/>
      <c r="U82" s="383"/>
      <c r="V82" s="383"/>
      <c r="W82" s="383"/>
    </row>
    <row r="83" spans="1:23">
      <c r="A83" s="383"/>
      <c r="B83" s="383"/>
      <c r="C83" s="383"/>
      <c r="D83" s="383"/>
      <c r="E83" s="383"/>
      <c r="F83" s="383"/>
      <c r="G83" s="383"/>
      <c r="H83" s="383"/>
      <c r="I83" s="383"/>
      <c r="J83" s="383"/>
      <c r="K83" s="383"/>
      <c r="L83" s="383"/>
      <c r="M83" s="383"/>
      <c r="N83" s="383"/>
      <c r="O83" s="383"/>
      <c r="P83" s="383"/>
      <c r="Q83" s="383"/>
      <c r="R83" s="383"/>
      <c r="S83" s="383"/>
      <c r="T83" s="383"/>
      <c r="U83" s="383"/>
      <c r="V83" s="383"/>
      <c r="W83" s="383"/>
    </row>
    <row r="84" spans="1:23">
      <c r="A84" s="383"/>
      <c r="B84" s="383"/>
      <c r="C84" s="383"/>
      <c r="D84" s="383"/>
      <c r="E84" s="383"/>
      <c r="F84" s="383"/>
      <c r="G84" s="383"/>
      <c r="H84" s="383"/>
      <c r="I84" s="383"/>
      <c r="J84" s="383"/>
      <c r="K84" s="383"/>
      <c r="L84" s="383"/>
      <c r="M84" s="383"/>
      <c r="N84" s="383"/>
      <c r="O84" s="383"/>
      <c r="P84" s="383"/>
      <c r="Q84" s="383"/>
      <c r="R84" s="383"/>
      <c r="S84" s="383"/>
      <c r="T84" s="383"/>
      <c r="U84" s="383"/>
      <c r="V84" s="383"/>
      <c r="W84" s="383"/>
    </row>
    <row r="85" spans="1:23">
      <c r="A85" s="383"/>
      <c r="B85" s="383"/>
      <c r="C85" s="383"/>
      <c r="D85" s="383"/>
      <c r="E85" s="383"/>
      <c r="F85" s="383"/>
      <c r="G85" s="383"/>
      <c r="H85" s="383"/>
      <c r="I85" s="383"/>
      <c r="J85" s="383"/>
      <c r="K85" s="383"/>
      <c r="L85" s="383"/>
      <c r="M85" s="383"/>
      <c r="N85" s="383"/>
      <c r="O85" s="383"/>
      <c r="P85" s="383"/>
      <c r="Q85" s="383"/>
      <c r="R85" s="383"/>
      <c r="S85" s="383"/>
      <c r="T85" s="383"/>
      <c r="U85" s="383"/>
      <c r="V85" s="383"/>
      <c r="W85" s="383"/>
    </row>
    <row r="86" spans="1:23">
      <c r="A86" s="383"/>
      <c r="B86" s="383"/>
      <c r="C86" s="383"/>
      <c r="D86" s="383"/>
      <c r="E86" s="383"/>
      <c r="F86" s="383"/>
      <c r="G86" s="383"/>
      <c r="H86" s="383"/>
      <c r="I86" s="383"/>
      <c r="J86" s="383"/>
      <c r="K86" s="383"/>
      <c r="L86" s="383"/>
      <c r="M86" s="383"/>
      <c r="N86" s="383"/>
      <c r="O86" s="383"/>
      <c r="P86" s="383"/>
      <c r="Q86" s="383"/>
      <c r="R86" s="383"/>
      <c r="S86" s="383"/>
      <c r="T86" s="383"/>
      <c r="U86" s="383"/>
      <c r="V86" s="383"/>
      <c r="W86" s="383"/>
    </row>
    <row r="87" spans="1:23">
      <c r="A87" s="383"/>
      <c r="B87" s="383"/>
      <c r="C87" s="383"/>
      <c r="D87" s="383"/>
      <c r="E87" s="383"/>
      <c r="F87" s="383"/>
      <c r="G87" s="383"/>
      <c r="H87" s="383"/>
      <c r="I87" s="383"/>
      <c r="J87" s="383"/>
      <c r="K87" s="383"/>
      <c r="L87" s="383"/>
      <c r="M87" s="383"/>
      <c r="N87" s="383"/>
      <c r="O87" s="383"/>
      <c r="P87" s="383"/>
      <c r="Q87" s="383"/>
      <c r="R87" s="383"/>
      <c r="S87" s="383"/>
      <c r="T87" s="383"/>
      <c r="U87" s="383"/>
      <c r="V87" s="383"/>
      <c r="W87" s="383"/>
    </row>
    <row r="88" spans="1:23">
      <c r="A88" s="383"/>
      <c r="B88" s="383"/>
      <c r="C88" s="383"/>
      <c r="D88" s="383"/>
      <c r="E88" s="383"/>
      <c r="F88" s="383"/>
      <c r="G88" s="383"/>
      <c r="H88" s="383"/>
      <c r="I88" s="383"/>
      <c r="J88" s="383"/>
      <c r="K88" s="383"/>
      <c r="L88" s="383"/>
      <c r="M88" s="383"/>
      <c r="N88" s="383"/>
      <c r="O88" s="383"/>
      <c r="P88" s="383"/>
      <c r="Q88" s="383"/>
      <c r="R88" s="383"/>
      <c r="S88" s="383"/>
      <c r="T88" s="383"/>
      <c r="U88" s="383"/>
      <c r="V88" s="383"/>
      <c r="W88" s="383"/>
    </row>
    <row r="89" spans="1:23">
      <c r="A89" s="383"/>
      <c r="B89" s="383"/>
      <c r="C89" s="383"/>
      <c r="D89" s="383"/>
      <c r="E89" s="383"/>
      <c r="F89" s="383"/>
      <c r="G89" s="383"/>
      <c r="H89" s="383"/>
      <c r="I89" s="383"/>
      <c r="J89" s="383"/>
      <c r="K89" s="383"/>
      <c r="L89" s="383"/>
      <c r="M89" s="383"/>
      <c r="N89" s="383"/>
      <c r="O89" s="383"/>
      <c r="P89" s="383"/>
      <c r="Q89" s="383"/>
      <c r="R89" s="383"/>
      <c r="S89" s="383"/>
      <c r="T89" s="383"/>
      <c r="U89" s="383"/>
      <c r="V89" s="383"/>
      <c r="W89" s="383"/>
    </row>
    <row r="90" spans="1:23">
      <c r="A90" s="383"/>
      <c r="B90" s="383"/>
      <c r="C90" s="383"/>
      <c r="D90" s="383"/>
      <c r="E90" s="383"/>
      <c r="F90" s="383"/>
      <c r="G90" s="383"/>
      <c r="H90" s="383"/>
      <c r="I90" s="383"/>
      <c r="J90" s="383"/>
      <c r="K90" s="383"/>
      <c r="L90" s="383"/>
      <c r="M90" s="383"/>
      <c r="N90" s="383"/>
      <c r="O90" s="383"/>
      <c r="P90" s="383"/>
      <c r="Q90" s="383"/>
      <c r="R90" s="383"/>
      <c r="S90" s="383"/>
      <c r="T90" s="383"/>
      <c r="U90" s="383"/>
      <c r="V90" s="383"/>
      <c r="W90" s="383"/>
    </row>
    <row r="91" spans="1:23">
      <c r="A91" s="383"/>
      <c r="B91" s="383"/>
      <c r="C91" s="383"/>
      <c r="D91" s="383"/>
      <c r="E91" s="383"/>
      <c r="F91" s="383"/>
      <c r="G91" s="383"/>
      <c r="H91" s="383"/>
      <c r="I91" s="383"/>
      <c r="J91" s="383"/>
      <c r="K91" s="383"/>
      <c r="L91" s="383"/>
      <c r="M91" s="383"/>
      <c r="N91" s="383"/>
      <c r="O91" s="383"/>
      <c r="P91" s="383"/>
      <c r="Q91" s="383"/>
      <c r="R91" s="383"/>
      <c r="S91" s="383"/>
      <c r="T91" s="383"/>
      <c r="U91" s="383"/>
      <c r="V91" s="383"/>
      <c r="W91" s="383"/>
    </row>
    <row r="92" spans="1:23">
      <c r="A92" s="383"/>
      <c r="B92" s="383"/>
      <c r="C92" s="383"/>
      <c r="D92" s="383"/>
      <c r="E92" s="383"/>
      <c r="F92" s="383"/>
      <c r="G92" s="383"/>
      <c r="H92" s="383"/>
      <c r="I92" s="383"/>
      <c r="J92" s="383"/>
      <c r="K92" s="383"/>
      <c r="L92" s="383"/>
      <c r="M92" s="383"/>
      <c r="N92" s="383"/>
      <c r="O92" s="383"/>
      <c r="P92" s="383"/>
      <c r="Q92" s="383"/>
      <c r="R92" s="383"/>
      <c r="S92" s="383"/>
      <c r="T92" s="383"/>
      <c r="U92" s="383"/>
      <c r="V92" s="383"/>
      <c r="W92" s="383"/>
    </row>
    <row r="93" spans="1:23">
      <c r="A93" s="383"/>
      <c r="B93" s="383"/>
      <c r="C93" s="383"/>
      <c r="D93" s="383"/>
      <c r="E93" s="383"/>
      <c r="F93" s="383"/>
      <c r="G93" s="383"/>
      <c r="H93" s="383"/>
      <c r="I93" s="383"/>
      <c r="J93" s="383"/>
      <c r="K93" s="383"/>
      <c r="L93" s="383"/>
      <c r="M93" s="383"/>
      <c r="N93" s="383"/>
      <c r="O93" s="383"/>
      <c r="P93" s="383"/>
      <c r="Q93" s="383"/>
      <c r="R93" s="383"/>
      <c r="S93" s="383"/>
      <c r="T93" s="383"/>
      <c r="U93" s="383"/>
      <c r="V93" s="383"/>
      <c r="W93" s="383"/>
    </row>
    <row r="94" spans="1:23">
      <c r="A94" s="383"/>
      <c r="B94" s="383"/>
      <c r="C94" s="383"/>
      <c r="D94" s="383"/>
      <c r="E94" s="383"/>
      <c r="F94" s="383"/>
      <c r="G94" s="383"/>
      <c r="H94" s="383"/>
      <c r="I94" s="383"/>
      <c r="J94" s="383"/>
      <c r="K94" s="383"/>
      <c r="L94" s="383"/>
      <c r="M94" s="383"/>
      <c r="N94" s="383"/>
      <c r="O94" s="383"/>
      <c r="P94" s="383"/>
      <c r="Q94" s="383"/>
      <c r="R94" s="383"/>
      <c r="S94" s="383"/>
      <c r="T94" s="383"/>
      <c r="U94" s="383"/>
      <c r="V94" s="383"/>
      <c r="W94" s="383"/>
    </row>
    <row r="95" spans="1:23">
      <c r="A95" s="383"/>
      <c r="B95" s="383"/>
      <c r="C95" s="383"/>
      <c r="D95" s="383"/>
      <c r="E95" s="383"/>
      <c r="F95" s="383"/>
      <c r="G95" s="383"/>
      <c r="H95" s="383"/>
      <c r="I95" s="383"/>
      <c r="J95" s="383"/>
      <c r="K95" s="383"/>
      <c r="L95" s="383"/>
      <c r="M95" s="383"/>
      <c r="N95" s="383"/>
      <c r="O95" s="383"/>
      <c r="P95" s="383"/>
      <c r="Q95" s="383"/>
      <c r="R95" s="383"/>
      <c r="S95" s="383"/>
      <c r="T95" s="383"/>
      <c r="U95" s="383"/>
      <c r="V95" s="383"/>
      <c r="W95" s="383"/>
    </row>
    <row r="96" spans="1:23">
      <c r="A96" s="383"/>
      <c r="B96" s="383"/>
      <c r="C96" s="383"/>
      <c r="D96" s="383"/>
      <c r="E96" s="383"/>
      <c r="F96" s="383"/>
      <c r="G96" s="383"/>
      <c r="H96" s="383"/>
      <c r="I96" s="383"/>
      <c r="J96" s="383"/>
      <c r="K96" s="383"/>
      <c r="L96" s="383"/>
      <c r="M96" s="383"/>
      <c r="N96" s="383"/>
      <c r="O96" s="383"/>
      <c r="P96" s="383"/>
      <c r="Q96" s="383"/>
      <c r="R96" s="383"/>
      <c r="S96" s="383"/>
      <c r="T96" s="383"/>
      <c r="U96" s="383"/>
      <c r="V96" s="383"/>
      <c r="W96" s="383"/>
    </row>
    <row r="97" spans="1:23">
      <c r="A97" s="383"/>
      <c r="B97" s="383"/>
      <c r="C97" s="383"/>
      <c r="D97" s="383"/>
      <c r="E97" s="383"/>
      <c r="F97" s="383"/>
      <c r="G97" s="383"/>
      <c r="H97" s="383"/>
      <c r="I97" s="383"/>
      <c r="J97" s="383"/>
      <c r="K97" s="383"/>
      <c r="L97" s="383"/>
      <c r="M97" s="383"/>
      <c r="N97" s="383"/>
      <c r="O97" s="383"/>
      <c r="P97" s="383"/>
      <c r="Q97" s="383"/>
      <c r="R97" s="383"/>
      <c r="S97" s="383"/>
      <c r="T97" s="383"/>
      <c r="U97" s="383"/>
      <c r="V97" s="383"/>
      <c r="W97" s="383"/>
    </row>
    <row r="98" spans="1:23">
      <c r="A98" s="383"/>
      <c r="B98" s="383"/>
      <c r="C98" s="383"/>
      <c r="D98" s="383"/>
      <c r="E98" s="383"/>
      <c r="F98" s="383"/>
      <c r="G98" s="383"/>
      <c r="H98" s="383"/>
      <c r="I98" s="383"/>
      <c r="J98" s="383"/>
      <c r="K98" s="383"/>
      <c r="L98" s="383"/>
      <c r="M98" s="383"/>
      <c r="N98" s="383"/>
      <c r="O98" s="383"/>
      <c r="P98" s="383"/>
      <c r="Q98" s="383"/>
      <c r="R98" s="383"/>
      <c r="S98" s="383"/>
      <c r="T98" s="383"/>
      <c r="U98" s="383"/>
      <c r="V98" s="383"/>
      <c r="W98" s="383"/>
    </row>
    <row r="99" spans="1:23">
      <c r="A99" s="383"/>
      <c r="B99" s="383"/>
      <c r="C99" s="383"/>
      <c r="D99" s="383"/>
      <c r="E99" s="383"/>
      <c r="F99" s="383"/>
      <c r="G99" s="383"/>
      <c r="H99" s="383"/>
      <c r="I99" s="383"/>
      <c r="J99" s="383"/>
      <c r="K99" s="383"/>
      <c r="L99" s="383"/>
      <c r="M99" s="383"/>
      <c r="N99" s="383"/>
      <c r="O99" s="383"/>
      <c r="P99" s="383"/>
      <c r="Q99" s="383"/>
      <c r="R99" s="383"/>
      <c r="S99" s="383"/>
      <c r="T99" s="383"/>
      <c r="U99" s="383"/>
      <c r="V99" s="383"/>
      <c r="W99" s="383"/>
    </row>
    <row r="100" spans="1:23">
      <c r="A100" s="383"/>
      <c r="B100" s="383"/>
      <c r="C100" s="383"/>
      <c r="D100" s="383"/>
      <c r="E100" s="383"/>
      <c r="F100" s="383"/>
      <c r="G100" s="383"/>
      <c r="H100" s="383"/>
      <c r="I100" s="383"/>
      <c r="J100" s="383"/>
      <c r="K100" s="383"/>
      <c r="L100" s="383"/>
      <c r="M100" s="383"/>
      <c r="N100" s="383"/>
      <c r="O100" s="383"/>
      <c r="P100" s="383"/>
      <c r="Q100" s="383"/>
      <c r="R100" s="383"/>
      <c r="S100" s="383"/>
      <c r="T100" s="383"/>
      <c r="U100" s="383"/>
      <c r="V100" s="383"/>
      <c r="W100" s="383"/>
    </row>
    <row r="101" spans="1:23">
      <c r="A101" s="383"/>
      <c r="B101" s="383"/>
      <c r="C101" s="383"/>
      <c r="D101" s="383"/>
      <c r="E101" s="383"/>
      <c r="F101" s="383"/>
      <c r="G101" s="383"/>
      <c r="H101" s="383"/>
      <c r="I101" s="383"/>
      <c r="J101" s="383"/>
      <c r="K101" s="383"/>
      <c r="L101" s="383"/>
      <c r="M101" s="383"/>
      <c r="N101" s="383"/>
      <c r="O101" s="383"/>
      <c r="P101" s="383"/>
      <c r="Q101" s="383"/>
      <c r="R101" s="383"/>
      <c r="S101" s="383"/>
      <c r="T101" s="383"/>
      <c r="U101" s="383"/>
      <c r="V101" s="383"/>
      <c r="W101" s="383"/>
    </row>
    <row r="102" spans="1:23">
      <c r="A102" s="383"/>
      <c r="B102" s="383"/>
      <c r="C102" s="383"/>
      <c r="D102" s="383"/>
      <c r="E102" s="383"/>
      <c r="F102" s="383"/>
      <c r="G102" s="383"/>
      <c r="H102" s="383"/>
      <c r="I102" s="383"/>
      <c r="J102" s="383"/>
      <c r="K102" s="383"/>
      <c r="L102" s="383"/>
      <c r="M102" s="383"/>
      <c r="N102" s="383"/>
      <c r="O102" s="383"/>
      <c r="P102" s="383"/>
      <c r="Q102" s="383"/>
      <c r="R102" s="383"/>
      <c r="S102" s="383"/>
      <c r="T102" s="383"/>
      <c r="U102" s="383"/>
      <c r="V102" s="383"/>
      <c r="W102" s="383"/>
    </row>
    <row r="103" spans="1:23">
      <c r="A103" s="383"/>
      <c r="B103" s="383"/>
      <c r="C103" s="383"/>
      <c r="D103" s="383"/>
      <c r="E103" s="383"/>
      <c r="F103" s="383"/>
      <c r="G103" s="383"/>
      <c r="H103" s="383"/>
      <c r="I103" s="383"/>
      <c r="J103" s="383"/>
      <c r="K103" s="383"/>
      <c r="L103" s="383"/>
      <c r="M103" s="383"/>
      <c r="N103" s="383"/>
      <c r="O103" s="383"/>
      <c r="P103" s="383"/>
      <c r="Q103" s="383"/>
      <c r="R103" s="383"/>
      <c r="S103" s="383"/>
      <c r="T103" s="383"/>
      <c r="U103" s="383"/>
      <c r="V103" s="383"/>
      <c r="W103" s="383"/>
    </row>
    <row r="104" spans="1:23">
      <c r="A104" s="383"/>
      <c r="B104" s="383"/>
      <c r="C104" s="383"/>
      <c r="D104" s="383"/>
      <c r="E104" s="383"/>
      <c r="F104" s="383"/>
      <c r="G104" s="383"/>
      <c r="H104" s="383"/>
      <c r="I104" s="383"/>
      <c r="J104" s="383"/>
      <c r="K104" s="383"/>
      <c r="L104" s="383"/>
      <c r="M104" s="383"/>
      <c r="N104" s="383"/>
      <c r="O104" s="383"/>
      <c r="P104" s="383"/>
      <c r="Q104" s="383"/>
      <c r="R104" s="383"/>
      <c r="S104" s="383"/>
      <c r="T104" s="383"/>
      <c r="U104" s="383"/>
      <c r="V104" s="383"/>
      <c r="W104" s="383"/>
    </row>
    <row r="105" spans="1:23">
      <c r="A105" s="383"/>
      <c r="B105" s="383"/>
      <c r="C105" s="383"/>
      <c r="D105" s="383"/>
      <c r="E105" s="383"/>
      <c r="F105" s="383"/>
      <c r="G105" s="383"/>
      <c r="H105" s="383"/>
      <c r="I105" s="383"/>
      <c r="J105" s="383"/>
      <c r="K105" s="383"/>
      <c r="L105" s="383"/>
      <c r="M105" s="383"/>
      <c r="N105" s="383"/>
      <c r="O105" s="383"/>
      <c r="P105" s="383"/>
      <c r="Q105" s="383"/>
      <c r="R105" s="383"/>
      <c r="S105" s="383"/>
      <c r="T105" s="383"/>
      <c r="U105" s="383"/>
      <c r="V105" s="383"/>
      <c r="W105" s="383"/>
    </row>
    <row r="106" spans="1:23">
      <c r="A106" s="383"/>
      <c r="B106" s="383"/>
      <c r="C106" s="383"/>
      <c r="D106" s="383"/>
      <c r="E106" s="383"/>
      <c r="F106" s="383"/>
      <c r="G106" s="383"/>
      <c r="H106" s="383"/>
      <c r="I106" s="383"/>
      <c r="J106" s="383"/>
      <c r="K106" s="383"/>
      <c r="L106" s="383"/>
      <c r="M106" s="383"/>
      <c r="N106" s="383"/>
      <c r="O106" s="383"/>
      <c r="P106" s="383"/>
      <c r="Q106" s="383"/>
      <c r="R106" s="383"/>
      <c r="S106" s="383"/>
      <c r="T106" s="383"/>
      <c r="U106" s="383"/>
      <c r="V106" s="383"/>
      <c r="W106" s="383"/>
    </row>
    <row r="107" spans="1:23">
      <c r="A107" s="383"/>
      <c r="B107" s="383"/>
      <c r="C107" s="383"/>
      <c r="D107" s="383"/>
      <c r="E107" s="383"/>
      <c r="F107" s="383"/>
      <c r="G107" s="383"/>
      <c r="H107" s="383"/>
      <c r="I107" s="383"/>
      <c r="J107" s="383"/>
      <c r="K107" s="383"/>
      <c r="L107" s="383"/>
      <c r="M107" s="383"/>
      <c r="N107" s="383"/>
      <c r="O107" s="383"/>
      <c r="P107" s="383"/>
      <c r="Q107" s="383"/>
      <c r="R107" s="383"/>
      <c r="S107" s="383"/>
      <c r="T107" s="383"/>
      <c r="U107" s="383"/>
      <c r="V107" s="383"/>
      <c r="W107" s="383"/>
    </row>
    <row r="108" spans="1:23">
      <c r="A108" s="383"/>
      <c r="B108" s="383"/>
      <c r="C108" s="383"/>
      <c r="D108" s="383"/>
      <c r="E108" s="383"/>
      <c r="F108" s="383"/>
      <c r="G108" s="383"/>
      <c r="H108" s="383"/>
      <c r="I108" s="383"/>
      <c r="J108" s="383"/>
      <c r="K108" s="383"/>
      <c r="L108" s="383"/>
      <c r="M108" s="383"/>
      <c r="N108" s="383"/>
      <c r="O108" s="383"/>
      <c r="P108" s="383"/>
      <c r="Q108" s="383"/>
      <c r="R108" s="383"/>
      <c r="S108" s="383"/>
      <c r="T108" s="383"/>
      <c r="U108" s="383"/>
      <c r="V108" s="383"/>
      <c r="W108" s="383"/>
    </row>
    <row r="109" spans="1:23">
      <c r="A109" s="383"/>
      <c r="B109" s="383"/>
      <c r="C109" s="383"/>
      <c r="D109" s="383"/>
      <c r="E109" s="383"/>
      <c r="F109" s="383"/>
      <c r="G109" s="383"/>
      <c r="H109" s="383"/>
      <c r="I109" s="383"/>
      <c r="J109" s="383"/>
      <c r="K109" s="383"/>
      <c r="L109" s="383"/>
      <c r="M109" s="383"/>
      <c r="N109" s="383"/>
      <c r="O109" s="383"/>
      <c r="P109" s="383"/>
      <c r="Q109" s="383"/>
      <c r="R109" s="383"/>
      <c r="S109" s="383"/>
      <c r="T109" s="383"/>
      <c r="U109" s="383"/>
      <c r="V109" s="383"/>
      <c r="W109" s="383"/>
    </row>
    <row r="110" spans="1:23">
      <c r="A110" s="383"/>
      <c r="B110" s="383"/>
      <c r="C110" s="383"/>
      <c r="D110" s="383"/>
      <c r="E110" s="383"/>
      <c r="F110" s="383"/>
      <c r="G110" s="383"/>
      <c r="H110" s="383"/>
      <c r="I110" s="383"/>
      <c r="J110" s="383"/>
      <c r="K110" s="383"/>
      <c r="L110" s="383"/>
      <c r="M110" s="383"/>
      <c r="N110" s="383"/>
      <c r="O110" s="383"/>
      <c r="P110" s="383"/>
      <c r="Q110" s="383"/>
      <c r="R110" s="383"/>
      <c r="S110" s="383"/>
      <c r="T110" s="383"/>
      <c r="U110" s="383"/>
      <c r="V110" s="383"/>
      <c r="W110" s="383"/>
    </row>
    <row r="111" spans="1:23">
      <c r="A111" s="383"/>
      <c r="B111" s="383"/>
      <c r="C111" s="383"/>
      <c r="D111" s="383"/>
      <c r="E111" s="383"/>
      <c r="F111" s="383"/>
      <c r="G111" s="383"/>
      <c r="H111" s="383"/>
      <c r="I111" s="383"/>
      <c r="J111" s="383"/>
      <c r="K111" s="383"/>
      <c r="L111" s="383"/>
      <c r="M111" s="383"/>
      <c r="N111" s="383"/>
      <c r="O111" s="383"/>
      <c r="P111" s="383"/>
      <c r="Q111" s="383"/>
      <c r="R111" s="383"/>
      <c r="S111" s="383"/>
      <c r="T111" s="383"/>
      <c r="U111" s="383"/>
      <c r="V111" s="383"/>
      <c r="W111" s="383"/>
    </row>
    <row r="112" spans="1:23">
      <c r="A112" s="383"/>
      <c r="B112" s="383"/>
      <c r="C112" s="383"/>
      <c r="D112" s="383"/>
      <c r="E112" s="383"/>
      <c r="F112" s="383"/>
      <c r="G112" s="383"/>
      <c r="H112" s="383"/>
      <c r="I112" s="383"/>
      <c r="J112" s="383"/>
      <c r="K112" s="383"/>
      <c r="L112" s="383"/>
      <c r="M112" s="383"/>
      <c r="N112" s="383"/>
      <c r="O112" s="383"/>
      <c r="P112" s="383"/>
      <c r="Q112" s="383"/>
      <c r="R112" s="383"/>
      <c r="S112" s="383"/>
      <c r="T112" s="383"/>
      <c r="U112" s="383"/>
      <c r="V112" s="383"/>
      <c r="W112" s="383"/>
    </row>
    <row r="113" spans="1:23">
      <c r="A113" s="383"/>
      <c r="B113" s="383"/>
      <c r="C113" s="383"/>
      <c r="D113" s="383"/>
      <c r="E113" s="383"/>
      <c r="F113" s="383"/>
      <c r="G113" s="383"/>
      <c r="H113" s="383"/>
      <c r="I113" s="383"/>
      <c r="J113" s="383"/>
      <c r="K113" s="383"/>
      <c r="L113" s="383"/>
      <c r="M113" s="383"/>
      <c r="N113" s="383"/>
      <c r="O113" s="383"/>
      <c r="P113" s="383"/>
      <c r="Q113" s="383"/>
      <c r="R113" s="383"/>
      <c r="S113" s="383"/>
      <c r="T113" s="383"/>
      <c r="U113" s="383"/>
      <c r="V113" s="383"/>
      <c r="W113" s="383"/>
    </row>
    <row r="114" spans="1:23">
      <c r="A114" s="383"/>
      <c r="B114" s="383"/>
      <c r="C114" s="383"/>
      <c r="D114" s="383"/>
      <c r="E114" s="383"/>
      <c r="F114" s="383"/>
      <c r="G114" s="383"/>
      <c r="H114" s="383"/>
      <c r="I114" s="383"/>
      <c r="J114" s="383"/>
      <c r="K114" s="383"/>
      <c r="L114" s="383"/>
      <c r="M114" s="383"/>
      <c r="N114" s="383"/>
      <c r="O114" s="383"/>
      <c r="P114" s="383"/>
      <c r="Q114" s="383"/>
      <c r="R114" s="383"/>
      <c r="S114" s="383"/>
      <c r="T114" s="383"/>
      <c r="U114" s="383"/>
      <c r="V114" s="383"/>
      <c r="W114" s="383"/>
    </row>
    <row r="115" spans="1:23">
      <c r="A115" s="383"/>
      <c r="B115" s="383"/>
      <c r="C115" s="383"/>
      <c r="D115" s="383"/>
      <c r="E115" s="383"/>
      <c r="F115" s="383"/>
      <c r="G115" s="383"/>
      <c r="H115" s="383"/>
      <c r="I115" s="383"/>
      <c r="J115" s="383"/>
      <c r="K115" s="383"/>
      <c r="L115" s="383"/>
      <c r="M115" s="383"/>
      <c r="N115" s="383"/>
      <c r="O115" s="383"/>
      <c r="P115" s="383"/>
      <c r="Q115" s="383"/>
      <c r="R115" s="383"/>
      <c r="S115" s="383"/>
      <c r="T115" s="383"/>
      <c r="U115" s="383"/>
      <c r="V115" s="383"/>
      <c r="W115" s="383"/>
    </row>
    <row r="116" spans="1:23">
      <c r="A116" s="383"/>
      <c r="B116" s="383"/>
      <c r="C116" s="383"/>
      <c r="D116" s="383"/>
      <c r="E116" s="383"/>
      <c r="F116" s="383"/>
      <c r="G116" s="383"/>
      <c r="H116" s="383"/>
      <c r="I116" s="383"/>
      <c r="J116" s="383"/>
      <c r="K116" s="383"/>
      <c r="L116" s="383"/>
      <c r="M116" s="383"/>
      <c r="N116" s="383"/>
      <c r="O116" s="383"/>
      <c r="P116" s="383"/>
      <c r="Q116" s="383"/>
      <c r="R116" s="383"/>
      <c r="S116" s="383"/>
      <c r="T116" s="383"/>
      <c r="U116" s="383"/>
      <c r="V116" s="383"/>
      <c r="W116" s="383"/>
    </row>
    <row r="117" spans="1:23">
      <c r="A117" s="383"/>
      <c r="B117" s="383"/>
      <c r="C117" s="383"/>
      <c r="D117" s="383"/>
      <c r="E117" s="383"/>
      <c r="F117" s="383"/>
      <c r="G117" s="383"/>
      <c r="H117" s="383"/>
      <c r="I117" s="383"/>
      <c r="J117" s="383"/>
      <c r="K117" s="383"/>
      <c r="L117" s="383"/>
      <c r="M117" s="383"/>
      <c r="N117" s="383"/>
      <c r="O117" s="383"/>
      <c r="P117" s="383"/>
      <c r="Q117" s="383"/>
      <c r="R117" s="383"/>
      <c r="S117" s="383"/>
      <c r="T117" s="383"/>
      <c r="U117" s="383"/>
      <c r="V117" s="383"/>
      <c r="W117" s="383"/>
    </row>
    <row r="118" spans="1:23">
      <c r="A118" s="383"/>
      <c r="B118" s="383"/>
      <c r="C118" s="383"/>
      <c r="D118" s="383"/>
      <c r="E118" s="383"/>
      <c r="F118" s="383"/>
      <c r="G118" s="383"/>
      <c r="H118" s="383"/>
      <c r="I118" s="383"/>
      <c r="J118" s="383"/>
      <c r="K118" s="383"/>
      <c r="L118" s="383"/>
      <c r="M118" s="383"/>
      <c r="N118" s="383"/>
      <c r="O118" s="383"/>
      <c r="P118" s="383"/>
      <c r="Q118" s="383"/>
      <c r="R118" s="383"/>
      <c r="S118" s="383"/>
      <c r="T118" s="383"/>
      <c r="U118" s="383"/>
      <c r="V118" s="383"/>
      <c r="W118" s="383"/>
    </row>
    <row r="119" spans="1:23">
      <c r="A119" s="383"/>
      <c r="B119" s="383"/>
      <c r="C119" s="383"/>
      <c r="D119" s="383"/>
      <c r="E119" s="383"/>
      <c r="F119" s="383"/>
      <c r="G119" s="383"/>
      <c r="H119" s="383"/>
      <c r="I119" s="383"/>
      <c r="J119" s="383"/>
      <c r="K119" s="383"/>
      <c r="L119" s="383"/>
      <c r="M119" s="383"/>
      <c r="N119" s="383"/>
      <c r="O119" s="383"/>
      <c r="P119" s="383"/>
      <c r="Q119" s="383"/>
      <c r="R119" s="383"/>
      <c r="S119" s="383"/>
      <c r="T119" s="383"/>
      <c r="U119" s="383"/>
      <c r="V119" s="383"/>
      <c r="W119" s="383"/>
    </row>
    <row r="120" spans="1:23">
      <c r="A120" s="383"/>
      <c r="B120" s="383"/>
      <c r="C120" s="383"/>
      <c r="D120" s="383"/>
      <c r="E120" s="383"/>
      <c r="F120" s="383"/>
      <c r="G120" s="383"/>
      <c r="H120" s="383"/>
      <c r="I120" s="383"/>
      <c r="J120" s="383"/>
      <c r="K120" s="383"/>
      <c r="L120" s="383"/>
      <c r="M120" s="383"/>
      <c r="N120" s="383"/>
      <c r="O120" s="383"/>
      <c r="P120" s="383"/>
      <c r="Q120" s="383"/>
      <c r="R120" s="383"/>
      <c r="S120" s="383"/>
      <c r="T120" s="383"/>
      <c r="U120" s="383"/>
      <c r="V120" s="383"/>
      <c r="W120" s="383"/>
    </row>
    <row r="121" spans="1:23">
      <c r="A121" s="383"/>
      <c r="B121" s="383"/>
      <c r="C121" s="383"/>
      <c r="D121" s="383"/>
      <c r="E121" s="383"/>
      <c r="F121" s="383"/>
      <c r="G121" s="383"/>
      <c r="H121" s="383"/>
      <c r="I121" s="383"/>
      <c r="J121" s="383"/>
      <c r="K121" s="383"/>
      <c r="L121" s="383"/>
      <c r="M121" s="383"/>
      <c r="N121" s="383"/>
      <c r="O121" s="383"/>
      <c r="P121" s="383"/>
      <c r="Q121" s="383"/>
      <c r="R121" s="383"/>
      <c r="S121" s="383"/>
      <c r="T121" s="383"/>
      <c r="U121" s="383"/>
      <c r="V121" s="383"/>
      <c r="W121" s="383"/>
    </row>
    <row r="122" spans="1:23">
      <c r="A122" s="383"/>
      <c r="B122" s="383"/>
      <c r="C122" s="383"/>
      <c r="D122" s="383"/>
      <c r="E122" s="383"/>
      <c r="F122" s="383"/>
      <c r="G122" s="383"/>
      <c r="H122" s="383"/>
      <c r="I122" s="383"/>
      <c r="J122" s="383"/>
      <c r="K122" s="383"/>
      <c r="L122" s="383"/>
      <c r="M122" s="383"/>
      <c r="N122" s="383"/>
      <c r="O122" s="383"/>
      <c r="P122" s="383"/>
      <c r="Q122" s="383"/>
      <c r="R122" s="383"/>
      <c r="S122" s="383"/>
      <c r="T122" s="383"/>
      <c r="U122" s="383"/>
      <c r="V122" s="383"/>
      <c r="W122" s="383"/>
    </row>
    <row r="123" spans="1:23">
      <c r="A123" s="383"/>
      <c r="B123" s="383"/>
      <c r="C123" s="383"/>
      <c r="D123" s="383"/>
      <c r="E123" s="383"/>
      <c r="F123" s="383"/>
      <c r="G123" s="383"/>
      <c r="H123" s="383"/>
      <c r="I123" s="383"/>
      <c r="J123" s="383"/>
      <c r="K123" s="383"/>
      <c r="L123" s="383"/>
      <c r="M123" s="383"/>
      <c r="N123" s="383"/>
      <c r="O123" s="383"/>
      <c r="P123" s="383"/>
      <c r="Q123" s="383"/>
      <c r="R123" s="383"/>
      <c r="S123" s="383"/>
      <c r="T123" s="383"/>
      <c r="U123" s="383"/>
      <c r="V123" s="383"/>
      <c r="W123" s="383"/>
    </row>
    <row r="124" spans="1:23">
      <c r="A124" s="383"/>
      <c r="B124" s="383"/>
      <c r="C124" s="383"/>
      <c r="D124" s="383"/>
      <c r="E124" s="383"/>
      <c r="F124" s="383"/>
      <c r="G124" s="383"/>
      <c r="H124" s="383"/>
      <c r="I124" s="383"/>
      <c r="J124" s="383"/>
      <c r="K124" s="383"/>
      <c r="L124" s="383"/>
      <c r="M124" s="383"/>
      <c r="N124" s="383"/>
      <c r="O124" s="383"/>
      <c r="P124" s="383"/>
      <c r="Q124" s="383"/>
      <c r="R124" s="383"/>
      <c r="S124" s="383"/>
      <c r="T124" s="383"/>
      <c r="U124" s="383"/>
      <c r="V124" s="383"/>
      <c r="W124" s="383"/>
    </row>
    <row r="125" spans="1:23">
      <c r="A125" s="383"/>
      <c r="B125" s="383"/>
      <c r="C125" s="383"/>
      <c r="D125" s="383"/>
      <c r="E125" s="383"/>
      <c r="F125" s="383"/>
      <c r="G125" s="383"/>
      <c r="H125" s="383"/>
      <c r="I125" s="383"/>
      <c r="J125" s="383"/>
      <c r="K125" s="383"/>
      <c r="L125" s="383"/>
      <c r="M125" s="383"/>
      <c r="N125" s="383"/>
      <c r="O125" s="383"/>
      <c r="P125" s="383"/>
      <c r="Q125" s="383"/>
      <c r="R125" s="383"/>
      <c r="S125" s="383"/>
      <c r="T125" s="383"/>
      <c r="U125" s="383"/>
      <c r="V125" s="383"/>
      <c r="W125" s="383"/>
    </row>
    <row r="126" spans="1:23">
      <c r="A126" s="383"/>
      <c r="B126" s="383"/>
      <c r="C126" s="383"/>
      <c r="D126" s="383"/>
      <c r="E126" s="383"/>
      <c r="F126" s="383"/>
      <c r="G126" s="383"/>
      <c r="H126" s="383"/>
      <c r="I126" s="383"/>
      <c r="J126" s="383"/>
      <c r="K126" s="383"/>
      <c r="L126" s="383"/>
      <c r="M126" s="383"/>
      <c r="N126" s="383"/>
      <c r="O126" s="383"/>
      <c r="P126" s="383"/>
      <c r="Q126" s="383"/>
      <c r="R126" s="383"/>
      <c r="S126" s="383"/>
      <c r="T126" s="383"/>
      <c r="U126" s="383"/>
      <c r="V126" s="383"/>
      <c r="W126" s="383"/>
    </row>
    <row r="127" spans="1:23">
      <c r="A127" s="383"/>
      <c r="B127" s="383"/>
      <c r="C127" s="383"/>
      <c r="D127" s="383"/>
      <c r="E127" s="383"/>
      <c r="F127" s="383"/>
      <c r="G127" s="383"/>
      <c r="H127" s="383"/>
      <c r="I127" s="383"/>
      <c r="J127" s="383"/>
      <c r="K127" s="383"/>
      <c r="L127" s="383"/>
      <c r="M127" s="383"/>
      <c r="N127" s="383"/>
      <c r="O127" s="383"/>
      <c r="P127" s="383"/>
      <c r="Q127" s="383"/>
      <c r="R127" s="383"/>
      <c r="S127" s="383"/>
      <c r="T127" s="383"/>
      <c r="U127" s="383"/>
      <c r="V127" s="383"/>
      <c r="W127" s="383"/>
    </row>
    <row r="128" spans="1:23">
      <c r="A128" s="383"/>
      <c r="B128" s="383"/>
      <c r="C128" s="383"/>
      <c r="D128" s="383"/>
      <c r="E128" s="383"/>
      <c r="F128" s="383"/>
      <c r="G128" s="383"/>
      <c r="H128" s="383"/>
      <c r="I128" s="383"/>
      <c r="J128" s="383"/>
      <c r="K128" s="383"/>
      <c r="L128" s="383"/>
      <c r="M128" s="383"/>
      <c r="N128" s="383"/>
      <c r="O128" s="383"/>
      <c r="P128" s="383"/>
      <c r="Q128" s="383"/>
      <c r="R128" s="383"/>
      <c r="S128" s="383"/>
      <c r="T128" s="383"/>
      <c r="U128" s="383"/>
      <c r="V128" s="383"/>
      <c r="W128" s="383"/>
    </row>
    <row r="129" spans="1:23">
      <c r="A129" s="383"/>
      <c r="B129" s="383"/>
      <c r="C129" s="383"/>
      <c r="D129" s="383"/>
      <c r="E129" s="383"/>
      <c r="F129" s="383"/>
      <c r="G129" s="383"/>
      <c r="H129" s="383"/>
      <c r="I129" s="383"/>
      <c r="J129" s="383"/>
      <c r="K129" s="383"/>
      <c r="L129" s="383"/>
      <c r="M129" s="383"/>
      <c r="N129" s="383"/>
      <c r="O129" s="383"/>
      <c r="P129" s="383"/>
      <c r="Q129" s="383"/>
      <c r="R129" s="383"/>
      <c r="S129" s="383"/>
      <c r="T129" s="383"/>
      <c r="U129" s="383"/>
      <c r="V129" s="383"/>
      <c r="W129" s="383"/>
    </row>
    <row r="130" spans="1:23">
      <c r="A130" s="383"/>
      <c r="B130" s="383"/>
      <c r="C130" s="383"/>
      <c r="D130" s="383"/>
      <c r="E130" s="383"/>
      <c r="F130" s="383"/>
      <c r="G130" s="383"/>
      <c r="H130" s="383"/>
      <c r="I130" s="383"/>
      <c r="J130" s="383"/>
      <c r="K130" s="383"/>
      <c r="L130" s="383"/>
      <c r="M130" s="383"/>
      <c r="N130" s="383"/>
      <c r="O130" s="383"/>
      <c r="P130" s="383"/>
      <c r="Q130" s="383"/>
      <c r="R130" s="383"/>
      <c r="S130" s="383"/>
      <c r="T130" s="383"/>
      <c r="U130" s="383"/>
      <c r="V130" s="383"/>
      <c r="W130" s="383"/>
    </row>
    <row r="131" spans="1:23">
      <c r="A131" s="383"/>
      <c r="B131" s="383"/>
      <c r="C131" s="383"/>
      <c r="D131" s="383"/>
      <c r="E131" s="383"/>
      <c r="F131" s="383"/>
      <c r="G131" s="383"/>
      <c r="H131" s="383"/>
      <c r="I131" s="383"/>
      <c r="J131" s="383"/>
      <c r="K131" s="383"/>
      <c r="L131" s="383"/>
      <c r="M131" s="383"/>
      <c r="N131" s="383"/>
      <c r="O131" s="383"/>
      <c r="P131" s="383"/>
      <c r="Q131" s="383"/>
      <c r="R131" s="383"/>
      <c r="S131" s="383"/>
      <c r="T131" s="383"/>
      <c r="U131" s="383"/>
      <c r="V131" s="383"/>
      <c r="W131" s="383"/>
    </row>
    <row r="132" spans="1:23">
      <c r="A132" s="383"/>
      <c r="B132" s="383"/>
      <c r="C132" s="383"/>
      <c r="D132" s="383"/>
      <c r="E132" s="383"/>
      <c r="F132" s="383"/>
      <c r="G132" s="383"/>
      <c r="H132" s="383"/>
      <c r="I132" s="383"/>
      <c r="J132" s="383"/>
      <c r="K132" s="383"/>
      <c r="L132" s="383"/>
      <c r="M132" s="383"/>
      <c r="N132" s="383"/>
      <c r="O132" s="383"/>
      <c r="P132" s="383"/>
      <c r="Q132" s="383"/>
      <c r="R132" s="383"/>
      <c r="S132" s="383"/>
      <c r="T132" s="383"/>
      <c r="U132" s="383"/>
      <c r="V132" s="383"/>
      <c r="W132" s="383"/>
    </row>
    <row r="133" spans="1:23">
      <c r="A133" s="383"/>
      <c r="B133" s="383"/>
      <c r="C133" s="383"/>
      <c r="D133" s="383"/>
      <c r="E133" s="383"/>
      <c r="F133" s="383"/>
      <c r="G133" s="383"/>
      <c r="H133" s="383"/>
      <c r="I133" s="383"/>
      <c r="J133" s="383"/>
      <c r="K133" s="383"/>
      <c r="L133" s="383"/>
      <c r="M133" s="383"/>
      <c r="N133" s="383"/>
      <c r="O133" s="383"/>
      <c r="P133" s="383"/>
      <c r="Q133" s="383"/>
      <c r="R133" s="383"/>
      <c r="S133" s="383"/>
      <c r="T133" s="383"/>
      <c r="U133" s="383"/>
      <c r="V133" s="383"/>
      <c r="W133" s="383"/>
    </row>
    <row r="134" spans="1:23">
      <c r="A134" s="383"/>
      <c r="B134" s="383"/>
      <c r="C134" s="383"/>
      <c r="D134" s="383"/>
      <c r="E134" s="383"/>
      <c r="F134" s="383"/>
      <c r="G134" s="383"/>
      <c r="H134" s="383"/>
      <c r="I134" s="383"/>
      <c r="J134" s="383"/>
      <c r="K134" s="383"/>
      <c r="L134" s="383"/>
      <c r="M134" s="383"/>
      <c r="N134" s="383"/>
      <c r="O134" s="383"/>
      <c r="P134" s="383"/>
      <c r="Q134" s="383"/>
      <c r="R134" s="383"/>
      <c r="S134" s="383"/>
      <c r="T134" s="383"/>
      <c r="U134" s="383"/>
      <c r="V134" s="383"/>
      <c r="W134" s="383"/>
    </row>
    <row r="135" spans="1:23">
      <c r="A135" s="383"/>
      <c r="B135" s="383"/>
      <c r="C135" s="383"/>
      <c r="D135" s="383"/>
      <c r="E135" s="383"/>
      <c r="F135" s="383"/>
      <c r="G135" s="383"/>
      <c r="H135" s="383"/>
      <c r="I135" s="383"/>
      <c r="J135" s="383"/>
      <c r="K135" s="383"/>
      <c r="L135" s="383"/>
      <c r="M135" s="383"/>
      <c r="N135" s="383"/>
      <c r="O135" s="383"/>
      <c r="P135" s="383"/>
      <c r="Q135" s="383"/>
      <c r="R135" s="383"/>
      <c r="S135" s="383"/>
      <c r="T135" s="383"/>
      <c r="U135" s="383"/>
      <c r="V135" s="383"/>
      <c r="W135" s="383"/>
    </row>
    <row r="136" spans="1:23">
      <c r="A136" s="383"/>
      <c r="B136" s="383"/>
      <c r="C136" s="383"/>
      <c r="D136" s="383"/>
      <c r="E136" s="383"/>
      <c r="F136" s="383"/>
      <c r="G136" s="383"/>
      <c r="H136" s="383"/>
      <c r="I136" s="383"/>
      <c r="J136" s="383"/>
      <c r="K136" s="383"/>
      <c r="L136" s="383"/>
      <c r="M136" s="383"/>
      <c r="N136" s="383"/>
      <c r="O136" s="383"/>
      <c r="P136" s="383"/>
      <c r="Q136" s="383"/>
      <c r="R136" s="383"/>
      <c r="S136" s="383"/>
      <c r="T136" s="383"/>
      <c r="U136" s="383"/>
      <c r="V136" s="383"/>
      <c r="W136" s="383"/>
    </row>
    <row r="137" spans="1:23">
      <c r="A137" s="383"/>
      <c r="B137" s="383"/>
      <c r="C137" s="383"/>
      <c r="D137" s="383"/>
      <c r="E137" s="383"/>
      <c r="F137" s="383"/>
      <c r="G137" s="383"/>
      <c r="H137" s="383"/>
      <c r="I137" s="383"/>
      <c r="J137" s="383"/>
      <c r="K137" s="383"/>
      <c r="L137" s="383"/>
      <c r="M137" s="383"/>
      <c r="N137" s="383"/>
      <c r="O137" s="383"/>
      <c r="P137" s="383"/>
      <c r="Q137" s="383"/>
      <c r="R137" s="383"/>
      <c r="S137" s="383"/>
      <c r="T137" s="383"/>
      <c r="U137" s="383"/>
      <c r="V137" s="383"/>
      <c r="W137" s="383"/>
    </row>
    <row r="138" spans="1:23">
      <c r="A138" s="383"/>
      <c r="B138" s="383"/>
      <c r="C138" s="383"/>
      <c r="D138" s="383"/>
      <c r="E138" s="383"/>
      <c r="F138" s="383"/>
      <c r="G138" s="383"/>
      <c r="H138" s="383"/>
      <c r="I138" s="383"/>
      <c r="J138" s="383"/>
      <c r="K138" s="383"/>
      <c r="L138" s="383"/>
      <c r="M138" s="383"/>
      <c r="N138" s="383"/>
      <c r="O138" s="383"/>
      <c r="P138" s="383"/>
      <c r="Q138" s="383"/>
      <c r="R138" s="383"/>
      <c r="S138" s="383"/>
      <c r="T138" s="383"/>
      <c r="U138" s="383"/>
      <c r="V138" s="383"/>
      <c r="W138" s="383"/>
    </row>
    <row r="139" spans="1:23">
      <c r="A139" s="383"/>
      <c r="B139" s="383"/>
      <c r="C139" s="383"/>
      <c r="D139" s="383"/>
      <c r="E139" s="383"/>
      <c r="F139" s="383"/>
      <c r="G139" s="383"/>
      <c r="H139" s="383"/>
      <c r="I139" s="383"/>
      <c r="J139" s="383"/>
      <c r="K139" s="383"/>
      <c r="L139" s="383"/>
      <c r="M139" s="383"/>
      <c r="N139" s="383"/>
      <c r="O139" s="383"/>
      <c r="P139" s="383"/>
      <c r="Q139" s="383"/>
      <c r="R139" s="383"/>
      <c r="S139" s="383"/>
      <c r="T139" s="383"/>
      <c r="U139" s="383"/>
      <c r="V139" s="383"/>
      <c r="W139" s="383"/>
    </row>
    <row r="140" spans="1:23">
      <c r="A140" s="383"/>
      <c r="B140" s="383"/>
      <c r="C140" s="383"/>
      <c r="D140" s="383"/>
      <c r="E140" s="383"/>
      <c r="F140" s="383"/>
      <c r="G140" s="383"/>
      <c r="H140" s="383"/>
      <c r="I140" s="383"/>
      <c r="J140" s="383"/>
      <c r="K140" s="383"/>
      <c r="L140" s="383"/>
      <c r="M140" s="383"/>
      <c r="N140" s="383"/>
      <c r="O140" s="383"/>
      <c r="P140" s="383"/>
      <c r="Q140" s="383"/>
      <c r="R140" s="383"/>
      <c r="S140" s="383"/>
      <c r="T140" s="383"/>
      <c r="U140" s="383"/>
      <c r="V140" s="383"/>
      <c r="W140" s="383"/>
    </row>
    <row r="141" spans="1:23">
      <c r="A141" s="383"/>
      <c r="B141" s="383"/>
      <c r="C141" s="383"/>
      <c r="D141" s="383"/>
      <c r="E141" s="383"/>
      <c r="F141" s="383"/>
      <c r="G141" s="383"/>
      <c r="H141" s="383"/>
      <c r="I141" s="383"/>
      <c r="J141" s="383"/>
      <c r="K141" s="383"/>
      <c r="L141" s="383"/>
      <c r="M141" s="383"/>
      <c r="N141" s="383"/>
      <c r="O141" s="383"/>
      <c r="P141" s="383"/>
      <c r="Q141" s="383"/>
      <c r="R141" s="383"/>
      <c r="S141" s="383"/>
      <c r="T141" s="383"/>
      <c r="U141" s="383"/>
      <c r="V141" s="383"/>
      <c r="W141" s="383"/>
    </row>
    <row r="142" spans="1:23">
      <c r="A142" s="383"/>
      <c r="B142" s="383"/>
      <c r="C142" s="383"/>
      <c r="D142" s="383"/>
      <c r="E142" s="383"/>
      <c r="F142" s="383"/>
      <c r="G142" s="383"/>
      <c r="H142" s="383"/>
      <c r="I142" s="383"/>
      <c r="J142" s="383"/>
      <c r="K142" s="383"/>
      <c r="L142" s="383"/>
      <c r="M142" s="383"/>
      <c r="N142" s="383"/>
      <c r="O142" s="383"/>
      <c r="P142" s="383"/>
      <c r="Q142" s="383"/>
      <c r="R142" s="383"/>
      <c r="S142" s="383"/>
      <c r="T142" s="383"/>
      <c r="U142" s="383"/>
      <c r="V142" s="383"/>
      <c r="W142" s="383"/>
    </row>
    <row r="143" spans="1:23">
      <c r="A143" s="383"/>
      <c r="B143" s="383"/>
      <c r="C143" s="383"/>
      <c r="D143" s="383"/>
      <c r="E143" s="383"/>
      <c r="F143" s="383"/>
      <c r="G143" s="383"/>
      <c r="H143" s="383"/>
      <c r="I143" s="383"/>
      <c r="J143" s="383"/>
      <c r="K143" s="383"/>
      <c r="L143" s="383"/>
      <c r="M143" s="383"/>
      <c r="N143" s="383"/>
      <c r="O143" s="383"/>
      <c r="P143" s="383"/>
      <c r="Q143" s="383"/>
      <c r="R143" s="383"/>
      <c r="S143" s="383"/>
      <c r="T143" s="383"/>
      <c r="U143" s="383"/>
      <c r="V143" s="383"/>
      <c r="W143" s="383"/>
    </row>
    <row r="144" spans="1:23">
      <c r="A144" s="383"/>
      <c r="B144" s="383"/>
      <c r="C144" s="383"/>
      <c r="D144" s="383"/>
      <c r="E144" s="383"/>
      <c r="F144" s="383"/>
      <c r="G144" s="383"/>
      <c r="H144" s="383"/>
      <c r="I144" s="383"/>
      <c r="J144" s="383"/>
      <c r="K144" s="383"/>
      <c r="L144" s="383"/>
      <c r="M144" s="383"/>
      <c r="N144" s="383"/>
      <c r="O144" s="383"/>
      <c r="P144" s="383"/>
      <c r="Q144" s="383"/>
      <c r="R144" s="383"/>
      <c r="S144" s="383"/>
      <c r="T144" s="383"/>
      <c r="U144" s="383"/>
      <c r="V144" s="383"/>
      <c r="W144" s="383"/>
    </row>
    <row r="145" spans="1:23">
      <c r="A145" s="383"/>
      <c r="B145" s="383"/>
      <c r="C145" s="383"/>
      <c r="D145" s="383"/>
      <c r="E145" s="383"/>
      <c r="F145" s="383"/>
      <c r="G145" s="383"/>
      <c r="H145" s="383"/>
      <c r="I145" s="383"/>
      <c r="J145" s="383"/>
      <c r="K145" s="383"/>
      <c r="L145" s="383"/>
      <c r="M145" s="383"/>
      <c r="N145" s="383"/>
      <c r="O145" s="383"/>
      <c r="P145" s="383"/>
      <c r="Q145" s="383"/>
      <c r="R145" s="383"/>
      <c r="S145" s="383"/>
      <c r="T145" s="383"/>
      <c r="U145" s="383"/>
      <c r="V145" s="383"/>
      <c r="W145" s="383"/>
    </row>
    <row r="146" spans="1:23">
      <c r="A146" s="383"/>
      <c r="B146" s="383"/>
      <c r="C146" s="383"/>
      <c r="D146" s="383"/>
      <c r="E146" s="383"/>
      <c r="F146" s="383"/>
      <c r="G146" s="383"/>
      <c r="H146" s="383"/>
      <c r="I146" s="383"/>
      <c r="J146" s="383"/>
      <c r="K146" s="383"/>
      <c r="L146" s="383"/>
      <c r="M146" s="383"/>
      <c r="N146" s="383"/>
      <c r="O146" s="383"/>
      <c r="P146" s="383"/>
      <c r="Q146" s="383"/>
      <c r="R146" s="383"/>
      <c r="S146" s="383"/>
      <c r="T146" s="383"/>
      <c r="U146" s="383"/>
      <c r="V146" s="383"/>
      <c r="W146" s="383"/>
    </row>
    <row r="147" spans="1:23">
      <c r="A147" s="383"/>
      <c r="B147" s="383"/>
      <c r="C147" s="383"/>
      <c r="D147" s="383"/>
      <c r="E147" s="383"/>
      <c r="F147" s="383"/>
      <c r="G147" s="383"/>
      <c r="H147" s="383"/>
      <c r="I147" s="383"/>
      <c r="J147" s="383"/>
      <c r="K147" s="383"/>
      <c r="L147" s="383"/>
      <c r="M147" s="383"/>
      <c r="N147" s="383"/>
      <c r="O147" s="383"/>
      <c r="P147" s="383"/>
      <c r="Q147" s="383"/>
      <c r="R147" s="383"/>
      <c r="S147" s="383"/>
      <c r="T147" s="383"/>
      <c r="U147" s="383"/>
      <c r="V147" s="383"/>
      <c r="W147" s="383"/>
    </row>
    <row r="148" spans="1:23">
      <c r="A148" s="383"/>
      <c r="B148" s="383"/>
      <c r="C148" s="383"/>
      <c r="D148" s="383"/>
      <c r="E148" s="383"/>
      <c r="F148" s="383"/>
      <c r="G148" s="383"/>
      <c r="H148" s="383"/>
      <c r="I148" s="383"/>
      <c r="J148" s="383"/>
      <c r="K148" s="383"/>
      <c r="L148" s="383"/>
      <c r="M148" s="383"/>
      <c r="N148" s="383"/>
      <c r="O148" s="383"/>
      <c r="P148" s="383"/>
      <c r="Q148" s="383"/>
      <c r="R148" s="383"/>
      <c r="S148" s="383"/>
      <c r="T148" s="383"/>
      <c r="U148" s="383"/>
      <c r="V148" s="383"/>
      <c r="W148" s="383"/>
    </row>
    <row r="149" spans="1:23">
      <c r="A149" s="383"/>
      <c r="B149" s="383"/>
      <c r="C149" s="383"/>
      <c r="D149" s="383"/>
      <c r="E149" s="383"/>
      <c r="F149" s="383"/>
      <c r="G149" s="383"/>
      <c r="H149" s="383"/>
      <c r="I149" s="383"/>
      <c r="J149" s="383"/>
      <c r="K149" s="383"/>
      <c r="L149" s="383"/>
      <c r="M149" s="383"/>
      <c r="N149" s="383"/>
      <c r="O149" s="383"/>
      <c r="P149" s="383"/>
      <c r="Q149" s="383"/>
      <c r="R149" s="383"/>
      <c r="S149" s="383"/>
      <c r="T149" s="383"/>
      <c r="U149" s="383"/>
      <c r="V149" s="383"/>
      <c r="W149" s="383"/>
    </row>
    <row r="150" spans="1:23">
      <c r="A150" s="383"/>
      <c r="B150" s="383"/>
      <c r="C150" s="383"/>
      <c r="D150" s="383"/>
      <c r="E150" s="383"/>
      <c r="F150" s="383"/>
      <c r="G150" s="383"/>
      <c r="H150" s="383"/>
      <c r="I150" s="383"/>
      <c r="J150" s="383"/>
      <c r="K150" s="383"/>
      <c r="L150" s="383"/>
      <c r="M150" s="383"/>
      <c r="N150" s="383"/>
      <c r="O150" s="383"/>
      <c r="P150" s="383"/>
      <c r="Q150" s="383"/>
      <c r="R150" s="383"/>
      <c r="S150" s="383"/>
      <c r="T150" s="383"/>
      <c r="U150" s="383"/>
      <c r="V150" s="383"/>
      <c r="W150" s="383"/>
    </row>
    <row r="151" spans="1:23">
      <c r="A151" s="383"/>
      <c r="B151" s="383"/>
      <c r="C151" s="383"/>
      <c r="D151" s="383"/>
      <c r="E151" s="383"/>
      <c r="F151" s="383"/>
      <c r="G151" s="383"/>
      <c r="H151" s="383"/>
      <c r="I151" s="383"/>
      <c r="J151" s="383"/>
      <c r="K151" s="383"/>
      <c r="L151" s="383"/>
      <c r="M151" s="383"/>
      <c r="N151" s="383"/>
      <c r="O151" s="383"/>
      <c r="P151" s="383"/>
      <c r="Q151" s="383"/>
      <c r="R151" s="383"/>
      <c r="S151" s="383"/>
      <c r="T151" s="383"/>
      <c r="U151" s="383"/>
      <c r="V151" s="383"/>
      <c r="W151" s="383"/>
    </row>
    <row r="152" spans="1:23">
      <c r="A152" s="383"/>
      <c r="B152" s="383"/>
      <c r="C152" s="383"/>
      <c r="D152" s="383"/>
      <c r="E152" s="383"/>
      <c r="F152" s="383"/>
      <c r="G152" s="383"/>
      <c r="H152" s="383"/>
      <c r="I152" s="383"/>
      <c r="J152" s="383"/>
      <c r="K152" s="383"/>
      <c r="L152" s="383"/>
      <c r="M152" s="383"/>
      <c r="N152" s="383"/>
      <c r="O152" s="383"/>
      <c r="P152" s="383"/>
      <c r="Q152" s="383"/>
      <c r="R152" s="383"/>
      <c r="S152" s="383"/>
      <c r="T152" s="383"/>
      <c r="U152" s="383"/>
      <c r="V152" s="383"/>
      <c r="W152" s="383"/>
    </row>
    <row r="153" spans="1:23">
      <c r="A153" s="383"/>
      <c r="B153" s="383"/>
      <c r="C153" s="383"/>
      <c r="D153" s="383"/>
      <c r="E153" s="383"/>
      <c r="F153" s="383"/>
      <c r="G153" s="383"/>
      <c r="H153" s="383"/>
      <c r="I153" s="383"/>
      <c r="J153" s="383"/>
      <c r="K153" s="383"/>
      <c r="L153" s="383"/>
      <c r="M153" s="383"/>
      <c r="N153" s="383"/>
      <c r="O153" s="383"/>
      <c r="P153" s="383"/>
      <c r="Q153" s="383"/>
      <c r="R153" s="383"/>
      <c r="S153" s="383"/>
      <c r="T153" s="383"/>
      <c r="U153" s="383"/>
      <c r="V153" s="383"/>
      <c r="W153" s="383"/>
    </row>
    <row r="154" spans="1:23">
      <c r="A154" s="383"/>
      <c r="B154" s="383"/>
      <c r="C154" s="383"/>
      <c r="D154" s="383"/>
      <c r="E154" s="383"/>
      <c r="F154" s="383"/>
      <c r="G154" s="383"/>
      <c r="H154" s="383"/>
      <c r="I154" s="383"/>
      <c r="J154" s="383"/>
      <c r="K154" s="383"/>
      <c r="L154" s="383"/>
      <c r="M154" s="383"/>
      <c r="N154" s="383"/>
      <c r="O154" s="383"/>
      <c r="P154" s="383"/>
      <c r="Q154" s="383"/>
      <c r="R154" s="383"/>
      <c r="S154" s="383"/>
      <c r="T154" s="383"/>
      <c r="U154" s="383"/>
      <c r="V154" s="383"/>
      <c r="W154" s="383"/>
    </row>
    <row r="155" spans="1:23">
      <c r="A155" s="383"/>
      <c r="B155" s="383"/>
      <c r="C155" s="383"/>
      <c r="D155" s="383"/>
      <c r="E155" s="383"/>
      <c r="F155" s="383"/>
      <c r="G155" s="383"/>
      <c r="H155" s="383"/>
      <c r="I155" s="383"/>
      <c r="J155" s="383"/>
      <c r="K155" s="383"/>
      <c r="L155" s="383"/>
      <c r="M155" s="383"/>
      <c r="N155" s="383"/>
      <c r="O155" s="383"/>
      <c r="P155" s="383"/>
      <c r="Q155" s="383"/>
      <c r="R155" s="383"/>
      <c r="S155" s="383"/>
      <c r="T155" s="383"/>
      <c r="U155" s="383"/>
      <c r="V155" s="383"/>
      <c r="W155" s="383"/>
    </row>
    <row r="156" spans="1:23">
      <c r="A156" s="383"/>
      <c r="B156" s="383"/>
      <c r="C156" s="383"/>
      <c r="D156" s="383"/>
      <c r="E156" s="383"/>
      <c r="F156" s="383"/>
      <c r="G156" s="383"/>
      <c r="H156" s="383"/>
      <c r="I156" s="383"/>
      <c r="J156" s="383"/>
      <c r="K156" s="383"/>
      <c r="L156" s="383"/>
      <c r="M156" s="383"/>
      <c r="N156" s="383"/>
      <c r="O156" s="383"/>
      <c r="P156" s="383"/>
      <c r="Q156" s="383"/>
      <c r="R156" s="383"/>
      <c r="S156" s="383"/>
      <c r="T156" s="383"/>
      <c r="U156" s="383"/>
      <c r="V156" s="383"/>
      <c r="W156" s="383"/>
    </row>
    <row r="157" spans="1:23">
      <c r="A157" s="383"/>
      <c r="B157" s="383"/>
      <c r="C157" s="383"/>
      <c r="D157" s="383"/>
      <c r="E157" s="383"/>
      <c r="F157" s="383"/>
      <c r="G157" s="383"/>
      <c r="H157" s="383"/>
      <c r="I157" s="383"/>
      <c r="J157" s="383"/>
      <c r="K157" s="383"/>
      <c r="L157" s="383"/>
      <c r="M157" s="383"/>
      <c r="N157" s="383"/>
      <c r="O157" s="383"/>
      <c r="P157" s="383"/>
      <c r="Q157" s="383"/>
      <c r="R157" s="383"/>
      <c r="S157" s="383"/>
      <c r="T157" s="383"/>
      <c r="U157" s="383"/>
      <c r="V157" s="383"/>
      <c r="W157" s="383"/>
    </row>
    <row r="158" spans="1:23">
      <c r="A158" s="383"/>
      <c r="B158" s="383"/>
      <c r="C158" s="383"/>
      <c r="D158" s="383"/>
      <c r="E158" s="383"/>
      <c r="F158" s="383"/>
      <c r="G158" s="383"/>
      <c r="H158" s="383"/>
      <c r="I158" s="383"/>
      <c r="J158" s="383"/>
      <c r="K158" s="383"/>
      <c r="L158" s="383"/>
      <c r="M158" s="383"/>
      <c r="N158" s="383"/>
      <c r="O158" s="383"/>
      <c r="P158" s="383"/>
      <c r="Q158" s="383"/>
      <c r="R158" s="383"/>
      <c r="S158" s="383"/>
      <c r="T158" s="383"/>
      <c r="U158" s="383"/>
      <c r="V158" s="383"/>
      <c r="W158" s="383"/>
    </row>
    <row r="159" spans="1:23">
      <c r="A159" s="383"/>
      <c r="B159" s="383"/>
      <c r="C159" s="383"/>
      <c r="D159" s="383"/>
      <c r="E159" s="383"/>
      <c r="F159" s="383"/>
      <c r="G159" s="383"/>
      <c r="H159" s="383"/>
      <c r="I159" s="383"/>
      <c r="J159" s="383"/>
      <c r="K159" s="383"/>
      <c r="L159" s="383"/>
      <c r="M159" s="383"/>
      <c r="N159" s="383"/>
      <c r="O159" s="383"/>
      <c r="P159" s="383"/>
      <c r="Q159" s="383"/>
      <c r="R159" s="383"/>
      <c r="S159" s="383"/>
      <c r="T159" s="383"/>
      <c r="U159" s="383"/>
      <c r="V159" s="383"/>
      <c r="W159" s="383"/>
    </row>
    <row r="160" spans="1:23">
      <c r="A160" s="383"/>
      <c r="B160" s="383"/>
      <c r="C160" s="383"/>
      <c r="D160" s="383"/>
      <c r="E160" s="383"/>
      <c r="F160" s="383"/>
      <c r="G160" s="383"/>
      <c r="H160" s="383"/>
      <c r="I160" s="383"/>
      <c r="J160" s="383"/>
      <c r="K160" s="383"/>
      <c r="L160" s="383"/>
      <c r="M160" s="383"/>
      <c r="N160" s="383"/>
      <c r="O160" s="383"/>
      <c r="P160" s="383"/>
      <c r="Q160" s="383"/>
      <c r="R160" s="383"/>
      <c r="S160" s="383"/>
      <c r="T160" s="383"/>
      <c r="U160" s="383"/>
      <c r="V160" s="383"/>
      <c r="W160" s="383"/>
    </row>
    <row r="161" spans="1:23">
      <c r="A161" s="383"/>
      <c r="B161" s="383"/>
      <c r="C161" s="383"/>
      <c r="D161" s="383"/>
      <c r="E161" s="383"/>
      <c r="F161" s="383"/>
      <c r="G161" s="383"/>
      <c r="H161" s="383"/>
      <c r="I161" s="383"/>
      <c r="J161" s="383"/>
      <c r="K161" s="383"/>
      <c r="L161" s="383"/>
      <c r="M161" s="383"/>
      <c r="N161" s="383"/>
      <c r="O161" s="383"/>
      <c r="P161" s="383"/>
      <c r="Q161" s="383"/>
      <c r="R161" s="383"/>
      <c r="S161" s="383"/>
      <c r="T161" s="383"/>
      <c r="U161" s="383"/>
      <c r="V161" s="383"/>
      <c r="W161" s="383"/>
    </row>
    <row r="162" spans="1:23">
      <c r="A162" s="383"/>
      <c r="B162" s="383"/>
      <c r="C162" s="383"/>
      <c r="D162" s="383"/>
      <c r="E162" s="383"/>
      <c r="F162" s="383"/>
      <c r="G162" s="383"/>
      <c r="H162" s="383"/>
      <c r="I162" s="383"/>
      <c r="J162" s="383"/>
      <c r="K162" s="383"/>
      <c r="L162" s="383"/>
      <c r="M162" s="383"/>
      <c r="N162" s="383"/>
      <c r="O162" s="383"/>
      <c r="P162" s="383"/>
      <c r="Q162" s="383"/>
      <c r="R162" s="383"/>
      <c r="S162" s="383"/>
      <c r="T162" s="383"/>
      <c r="U162" s="383"/>
      <c r="V162" s="383"/>
      <c r="W162" s="383"/>
    </row>
    <row r="163" spans="1:23">
      <c r="A163" s="383"/>
      <c r="B163" s="383"/>
      <c r="C163" s="383"/>
      <c r="D163" s="383"/>
      <c r="E163" s="383"/>
      <c r="F163" s="383"/>
      <c r="G163" s="383"/>
      <c r="H163" s="383"/>
      <c r="I163" s="383"/>
      <c r="J163" s="383"/>
      <c r="K163" s="383"/>
      <c r="L163" s="383"/>
      <c r="M163" s="383"/>
      <c r="N163" s="383"/>
      <c r="O163" s="383"/>
      <c r="P163" s="383"/>
      <c r="Q163" s="383"/>
      <c r="R163" s="383"/>
      <c r="S163" s="383"/>
      <c r="T163" s="383"/>
      <c r="U163" s="383"/>
      <c r="V163" s="383"/>
      <c r="W163" s="383"/>
    </row>
    <row r="164" spans="1:23">
      <c r="A164" s="383"/>
      <c r="B164" s="383"/>
      <c r="C164" s="383"/>
      <c r="D164" s="383"/>
      <c r="E164" s="383"/>
      <c r="F164" s="383"/>
      <c r="G164" s="383"/>
      <c r="H164" s="383"/>
      <c r="I164" s="383"/>
      <c r="J164" s="383"/>
      <c r="K164" s="383"/>
      <c r="L164" s="383"/>
      <c r="M164" s="383"/>
      <c r="N164" s="383"/>
      <c r="O164" s="383"/>
      <c r="P164" s="383"/>
      <c r="Q164" s="383"/>
      <c r="R164" s="383"/>
      <c r="S164" s="383"/>
      <c r="T164" s="383"/>
      <c r="U164" s="383"/>
      <c r="V164" s="383"/>
      <c r="W164" s="383"/>
    </row>
    <row r="165" spans="1:23">
      <c r="A165" s="383"/>
      <c r="B165" s="383"/>
      <c r="C165" s="383"/>
      <c r="D165" s="383"/>
      <c r="E165" s="383"/>
      <c r="F165" s="383"/>
      <c r="G165" s="383"/>
      <c r="H165" s="383"/>
      <c r="I165" s="383"/>
      <c r="J165" s="383"/>
      <c r="K165" s="383"/>
      <c r="L165" s="383"/>
      <c r="M165" s="383"/>
      <c r="N165" s="383"/>
      <c r="O165" s="383"/>
      <c r="P165" s="383"/>
      <c r="Q165" s="383"/>
      <c r="R165" s="383"/>
      <c r="S165" s="383"/>
      <c r="T165" s="383"/>
      <c r="U165" s="383"/>
      <c r="V165" s="383"/>
      <c r="W165" s="383"/>
    </row>
    <row r="166" spans="1:23">
      <c r="A166" s="383"/>
      <c r="B166" s="383"/>
      <c r="C166" s="383"/>
      <c r="D166" s="383"/>
      <c r="E166" s="383"/>
      <c r="F166" s="383"/>
      <c r="G166" s="383"/>
      <c r="H166" s="383"/>
      <c r="I166" s="383"/>
      <c r="J166" s="383"/>
      <c r="K166" s="383"/>
      <c r="L166" s="383"/>
      <c r="M166" s="383"/>
      <c r="N166" s="383"/>
      <c r="O166" s="383"/>
      <c r="P166" s="383"/>
      <c r="Q166" s="383"/>
      <c r="R166" s="383"/>
      <c r="S166" s="383"/>
      <c r="T166" s="383"/>
      <c r="U166" s="383"/>
      <c r="V166" s="383"/>
      <c r="W166" s="383"/>
    </row>
    <row r="167" spans="1:23">
      <c r="A167" s="383"/>
      <c r="B167" s="383"/>
      <c r="C167" s="383"/>
      <c r="D167" s="383"/>
      <c r="E167" s="383"/>
      <c r="F167" s="383"/>
      <c r="G167" s="383"/>
      <c r="H167" s="383"/>
      <c r="I167" s="383"/>
      <c r="J167" s="383"/>
      <c r="K167" s="383"/>
      <c r="L167" s="383"/>
      <c r="M167" s="383"/>
      <c r="N167" s="383"/>
      <c r="O167" s="383"/>
      <c r="P167" s="383"/>
      <c r="Q167" s="383"/>
      <c r="R167" s="383"/>
      <c r="S167" s="383"/>
      <c r="T167" s="383"/>
      <c r="U167" s="383"/>
      <c r="V167" s="383"/>
      <c r="W167" s="383"/>
    </row>
    <row r="168" spans="1:23">
      <c r="A168" s="383"/>
      <c r="B168" s="383"/>
      <c r="C168" s="383"/>
      <c r="D168" s="383"/>
      <c r="E168" s="383"/>
      <c r="F168" s="383"/>
      <c r="G168" s="383"/>
      <c r="H168" s="383"/>
      <c r="I168" s="383"/>
      <c r="J168" s="383"/>
      <c r="K168" s="383"/>
      <c r="L168" s="383"/>
      <c r="M168" s="383"/>
      <c r="N168" s="383"/>
      <c r="O168" s="383"/>
      <c r="P168" s="383"/>
      <c r="Q168" s="383"/>
      <c r="R168" s="383"/>
      <c r="S168" s="383"/>
      <c r="T168" s="383"/>
      <c r="U168" s="383"/>
      <c r="V168" s="383"/>
      <c r="W168" s="383"/>
    </row>
    <row r="169" spans="1:23">
      <c r="A169" s="383"/>
      <c r="B169" s="383"/>
      <c r="C169" s="383"/>
      <c r="D169" s="383"/>
      <c r="E169" s="383"/>
      <c r="F169" s="383"/>
      <c r="G169" s="383"/>
      <c r="H169" s="383"/>
      <c r="I169" s="383"/>
      <c r="J169" s="383"/>
      <c r="K169" s="383"/>
      <c r="L169" s="383"/>
      <c r="M169" s="383"/>
      <c r="N169" s="383"/>
      <c r="O169" s="383"/>
      <c r="P169" s="383"/>
      <c r="Q169" s="383"/>
      <c r="R169" s="383"/>
      <c r="S169" s="383"/>
      <c r="T169" s="383"/>
      <c r="U169" s="383"/>
      <c r="V169" s="383"/>
      <c r="W169" s="383"/>
    </row>
    <row r="170" spans="1:23">
      <c r="A170" s="383"/>
      <c r="B170" s="383"/>
      <c r="C170" s="383"/>
      <c r="D170" s="383"/>
      <c r="E170" s="383"/>
      <c r="F170" s="383"/>
      <c r="G170" s="383"/>
      <c r="H170" s="383"/>
      <c r="I170" s="383"/>
      <c r="J170" s="383"/>
      <c r="K170" s="383"/>
      <c r="L170" s="383"/>
      <c r="M170" s="383"/>
      <c r="N170" s="383"/>
      <c r="O170" s="383"/>
      <c r="P170" s="383"/>
      <c r="Q170" s="383"/>
      <c r="R170" s="383"/>
      <c r="S170" s="383"/>
      <c r="T170" s="383"/>
      <c r="U170" s="383"/>
      <c r="V170" s="383"/>
      <c r="W170" s="383"/>
    </row>
    <row r="171" spans="1:23">
      <c r="A171" s="383"/>
      <c r="B171" s="383"/>
      <c r="C171" s="383"/>
      <c r="D171" s="383"/>
      <c r="E171" s="383"/>
      <c r="F171" s="383"/>
      <c r="G171" s="383"/>
      <c r="H171" s="383"/>
      <c r="I171" s="383"/>
      <c r="J171" s="383"/>
      <c r="K171" s="383"/>
      <c r="L171" s="383"/>
      <c r="M171" s="383"/>
      <c r="N171" s="383"/>
      <c r="O171" s="383"/>
      <c r="P171" s="383"/>
      <c r="Q171" s="383"/>
      <c r="R171" s="383"/>
      <c r="S171" s="383"/>
      <c r="T171" s="383"/>
      <c r="U171" s="383"/>
      <c r="V171" s="383"/>
      <c r="W171" s="383"/>
    </row>
    <row r="172" spans="1:23">
      <c r="A172" s="383"/>
      <c r="B172" s="383"/>
      <c r="C172" s="383"/>
      <c r="D172" s="383"/>
      <c r="E172" s="383"/>
      <c r="F172" s="383"/>
      <c r="G172" s="383"/>
      <c r="H172" s="383"/>
      <c r="I172" s="383"/>
      <c r="J172" s="383"/>
      <c r="K172" s="383"/>
      <c r="L172" s="383"/>
      <c r="M172" s="383"/>
      <c r="N172" s="383"/>
      <c r="O172" s="383"/>
      <c r="P172" s="383"/>
      <c r="Q172" s="383"/>
      <c r="R172" s="383"/>
      <c r="S172" s="383"/>
      <c r="T172" s="383"/>
      <c r="U172" s="383"/>
      <c r="V172" s="383"/>
      <c r="W172" s="383"/>
    </row>
    <row r="173" spans="1:23">
      <c r="A173" s="383"/>
      <c r="B173" s="383"/>
      <c r="C173" s="383"/>
      <c r="D173" s="383"/>
      <c r="E173" s="383"/>
      <c r="F173" s="383"/>
      <c r="G173" s="383"/>
      <c r="H173" s="383"/>
      <c r="I173" s="383"/>
      <c r="J173" s="383"/>
      <c r="K173" s="383"/>
      <c r="L173" s="383"/>
      <c r="M173" s="383"/>
      <c r="N173" s="383"/>
      <c r="O173" s="383"/>
      <c r="P173" s="383"/>
      <c r="Q173" s="383"/>
      <c r="R173" s="383"/>
      <c r="S173" s="383"/>
      <c r="T173" s="383"/>
      <c r="U173" s="383"/>
      <c r="V173" s="383"/>
      <c r="W173" s="383"/>
    </row>
    <row r="174" spans="1:23">
      <c r="A174" s="383"/>
      <c r="B174" s="383"/>
      <c r="C174" s="383"/>
      <c r="D174" s="383"/>
      <c r="E174" s="383"/>
      <c r="F174" s="383"/>
      <c r="G174" s="383"/>
      <c r="H174" s="383"/>
      <c r="I174" s="383"/>
      <c r="J174" s="383"/>
      <c r="K174" s="383"/>
      <c r="L174" s="383"/>
      <c r="M174" s="383"/>
      <c r="N174" s="383"/>
      <c r="O174" s="383"/>
      <c r="P174" s="383"/>
      <c r="Q174" s="383"/>
      <c r="R174" s="383"/>
      <c r="S174" s="383"/>
      <c r="T174" s="383"/>
      <c r="U174" s="383"/>
      <c r="V174" s="383"/>
      <c r="W174" s="383"/>
    </row>
    <row r="175" spans="1:23">
      <c r="A175" s="383"/>
      <c r="B175" s="383"/>
      <c r="C175" s="383"/>
      <c r="D175" s="383"/>
      <c r="E175" s="383"/>
      <c r="F175" s="383"/>
      <c r="G175" s="383"/>
      <c r="H175" s="383"/>
      <c r="I175" s="383"/>
      <c r="J175" s="383"/>
      <c r="K175" s="383"/>
      <c r="L175" s="383"/>
      <c r="M175" s="383"/>
      <c r="N175" s="383"/>
      <c r="O175" s="383"/>
      <c r="P175" s="383"/>
      <c r="Q175" s="383"/>
      <c r="R175" s="383"/>
      <c r="S175" s="383"/>
      <c r="T175" s="383"/>
      <c r="U175" s="383"/>
      <c r="V175" s="383"/>
      <c r="W175" s="383"/>
    </row>
    <row r="176" spans="1:23">
      <c r="A176" s="383"/>
      <c r="B176" s="383"/>
      <c r="C176" s="383"/>
      <c r="D176" s="383"/>
      <c r="E176" s="383"/>
      <c r="F176" s="383"/>
      <c r="G176" s="383"/>
      <c r="H176" s="383"/>
      <c r="I176" s="383"/>
      <c r="J176" s="383"/>
      <c r="K176" s="383"/>
      <c r="L176" s="383"/>
      <c r="M176" s="383"/>
      <c r="N176" s="383"/>
      <c r="O176" s="383"/>
      <c r="P176" s="383"/>
      <c r="Q176" s="383"/>
      <c r="R176" s="383"/>
      <c r="S176" s="383"/>
      <c r="T176" s="383"/>
      <c r="U176" s="383"/>
      <c r="V176" s="383"/>
      <c r="W176" s="383"/>
    </row>
    <row r="177" spans="1:23">
      <c r="A177" s="383"/>
      <c r="B177" s="383"/>
      <c r="C177" s="383"/>
      <c r="D177" s="383"/>
      <c r="E177" s="383"/>
      <c r="F177" s="383"/>
      <c r="G177" s="383"/>
      <c r="H177" s="383"/>
      <c r="I177" s="383"/>
      <c r="J177" s="383"/>
      <c r="K177" s="383"/>
      <c r="L177" s="383"/>
      <c r="M177" s="383"/>
      <c r="N177" s="383"/>
      <c r="O177" s="383"/>
      <c r="P177" s="383"/>
      <c r="Q177" s="383"/>
      <c r="R177" s="383"/>
      <c r="S177" s="383"/>
      <c r="T177" s="383"/>
      <c r="U177" s="383"/>
      <c r="V177" s="383"/>
      <c r="W177" s="383"/>
    </row>
    <row r="178" spans="1:23">
      <c r="A178" s="383"/>
      <c r="B178" s="383"/>
      <c r="C178" s="383"/>
      <c r="D178" s="383"/>
      <c r="E178" s="383"/>
      <c r="F178" s="383"/>
      <c r="G178" s="383"/>
      <c r="H178" s="383"/>
      <c r="I178" s="383"/>
      <c r="J178" s="383"/>
      <c r="K178" s="383"/>
      <c r="L178" s="383"/>
      <c r="M178" s="383"/>
      <c r="N178" s="383"/>
      <c r="O178" s="383"/>
      <c r="P178" s="383"/>
      <c r="Q178" s="383"/>
      <c r="R178" s="383"/>
      <c r="S178" s="383"/>
      <c r="T178" s="383"/>
      <c r="U178" s="383"/>
      <c r="V178" s="383"/>
      <c r="W178" s="383"/>
    </row>
    <row r="179" spans="1:23">
      <c r="A179" s="383"/>
      <c r="B179" s="383"/>
      <c r="C179" s="383"/>
      <c r="D179" s="383"/>
      <c r="E179" s="383"/>
      <c r="F179" s="383"/>
      <c r="G179" s="383"/>
      <c r="H179" s="383"/>
      <c r="I179" s="383"/>
      <c r="J179" s="383"/>
      <c r="K179" s="383"/>
      <c r="L179" s="383"/>
      <c r="M179" s="383"/>
      <c r="N179" s="383"/>
      <c r="O179" s="383"/>
      <c r="P179" s="383"/>
      <c r="Q179" s="383"/>
      <c r="R179" s="383"/>
      <c r="S179" s="383"/>
      <c r="T179" s="383"/>
      <c r="U179" s="383"/>
      <c r="V179" s="383"/>
      <c r="W179" s="383"/>
    </row>
    <row r="180" spans="1:23">
      <c r="A180" s="383"/>
      <c r="B180" s="383"/>
      <c r="C180" s="383"/>
      <c r="D180" s="383"/>
      <c r="E180" s="383"/>
      <c r="F180" s="383"/>
      <c r="G180" s="383"/>
      <c r="H180" s="383"/>
      <c r="I180" s="383"/>
      <c r="J180" s="383"/>
      <c r="K180" s="383"/>
      <c r="L180" s="383"/>
      <c r="M180" s="383"/>
      <c r="N180" s="383"/>
      <c r="O180" s="383"/>
      <c r="P180" s="383"/>
      <c r="Q180" s="383"/>
      <c r="R180" s="383"/>
      <c r="S180" s="383"/>
      <c r="T180" s="383"/>
      <c r="U180" s="383"/>
      <c r="V180" s="383"/>
      <c r="W180" s="383"/>
    </row>
    <row r="181" spans="1:23">
      <c r="A181" s="383"/>
      <c r="B181" s="383"/>
      <c r="C181" s="383"/>
      <c r="D181" s="383"/>
      <c r="E181" s="383"/>
      <c r="F181" s="383"/>
      <c r="G181" s="383"/>
      <c r="H181" s="383"/>
      <c r="I181" s="383"/>
      <c r="J181" s="383"/>
      <c r="K181" s="383"/>
      <c r="L181" s="383"/>
      <c r="M181" s="383"/>
      <c r="N181" s="383"/>
      <c r="O181" s="383"/>
      <c r="P181" s="383"/>
      <c r="Q181" s="383"/>
      <c r="R181" s="383"/>
      <c r="S181" s="383"/>
      <c r="T181" s="383"/>
      <c r="U181" s="383"/>
      <c r="V181" s="383"/>
      <c r="W181" s="383"/>
    </row>
  </sheetData>
  <sheetProtection password="D781" sheet="1" formatCells="0" selectLockedCells="1"/>
  <customSheetViews>
    <customSheetView guid="{DDA22D69-94B5-45BC-9EE2-6055A845129B}" state="hidden" topLeftCell="A100">
      <selection activeCell="P12" sqref="P12"/>
      <pageMargins left="0.7" right="0.7" top="0.75" bottom="0.75" header="0.3" footer="0.3"/>
      <pageSetup orientation="portrait" r:id="rId1"/>
    </customSheetView>
    <customSheetView guid="{1B7577DB-E3C4-4E68-B7CF-8F86FF7C5A82}" state="hidden" topLeftCell="A100">
      <selection activeCell="P12" sqref="P12"/>
      <pageMargins left="0.7" right="0.7" top="0.75" bottom="0.75" header="0.3" footer="0.3"/>
      <pageSetup orientation="portrait" r:id="rId2"/>
    </customSheetView>
    <customSheetView guid="{2BE9587E-F957-49DF-9716-3F2B35B49DC1}">
      <selection activeCell="P12" sqref="P12"/>
      <pageMargins left="0.7" right="0.7" top="0.75" bottom="0.75" header="0.3" footer="0.3"/>
      <pageSetup orientation="portrait" r:id="rId3"/>
    </customSheetView>
    <customSheetView guid="{60E5615C-64A2-4675-848A-970A515EAF91}" state="hidden" topLeftCell="A100">
      <selection activeCell="P12" sqref="P12"/>
      <pageMargins left="0.7" right="0.7" top="0.75" bottom="0.75" header="0.3" footer="0.3"/>
      <pageSetup orientation="portrait" r:id="rId4"/>
    </customSheetView>
    <customSheetView guid="{E7B1C62B-1F1D-4A62-BD87-EE62D3A36B6C}" state="hidden" topLeftCell="A100">
      <selection activeCell="P12" sqref="P12"/>
      <pageMargins left="0.7" right="0.7" top="0.75" bottom="0.75" header="0.3" footer="0.3"/>
      <pageSetup orientation="portrait" r:id="rId5"/>
    </customSheetView>
  </customSheetViews>
  <mergeCells count="11">
    <mergeCell ref="B42:N43"/>
    <mergeCell ref="B2:N3"/>
    <mergeCell ref="B30:N34"/>
    <mergeCell ref="B37:N38"/>
    <mergeCell ref="B39:N39"/>
    <mergeCell ref="B40:N41"/>
    <mergeCell ref="B44:N45"/>
    <mergeCell ref="B46:N47"/>
    <mergeCell ref="B48:N49"/>
    <mergeCell ref="B50:N51"/>
    <mergeCell ref="B77:L78"/>
  </mergeCells>
  <hyperlinks>
    <hyperlink ref="B4" r:id="rId6" display="https://www.relakhs.com/wp-content/uploads/2018/02/Medical-Insurance-Premium-Tax-Benefits-Section-80D-Health-insurance-premium-Income-Tax-Deductions-FY-2018-19-AY-2019-20.jpg" xr:uid="{00000000-0004-0000-1100-000000000000}"/>
    <hyperlink ref="B52" r:id="rId7" display="https://www.relakhs.com/wp-content/uploads/2017/02/Budget-2017-2018-loss-income-from-house-property-limited-to-2-Lakh-interest-on-home-loan-Section-24-rental-income-pic.jpg" xr:uid="{00000000-0004-0000-1100-000001000000}"/>
  </hyperlinks>
  <pageMargins left="0.7" right="0.7" top="0.75" bottom="0.75" header="0.3" footer="0.3"/>
  <pageSetup orientation="portrait" r:id="rId8"/>
  <drawing r:id="rId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AU546"/>
  <sheetViews>
    <sheetView workbookViewId="0">
      <selection activeCell="L61" sqref="L61"/>
    </sheetView>
  </sheetViews>
  <sheetFormatPr defaultColWidth="0" defaultRowHeight="15" zeroHeight="1"/>
  <cols>
    <col min="1" max="1" width="0.5703125" customWidth="1"/>
    <col min="2" max="2" width="1.140625" customWidth="1"/>
    <col min="3" max="3" width="10.42578125" customWidth="1"/>
    <col min="4" max="4" width="11" customWidth="1"/>
    <col min="5" max="5" width="5.42578125" customWidth="1"/>
    <col min="6" max="6" width="6.5703125" customWidth="1"/>
    <col min="7" max="7" width="14" customWidth="1"/>
    <col min="8" max="8" width="11.85546875" customWidth="1"/>
    <col min="9" max="9" width="9.140625" customWidth="1"/>
    <col min="10" max="10" width="7" customWidth="1"/>
    <col min="11" max="11" width="1.140625" customWidth="1"/>
    <col min="12" max="12" width="16.42578125" customWidth="1"/>
    <col min="13" max="13" width="16.5703125" customWidth="1"/>
    <col min="14" max="14" width="8.5703125" customWidth="1"/>
    <col min="15" max="15" width="5.7109375" customWidth="1"/>
    <col min="16" max="16" width="12.7109375" customWidth="1"/>
    <col min="17" max="17" width="11.42578125" customWidth="1"/>
    <col min="18" max="18" width="12.5703125" customWidth="1"/>
    <col min="19" max="19" width="1.140625" style="1217" customWidth="1"/>
    <col min="20" max="20" width="4.140625" customWidth="1"/>
    <col min="21" max="21" width="30.5703125" customWidth="1"/>
    <col min="22" max="22" width="1.140625" customWidth="1"/>
    <col min="23" max="28" width="9.140625" hidden="1" customWidth="1"/>
    <col min="29" max="29" width="10.28515625" hidden="1" customWidth="1"/>
    <col min="30" max="30" width="10.7109375" hidden="1" customWidth="1"/>
    <col min="31" max="16384" width="9.140625" hidden="1"/>
  </cols>
  <sheetData>
    <row r="1" spans="2:47" ht="8.25" customHeight="1">
      <c r="B1" s="1217"/>
      <c r="C1" s="1218"/>
      <c r="D1" s="1218"/>
      <c r="E1" s="1218"/>
      <c r="F1" s="1218"/>
      <c r="G1" s="1218"/>
      <c r="H1" s="1218"/>
      <c r="I1" s="1218"/>
      <c r="J1" s="1218"/>
      <c r="K1" s="1218"/>
      <c r="L1" s="1218"/>
      <c r="M1" s="1218"/>
      <c r="N1" s="1218"/>
      <c r="O1" s="1218"/>
      <c r="P1" s="1218"/>
      <c r="Q1" s="1218"/>
      <c r="R1" s="1218"/>
      <c r="S1" s="1219"/>
      <c r="T1" s="1218"/>
      <c r="U1" s="1218"/>
      <c r="V1" s="1218"/>
      <c r="W1" s="942"/>
      <c r="X1" s="942"/>
      <c r="Y1" s="942"/>
      <c r="Z1" s="942"/>
      <c r="AA1" s="942"/>
      <c r="AB1" s="942"/>
      <c r="AC1" s="942"/>
      <c r="AD1" s="942"/>
      <c r="AE1" s="942"/>
      <c r="AF1" s="942"/>
      <c r="AG1" s="942"/>
      <c r="AH1" s="942"/>
      <c r="AI1" s="942"/>
      <c r="AJ1" s="942"/>
      <c r="AK1" s="942"/>
      <c r="AL1" s="942"/>
      <c r="AM1" s="942"/>
      <c r="AN1" s="942"/>
      <c r="AO1" s="942"/>
      <c r="AP1" s="942"/>
      <c r="AQ1" s="942"/>
      <c r="AR1" s="942"/>
      <c r="AS1" s="942"/>
      <c r="AT1" s="942"/>
      <c r="AU1" s="942"/>
    </row>
    <row r="2" spans="2:47" ht="15" customHeight="1">
      <c r="B2" s="1217"/>
      <c r="C2" s="3898" t="s">
        <v>1000</v>
      </c>
      <c r="D2" s="3898"/>
      <c r="E2" s="3898"/>
      <c r="F2" s="3898"/>
      <c r="G2" s="3898"/>
      <c r="H2" s="3898"/>
      <c r="I2" s="3898"/>
      <c r="J2" s="3898"/>
      <c r="K2" s="3898"/>
      <c r="L2" s="3898"/>
      <c r="M2" s="3898"/>
      <c r="N2" s="3898"/>
      <c r="O2" s="3898"/>
      <c r="P2" s="3898"/>
      <c r="Q2" s="3898"/>
      <c r="R2" s="3898"/>
      <c r="S2" s="1220"/>
      <c r="T2" s="3899"/>
      <c r="U2" s="3899"/>
      <c r="V2" s="1218"/>
      <c r="W2" s="942"/>
      <c r="X2" s="942"/>
      <c r="Y2" s="942"/>
      <c r="Z2" s="942"/>
      <c r="AA2" s="942"/>
      <c r="AB2" s="942"/>
      <c r="AC2" s="942"/>
      <c r="AD2" s="942"/>
      <c r="AE2" s="942"/>
      <c r="AF2" s="942"/>
      <c r="AG2" s="942"/>
      <c r="AH2" s="942"/>
      <c r="AI2" s="942"/>
      <c r="AJ2" s="942"/>
      <c r="AK2" s="942"/>
      <c r="AL2" s="942"/>
      <c r="AM2" s="942"/>
      <c r="AN2" s="942"/>
      <c r="AO2" s="942"/>
      <c r="AP2" s="942"/>
      <c r="AQ2" s="942"/>
      <c r="AR2" s="942"/>
      <c r="AS2" s="942"/>
      <c r="AT2" s="942"/>
      <c r="AU2" s="942"/>
    </row>
    <row r="3" spans="2:47" ht="15" customHeight="1">
      <c r="B3" s="1217"/>
      <c r="C3" s="3898"/>
      <c r="D3" s="3898"/>
      <c r="E3" s="3898"/>
      <c r="F3" s="3898"/>
      <c r="G3" s="3898"/>
      <c r="H3" s="3898"/>
      <c r="I3" s="3898"/>
      <c r="J3" s="3898"/>
      <c r="K3" s="3898"/>
      <c r="L3" s="3898"/>
      <c r="M3" s="3898"/>
      <c r="N3" s="3898"/>
      <c r="O3" s="3898"/>
      <c r="P3" s="3898"/>
      <c r="Q3" s="3898"/>
      <c r="R3" s="3898"/>
      <c r="S3" s="1220"/>
      <c r="T3" s="3899"/>
      <c r="U3" s="3899"/>
      <c r="V3" s="1218"/>
      <c r="W3" s="942"/>
      <c r="X3" s="942"/>
      <c r="Y3" s="942"/>
      <c r="Z3" s="942"/>
      <c r="AA3" s="942"/>
      <c r="AB3" s="942"/>
      <c r="AC3" s="942"/>
      <c r="AD3" s="942"/>
      <c r="AE3" s="942"/>
      <c r="AF3" s="942"/>
      <c r="AG3" s="942"/>
      <c r="AH3" s="942"/>
      <c r="AI3" s="942"/>
      <c r="AJ3" s="942"/>
      <c r="AK3" s="942"/>
      <c r="AL3" s="942"/>
      <c r="AM3" s="942"/>
      <c r="AN3" s="942"/>
      <c r="AO3" s="942"/>
      <c r="AP3" s="942"/>
      <c r="AQ3" s="942"/>
      <c r="AR3" s="942"/>
      <c r="AS3" s="942"/>
      <c r="AT3" s="942"/>
      <c r="AU3" s="942"/>
    </row>
    <row r="4" spans="2:47" ht="15" customHeight="1">
      <c r="B4" s="1217"/>
      <c r="C4" s="3900" t="s">
        <v>1172</v>
      </c>
      <c r="D4" s="3900"/>
      <c r="E4" s="3900"/>
      <c r="F4" s="3900"/>
      <c r="G4" s="3900"/>
      <c r="H4" s="3900"/>
      <c r="I4" s="3900"/>
      <c r="J4" s="3900"/>
      <c r="K4" s="3900"/>
      <c r="L4" s="3900"/>
      <c r="M4" s="3900"/>
      <c r="N4" s="3900"/>
      <c r="O4" s="3900"/>
      <c r="P4" s="3900"/>
      <c r="Q4" s="3900"/>
      <c r="R4" s="3900"/>
      <c r="S4" s="1220"/>
      <c r="T4" s="3899"/>
      <c r="U4" s="3899"/>
      <c r="V4" s="1218"/>
      <c r="W4" s="942"/>
      <c r="X4" s="942"/>
      <c r="Y4" s="942"/>
      <c r="Z4" s="942"/>
      <c r="AA4" s="942"/>
      <c r="AB4" s="942"/>
      <c r="AC4" s="942"/>
      <c r="AD4" s="942"/>
      <c r="AE4" s="942"/>
      <c r="AF4" s="942"/>
      <c r="AG4" s="942"/>
      <c r="AH4" s="942"/>
      <c r="AI4" s="942"/>
      <c r="AJ4" s="942"/>
      <c r="AK4" s="942"/>
      <c r="AL4" s="942"/>
      <c r="AM4" s="942"/>
      <c r="AN4" s="942"/>
      <c r="AO4" s="942"/>
      <c r="AP4" s="942"/>
      <c r="AQ4" s="942"/>
      <c r="AR4" s="942"/>
      <c r="AS4" s="942"/>
      <c r="AT4" s="942"/>
      <c r="AU4" s="942"/>
    </row>
    <row r="5" spans="2:47" ht="15" customHeight="1">
      <c r="B5" s="1217"/>
      <c r="C5" s="3900"/>
      <c r="D5" s="3900"/>
      <c r="E5" s="3900"/>
      <c r="F5" s="3900"/>
      <c r="G5" s="3900"/>
      <c r="H5" s="3900"/>
      <c r="I5" s="3900"/>
      <c r="J5" s="3900"/>
      <c r="K5" s="3900"/>
      <c r="L5" s="3900"/>
      <c r="M5" s="3900"/>
      <c r="N5" s="3900"/>
      <c r="O5" s="3900"/>
      <c r="P5" s="3900"/>
      <c r="Q5" s="3900"/>
      <c r="R5" s="3900"/>
      <c r="S5" s="1219"/>
      <c r="T5" s="3899"/>
      <c r="U5" s="3899"/>
      <c r="V5" s="1218"/>
      <c r="W5" s="942"/>
      <c r="X5" s="942"/>
      <c r="Y5" s="942"/>
      <c r="Z5" s="942"/>
      <c r="AA5" s="942"/>
      <c r="AB5" s="942"/>
      <c r="AC5" s="942"/>
      <c r="AD5" s="942"/>
      <c r="AE5" s="942"/>
      <c r="AF5" s="942"/>
      <c r="AG5" s="942"/>
      <c r="AH5" s="942"/>
      <c r="AI5" s="942"/>
      <c r="AJ5" s="942"/>
      <c r="AK5" s="942"/>
      <c r="AL5" s="942"/>
      <c r="AM5" s="942"/>
      <c r="AN5" s="942"/>
      <c r="AO5" s="942"/>
      <c r="AP5" s="942"/>
      <c r="AQ5" s="942"/>
      <c r="AR5" s="942"/>
      <c r="AS5" s="942"/>
      <c r="AT5" s="942"/>
      <c r="AU5" s="942"/>
    </row>
    <row r="6" spans="2:47" ht="5.25" customHeight="1" thickBot="1">
      <c r="B6" s="1217"/>
      <c r="C6" s="1218"/>
      <c r="D6" s="1218"/>
      <c r="E6" s="1218"/>
      <c r="F6" s="1218"/>
      <c r="G6" s="1218"/>
      <c r="H6" s="1218"/>
      <c r="I6" s="1218"/>
      <c r="J6" s="1218"/>
      <c r="K6" s="1218"/>
      <c r="L6" s="1218"/>
      <c r="M6" s="1218"/>
      <c r="N6" s="1218"/>
      <c r="O6" s="1218"/>
      <c r="P6" s="1218"/>
      <c r="Q6" s="1218"/>
      <c r="R6" s="1218"/>
      <c r="S6" s="1219"/>
      <c r="T6" s="1221"/>
      <c r="U6" s="1221"/>
      <c r="V6" s="1218"/>
      <c r="W6" s="942"/>
      <c r="X6" s="942"/>
      <c r="Y6" s="942"/>
      <c r="Z6" s="942"/>
      <c r="AA6" s="942"/>
      <c r="AB6" s="942"/>
      <c r="AC6" s="942"/>
      <c r="AD6" s="942"/>
      <c r="AE6" s="942"/>
      <c r="AF6" s="942"/>
      <c r="AG6" s="942"/>
      <c r="AH6" s="942"/>
      <c r="AI6" s="942"/>
      <c r="AJ6" s="942"/>
      <c r="AK6" s="942"/>
      <c r="AL6" s="942"/>
      <c r="AM6" s="942"/>
      <c r="AN6" s="942"/>
      <c r="AO6" s="942"/>
      <c r="AP6" s="942"/>
      <c r="AQ6" s="942"/>
      <c r="AR6" s="942"/>
      <c r="AS6" s="942"/>
      <c r="AT6" s="942"/>
      <c r="AU6" s="942"/>
    </row>
    <row r="7" spans="2:47" ht="24" customHeight="1" thickBot="1">
      <c r="B7" s="1217"/>
      <c r="C7" s="1222" t="s">
        <v>14</v>
      </c>
      <c r="D7" s="1222"/>
      <c r="E7" s="1222"/>
      <c r="F7" s="1222"/>
      <c r="G7" s="3901" t="s">
        <v>501</v>
      </c>
      <c r="H7" s="3902"/>
      <c r="I7" s="3902"/>
      <c r="J7" s="3903"/>
      <c r="K7" s="1223"/>
      <c r="L7" s="3904" t="s">
        <v>1001</v>
      </c>
      <c r="M7" s="3905"/>
      <c r="N7" s="3905"/>
      <c r="O7" s="3905"/>
      <c r="P7" s="3905"/>
      <c r="Q7" s="3906" t="s">
        <v>1150</v>
      </c>
      <c r="R7" s="3907"/>
      <c r="S7" s="1219"/>
      <c r="T7" s="3908" t="s">
        <v>1003</v>
      </c>
      <c r="U7" s="3908"/>
      <c r="V7" s="1218"/>
      <c r="W7" s="942"/>
      <c r="X7" s="942"/>
      <c r="Y7" s="942"/>
      <c r="Z7" s="942"/>
      <c r="AA7" s="942"/>
      <c r="AB7" s="942"/>
      <c r="AC7" s="942"/>
      <c r="AD7" s="942"/>
      <c r="AE7" s="942"/>
      <c r="AF7" s="942"/>
      <c r="AG7" s="942"/>
      <c r="AH7" s="942"/>
      <c r="AI7" s="942"/>
      <c r="AJ7" s="942"/>
      <c r="AK7" s="942"/>
      <c r="AL7" s="942"/>
      <c r="AM7" s="942"/>
      <c r="AN7" s="942"/>
      <c r="AO7" s="942"/>
      <c r="AP7" s="942"/>
      <c r="AQ7" s="942"/>
      <c r="AR7" s="942"/>
      <c r="AS7" s="942"/>
      <c r="AT7" s="942"/>
      <c r="AU7" s="942"/>
    </row>
    <row r="8" spans="2:47" ht="24.75" customHeight="1" thickBot="1">
      <c r="B8" s="1217"/>
      <c r="C8" s="1222" t="s">
        <v>15</v>
      </c>
      <c r="D8" s="1222"/>
      <c r="E8" s="1222"/>
      <c r="F8" s="1222"/>
      <c r="G8" s="3901" t="s">
        <v>1004</v>
      </c>
      <c r="H8" s="3902"/>
      <c r="I8" s="3902"/>
      <c r="J8" s="3903"/>
      <c r="K8" s="1223"/>
      <c r="L8" s="3904" t="s">
        <v>1005</v>
      </c>
      <c r="M8" s="3905"/>
      <c r="N8" s="3905"/>
      <c r="O8" s="3905"/>
      <c r="P8" s="3905"/>
      <c r="Q8" s="3909" t="s">
        <v>1173</v>
      </c>
      <c r="R8" s="3910"/>
      <c r="S8" s="1224"/>
      <c r="T8" s="3908"/>
      <c r="U8" s="3908"/>
      <c r="V8" s="1218"/>
      <c r="W8" s="942"/>
      <c r="X8" s="942"/>
      <c r="Y8" s="942"/>
      <c r="Z8" s="942"/>
      <c r="AA8" s="942"/>
      <c r="AB8" s="942"/>
      <c r="AC8" s="942"/>
      <c r="AD8" s="942"/>
      <c r="AE8" s="942"/>
      <c r="AF8" s="942"/>
      <c r="AG8" s="942"/>
      <c r="AH8" s="942"/>
      <c r="AI8" s="942"/>
      <c r="AJ8" s="942"/>
      <c r="AK8" s="942"/>
      <c r="AL8" s="942"/>
      <c r="AM8" s="942"/>
      <c r="AN8" s="942"/>
      <c r="AO8" s="942"/>
      <c r="AP8" s="942"/>
      <c r="AQ8" s="942"/>
      <c r="AR8" s="942"/>
      <c r="AS8" s="942"/>
      <c r="AT8" s="942"/>
      <c r="AU8" s="942"/>
    </row>
    <row r="9" spans="2:47" ht="20.100000000000001" customHeight="1" thickBot="1">
      <c r="B9" s="1217"/>
      <c r="C9" s="1222" t="s">
        <v>16</v>
      </c>
      <c r="D9" s="1222"/>
      <c r="E9" s="1222"/>
      <c r="F9" s="1222"/>
      <c r="G9" s="3901">
        <v>2000083</v>
      </c>
      <c r="H9" s="3902"/>
      <c r="I9" s="3902"/>
      <c r="J9" s="3903"/>
      <c r="K9" s="1223"/>
      <c r="L9" s="1225"/>
      <c r="M9" s="1225"/>
      <c r="N9" s="1225"/>
      <c r="O9" s="1226"/>
      <c r="P9" s="1226"/>
      <c r="Q9" s="1226"/>
      <c r="R9" s="1226"/>
      <c r="S9" s="1224"/>
      <c r="T9" s="3919" t="str">
        <f>CONCATENATE("Rs", " : ", Q44)</f>
        <v xml:space="preserve">Rs : </v>
      </c>
      <c r="U9" s="3919"/>
      <c r="V9" s="1218"/>
      <c r="W9" s="942"/>
      <c r="X9" s="942"/>
      <c r="Y9" s="942"/>
      <c r="Z9" s="942"/>
      <c r="AA9" s="942"/>
      <c r="AB9" s="942"/>
      <c r="AC9" s="942"/>
      <c r="AD9" s="942"/>
      <c r="AE9" s="942"/>
      <c r="AF9" s="942"/>
      <c r="AG9" s="942"/>
      <c r="AH9" s="942"/>
      <c r="AI9" s="942"/>
      <c r="AJ9" s="942"/>
      <c r="AK9" s="942"/>
      <c r="AL9" s="942"/>
      <c r="AM9" s="942"/>
      <c r="AN9" s="942"/>
      <c r="AO9" s="942"/>
      <c r="AP9" s="942"/>
      <c r="AQ9" s="942"/>
      <c r="AR9" s="942"/>
      <c r="AS9" s="942"/>
      <c r="AT9" s="942"/>
      <c r="AU9" s="942"/>
    </row>
    <row r="10" spans="2:47" ht="22.5" customHeight="1">
      <c r="B10" s="1217"/>
      <c r="C10" s="1222" t="s">
        <v>17</v>
      </c>
      <c r="D10" s="1222"/>
      <c r="E10" s="1222"/>
      <c r="F10" s="1222"/>
      <c r="G10" s="3901" t="s">
        <v>1008</v>
      </c>
      <c r="H10" s="3902"/>
      <c r="I10" s="3902"/>
      <c r="J10" s="3903"/>
      <c r="K10" s="1223"/>
      <c r="L10" s="3920" t="s">
        <v>1007</v>
      </c>
      <c r="M10" s="3920"/>
      <c r="N10" s="3920"/>
      <c r="O10" s="3920"/>
      <c r="P10" s="3921"/>
      <c r="Q10" s="3913" t="s">
        <v>22</v>
      </c>
      <c r="R10" s="3914"/>
      <c r="S10" s="1219"/>
      <c r="T10" s="3919"/>
      <c r="U10" s="3919"/>
      <c r="V10" s="1218"/>
      <c r="W10" s="942"/>
      <c r="X10" s="942"/>
      <c r="Y10" s="942"/>
      <c r="Z10" s="942"/>
      <c r="AA10" s="942"/>
      <c r="AB10" s="942"/>
      <c r="AC10" s="942"/>
      <c r="AD10" s="942"/>
      <c r="AE10" s="942"/>
      <c r="AF10" s="942"/>
      <c r="AG10" s="942"/>
      <c r="AH10" s="942"/>
      <c r="AI10" s="942"/>
      <c r="AJ10" s="942"/>
      <c r="AK10" s="942"/>
      <c r="AL10" s="942"/>
      <c r="AM10" s="942"/>
      <c r="AN10" s="942"/>
      <c r="AO10" s="942"/>
      <c r="AP10" s="942"/>
      <c r="AQ10" s="942"/>
      <c r="AR10" s="942"/>
      <c r="AS10" s="942"/>
      <c r="AT10" s="942"/>
      <c r="AU10" s="942"/>
    </row>
    <row r="11" spans="2:47" ht="22.5" customHeight="1" thickBot="1">
      <c r="B11" s="1217"/>
      <c r="C11" s="1222" t="s">
        <v>18</v>
      </c>
      <c r="D11" s="1222"/>
      <c r="E11" s="1222"/>
      <c r="F11" s="1222"/>
      <c r="G11" s="3901" t="s">
        <v>1139</v>
      </c>
      <c r="H11" s="3902"/>
      <c r="I11" s="3902"/>
      <c r="J11" s="3903"/>
      <c r="K11" s="1223"/>
      <c r="L11" s="3920"/>
      <c r="M11" s="3920"/>
      <c r="N11" s="3920"/>
      <c r="O11" s="3920"/>
      <c r="P11" s="3921"/>
      <c r="Q11" s="3915" t="str">
        <f>H29</f>
        <v/>
      </c>
      <c r="R11" s="3916"/>
      <c r="S11" s="1219"/>
      <c r="T11" s="1221"/>
      <c r="U11" s="1221"/>
      <c r="V11" s="1218"/>
      <c r="W11" s="942"/>
      <c r="X11" s="942"/>
      <c r="Y11" s="942"/>
      <c r="Z11" s="942"/>
      <c r="AA11" s="942"/>
      <c r="AB11" s="942"/>
      <c r="AC11" s="942"/>
      <c r="AD11" s="942"/>
      <c r="AE11" s="942"/>
      <c r="AF11" s="942"/>
      <c r="AG11" s="942"/>
      <c r="AH11" s="942"/>
      <c r="AI11" s="942"/>
      <c r="AJ11" s="942"/>
      <c r="AK11" s="942"/>
      <c r="AL11" s="942"/>
      <c r="AM11" s="942"/>
      <c r="AN11" s="942"/>
      <c r="AO11" s="942"/>
      <c r="AP11" s="942"/>
      <c r="AQ11" s="942"/>
      <c r="AR11" s="942"/>
      <c r="AS11" s="942"/>
      <c r="AT11" s="942"/>
      <c r="AU11" s="942"/>
    </row>
    <row r="12" spans="2:47" ht="20.100000000000001" customHeight="1">
      <c r="B12" s="1217"/>
      <c r="C12" s="1222" t="s">
        <v>19</v>
      </c>
      <c r="D12" s="1222"/>
      <c r="E12" s="1222"/>
      <c r="F12" s="1222"/>
      <c r="G12" s="3901" t="s">
        <v>814</v>
      </c>
      <c r="H12" s="3902"/>
      <c r="I12" s="3902"/>
      <c r="J12" s="3903"/>
      <c r="K12" s="1223"/>
      <c r="L12" s="1225"/>
      <c r="M12" s="1226"/>
      <c r="N12" s="1226"/>
      <c r="O12" s="1226"/>
      <c r="P12" s="1226"/>
      <c r="Q12" s="1226"/>
      <c r="R12" s="1226"/>
      <c r="S12" s="1218"/>
      <c r="T12" s="1221"/>
      <c r="U12" s="1221"/>
      <c r="V12" s="1218"/>
      <c r="W12" s="942"/>
      <c r="X12" s="942"/>
      <c r="Y12" s="942"/>
      <c r="Z12" s="942"/>
      <c r="AA12" s="942"/>
      <c r="AB12" s="942"/>
      <c r="AC12" s="942"/>
      <c r="AD12" s="942"/>
      <c r="AE12" s="942"/>
      <c r="AF12" s="942"/>
      <c r="AG12" s="942"/>
      <c r="AH12" s="942"/>
      <c r="AI12" s="942"/>
      <c r="AJ12" s="942"/>
      <c r="AK12" s="942"/>
      <c r="AL12" s="942"/>
      <c r="AM12" s="942"/>
      <c r="AN12" s="942"/>
      <c r="AO12" s="942"/>
      <c r="AP12" s="942"/>
      <c r="AQ12" s="942"/>
      <c r="AR12" s="942"/>
      <c r="AS12" s="942"/>
      <c r="AT12" s="942"/>
      <c r="AU12" s="942"/>
    </row>
    <row r="13" spans="2:47" ht="20.100000000000001" customHeight="1">
      <c r="B13" s="1217"/>
      <c r="C13" s="1222" t="s">
        <v>20</v>
      </c>
      <c r="D13" s="1222"/>
      <c r="E13" s="1222"/>
      <c r="F13" s="1222"/>
      <c r="G13" s="3901" t="s">
        <v>815</v>
      </c>
      <c r="H13" s="3902"/>
      <c r="I13" s="3902"/>
      <c r="J13" s="3903"/>
      <c r="K13" s="1223"/>
      <c r="L13" s="1225"/>
      <c r="M13" s="1225"/>
      <c r="N13" s="1225"/>
      <c r="O13" s="1225"/>
      <c r="P13" s="1225"/>
      <c r="Q13" s="1225"/>
      <c r="R13" s="1225"/>
      <c r="S13" s="1218"/>
      <c r="T13" s="1221"/>
      <c r="U13" s="1221"/>
      <c r="V13" s="1218"/>
      <c r="W13" s="942"/>
      <c r="X13" s="942"/>
      <c r="Y13" s="942"/>
      <c r="Z13" s="942"/>
      <c r="AA13" s="942"/>
      <c r="AB13" s="942"/>
      <c r="AC13" s="942"/>
      <c r="AD13" s="942"/>
      <c r="AE13" s="942"/>
      <c r="AF13" s="942"/>
      <c r="AG13" s="942"/>
      <c r="AH13" s="942"/>
      <c r="AI13" s="942"/>
      <c r="AJ13" s="942"/>
      <c r="AK13" s="942"/>
      <c r="AL13" s="942"/>
      <c r="AM13" s="942"/>
      <c r="AN13" s="942"/>
      <c r="AO13" s="942"/>
      <c r="AP13" s="942"/>
      <c r="AQ13" s="942"/>
      <c r="AR13" s="942"/>
      <c r="AS13" s="942"/>
      <c r="AT13" s="942"/>
      <c r="AU13" s="942"/>
    </row>
    <row r="14" spans="2:47" ht="20.100000000000001" customHeight="1">
      <c r="B14" s="1217"/>
      <c r="C14" s="1222" t="s">
        <v>21</v>
      </c>
      <c r="D14" s="1222"/>
      <c r="E14" s="1222"/>
      <c r="F14" s="1222"/>
      <c r="G14" s="3922" t="s">
        <v>1009</v>
      </c>
      <c r="H14" s="3923"/>
      <c r="I14" s="3923"/>
      <c r="J14" s="3924"/>
      <c r="K14" s="1223"/>
      <c r="L14" s="1225"/>
      <c r="M14" s="1225"/>
      <c r="N14" s="1225"/>
      <c r="O14" s="1225"/>
      <c r="P14" s="1225"/>
      <c r="Q14" s="1225"/>
      <c r="R14" s="1225"/>
      <c r="S14" s="1227"/>
      <c r="T14" s="1221"/>
      <c r="U14" s="1221"/>
      <c r="V14" s="1218"/>
      <c r="W14" s="942"/>
      <c r="X14" s="942"/>
      <c r="Y14" s="942"/>
      <c r="Z14" s="942"/>
      <c r="AA14" s="942"/>
      <c r="AB14" s="942"/>
      <c r="AC14" s="942"/>
      <c r="AD14" s="942"/>
      <c r="AE14" s="942"/>
      <c r="AF14" s="942"/>
      <c r="AG14" s="942"/>
      <c r="AH14" s="942"/>
      <c r="AI14" s="942"/>
      <c r="AJ14" s="942"/>
      <c r="AK14" s="942"/>
      <c r="AL14" s="942"/>
      <c r="AM14" s="942"/>
      <c r="AN14" s="942"/>
      <c r="AO14" s="942"/>
      <c r="AP14" s="942"/>
      <c r="AQ14" s="942"/>
      <c r="AR14" s="942"/>
      <c r="AS14" s="942"/>
      <c r="AT14" s="942"/>
      <c r="AU14" s="942"/>
    </row>
    <row r="15" spans="2:47" ht="5.25" customHeight="1">
      <c r="B15" s="1218"/>
      <c r="C15" s="1218"/>
      <c r="D15" s="1218"/>
      <c r="E15" s="1218"/>
      <c r="F15" s="1218"/>
      <c r="G15" s="1218"/>
      <c r="H15" s="1218"/>
      <c r="I15" s="1218"/>
      <c r="J15" s="1218"/>
      <c r="K15" s="1218"/>
      <c r="L15" s="1218"/>
      <c r="M15" s="1218"/>
      <c r="N15" s="1218"/>
      <c r="O15" s="1218"/>
      <c r="P15" s="1218"/>
      <c r="Q15" s="1218"/>
      <c r="R15" s="1218"/>
      <c r="S15" s="1218"/>
      <c r="T15" s="1218"/>
      <c r="U15" s="1228"/>
      <c r="V15" s="1218"/>
      <c r="W15" s="942"/>
      <c r="X15" s="942"/>
      <c r="Y15" s="942"/>
      <c r="Z15" s="942"/>
      <c r="AA15" s="942"/>
      <c r="AB15" s="942"/>
      <c r="AC15" s="942"/>
      <c r="AD15" s="942"/>
      <c r="AE15" s="942"/>
      <c r="AF15" s="942"/>
      <c r="AG15" s="942"/>
      <c r="AH15" s="942"/>
      <c r="AI15" s="942"/>
      <c r="AJ15" s="942"/>
      <c r="AK15" s="942"/>
      <c r="AL15" s="942"/>
      <c r="AM15" s="942"/>
      <c r="AN15" s="942"/>
      <c r="AO15" s="942"/>
      <c r="AP15" s="942"/>
      <c r="AQ15" s="942"/>
      <c r="AR15" s="942"/>
      <c r="AS15" s="942"/>
      <c r="AT15" s="942"/>
      <c r="AU15" s="942"/>
    </row>
    <row r="16" spans="2:47" ht="24" customHeight="1">
      <c r="B16" s="1218"/>
      <c r="C16" s="3925"/>
      <c r="D16" s="3925"/>
      <c r="E16" s="3925"/>
      <c r="F16" s="3925"/>
      <c r="G16" s="3925"/>
      <c r="H16" s="3925"/>
      <c r="I16" s="3925"/>
      <c r="J16" s="3925"/>
      <c r="K16" s="3925"/>
      <c r="L16" s="3925"/>
      <c r="M16" s="3925"/>
      <c r="N16" s="3925"/>
      <c r="O16" s="3925"/>
      <c r="P16" s="3925"/>
      <c r="Q16" s="3925"/>
      <c r="R16" s="3925"/>
      <c r="S16" s="1218"/>
      <c r="T16" s="1421"/>
      <c r="U16" s="1421"/>
      <c r="V16" s="1218"/>
      <c r="W16" s="942"/>
      <c r="X16" s="942"/>
      <c r="Y16" s="942"/>
      <c r="Z16" s="942"/>
      <c r="AA16" s="942"/>
      <c r="AB16" s="942"/>
      <c r="AC16" s="942"/>
      <c r="AD16" s="942"/>
      <c r="AE16" s="942"/>
      <c r="AF16" s="942"/>
      <c r="AG16" s="942"/>
      <c r="AH16" s="942"/>
      <c r="AI16" s="942"/>
      <c r="AJ16" s="942"/>
      <c r="AK16" s="942"/>
      <c r="AL16" s="942"/>
      <c r="AM16" s="942"/>
      <c r="AN16" s="942"/>
      <c r="AO16" s="942"/>
      <c r="AP16" s="942"/>
      <c r="AQ16" s="942"/>
      <c r="AR16" s="942"/>
      <c r="AS16" s="942"/>
      <c r="AT16" s="942"/>
      <c r="AU16" s="942"/>
    </row>
    <row r="17" spans="2:47" ht="29.25" customHeight="1">
      <c r="B17" s="1218"/>
      <c r="C17" s="3932" t="s">
        <v>1010</v>
      </c>
      <c r="D17" s="3932"/>
      <c r="E17" s="3932"/>
      <c r="F17" s="3932"/>
      <c r="G17" s="3932"/>
      <c r="H17" s="3932"/>
      <c r="I17" s="3932"/>
      <c r="J17" s="3932"/>
      <c r="K17" s="3932"/>
      <c r="L17" s="3932"/>
      <c r="M17" s="1229"/>
      <c r="N17" s="1229"/>
      <c r="O17" s="1229"/>
      <c r="P17" s="1229"/>
      <c r="Q17" s="1229"/>
      <c r="R17" s="1229"/>
      <c r="S17" s="1230"/>
      <c r="T17" s="3908" t="s">
        <v>777</v>
      </c>
      <c r="U17" s="3908"/>
      <c r="V17" s="1218"/>
      <c r="W17" s="942"/>
      <c r="X17" s="942"/>
      <c r="Y17" s="942"/>
      <c r="Z17" s="942"/>
      <c r="AA17" s="942"/>
      <c r="AB17" s="942"/>
      <c r="AC17" s="942"/>
      <c r="AD17" s="942"/>
      <c r="AE17" s="942"/>
      <c r="AF17" s="942"/>
      <c r="AG17" s="942"/>
      <c r="AH17" s="942"/>
      <c r="AI17" s="942"/>
      <c r="AJ17" s="942"/>
      <c r="AK17" s="942"/>
      <c r="AL17" s="942"/>
      <c r="AM17" s="942"/>
      <c r="AN17" s="942"/>
      <c r="AO17" s="942"/>
      <c r="AP17" s="942"/>
      <c r="AQ17" s="942"/>
      <c r="AR17" s="942"/>
      <c r="AS17" s="942"/>
      <c r="AT17" s="942"/>
      <c r="AU17" s="942"/>
    </row>
    <row r="18" spans="2:47" ht="22.5" customHeight="1">
      <c r="B18" s="1218"/>
      <c r="C18" s="3926" t="s">
        <v>176</v>
      </c>
      <c r="D18" s="3926" t="s">
        <v>1011</v>
      </c>
      <c r="E18" s="3926"/>
      <c r="F18" s="3929" t="s">
        <v>1012</v>
      </c>
      <c r="G18" s="3929"/>
      <c r="H18" s="3929" t="s">
        <v>1013</v>
      </c>
      <c r="I18" s="3929"/>
      <c r="J18" s="3933" t="s">
        <v>1014</v>
      </c>
      <c r="K18" s="3933"/>
      <c r="L18" s="3933"/>
      <c r="M18" s="1915"/>
      <c r="N18" s="1915"/>
      <c r="O18" s="1907"/>
      <c r="P18" s="1907"/>
      <c r="Q18" s="1907"/>
      <c r="R18" s="1907"/>
      <c r="S18" s="1230"/>
      <c r="T18" s="3908"/>
      <c r="U18" s="3908"/>
      <c r="V18" s="1218"/>
      <c r="W18" s="942"/>
      <c r="X18" s="942"/>
      <c r="Y18" s="942"/>
      <c r="Z18" s="942"/>
      <c r="AA18" s="942"/>
      <c r="AB18" s="942"/>
      <c r="AC18" s="942"/>
      <c r="AD18" s="942"/>
      <c r="AE18" s="942"/>
      <c r="AF18" s="942"/>
      <c r="AG18" s="942"/>
      <c r="AH18" s="942"/>
      <c r="AI18" s="942"/>
      <c r="AJ18" s="942"/>
      <c r="AK18" s="942"/>
      <c r="AL18" s="942"/>
      <c r="AM18" s="942"/>
      <c r="AN18" s="942"/>
      <c r="AO18" s="942"/>
      <c r="AP18" s="942"/>
      <c r="AQ18" s="942"/>
      <c r="AR18" s="942"/>
      <c r="AS18" s="942"/>
      <c r="AT18" s="942"/>
      <c r="AU18" s="942"/>
    </row>
    <row r="19" spans="2:47" ht="27" customHeight="1">
      <c r="B19" s="1218"/>
      <c r="C19" s="3927"/>
      <c r="D19" s="3927"/>
      <c r="E19" s="3927"/>
      <c r="F19" s="3930"/>
      <c r="G19" s="3930"/>
      <c r="H19" s="3930"/>
      <c r="I19" s="3930"/>
      <c r="J19" s="3933"/>
      <c r="K19" s="3933"/>
      <c r="L19" s="3933"/>
      <c r="M19" s="1915"/>
      <c r="N19" s="1915"/>
      <c r="O19" s="1908"/>
      <c r="P19" s="1908"/>
      <c r="Q19" s="1909"/>
      <c r="R19" s="1909"/>
      <c r="S19" s="1230"/>
      <c r="T19" s="3912" t="str">
        <f>CONCATENATE("Rs", " : ",'Formula-I '!BO123)</f>
        <v>Rs : 0</v>
      </c>
      <c r="U19" s="3912"/>
      <c r="V19" s="1218"/>
      <c r="W19" s="942"/>
      <c r="X19" s="942"/>
      <c r="Y19" s="942"/>
      <c r="Z19" s="942"/>
      <c r="AA19" s="942"/>
      <c r="AB19" s="942"/>
      <c r="AC19" s="942"/>
      <c r="AD19" s="942"/>
      <c r="AE19" s="942"/>
      <c r="AF19" s="942"/>
      <c r="AG19" s="942"/>
      <c r="AH19" s="942"/>
      <c r="AI19" s="942"/>
      <c r="AJ19" s="942"/>
      <c r="AK19" s="942"/>
      <c r="AL19" s="942"/>
      <c r="AM19" s="942"/>
      <c r="AN19" s="942"/>
      <c r="AO19" s="942"/>
      <c r="AP19" s="942"/>
      <c r="AQ19" s="942"/>
      <c r="AR19" s="942"/>
      <c r="AS19" s="942"/>
      <c r="AT19" s="942"/>
      <c r="AU19" s="942"/>
    </row>
    <row r="20" spans="2:47" ht="61.5" customHeight="1">
      <c r="B20" s="1218"/>
      <c r="C20" s="3928"/>
      <c r="D20" s="3928"/>
      <c r="E20" s="3928"/>
      <c r="F20" s="3931"/>
      <c r="G20" s="3931"/>
      <c r="H20" s="3931"/>
      <c r="I20" s="3931"/>
      <c r="J20" s="3933"/>
      <c r="K20" s="3933"/>
      <c r="L20" s="3933"/>
      <c r="M20" s="1915"/>
      <c r="N20" s="1915"/>
      <c r="O20" s="1916"/>
      <c r="P20" s="1916"/>
      <c r="Q20" s="1909"/>
      <c r="R20" s="1909"/>
      <c r="S20" s="1230"/>
      <c r="T20" s="1420"/>
      <c r="U20" s="1420"/>
      <c r="V20" s="1218"/>
      <c r="W20" s="942"/>
      <c r="X20" s="942"/>
      <c r="Y20" s="942"/>
      <c r="Z20" s="942"/>
      <c r="AA20" s="942"/>
      <c r="AB20" s="942"/>
      <c r="AC20" s="942"/>
      <c r="AD20" s="942"/>
      <c r="AE20" s="942"/>
      <c r="AF20" s="942"/>
      <c r="AG20" s="942"/>
      <c r="AH20" s="942"/>
      <c r="AI20" s="942"/>
      <c r="AJ20" s="942"/>
      <c r="AK20" s="942"/>
      <c r="AL20" s="942"/>
      <c r="AM20" s="942"/>
      <c r="AN20" s="942"/>
      <c r="AO20" s="942"/>
      <c r="AP20" s="942"/>
      <c r="AQ20" s="942"/>
      <c r="AR20" s="942"/>
      <c r="AS20" s="942"/>
      <c r="AT20" s="942"/>
      <c r="AU20" s="942"/>
    </row>
    <row r="21" spans="2:47" ht="24" customHeight="1">
      <c r="B21" s="1218"/>
      <c r="C21" s="1232">
        <v>1</v>
      </c>
      <c r="D21" s="3865" t="s">
        <v>1018</v>
      </c>
      <c r="E21" s="3866"/>
      <c r="F21" s="3897">
        <v>0</v>
      </c>
      <c r="G21" s="3897"/>
      <c r="H21" s="3897">
        <v>0</v>
      </c>
      <c r="I21" s="3897"/>
      <c r="J21" s="3870">
        <f t="shared" ref="J21:J25" si="0">SUM(F21:I21)</f>
        <v>0</v>
      </c>
      <c r="K21" s="3871"/>
      <c r="L21" s="3872"/>
      <c r="M21" s="1911"/>
      <c r="N21" s="1912"/>
      <c r="O21" s="1910"/>
      <c r="P21" s="1910"/>
      <c r="Q21" s="1909"/>
      <c r="R21" s="1909"/>
      <c r="S21" s="1230"/>
      <c r="T21" s="3918" t="s">
        <v>1167</v>
      </c>
      <c r="U21" s="3918"/>
      <c r="V21" s="1218"/>
      <c r="W21" s="942"/>
      <c r="X21" s="942"/>
      <c r="Y21" s="942"/>
      <c r="Z21" s="942"/>
      <c r="AA21" s="942"/>
      <c r="AB21" s="942"/>
      <c r="AC21" s="942"/>
      <c r="AD21" s="942"/>
      <c r="AE21" s="942"/>
      <c r="AF21" s="942"/>
      <c r="AG21" s="942"/>
      <c r="AH21" s="942"/>
      <c r="AI21" s="942"/>
      <c r="AJ21" s="942"/>
      <c r="AK21" s="942"/>
      <c r="AL21" s="942"/>
      <c r="AM21" s="942"/>
      <c r="AN21" s="942"/>
      <c r="AO21" s="942"/>
      <c r="AP21" s="942"/>
      <c r="AQ21" s="942"/>
      <c r="AR21" s="942"/>
      <c r="AS21" s="942"/>
      <c r="AT21" s="942"/>
      <c r="AU21" s="942"/>
    </row>
    <row r="22" spans="2:47" ht="24" customHeight="1">
      <c r="B22" s="1218"/>
      <c r="C22" s="1231">
        <v>2</v>
      </c>
      <c r="D22" s="3865" t="s">
        <v>1019</v>
      </c>
      <c r="E22" s="3866"/>
      <c r="F22" s="3897">
        <v>0</v>
      </c>
      <c r="G22" s="3897"/>
      <c r="H22" s="3897">
        <v>0</v>
      </c>
      <c r="I22" s="3897"/>
      <c r="J22" s="3870">
        <f t="shared" si="0"/>
        <v>0</v>
      </c>
      <c r="K22" s="3871"/>
      <c r="L22" s="3872"/>
      <c r="M22" s="1911"/>
      <c r="N22" s="1912"/>
      <c r="O22" s="1910"/>
      <c r="P22" s="1910"/>
      <c r="Q22" s="1909"/>
      <c r="R22" s="1909"/>
      <c r="S22" s="1230"/>
      <c r="T22" s="3918"/>
      <c r="U22" s="3918"/>
      <c r="V22" s="1218"/>
      <c r="W22" s="942"/>
      <c r="X22" s="942"/>
      <c r="Y22" s="942"/>
      <c r="Z22" s="942"/>
      <c r="AA22" s="942"/>
      <c r="AB22" s="942"/>
      <c r="AC22" s="942"/>
      <c r="AD22" s="942"/>
      <c r="AE22" s="942"/>
      <c r="AF22" s="942"/>
      <c r="AG22" s="942"/>
      <c r="AH22" s="942"/>
      <c r="AI22" s="942"/>
      <c r="AJ22" s="942"/>
      <c r="AK22" s="942"/>
      <c r="AL22" s="942"/>
      <c r="AM22" s="942"/>
      <c r="AN22" s="942"/>
      <c r="AO22" s="942"/>
      <c r="AP22" s="942"/>
      <c r="AQ22" s="942"/>
      <c r="AR22" s="942"/>
      <c r="AS22" s="942"/>
      <c r="AT22" s="942"/>
      <c r="AU22" s="942"/>
    </row>
    <row r="23" spans="2:47" ht="24" customHeight="1">
      <c r="B23" s="1218"/>
      <c r="C23" s="1232">
        <v>3</v>
      </c>
      <c r="D23" s="3865" t="s">
        <v>1020</v>
      </c>
      <c r="E23" s="3866"/>
      <c r="F23" s="3897">
        <v>0</v>
      </c>
      <c r="G23" s="3897"/>
      <c r="H23" s="3897">
        <v>0</v>
      </c>
      <c r="I23" s="3897"/>
      <c r="J23" s="3870">
        <f t="shared" si="0"/>
        <v>0</v>
      </c>
      <c r="K23" s="3871"/>
      <c r="L23" s="3872"/>
      <c r="M23" s="1911"/>
      <c r="N23" s="1912"/>
      <c r="O23" s="1910"/>
      <c r="P23" s="1910"/>
      <c r="Q23" s="1909"/>
      <c r="R23" s="1909"/>
      <c r="S23" s="1230"/>
      <c r="T23" s="3918"/>
      <c r="U23" s="3918"/>
      <c r="V23" s="1218"/>
      <c r="W23" s="942"/>
      <c r="X23" s="942"/>
      <c r="Y23" s="942"/>
      <c r="Z23" s="942"/>
      <c r="AA23" s="942"/>
      <c r="AB23" s="942"/>
      <c r="AC23" s="942"/>
      <c r="AD23" s="942"/>
      <c r="AE23" s="942"/>
      <c r="AF23" s="942"/>
      <c r="AG23" s="942"/>
      <c r="AH23" s="942"/>
      <c r="AI23" s="942"/>
      <c r="AJ23" s="942"/>
      <c r="AK23" s="942"/>
      <c r="AL23" s="942"/>
      <c r="AM23" s="942"/>
      <c r="AN23" s="942"/>
      <c r="AO23" s="942"/>
      <c r="AP23" s="942"/>
      <c r="AQ23" s="942"/>
      <c r="AR23" s="942"/>
      <c r="AS23" s="942"/>
      <c r="AT23" s="942"/>
      <c r="AU23" s="942"/>
    </row>
    <row r="24" spans="2:47" ht="24" customHeight="1">
      <c r="B24" s="1218"/>
      <c r="C24" s="1231">
        <v>4</v>
      </c>
      <c r="D24" s="3865" t="s">
        <v>1021</v>
      </c>
      <c r="E24" s="3866"/>
      <c r="F24" s="3891">
        <v>0</v>
      </c>
      <c r="G24" s="3892"/>
      <c r="H24" s="3891">
        <v>0</v>
      </c>
      <c r="I24" s="3892"/>
      <c r="J24" s="3870">
        <f t="shared" si="0"/>
        <v>0</v>
      </c>
      <c r="K24" s="3871"/>
      <c r="L24" s="3872"/>
      <c r="M24" s="1911"/>
      <c r="N24" s="1912"/>
      <c r="O24" s="1910"/>
      <c r="P24" s="1910"/>
      <c r="Q24" s="1909"/>
      <c r="R24" s="1909"/>
      <c r="S24" s="1230"/>
      <c r="T24" s="3918"/>
      <c r="U24" s="3918"/>
      <c r="V24" s="1218"/>
      <c r="W24" s="942"/>
      <c r="X24" s="942"/>
      <c r="Y24" s="942"/>
      <c r="Z24" s="942"/>
      <c r="AA24" s="942"/>
      <c r="AB24" s="942"/>
      <c r="AC24" s="942"/>
      <c r="AD24" s="942"/>
      <c r="AE24" s="942"/>
      <c r="AF24" s="942"/>
      <c r="AG24" s="942"/>
      <c r="AH24" s="942"/>
      <c r="AI24" s="942"/>
      <c r="AJ24" s="942"/>
      <c r="AK24" s="942"/>
      <c r="AL24" s="942"/>
      <c r="AM24" s="942"/>
      <c r="AN24" s="942"/>
      <c r="AO24" s="942"/>
      <c r="AP24" s="942"/>
      <c r="AQ24" s="942"/>
      <c r="AR24" s="942"/>
      <c r="AS24" s="942"/>
      <c r="AT24" s="942"/>
      <c r="AU24" s="942"/>
    </row>
    <row r="25" spans="2:47" ht="24" customHeight="1">
      <c r="B25" s="1218"/>
      <c r="C25" s="1232">
        <v>5</v>
      </c>
      <c r="D25" s="3865" t="s">
        <v>1022</v>
      </c>
      <c r="E25" s="3866"/>
      <c r="F25" s="3891">
        <v>0</v>
      </c>
      <c r="G25" s="3892"/>
      <c r="H25" s="3891">
        <v>0</v>
      </c>
      <c r="I25" s="3892"/>
      <c r="J25" s="3870">
        <f t="shared" si="0"/>
        <v>0</v>
      </c>
      <c r="K25" s="3871"/>
      <c r="L25" s="3872"/>
      <c r="M25" s="1911"/>
      <c r="N25" s="1912"/>
      <c r="O25" s="1910"/>
      <c r="P25" s="1910"/>
      <c r="Q25" s="1909"/>
      <c r="R25" s="1909"/>
      <c r="S25" s="1230"/>
      <c r="T25" s="3917" t="str">
        <f>CONCATENATE("Rs",":",H29,"/-")</f>
        <v>Rs:/-</v>
      </c>
      <c r="U25" s="3917"/>
      <c r="V25" s="1218"/>
      <c r="W25" s="942"/>
      <c r="X25" s="942"/>
      <c r="Y25" s="942"/>
      <c r="Z25" s="942"/>
      <c r="AA25" s="942"/>
      <c r="AB25" s="942"/>
      <c r="AC25" s="942"/>
      <c r="AD25" s="942"/>
      <c r="AE25" s="942"/>
      <c r="AF25" s="942"/>
      <c r="AG25" s="942"/>
      <c r="AH25" s="942"/>
      <c r="AI25" s="942"/>
      <c r="AJ25" s="942"/>
      <c r="AK25" s="942"/>
      <c r="AL25" s="942"/>
      <c r="AM25" s="942"/>
      <c r="AN25" s="942"/>
      <c r="AO25" s="942"/>
      <c r="AP25" s="942"/>
      <c r="AQ25" s="942"/>
      <c r="AR25" s="942"/>
      <c r="AS25" s="942"/>
      <c r="AT25" s="942"/>
      <c r="AU25" s="942"/>
    </row>
    <row r="26" spans="2:47" ht="24" customHeight="1">
      <c r="B26" s="1218"/>
      <c r="C26" s="1231">
        <v>6</v>
      </c>
      <c r="D26" s="3865" t="s">
        <v>1002</v>
      </c>
      <c r="E26" s="3866"/>
      <c r="F26" s="3891">
        <v>0</v>
      </c>
      <c r="G26" s="3892"/>
      <c r="H26" s="3891">
        <v>0</v>
      </c>
      <c r="I26" s="3892"/>
      <c r="J26" s="3870">
        <f t="shared" ref="J26" si="1">SUM(F26:I26)</f>
        <v>0</v>
      </c>
      <c r="K26" s="3871"/>
      <c r="L26" s="3872"/>
      <c r="M26" s="1911"/>
      <c r="N26" s="1912"/>
      <c r="O26" s="1910"/>
      <c r="P26" s="1910"/>
      <c r="Q26" s="1909"/>
      <c r="R26" s="1909"/>
      <c r="S26" s="1230"/>
      <c r="T26" s="3917"/>
      <c r="U26" s="3917"/>
      <c r="V26" s="1218"/>
      <c r="W26" s="942"/>
      <c r="X26" s="942"/>
      <c r="Y26" s="942"/>
      <c r="Z26" s="942"/>
      <c r="AA26" s="942"/>
      <c r="AB26" s="942"/>
      <c r="AC26" s="942"/>
      <c r="AD26" s="942"/>
      <c r="AE26" s="942"/>
      <c r="AF26" s="942"/>
      <c r="AG26" s="942"/>
      <c r="AH26" s="942"/>
      <c r="AI26" s="942"/>
      <c r="AJ26" s="942"/>
      <c r="AK26" s="942"/>
      <c r="AL26" s="942"/>
      <c r="AM26" s="942"/>
      <c r="AN26" s="942"/>
      <c r="AO26" s="942"/>
      <c r="AP26" s="942"/>
      <c r="AQ26" s="942"/>
      <c r="AR26" s="942"/>
      <c r="AS26" s="942"/>
      <c r="AT26" s="942"/>
      <c r="AU26" s="942"/>
    </row>
    <row r="27" spans="2:47" ht="24" customHeight="1">
      <c r="B27" s="1218"/>
      <c r="C27" s="1232">
        <v>7</v>
      </c>
      <c r="D27" s="3865" t="s">
        <v>1006</v>
      </c>
      <c r="E27" s="3866"/>
      <c r="F27" s="3891">
        <v>0</v>
      </c>
      <c r="G27" s="3892"/>
      <c r="H27" s="3891">
        <v>0</v>
      </c>
      <c r="I27" s="3892"/>
      <c r="J27" s="3870">
        <f t="shared" ref="J27" si="2">SUM(F27:I27)</f>
        <v>0</v>
      </c>
      <c r="K27" s="3871"/>
      <c r="L27" s="3872"/>
      <c r="M27" s="1911"/>
      <c r="N27" s="1912"/>
      <c r="O27" s="1910"/>
      <c r="P27" s="1910"/>
      <c r="Q27" s="1909"/>
      <c r="R27" s="1909"/>
      <c r="S27" s="1230"/>
      <c r="T27" s="3917"/>
      <c r="U27" s="3917"/>
      <c r="V27" s="1218"/>
      <c r="W27" s="942"/>
      <c r="X27" s="942"/>
      <c r="Y27" s="942"/>
      <c r="Z27" s="942"/>
      <c r="AA27" s="942"/>
      <c r="AB27" s="942"/>
      <c r="AC27" s="942"/>
      <c r="AD27" s="942"/>
      <c r="AE27" s="942"/>
      <c r="AF27" s="942"/>
      <c r="AG27" s="942"/>
      <c r="AH27" s="942"/>
      <c r="AI27" s="942"/>
      <c r="AJ27" s="942"/>
      <c r="AK27" s="942"/>
      <c r="AL27" s="942"/>
      <c r="AM27" s="942"/>
      <c r="AN27" s="942"/>
      <c r="AO27" s="942"/>
      <c r="AP27" s="942"/>
      <c r="AQ27" s="942"/>
      <c r="AR27" s="942"/>
      <c r="AS27" s="942"/>
      <c r="AT27" s="942"/>
      <c r="AU27" s="942"/>
    </row>
    <row r="28" spans="2:47" ht="24" customHeight="1">
      <c r="B28" s="1218"/>
      <c r="C28" s="1232">
        <v>8</v>
      </c>
      <c r="D28" s="3893" t="s">
        <v>1149</v>
      </c>
      <c r="E28" s="3894"/>
      <c r="F28" s="3895">
        <v>0</v>
      </c>
      <c r="G28" s="3896"/>
      <c r="H28" s="3895">
        <v>0</v>
      </c>
      <c r="I28" s="3896"/>
      <c r="J28" s="3870">
        <f t="shared" ref="J28" si="3">SUM(F28:I28)</f>
        <v>0</v>
      </c>
      <c r="K28" s="3871"/>
      <c r="L28" s="3872"/>
      <c r="M28" s="1911"/>
      <c r="N28" s="1912"/>
      <c r="O28" s="1910"/>
      <c r="P28" s="1910"/>
      <c r="Q28" s="1909"/>
      <c r="R28" s="1909"/>
      <c r="S28" s="1230"/>
      <c r="T28" s="3917"/>
      <c r="U28" s="3917"/>
      <c r="V28" s="1218"/>
      <c r="W28" s="942"/>
      <c r="X28" s="942"/>
      <c r="Y28" s="942"/>
      <c r="Z28" s="942"/>
      <c r="AA28" s="942"/>
      <c r="AB28" s="942"/>
      <c r="AC28" s="942"/>
      <c r="AD28" s="942"/>
      <c r="AE28" s="942"/>
      <c r="AF28" s="942"/>
      <c r="AG28" s="942"/>
      <c r="AH28" s="942"/>
      <c r="AI28" s="942"/>
      <c r="AJ28" s="942"/>
      <c r="AK28" s="942"/>
      <c r="AL28" s="942"/>
      <c r="AM28" s="942"/>
      <c r="AN28" s="942"/>
      <c r="AO28" s="942"/>
      <c r="AP28" s="942"/>
      <c r="AQ28" s="942"/>
      <c r="AR28" s="942"/>
      <c r="AS28" s="942"/>
      <c r="AT28" s="942"/>
      <c r="AU28" s="942"/>
    </row>
    <row r="29" spans="2:47" ht="22.5" customHeight="1">
      <c r="B29" s="1218"/>
      <c r="C29" s="1233"/>
      <c r="D29" s="3865" t="s">
        <v>22</v>
      </c>
      <c r="E29" s="3866"/>
      <c r="F29" s="3867" t="str">
        <f>IF(SUM(F21:G28)&gt;0,SUM(F21:G28),"")</f>
        <v/>
      </c>
      <c r="G29" s="3868"/>
      <c r="H29" s="3868" t="str">
        <f>IF(SUM(H21:I28)&gt;0,SUM(H21:I28),"")</f>
        <v/>
      </c>
      <c r="I29" s="3869"/>
      <c r="J29" s="3870" t="str">
        <f>IF(SUM(J21:L28)&gt;0,SUM(J21:L28),"")</f>
        <v/>
      </c>
      <c r="K29" s="3871"/>
      <c r="L29" s="3872"/>
      <c r="M29" s="1913"/>
      <c r="N29" s="1914"/>
      <c r="O29" s="1910"/>
      <c r="P29" s="1910"/>
      <c r="Q29" s="1909"/>
      <c r="R29" s="1909"/>
      <c r="S29" s="1230"/>
      <c r="T29" s="3917"/>
      <c r="U29" s="3917"/>
      <c r="V29" s="1218"/>
      <c r="W29" s="942"/>
      <c r="X29" s="942"/>
      <c r="Y29" s="942"/>
      <c r="Z29" s="942"/>
      <c r="AA29" s="942"/>
      <c r="AB29" s="942"/>
      <c r="AC29" s="942"/>
      <c r="AD29" s="942"/>
      <c r="AE29" s="942"/>
      <c r="AF29" s="942"/>
      <c r="AG29" s="942"/>
      <c r="AH29" s="942"/>
      <c r="AI29" s="942"/>
      <c r="AJ29" s="942"/>
      <c r="AK29" s="942"/>
      <c r="AL29" s="942"/>
      <c r="AM29" s="942"/>
      <c r="AN29" s="942"/>
      <c r="AO29" s="942"/>
      <c r="AP29" s="942"/>
      <c r="AQ29" s="942"/>
      <c r="AR29" s="942"/>
      <c r="AS29" s="942"/>
      <c r="AT29" s="942"/>
      <c r="AU29" s="942"/>
    </row>
    <row r="30" spans="2:47" ht="6.75" customHeight="1">
      <c r="B30" s="1218"/>
      <c r="C30" s="1234"/>
      <c r="D30" s="1234"/>
      <c r="E30" s="1234"/>
      <c r="F30" s="1234"/>
      <c r="G30" s="1234"/>
      <c r="H30" s="1234"/>
      <c r="I30" s="3873"/>
      <c r="J30" s="3874"/>
      <c r="K30" s="3874"/>
      <c r="L30" s="3874"/>
      <c r="M30" s="1234"/>
      <c r="N30" s="1234"/>
      <c r="O30" s="1234"/>
      <c r="P30" s="1234"/>
      <c r="Q30" s="1234"/>
      <c r="R30" s="1234"/>
      <c r="S30" s="1235"/>
      <c r="T30" s="1235"/>
      <c r="U30" s="1235"/>
      <c r="V30" s="1218"/>
      <c r="W30" s="942"/>
      <c r="X30" s="942"/>
      <c r="Y30" s="942"/>
      <c r="Z30" s="942"/>
      <c r="AA30" s="942"/>
      <c r="AB30" s="942"/>
      <c r="AC30" s="942"/>
      <c r="AD30" s="942"/>
      <c r="AE30" s="942"/>
      <c r="AF30" s="942"/>
      <c r="AG30" s="942"/>
      <c r="AH30" s="942"/>
      <c r="AI30" s="942"/>
      <c r="AJ30" s="942"/>
      <c r="AK30" s="942"/>
      <c r="AL30" s="942"/>
      <c r="AM30" s="942"/>
      <c r="AN30" s="942"/>
      <c r="AO30" s="942"/>
      <c r="AP30" s="942"/>
      <c r="AQ30" s="942"/>
      <c r="AR30" s="942"/>
      <c r="AS30" s="942"/>
      <c r="AT30" s="942"/>
      <c r="AU30" s="942"/>
    </row>
    <row r="31" spans="2:47" ht="32.25" customHeight="1">
      <c r="B31" s="1218"/>
      <c r="C31" s="3875" t="s">
        <v>1023</v>
      </c>
      <c r="D31" s="3875"/>
      <c r="E31" s="3875"/>
      <c r="F31" s="3875"/>
      <c r="G31" s="3875"/>
      <c r="H31" s="3875"/>
      <c r="I31" s="3875"/>
      <c r="J31" s="3875"/>
      <c r="K31" s="3875"/>
      <c r="L31" s="3875"/>
      <c r="M31" s="3875"/>
      <c r="N31" s="3875"/>
      <c r="O31" s="3875"/>
      <c r="P31" s="3875"/>
      <c r="Q31" s="3875"/>
      <c r="R31" s="3875"/>
      <c r="S31" s="1230"/>
      <c r="T31" s="3911" t="s">
        <v>171</v>
      </c>
      <c r="U31" s="3911"/>
      <c r="V31" s="1218"/>
      <c r="W31" s="942"/>
      <c r="X31" s="942"/>
      <c r="Y31" s="942"/>
      <c r="Z31" s="942"/>
      <c r="AA31" s="942"/>
      <c r="AB31" s="942"/>
      <c r="AC31" s="942"/>
      <c r="AD31" s="942"/>
      <c r="AE31" s="942"/>
      <c r="AF31" s="942"/>
      <c r="AG31" s="942"/>
      <c r="AH31" s="942"/>
      <c r="AI31" s="942"/>
      <c r="AJ31" s="942"/>
      <c r="AK31" s="942"/>
      <c r="AL31" s="942"/>
      <c r="AM31" s="942"/>
      <c r="AN31" s="942"/>
      <c r="AO31" s="942"/>
      <c r="AP31" s="942"/>
      <c r="AQ31" s="942"/>
      <c r="AR31" s="942"/>
      <c r="AS31" s="942"/>
      <c r="AT31" s="942"/>
      <c r="AU31" s="942"/>
    </row>
    <row r="32" spans="2:47" ht="22.5" customHeight="1">
      <c r="B32" s="1218"/>
      <c r="C32" s="3876" t="s">
        <v>176</v>
      </c>
      <c r="D32" s="3879" t="s">
        <v>1011</v>
      </c>
      <c r="E32" s="3880"/>
      <c r="F32" s="3885" t="s">
        <v>1012</v>
      </c>
      <c r="G32" s="3885"/>
      <c r="H32" s="3885" t="s">
        <v>1013</v>
      </c>
      <c r="I32" s="3885"/>
      <c r="J32" s="3888" t="s">
        <v>1024</v>
      </c>
      <c r="K32" s="3888"/>
      <c r="L32" s="3888"/>
      <c r="M32" s="3885" t="s">
        <v>1025</v>
      </c>
      <c r="N32" s="3885"/>
      <c r="O32" s="3885" t="s">
        <v>1026</v>
      </c>
      <c r="P32" s="3885"/>
      <c r="Q32" s="3888" t="s">
        <v>1027</v>
      </c>
      <c r="R32" s="3888"/>
      <c r="S32" s="1230"/>
      <c r="T32" s="1436"/>
      <c r="U32" s="1436"/>
      <c r="V32" s="1236"/>
      <c r="W32" s="942"/>
      <c r="X32" s="942"/>
      <c r="Y32" s="942"/>
      <c r="Z32" s="942"/>
      <c r="AA32" s="942"/>
      <c r="AB32" s="942"/>
      <c r="AC32" s="942"/>
      <c r="AD32" s="942"/>
      <c r="AE32" s="942"/>
      <c r="AF32" s="942"/>
      <c r="AG32" s="942"/>
      <c r="AH32" s="942"/>
      <c r="AI32" s="942"/>
      <c r="AJ32" s="942"/>
      <c r="AK32" s="942"/>
      <c r="AL32" s="942"/>
      <c r="AM32" s="942"/>
      <c r="AN32" s="942"/>
      <c r="AO32" s="942"/>
      <c r="AP32" s="942"/>
      <c r="AQ32" s="942"/>
      <c r="AR32" s="942"/>
      <c r="AS32" s="942"/>
      <c r="AT32" s="942"/>
      <c r="AU32" s="942"/>
    </row>
    <row r="33" spans="2:47" ht="22.5" customHeight="1">
      <c r="B33" s="1218"/>
      <c r="C33" s="3877"/>
      <c r="D33" s="3881"/>
      <c r="E33" s="3882"/>
      <c r="F33" s="3886"/>
      <c r="G33" s="3886"/>
      <c r="H33" s="3886"/>
      <c r="I33" s="3886"/>
      <c r="J33" s="3889"/>
      <c r="K33" s="3889"/>
      <c r="L33" s="3889"/>
      <c r="M33" s="3886"/>
      <c r="N33" s="3886"/>
      <c r="O33" s="3886"/>
      <c r="P33" s="3886"/>
      <c r="Q33" s="3889"/>
      <c r="R33" s="3889"/>
      <c r="S33" s="1230"/>
      <c r="T33" s="1436"/>
      <c r="U33" s="1436"/>
      <c r="V33" s="1236"/>
      <c r="W33" s="942"/>
      <c r="X33" s="942"/>
      <c r="Y33" s="942"/>
      <c r="Z33" s="942"/>
      <c r="AA33" s="942"/>
      <c r="AB33" s="942"/>
      <c r="AC33" s="942"/>
      <c r="AD33" s="942"/>
      <c r="AE33" s="942"/>
      <c r="AF33" s="942"/>
      <c r="AG33" s="942"/>
      <c r="AH33" s="942"/>
      <c r="AI33" s="942"/>
      <c r="AJ33" s="942"/>
      <c r="AK33" s="942"/>
      <c r="AL33" s="942"/>
      <c r="AM33" s="942"/>
      <c r="AN33" s="942"/>
      <c r="AO33" s="942"/>
      <c r="AP33" s="942"/>
      <c r="AQ33" s="942"/>
      <c r="AR33" s="942"/>
      <c r="AS33" s="942"/>
      <c r="AT33" s="942"/>
      <c r="AU33" s="942"/>
    </row>
    <row r="34" spans="2:47" ht="32.25" customHeight="1">
      <c r="B34" s="1218"/>
      <c r="C34" s="3878"/>
      <c r="D34" s="3883"/>
      <c r="E34" s="3884"/>
      <c r="F34" s="3887"/>
      <c r="G34" s="3887"/>
      <c r="H34" s="3887"/>
      <c r="I34" s="3887"/>
      <c r="J34" s="3890"/>
      <c r="K34" s="3890"/>
      <c r="L34" s="3890"/>
      <c r="M34" s="3887"/>
      <c r="N34" s="3887"/>
      <c r="O34" s="3887"/>
      <c r="P34" s="3887"/>
      <c r="Q34" s="3890"/>
      <c r="R34" s="3890"/>
      <c r="S34" s="1237"/>
      <c r="T34" s="1436"/>
      <c r="U34" s="1436"/>
      <c r="V34" s="1218"/>
      <c r="W34" s="942"/>
      <c r="X34" s="942"/>
      <c r="Y34" s="942"/>
      <c r="Z34" s="942"/>
      <c r="AA34" s="942"/>
      <c r="AB34" s="942"/>
      <c r="AC34" s="942"/>
      <c r="AD34" s="942"/>
      <c r="AE34" s="942"/>
      <c r="AF34" s="942"/>
      <c r="AG34" s="942"/>
      <c r="AH34" s="942"/>
      <c r="AI34" s="942"/>
      <c r="AJ34" s="942"/>
      <c r="AK34" s="942"/>
      <c r="AL34" s="942"/>
      <c r="AM34" s="942"/>
      <c r="AN34" s="942"/>
      <c r="AO34" s="942"/>
      <c r="AP34" s="942"/>
      <c r="AQ34" s="942"/>
      <c r="AR34" s="942"/>
      <c r="AS34" s="942"/>
      <c r="AT34" s="942"/>
      <c r="AU34" s="942"/>
    </row>
    <row r="35" spans="2:47" ht="31.5" customHeight="1">
      <c r="B35" s="1218"/>
      <c r="C35" s="1238">
        <v>1</v>
      </c>
      <c r="D35" s="3835">
        <v>2</v>
      </c>
      <c r="E35" s="3835"/>
      <c r="F35" s="3835">
        <v>3</v>
      </c>
      <c r="G35" s="3835"/>
      <c r="H35" s="3835">
        <v>4</v>
      </c>
      <c r="I35" s="3835"/>
      <c r="J35" s="3835">
        <v>5</v>
      </c>
      <c r="K35" s="3835"/>
      <c r="L35" s="3835"/>
      <c r="M35" s="3835">
        <v>6</v>
      </c>
      <c r="N35" s="3835"/>
      <c r="O35" s="3835">
        <v>7</v>
      </c>
      <c r="P35" s="3835"/>
      <c r="Q35" s="3835">
        <v>8</v>
      </c>
      <c r="R35" s="3835"/>
      <c r="S35" s="1237"/>
      <c r="T35" s="1436"/>
      <c r="U35" s="1436"/>
      <c r="V35" s="1218"/>
      <c r="W35" s="942"/>
      <c r="X35" s="942"/>
      <c r="Y35" s="942"/>
      <c r="Z35" s="942"/>
      <c r="AA35" s="942"/>
      <c r="AB35" s="942"/>
      <c r="AC35" s="942"/>
      <c r="AD35" s="942"/>
      <c r="AE35" s="942"/>
      <c r="AF35" s="942"/>
      <c r="AG35" s="942"/>
      <c r="AH35" s="942"/>
      <c r="AI35" s="942"/>
      <c r="AJ35" s="942"/>
      <c r="AK35" s="942"/>
      <c r="AL35" s="942"/>
      <c r="AM35" s="942"/>
      <c r="AN35" s="942"/>
      <c r="AO35" s="942"/>
      <c r="AP35" s="942"/>
      <c r="AQ35" s="942"/>
      <c r="AR35" s="942"/>
      <c r="AS35" s="942"/>
      <c r="AT35" s="942"/>
      <c r="AU35" s="942"/>
    </row>
    <row r="36" spans="2:47" ht="24" customHeight="1">
      <c r="B36" s="1218"/>
      <c r="C36" s="1239">
        <v>1</v>
      </c>
      <c r="D36" s="3864" t="str">
        <f>IF(F21&gt;0,CONCATENATE("2013-14"),"")</f>
        <v/>
      </c>
      <c r="E36" s="3864"/>
      <c r="F36" s="3834" t="str">
        <f t="shared" ref="F36:F43" si="4">IF(F21&gt;0,F21,"")</f>
        <v/>
      </c>
      <c r="G36" s="3834"/>
      <c r="H36" s="3834" t="str">
        <f t="shared" ref="H36:H43" si="5">IF(H21&gt;0,H21,"")</f>
        <v/>
      </c>
      <c r="I36" s="3834"/>
      <c r="J36" s="3835" t="str">
        <f t="shared" ref="J36:J43" si="6">IF(J21&gt;0,J21,"")</f>
        <v/>
      </c>
      <c r="K36" s="3835"/>
      <c r="L36" s="3835"/>
      <c r="M36" s="3834" t="str">
        <f>IF('Formula-I '!P204&gt;0,'Formula-I '!P204,"")</f>
        <v/>
      </c>
      <c r="N36" s="3834"/>
      <c r="O36" s="3834" t="str">
        <f>IF('Formula-I '!R204&gt;0,'Formula-I '!R204,"")</f>
        <v/>
      </c>
      <c r="P36" s="3834"/>
      <c r="Q36" s="3834" t="str">
        <f>IF('Formula-I '!T204&gt;0,'Formula-I '!T204,"")</f>
        <v/>
      </c>
      <c r="R36" s="3834"/>
      <c r="S36" s="1237"/>
      <c r="T36" s="1436"/>
      <c r="U36" s="1436"/>
      <c r="V36" s="1218"/>
      <c r="W36" s="942"/>
      <c r="X36" s="942"/>
      <c r="Y36" s="942"/>
      <c r="Z36" s="942"/>
      <c r="AA36" s="942"/>
      <c r="AB36" s="942"/>
      <c r="AC36" s="942"/>
      <c r="AD36" s="942"/>
      <c r="AE36" s="942"/>
      <c r="AF36" s="942"/>
      <c r="AG36" s="942"/>
      <c r="AH36" s="942"/>
      <c r="AI36" s="942"/>
      <c r="AJ36" s="942"/>
      <c r="AK36" s="942"/>
      <c r="AL36" s="942"/>
      <c r="AM36" s="942"/>
      <c r="AN36" s="942"/>
      <c r="AO36" s="942"/>
      <c r="AP36" s="942"/>
      <c r="AQ36" s="942"/>
      <c r="AR36" s="942"/>
      <c r="AS36" s="942"/>
      <c r="AT36" s="942"/>
      <c r="AU36" s="942"/>
    </row>
    <row r="37" spans="2:47" ht="24" customHeight="1">
      <c r="B37" s="1218"/>
      <c r="C37" s="1238">
        <v>2</v>
      </c>
      <c r="D37" s="3864" t="str">
        <f>IF(F22&gt;0,CONCATENATE("2014-15"),"")</f>
        <v/>
      </c>
      <c r="E37" s="3864"/>
      <c r="F37" s="3834" t="str">
        <f t="shared" si="4"/>
        <v/>
      </c>
      <c r="G37" s="3834"/>
      <c r="H37" s="3834" t="str">
        <f t="shared" si="5"/>
        <v/>
      </c>
      <c r="I37" s="3834"/>
      <c r="J37" s="3835" t="str">
        <f t="shared" si="6"/>
        <v/>
      </c>
      <c r="K37" s="3835"/>
      <c r="L37" s="3835"/>
      <c r="M37" s="3834" t="str">
        <f>IF('Formula-I '!P205&gt;0,'Formula-I '!P205,"")</f>
        <v/>
      </c>
      <c r="N37" s="3834"/>
      <c r="O37" s="3834" t="str">
        <f>IF('Formula-I '!R205&gt;0,'Formula-I '!R205,"")</f>
        <v/>
      </c>
      <c r="P37" s="3834"/>
      <c r="Q37" s="3834" t="str">
        <f>IF('Formula-I '!T205&gt;0,'Formula-I '!T205,"")</f>
        <v/>
      </c>
      <c r="R37" s="3834"/>
      <c r="S37" s="1237"/>
      <c r="T37" s="1436"/>
      <c r="U37" s="1436"/>
      <c r="V37" s="1218"/>
      <c r="W37" s="942"/>
      <c r="X37" s="942"/>
      <c r="Y37" s="942"/>
      <c r="Z37" s="942"/>
      <c r="AA37" s="942"/>
      <c r="AB37" s="942"/>
      <c r="AC37" s="942"/>
      <c r="AD37" s="942"/>
      <c r="AE37" s="942"/>
      <c r="AF37" s="942"/>
      <c r="AG37" s="942"/>
      <c r="AH37" s="942"/>
      <c r="AI37" s="942"/>
      <c r="AJ37" s="942"/>
      <c r="AK37" s="942"/>
      <c r="AL37" s="942"/>
      <c r="AM37" s="942"/>
      <c r="AN37" s="942"/>
      <c r="AO37" s="942"/>
      <c r="AP37" s="942"/>
      <c r="AQ37" s="942"/>
      <c r="AR37" s="942"/>
      <c r="AS37" s="942"/>
      <c r="AT37" s="942"/>
      <c r="AU37" s="942"/>
    </row>
    <row r="38" spans="2:47" ht="24" customHeight="1">
      <c r="B38" s="1218"/>
      <c r="C38" s="1239">
        <v>3</v>
      </c>
      <c r="D38" s="3862" t="s">
        <v>1020</v>
      </c>
      <c r="E38" s="3863"/>
      <c r="F38" s="3834" t="str">
        <f t="shared" si="4"/>
        <v/>
      </c>
      <c r="G38" s="3834"/>
      <c r="H38" s="3834" t="str">
        <f t="shared" si="5"/>
        <v/>
      </c>
      <c r="I38" s="3834"/>
      <c r="J38" s="3835" t="str">
        <f t="shared" si="6"/>
        <v/>
      </c>
      <c r="K38" s="3835"/>
      <c r="L38" s="3835"/>
      <c r="M38" s="3834" t="str">
        <f>IF('Formula-I '!P206&gt;0,'Formula-I '!P206,"")</f>
        <v/>
      </c>
      <c r="N38" s="3834"/>
      <c r="O38" s="3834" t="str">
        <f>IF('Formula-I '!R206&gt;0,'Formula-I '!R206,"")</f>
        <v/>
      </c>
      <c r="P38" s="3834"/>
      <c r="Q38" s="3834" t="str">
        <f>IF('Formula-I '!T206&gt;0,'Formula-I '!T206,"")</f>
        <v/>
      </c>
      <c r="R38" s="3834"/>
      <c r="S38" s="1237"/>
      <c r="T38" s="1436"/>
      <c r="U38" s="1436"/>
      <c r="V38" s="1218"/>
      <c r="W38" s="942"/>
      <c r="X38" s="942"/>
      <c r="Y38" s="942"/>
      <c r="Z38" s="942"/>
      <c r="AA38" s="942"/>
      <c r="AB38" s="942"/>
      <c r="AC38" s="942"/>
      <c r="AD38" s="942"/>
      <c r="AE38" s="942"/>
      <c r="AF38" s="942"/>
      <c r="AG38" s="942"/>
      <c r="AH38" s="942"/>
      <c r="AI38" s="942"/>
      <c r="AJ38" s="942"/>
      <c r="AK38" s="942"/>
      <c r="AL38" s="942"/>
      <c r="AM38" s="942"/>
      <c r="AN38" s="942"/>
      <c r="AO38" s="942"/>
      <c r="AP38" s="942"/>
      <c r="AQ38" s="942"/>
      <c r="AR38" s="942"/>
      <c r="AS38" s="942"/>
      <c r="AT38" s="942"/>
      <c r="AU38" s="942"/>
    </row>
    <row r="39" spans="2:47" ht="24" customHeight="1">
      <c r="B39" s="1218"/>
      <c r="C39" s="1238">
        <v>4</v>
      </c>
      <c r="D39" s="3862" t="s">
        <v>1021</v>
      </c>
      <c r="E39" s="3863"/>
      <c r="F39" s="3834" t="str">
        <f t="shared" si="4"/>
        <v/>
      </c>
      <c r="G39" s="3834"/>
      <c r="H39" s="3834" t="str">
        <f t="shared" si="5"/>
        <v/>
      </c>
      <c r="I39" s="3834"/>
      <c r="J39" s="3835" t="str">
        <f t="shared" si="6"/>
        <v/>
      </c>
      <c r="K39" s="3835"/>
      <c r="L39" s="3835"/>
      <c r="M39" s="3834" t="str">
        <f>IF('Formula-I '!P207&gt;0,'Formula-I '!P207,"")</f>
        <v/>
      </c>
      <c r="N39" s="3834"/>
      <c r="O39" s="3834" t="str">
        <f>IF('Formula-I '!R207&gt;0,'Formula-I '!R207,"")</f>
        <v/>
      </c>
      <c r="P39" s="3834"/>
      <c r="Q39" s="3834" t="str">
        <f>IF('Formula-I '!T207&gt;0,'Formula-I '!T207,"")</f>
        <v/>
      </c>
      <c r="R39" s="3834"/>
      <c r="S39" s="1237"/>
      <c r="T39" s="1436"/>
      <c r="U39" s="1436"/>
      <c r="V39" s="1218"/>
      <c r="W39" s="942"/>
      <c r="X39" s="942"/>
      <c r="Y39" s="942"/>
      <c r="Z39" s="942"/>
      <c r="AA39" s="942"/>
      <c r="AB39" s="942"/>
      <c r="AC39" s="942"/>
      <c r="AD39" s="942"/>
      <c r="AE39" s="942"/>
      <c r="AF39" s="942"/>
      <c r="AG39" s="942"/>
      <c r="AH39" s="942"/>
      <c r="AI39" s="942"/>
      <c r="AJ39" s="942"/>
      <c r="AK39" s="942"/>
      <c r="AL39" s="942"/>
      <c r="AM39" s="942"/>
      <c r="AN39" s="942"/>
      <c r="AO39" s="942"/>
      <c r="AP39" s="942"/>
      <c r="AQ39" s="942"/>
      <c r="AR39" s="942"/>
      <c r="AS39" s="942"/>
      <c r="AT39" s="942"/>
      <c r="AU39" s="942"/>
    </row>
    <row r="40" spans="2:47" ht="24" customHeight="1">
      <c r="B40" s="1218"/>
      <c r="C40" s="1239">
        <v>5</v>
      </c>
      <c r="D40" s="3862" t="s">
        <v>1022</v>
      </c>
      <c r="E40" s="3863"/>
      <c r="F40" s="3834" t="str">
        <f t="shared" si="4"/>
        <v/>
      </c>
      <c r="G40" s="3834"/>
      <c r="H40" s="3834" t="str">
        <f t="shared" si="5"/>
        <v/>
      </c>
      <c r="I40" s="3834"/>
      <c r="J40" s="3835" t="str">
        <f t="shared" si="6"/>
        <v/>
      </c>
      <c r="K40" s="3835"/>
      <c r="L40" s="3835"/>
      <c r="M40" s="3834" t="str">
        <f>IF('Formula-I '!P208&gt;0,'Formula-I '!P208,"")</f>
        <v/>
      </c>
      <c r="N40" s="3834"/>
      <c r="O40" s="3834" t="str">
        <f>IF('Formula-I '!R208&gt;0,'Formula-I '!R208,"")</f>
        <v/>
      </c>
      <c r="P40" s="3834"/>
      <c r="Q40" s="3834" t="str">
        <f>IF('Formula-I '!T208&gt;0,'Formula-I '!T208,"")</f>
        <v/>
      </c>
      <c r="R40" s="3834"/>
      <c r="S40" s="1237"/>
      <c r="T40" s="1436"/>
      <c r="U40" s="1436"/>
      <c r="V40" s="1218"/>
      <c r="W40" s="942"/>
      <c r="X40" s="942"/>
      <c r="Y40" s="942"/>
      <c r="Z40" s="942"/>
      <c r="AA40" s="942"/>
      <c r="AB40" s="942"/>
      <c r="AC40" s="942"/>
      <c r="AD40" s="942"/>
      <c r="AE40" s="942"/>
      <c r="AF40" s="942"/>
      <c r="AG40" s="942"/>
      <c r="AH40" s="942"/>
      <c r="AI40" s="942"/>
      <c r="AJ40" s="942"/>
      <c r="AK40" s="942"/>
      <c r="AL40" s="942"/>
      <c r="AM40" s="942"/>
      <c r="AN40" s="942"/>
      <c r="AO40" s="942"/>
      <c r="AP40" s="942"/>
      <c r="AQ40" s="942"/>
      <c r="AR40" s="942"/>
      <c r="AS40" s="942"/>
      <c r="AT40" s="942"/>
      <c r="AU40" s="942"/>
    </row>
    <row r="41" spans="2:47" ht="24" customHeight="1">
      <c r="B41" s="1218"/>
      <c r="C41" s="1238">
        <v>6</v>
      </c>
      <c r="D41" s="3862" t="s">
        <v>1002</v>
      </c>
      <c r="E41" s="3863"/>
      <c r="F41" s="3834" t="str">
        <f t="shared" si="4"/>
        <v/>
      </c>
      <c r="G41" s="3834"/>
      <c r="H41" s="3834" t="str">
        <f t="shared" si="5"/>
        <v/>
      </c>
      <c r="I41" s="3834"/>
      <c r="J41" s="3835" t="str">
        <f t="shared" si="6"/>
        <v/>
      </c>
      <c r="K41" s="3835"/>
      <c r="L41" s="3835"/>
      <c r="M41" s="3834" t="str">
        <f>IF('Formula-I '!P209&gt;0,'Formula-I '!P209,"")</f>
        <v/>
      </c>
      <c r="N41" s="3834"/>
      <c r="O41" s="3834" t="str">
        <f>IF('Formula-I '!R209&gt;0,'Formula-I '!R209,"")</f>
        <v/>
      </c>
      <c r="P41" s="3834"/>
      <c r="Q41" s="3834" t="str">
        <f>IF('Formula-I '!T209&gt;0,'Formula-I '!T209,"")</f>
        <v/>
      </c>
      <c r="R41" s="3834"/>
      <c r="S41" s="1237"/>
      <c r="T41" s="1436"/>
      <c r="U41" s="1436"/>
      <c r="V41" s="1218"/>
      <c r="W41" s="942"/>
      <c r="X41" s="942"/>
      <c r="Y41" s="942"/>
      <c r="Z41" s="942"/>
      <c r="AA41" s="942"/>
      <c r="AB41" s="942"/>
      <c r="AC41" s="942"/>
      <c r="AD41" s="942"/>
      <c r="AE41" s="942"/>
      <c r="AF41" s="942"/>
      <c r="AG41" s="942"/>
      <c r="AH41" s="942"/>
      <c r="AI41" s="942"/>
      <c r="AJ41" s="942"/>
      <c r="AK41" s="942"/>
      <c r="AL41" s="942"/>
      <c r="AM41" s="942"/>
      <c r="AN41" s="942"/>
      <c r="AO41" s="942"/>
      <c r="AP41" s="942"/>
      <c r="AQ41" s="942"/>
      <c r="AR41" s="942"/>
      <c r="AS41" s="942"/>
      <c r="AT41" s="942"/>
      <c r="AU41" s="942"/>
    </row>
    <row r="42" spans="2:47" ht="24" customHeight="1">
      <c r="B42" s="1218"/>
      <c r="C42" s="1239">
        <v>7</v>
      </c>
      <c r="D42" s="3862" t="s">
        <v>1006</v>
      </c>
      <c r="E42" s="3863"/>
      <c r="F42" s="3834" t="str">
        <f t="shared" si="4"/>
        <v/>
      </c>
      <c r="G42" s="3834"/>
      <c r="H42" s="3834" t="str">
        <f t="shared" si="5"/>
        <v/>
      </c>
      <c r="I42" s="3834"/>
      <c r="J42" s="3835" t="str">
        <f t="shared" si="6"/>
        <v/>
      </c>
      <c r="K42" s="3835"/>
      <c r="L42" s="3835"/>
      <c r="M42" s="3834" t="str">
        <f>IF('Formula-I '!P210&gt;0,'Formula-I '!P210,"")</f>
        <v/>
      </c>
      <c r="N42" s="3834"/>
      <c r="O42" s="3834" t="str">
        <f>IF('Formula-I '!R210&gt;0,'Formula-I '!R210,"")</f>
        <v/>
      </c>
      <c r="P42" s="3834"/>
      <c r="Q42" s="3834" t="str">
        <f>IF('Formula-I '!T210&gt;0,'Formula-I '!T210,"")</f>
        <v/>
      </c>
      <c r="R42" s="3834"/>
      <c r="S42" s="1237"/>
      <c r="T42" s="1436"/>
      <c r="U42" s="1436"/>
      <c r="V42" s="1218"/>
      <c r="W42" s="942"/>
      <c r="X42" s="942"/>
      <c r="Y42" s="942"/>
      <c r="Z42" s="942"/>
      <c r="AA42" s="942"/>
      <c r="AB42" s="942"/>
      <c r="AC42" s="942"/>
      <c r="AD42" s="942"/>
      <c r="AE42" s="942"/>
      <c r="AF42" s="942"/>
      <c r="AG42" s="942"/>
      <c r="AH42" s="942"/>
      <c r="AI42" s="942"/>
      <c r="AJ42" s="942"/>
      <c r="AK42" s="942"/>
      <c r="AL42" s="942"/>
      <c r="AM42" s="942"/>
      <c r="AN42" s="942"/>
      <c r="AO42" s="942"/>
      <c r="AP42" s="942"/>
      <c r="AQ42" s="942"/>
      <c r="AR42" s="942"/>
      <c r="AS42" s="942"/>
      <c r="AT42" s="942"/>
      <c r="AU42" s="942"/>
    </row>
    <row r="43" spans="2:47" ht="24" customHeight="1">
      <c r="B43" s="1218"/>
      <c r="C43" s="1239">
        <v>8</v>
      </c>
      <c r="D43" s="3832" t="s">
        <v>1149</v>
      </c>
      <c r="E43" s="3833"/>
      <c r="F43" s="3834" t="str">
        <f t="shared" si="4"/>
        <v/>
      </c>
      <c r="G43" s="3834"/>
      <c r="H43" s="3834" t="str">
        <f t="shared" si="5"/>
        <v/>
      </c>
      <c r="I43" s="3834"/>
      <c r="J43" s="3835" t="str">
        <f t="shared" si="6"/>
        <v/>
      </c>
      <c r="K43" s="3835"/>
      <c r="L43" s="3835"/>
      <c r="M43" s="3834" t="str">
        <f>IF('Formula-I '!P211&gt;0,'Formula-I '!P211,"")</f>
        <v/>
      </c>
      <c r="N43" s="3834"/>
      <c r="O43" s="3834" t="str">
        <f>IF('Formula-I '!R211&gt;0,'Formula-I '!R211,"")</f>
        <v/>
      </c>
      <c r="P43" s="3834"/>
      <c r="Q43" s="3834" t="str">
        <f>IF('Formula-I '!T211&gt;0,'Formula-I '!T211,"")</f>
        <v/>
      </c>
      <c r="R43" s="3834"/>
      <c r="S43" s="1237"/>
      <c r="T43" s="1436"/>
      <c r="U43" s="1436"/>
      <c r="V43" s="1218"/>
      <c r="W43" s="942"/>
      <c r="X43" s="942"/>
      <c r="Y43" s="942"/>
      <c r="Z43" s="942"/>
      <c r="AA43" s="942"/>
      <c r="AB43" s="942"/>
      <c r="AC43" s="942"/>
      <c r="AD43" s="942"/>
      <c r="AE43" s="942"/>
      <c r="AF43" s="942"/>
      <c r="AG43" s="942"/>
      <c r="AH43" s="942"/>
      <c r="AI43" s="942"/>
      <c r="AJ43" s="942"/>
      <c r="AK43" s="942"/>
      <c r="AL43" s="942"/>
      <c r="AM43" s="942"/>
      <c r="AN43" s="942"/>
      <c r="AO43" s="942"/>
      <c r="AP43" s="942"/>
      <c r="AQ43" s="942"/>
      <c r="AR43" s="942"/>
      <c r="AS43" s="942"/>
      <c r="AT43" s="942"/>
      <c r="AU43" s="942"/>
    </row>
    <row r="44" spans="2:47" ht="24" customHeight="1">
      <c r="B44" s="1218"/>
      <c r="C44" s="1429"/>
      <c r="D44" s="3842" t="s">
        <v>22</v>
      </c>
      <c r="E44" s="3842"/>
      <c r="F44" s="3843" t="str">
        <f t="shared" ref="F44" si="7">IF(F29&gt;0,F29,"")</f>
        <v/>
      </c>
      <c r="G44" s="3843"/>
      <c r="H44" s="3843" t="str">
        <f t="shared" ref="H44" si="8">IF(H29&gt;0,H29,"")</f>
        <v/>
      </c>
      <c r="I44" s="3843"/>
      <c r="J44" s="3844" t="str">
        <f t="shared" ref="J44" si="9">IF(J29&gt;0,J29,"")</f>
        <v/>
      </c>
      <c r="K44" s="3844"/>
      <c r="L44" s="3844"/>
      <c r="M44" s="3843" t="str">
        <f>IF('Formula-I '!P212&gt;0,'Formula-I '!P212,"")</f>
        <v/>
      </c>
      <c r="N44" s="3843"/>
      <c r="O44" s="3843" t="str">
        <f>IF('Formula-I '!R212&gt;0,'Formula-I '!R212,"")</f>
        <v/>
      </c>
      <c r="P44" s="3843"/>
      <c r="Q44" s="3843" t="str">
        <f>IF('Formula-I '!T212&gt;0,'Formula-I '!T212,"")</f>
        <v/>
      </c>
      <c r="R44" s="3843"/>
      <c r="S44" s="1237"/>
      <c r="T44" s="1436"/>
      <c r="U44" s="1436"/>
      <c r="V44" s="1218"/>
      <c r="W44" s="942"/>
      <c r="X44" s="942"/>
      <c r="Y44" s="942"/>
      <c r="Z44" s="942"/>
      <c r="AA44" s="942"/>
      <c r="AB44" s="942"/>
      <c r="AC44" s="942"/>
      <c r="AD44" s="942"/>
      <c r="AE44" s="942"/>
      <c r="AF44" s="942"/>
      <c r="AG44" s="942"/>
      <c r="AH44" s="942"/>
      <c r="AI44" s="942"/>
      <c r="AJ44" s="942"/>
      <c r="AK44" s="942"/>
      <c r="AL44" s="942"/>
      <c r="AM44" s="942"/>
      <c r="AN44" s="942"/>
      <c r="AO44" s="942"/>
      <c r="AP44" s="942"/>
      <c r="AQ44" s="942"/>
      <c r="AR44" s="942"/>
      <c r="AS44" s="942"/>
      <c r="AT44" s="942"/>
      <c r="AU44" s="942"/>
    </row>
    <row r="45" spans="2:47" ht="4.5" customHeight="1">
      <c r="B45" s="1218"/>
      <c r="C45" s="1240"/>
      <c r="D45" s="1241"/>
      <c r="E45" s="1241"/>
      <c r="F45" s="1241"/>
      <c r="G45" s="1241"/>
      <c r="H45" s="1241"/>
      <c r="I45" s="1242"/>
      <c r="J45" s="1242"/>
      <c r="K45" s="1241"/>
      <c r="L45" s="1240"/>
      <c r="M45" s="1240"/>
      <c r="N45" s="1240"/>
      <c r="O45" s="1241"/>
      <c r="P45" s="1241"/>
      <c r="Q45" s="1243"/>
      <c r="R45" s="1243"/>
      <c r="S45" s="1236"/>
      <c r="T45" s="1244"/>
      <c r="U45" s="1244"/>
      <c r="V45" s="1218"/>
      <c r="W45" s="942"/>
      <c r="X45" s="942"/>
      <c r="Y45" s="942"/>
      <c r="Z45" s="942"/>
      <c r="AA45" s="942"/>
      <c r="AB45" s="942"/>
      <c r="AC45" s="942"/>
      <c r="AD45" s="942"/>
      <c r="AE45" s="942"/>
      <c r="AF45" s="942"/>
      <c r="AG45" s="942"/>
      <c r="AH45" s="942"/>
      <c r="AI45" s="942"/>
      <c r="AJ45" s="942"/>
      <c r="AK45" s="942"/>
      <c r="AL45" s="942"/>
      <c r="AM45" s="942"/>
      <c r="AN45" s="942"/>
      <c r="AO45" s="942"/>
      <c r="AP45" s="942"/>
      <c r="AQ45" s="942"/>
      <c r="AR45" s="942"/>
      <c r="AS45" s="942"/>
      <c r="AT45" s="942"/>
      <c r="AU45" s="942"/>
    </row>
    <row r="46" spans="2:47" ht="24" customHeight="1">
      <c r="B46" s="1218"/>
      <c r="C46" s="1245"/>
      <c r="D46" s="1245"/>
      <c r="E46" s="1245"/>
      <c r="F46" s="1245"/>
      <c r="G46" s="1245"/>
      <c r="H46" s="1245"/>
      <c r="I46" s="1245"/>
      <c r="J46" s="1245"/>
      <c r="K46" s="1245"/>
      <c r="L46" s="1245"/>
      <c r="M46" s="1245"/>
      <c r="N46" s="1245"/>
      <c r="O46" s="1245"/>
      <c r="P46" s="1245"/>
      <c r="Q46" s="1245"/>
      <c r="R46" s="1245"/>
      <c r="S46" s="1236"/>
      <c r="T46" s="1244"/>
      <c r="U46" s="1244"/>
      <c r="V46" s="1218"/>
      <c r="W46" s="942"/>
      <c r="X46" s="942"/>
      <c r="Y46" s="942"/>
      <c r="Z46" s="942"/>
      <c r="AA46" s="942"/>
      <c r="AB46" s="942"/>
      <c r="AC46" s="942"/>
      <c r="AD46" s="942"/>
      <c r="AE46" s="942"/>
      <c r="AF46" s="942"/>
      <c r="AG46" s="942"/>
      <c r="AH46" s="942"/>
      <c r="AI46" s="942"/>
      <c r="AJ46" s="942"/>
      <c r="AK46" s="942"/>
      <c r="AL46" s="942"/>
      <c r="AM46" s="942"/>
      <c r="AN46" s="942"/>
      <c r="AO46" s="942"/>
      <c r="AP46" s="942"/>
      <c r="AQ46" s="942"/>
      <c r="AR46" s="942"/>
      <c r="AS46" s="942"/>
      <c r="AT46" s="942"/>
      <c r="AU46" s="942"/>
    </row>
    <row r="47" spans="2:47" ht="5.25" customHeight="1">
      <c r="B47" s="1218"/>
      <c r="C47" s="1245"/>
      <c r="D47" s="1245"/>
      <c r="E47" s="1245"/>
      <c r="F47" s="1245"/>
      <c r="G47" s="1245"/>
      <c r="H47" s="1245"/>
      <c r="I47" s="1245"/>
      <c r="J47" s="1245"/>
      <c r="K47" s="1245"/>
      <c r="L47" s="1245"/>
      <c r="M47" s="1245"/>
      <c r="N47" s="1245"/>
      <c r="O47" s="1245"/>
      <c r="P47" s="1245"/>
      <c r="Q47" s="1245"/>
      <c r="R47" s="1245"/>
      <c r="S47" s="1236"/>
      <c r="T47" s="1244"/>
      <c r="U47" s="1244"/>
      <c r="V47" s="1218"/>
      <c r="W47" s="942"/>
      <c r="X47" s="942"/>
      <c r="Y47" s="942"/>
      <c r="Z47" s="942"/>
      <c r="AA47" s="942"/>
      <c r="AB47" s="942"/>
      <c r="AC47" s="942"/>
      <c r="AD47" s="942"/>
      <c r="AE47" s="942"/>
      <c r="AF47" s="942"/>
      <c r="AG47" s="942"/>
      <c r="AH47" s="942"/>
      <c r="AI47" s="942"/>
      <c r="AJ47" s="942"/>
      <c r="AK47" s="942"/>
      <c r="AL47" s="942"/>
      <c r="AM47" s="942"/>
      <c r="AN47" s="942"/>
      <c r="AO47" s="942"/>
      <c r="AP47" s="942"/>
      <c r="AQ47" s="942"/>
      <c r="AR47" s="942"/>
      <c r="AS47" s="942"/>
      <c r="AT47" s="942"/>
      <c r="AU47" s="942"/>
    </row>
    <row r="48" spans="2:47" ht="29.25" customHeight="1">
      <c r="B48" s="1218"/>
      <c r="C48" s="1245"/>
      <c r="D48" s="1245"/>
      <c r="E48" s="1245"/>
      <c r="F48" s="1245"/>
      <c r="G48" s="1245"/>
      <c r="H48" s="3839" t="s">
        <v>1028</v>
      </c>
      <c r="I48" s="3839"/>
      <c r="J48" s="3839"/>
      <c r="K48" s="3839"/>
      <c r="L48" s="3839"/>
      <c r="M48" s="1245"/>
      <c r="N48" s="1245"/>
      <c r="O48" s="1245"/>
      <c r="P48" s="1245"/>
      <c r="Q48" s="1245"/>
      <c r="R48" s="1245"/>
      <c r="S48" s="1236"/>
      <c r="T48" s="1244"/>
      <c r="U48" s="1244"/>
      <c r="V48" s="1218"/>
      <c r="W48" s="942"/>
      <c r="X48" s="942"/>
      <c r="Y48" s="942"/>
      <c r="Z48" s="942"/>
      <c r="AA48" s="942"/>
      <c r="AB48" s="942"/>
      <c r="AC48" s="942"/>
      <c r="AD48" s="942"/>
      <c r="AE48" s="942"/>
      <c r="AF48" s="942"/>
      <c r="AG48" s="942"/>
      <c r="AH48" s="942"/>
      <c r="AI48" s="942"/>
      <c r="AJ48" s="942"/>
      <c r="AK48" s="942"/>
      <c r="AL48" s="942"/>
      <c r="AM48" s="942"/>
      <c r="AN48" s="942"/>
      <c r="AO48" s="942"/>
      <c r="AP48" s="942"/>
      <c r="AQ48" s="942"/>
      <c r="AR48" s="942"/>
      <c r="AS48" s="942"/>
      <c r="AT48" s="942"/>
      <c r="AU48" s="942"/>
    </row>
    <row r="49" spans="2:47" ht="38.25" customHeight="1">
      <c r="B49" s="1218"/>
      <c r="C49" s="1245"/>
      <c r="D49" s="1245"/>
      <c r="E49" s="1245"/>
      <c r="F49" s="1245"/>
      <c r="G49" s="1245"/>
      <c r="H49" s="3840" t="s">
        <v>1011</v>
      </c>
      <c r="I49" s="3840"/>
      <c r="J49" s="3840"/>
      <c r="K49" s="3841" t="s">
        <v>1029</v>
      </c>
      <c r="L49" s="3841"/>
      <c r="M49" s="1245"/>
      <c r="N49" s="1245"/>
      <c r="O49" s="1245"/>
      <c r="P49" s="1245"/>
      <c r="Q49" s="1245"/>
      <c r="R49" s="1245"/>
      <c r="S49" s="1246"/>
      <c r="T49" s="1247"/>
      <c r="U49" s="1247"/>
      <c r="V49" s="1218"/>
      <c r="W49" s="942"/>
      <c r="X49" s="942"/>
      <c r="Y49" s="942"/>
      <c r="Z49" s="942"/>
      <c r="AA49" s="942"/>
      <c r="AB49" s="942"/>
      <c r="AC49" s="942"/>
      <c r="AD49" s="942"/>
      <c r="AE49" s="942"/>
      <c r="AF49" s="942"/>
      <c r="AG49" s="942"/>
      <c r="AH49" s="942"/>
      <c r="AI49" s="942"/>
      <c r="AJ49" s="942"/>
      <c r="AK49" s="942"/>
      <c r="AL49" s="942"/>
      <c r="AM49" s="942"/>
      <c r="AN49" s="942"/>
      <c r="AO49" s="942"/>
      <c r="AP49" s="942"/>
      <c r="AQ49" s="942"/>
      <c r="AR49" s="942"/>
      <c r="AS49" s="942"/>
      <c r="AT49" s="942"/>
      <c r="AU49" s="942"/>
    </row>
    <row r="50" spans="2:47" ht="24" customHeight="1">
      <c r="B50" s="1218"/>
      <c r="C50" s="1245"/>
      <c r="D50" s="1245"/>
      <c r="E50" s="1245"/>
      <c r="F50" s="1245"/>
      <c r="G50" s="1245"/>
      <c r="H50" s="3836" t="str">
        <f>D36</f>
        <v/>
      </c>
      <c r="I50" s="3837"/>
      <c r="J50" s="3837"/>
      <c r="K50" s="3838" t="str">
        <f>Q36</f>
        <v/>
      </c>
      <c r="L50" s="3838"/>
      <c r="M50" s="1245"/>
      <c r="N50" s="1245"/>
      <c r="O50" s="1245"/>
      <c r="P50" s="1245"/>
      <c r="Q50" s="1245"/>
      <c r="R50" s="1245"/>
      <c r="S50" s="1246"/>
      <c r="T50" s="1248"/>
      <c r="U50" s="1248"/>
      <c r="V50" s="1218"/>
      <c r="W50" s="942"/>
      <c r="X50" s="942"/>
      <c r="Y50" s="942"/>
      <c r="Z50" s="942"/>
      <c r="AA50" s="942"/>
      <c r="AB50" s="942"/>
      <c r="AC50" s="942"/>
      <c r="AD50" s="942"/>
      <c r="AE50" s="942"/>
      <c r="AF50" s="942"/>
      <c r="AG50" s="942"/>
      <c r="AH50" s="942"/>
      <c r="AI50" s="942"/>
      <c r="AJ50" s="942"/>
      <c r="AK50" s="942"/>
      <c r="AL50" s="942"/>
      <c r="AM50" s="942"/>
      <c r="AN50" s="942"/>
      <c r="AO50" s="942"/>
      <c r="AP50" s="942"/>
      <c r="AQ50" s="942"/>
      <c r="AR50" s="942"/>
      <c r="AS50" s="942"/>
      <c r="AT50" s="942"/>
      <c r="AU50" s="942"/>
    </row>
    <row r="51" spans="2:47" ht="24" customHeight="1">
      <c r="B51" s="1218"/>
      <c r="C51" s="1245"/>
      <c r="D51" s="1245"/>
      <c r="E51" s="1245"/>
      <c r="F51" s="1245"/>
      <c r="G51" s="1245"/>
      <c r="H51" s="3836" t="str">
        <f>D37</f>
        <v/>
      </c>
      <c r="I51" s="3837"/>
      <c r="J51" s="3837"/>
      <c r="K51" s="3838" t="str">
        <f t="shared" ref="K51:K56" si="10">Q37</f>
        <v/>
      </c>
      <c r="L51" s="3838"/>
      <c r="M51" s="1245"/>
      <c r="N51" s="1245"/>
      <c r="O51" s="1245"/>
      <c r="P51" s="1245"/>
      <c r="Q51" s="1245"/>
      <c r="R51" s="1245"/>
      <c r="S51" s="1246"/>
      <c r="T51" s="1248"/>
      <c r="U51" s="1248"/>
      <c r="V51" s="1218"/>
      <c r="W51" s="942"/>
      <c r="X51" s="942"/>
      <c r="Y51" s="942"/>
      <c r="Z51" s="942"/>
      <c r="AA51" s="942"/>
      <c r="AB51" s="942"/>
      <c r="AC51" s="942"/>
      <c r="AD51" s="942"/>
      <c r="AE51" s="942"/>
      <c r="AF51" s="942"/>
      <c r="AG51" s="942"/>
      <c r="AH51" s="942"/>
      <c r="AI51" s="942"/>
      <c r="AJ51" s="942"/>
      <c r="AK51" s="942"/>
      <c r="AL51" s="942"/>
      <c r="AM51" s="942"/>
      <c r="AN51" s="942"/>
      <c r="AO51" s="942"/>
      <c r="AP51" s="942"/>
      <c r="AQ51" s="942"/>
      <c r="AR51" s="942"/>
      <c r="AS51" s="942"/>
      <c r="AT51" s="942"/>
      <c r="AU51" s="942"/>
    </row>
    <row r="52" spans="2:47" ht="24" customHeight="1">
      <c r="B52" s="1218"/>
      <c r="C52" s="1245"/>
      <c r="D52" s="1245"/>
      <c r="E52" s="1245"/>
      <c r="F52" s="1245"/>
      <c r="G52" s="1245"/>
      <c r="H52" s="3836" t="str">
        <f t="shared" ref="H52:H56" si="11">D38</f>
        <v>2015-16</v>
      </c>
      <c r="I52" s="3837"/>
      <c r="J52" s="3837"/>
      <c r="K52" s="3838" t="str">
        <f t="shared" si="10"/>
        <v/>
      </c>
      <c r="L52" s="3838"/>
      <c r="M52" s="1245"/>
      <c r="N52" s="1245"/>
      <c r="O52" s="1245"/>
      <c r="P52" s="1245"/>
      <c r="Q52" s="1245"/>
      <c r="R52" s="1245"/>
      <c r="S52" s="1246"/>
      <c r="T52" s="1248"/>
      <c r="U52" s="1248"/>
      <c r="V52" s="1218"/>
      <c r="W52" s="942"/>
      <c r="X52" s="942"/>
      <c r="Y52" s="942"/>
      <c r="Z52" s="942"/>
      <c r="AA52" s="942"/>
      <c r="AB52" s="942"/>
      <c r="AC52" s="942"/>
      <c r="AD52" s="942"/>
      <c r="AE52" s="942"/>
      <c r="AF52" s="942"/>
      <c r="AG52" s="942"/>
      <c r="AH52" s="942"/>
      <c r="AI52" s="942"/>
      <c r="AJ52" s="942"/>
      <c r="AK52" s="942"/>
      <c r="AL52" s="942"/>
      <c r="AM52" s="942"/>
      <c r="AN52" s="942"/>
      <c r="AO52" s="942"/>
      <c r="AP52" s="942"/>
      <c r="AQ52" s="942"/>
      <c r="AR52" s="942"/>
      <c r="AS52" s="942"/>
      <c r="AT52" s="942"/>
      <c r="AU52" s="942"/>
    </row>
    <row r="53" spans="2:47" ht="24" customHeight="1">
      <c r="B53" s="1218"/>
      <c r="C53" s="1245"/>
      <c r="D53" s="1245"/>
      <c r="E53" s="1245"/>
      <c r="F53" s="1245"/>
      <c r="G53" s="1245"/>
      <c r="H53" s="3836" t="str">
        <f t="shared" si="11"/>
        <v>2016-17</v>
      </c>
      <c r="I53" s="3837"/>
      <c r="J53" s="3837"/>
      <c r="K53" s="3838" t="str">
        <f t="shared" si="10"/>
        <v/>
      </c>
      <c r="L53" s="3838"/>
      <c r="M53" s="1245"/>
      <c r="N53" s="1245"/>
      <c r="O53" s="1245"/>
      <c r="P53" s="1245"/>
      <c r="Q53" s="1245"/>
      <c r="R53" s="1245"/>
      <c r="S53" s="1246"/>
      <c r="T53" s="1248"/>
      <c r="U53" s="1248"/>
      <c r="V53" s="1218"/>
      <c r="W53" s="942"/>
      <c r="X53" s="942"/>
      <c r="Y53" s="942"/>
      <c r="Z53" s="942"/>
      <c r="AA53" s="942"/>
      <c r="AB53" s="942"/>
      <c r="AC53" s="942"/>
      <c r="AD53" s="942"/>
      <c r="AE53" s="942"/>
      <c r="AF53" s="942"/>
      <c r="AG53" s="942"/>
      <c r="AH53" s="942"/>
      <c r="AI53" s="942"/>
      <c r="AJ53" s="942"/>
      <c r="AK53" s="942"/>
      <c r="AL53" s="942"/>
      <c r="AM53" s="942"/>
      <c r="AN53" s="942"/>
      <c r="AO53" s="942"/>
      <c r="AP53" s="942"/>
      <c r="AQ53" s="942"/>
      <c r="AR53" s="942"/>
      <c r="AS53" s="942"/>
      <c r="AT53" s="942"/>
      <c r="AU53" s="942"/>
    </row>
    <row r="54" spans="2:47" ht="24" customHeight="1">
      <c r="B54" s="1218"/>
      <c r="C54" s="1245"/>
      <c r="D54" s="1245"/>
      <c r="E54" s="1245"/>
      <c r="F54" s="1245"/>
      <c r="G54" s="1245"/>
      <c r="H54" s="3836" t="str">
        <f t="shared" si="11"/>
        <v>2017-18</v>
      </c>
      <c r="I54" s="3837"/>
      <c r="J54" s="3837"/>
      <c r="K54" s="3838" t="str">
        <f t="shared" si="10"/>
        <v/>
      </c>
      <c r="L54" s="3838"/>
      <c r="M54" s="1245"/>
      <c r="N54" s="1245"/>
      <c r="O54" s="1245"/>
      <c r="P54" s="1245"/>
      <c r="Q54" s="1245"/>
      <c r="R54" s="1245"/>
      <c r="S54" s="1246"/>
      <c r="T54" s="1248"/>
      <c r="U54" s="1248"/>
      <c r="V54" s="1218"/>
      <c r="W54" s="942"/>
      <c r="X54" s="942"/>
      <c r="Y54" s="942"/>
      <c r="Z54" s="942"/>
      <c r="AA54" s="942"/>
      <c r="AB54" s="942"/>
      <c r="AC54" s="942"/>
      <c r="AD54" s="942"/>
      <c r="AE54" s="942"/>
      <c r="AF54" s="942"/>
      <c r="AG54" s="942"/>
      <c r="AH54" s="942"/>
      <c r="AI54" s="942"/>
      <c r="AJ54" s="942"/>
      <c r="AK54" s="942"/>
      <c r="AL54" s="942"/>
      <c r="AM54" s="942"/>
      <c r="AN54" s="942"/>
      <c r="AO54" s="942"/>
      <c r="AP54" s="942"/>
      <c r="AQ54" s="942"/>
      <c r="AR54" s="942"/>
      <c r="AS54" s="942"/>
      <c r="AT54" s="942"/>
      <c r="AU54" s="942"/>
    </row>
    <row r="55" spans="2:47" ht="24" customHeight="1">
      <c r="B55" s="1218"/>
      <c r="C55" s="1245"/>
      <c r="D55" s="1245"/>
      <c r="E55" s="1245"/>
      <c r="F55" s="1245"/>
      <c r="G55" s="1245"/>
      <c r="H55" s="3836" t="str">
        <f t="shared" si="11"/>
        <v>2018-19</v>
      </c>
      <c r="I55" s="3837"/>
      <c r="J55" s="3837"/>
      <c r="K55" s="3838" t="str">
        <f t="shared" si="10"/>
        <v/>
      </c>
      <c r="L55" s="3838"/>
      <c r="M55" s="1245"/>
      <c r="N55" s="1245"/>
      <c r="O55" s="1245"/>
      <c r="P55" s="1245"/>
      <c r="Q55" s="1245"/>
      <c r="R55" s="1245"/>
      <c r="S55" s="1246"/>
      <c r="T55" s="1248"/>
      <c r="U55" s="1248"/>
      <c r="V55" s="1218"/>
      <c r="W55" s="942"/>
      <c r="X55" s="942"/>
      <c r="Y55" s="942"/>
      <c r="Z55" s="942"/>
      <c r="AA55" s="942"/>
      <c r="AB55" s="942"/>
      <c r="AC55" s="942"/>
      <c r="AD55" s="942"/>
      <c r="AE55" s="942"/>
      <c r="AF55" s="942"/>
      <c r="AG55" s="942"/>
      <c r="AH55" s="942"/>
      <c r="AI55" s="942"/>
      <c r="AJ55" s="942"/>
      <c r="AK55" s="942"/>
      <c r="AL55" s="942"/>
      <c r="AM55" s="942"/>
      <c r="AN55" s="942"/>
      <c r="AO55" s="942"/>
      <c r="AP55" s="942"/>
      <c r="AQ55" s="942"/>
      <c r="AR55" s="942"/>
      <c r="AS55" s="942"/>
      <c r="AT55" s="942"/>
      <c r="AU55" s="942"/>
    </row>
    <row r="56" spans="2:47" ht="24" customHeight="1">
      <c r="B56" s="1218"/>
      <c r="C56" s="1245"/>
      <c r="D56" s="1245"/>
      <c r="E56" s="1245"/>
      <c r="F56" s="1245"/>
      <c r="G56" s="1245"/>
      <c r="H56" s="3836" t="str">
        <f t="shared" si="11"/>
        <v>2019-20</v>
      </c>
      <c r="I56" s="3837"/>
      <c r="J56" s="3837"/>
      <c r="K56" s="3838" t="str">
        <f t="shared" si="10"/>
        <v/>
      </c>
      <c r="L56" s="3838"/>
      <c r="M56" s="1245"/>
      <c r="N56" s="1245"/>
      <c r="O56" s="1245"/>
      <c r="P56" s="1245"/>
      <c r="Q56" s="1245"/>
      <c r="R56" s="1245"/>
      <c r="S56" s="1246"/>
      <c r="T56" s="1248"/>
      <c r="U56" s="1248"/>
      <c r="V56" s="1218"/>
      <c r="W56" s="942"/>
      <c r="X56" s="942"/>
      <c r="Y56" s="942"/>
      <c r="Z56" s="942"/>
      <c r="AA56" s="942"/>
      <c r="AB56" s="942"/>
      <c r="AC56" s="942"/>
      <c r="AD56" s="942"/>
      <c r="AE56" s="942"/>
      <c r="AF56" s="942"/>
      <c r="AG56" s="942"/>
      <c r="AH56" s="942"/>
      <c r="AI56" s="942"/>
      <c r="AJ56" s="942"/>
      <c r="AK56" s="942"/>
      <c r="AL56" s="942"/>
      <c r="AM56" s="942"/>
      <c r="AN56" s="942"/>
      <c r="AO56" s="942"/>
      <c r="AP56" s="942"/>
      <c r="AQ56" s="942"/>
      <c r="AR56" s="942"/>
      <c r="AS56" s="942"/>
      <c r="AT56" s="942"/>
      <c r="AU56" s="942"/>
    </row>
    <row r="57" spans="2:47" ht="24" customHeight="1">
      <c r="B57" s="1218"/>
      <c r="C57" s="1245"/>
      <c r="D57" s="1245"/>
      <c r="E57" s="1245"/>
      <c r="F57" s="1245"/>
      <c r="G57" s="1245"/>
      <c r="H57" s="3836" t="str">
        <f t="shared" ref="H57" si="12">D43</f>
        <v>2020-21</v>
      </c>
      <c r="I57" s="3837"/>
      <c r="J57" s="3837"/>
      <c r="K57" s="3838" t="str">
        <f t="shared" ref="K57" si="13">Q43</f>
        <v/>
      </c>
      <c r="L57" s="3838"/>
      <c r="M57" s="1245"/>
      <c r="N57" s="1245"/>
      <c r="O57" s="1245"/>
      <c r="P57" s="1245"/>
      <c r="Q57" s="1245"/>
      <c r="R57" s="1245"/>
      <c r="S57" s="1246"/>
      <c r="T57" s="1248"/>
      <c r="U57" s="1248"/>
      <c r="V57" s="1218"/>
      <c r="W57" s="942"/>
      <c r="X57" s="942"/>
      <c r="Y57" s="942"/>
      <c r="Z57" s="942"/>
      <c r="AA57" s="942"/>
      <c r="AB57" s="942"/>
      <c r="AC57" s="942"/>
      <c r="AD57" s="942"/>
      <c r="AE57" s="942"/>
      <c r="AF57" s="942"/>
      <c r="AG57" s="942"/>
      <c r="AH57" s="942"/>
      <c r="AI57" s="942"/>
      <c r="AJ57" s="942"/>
      <c r="AK57" s="942"/>
      <c r="AL57" s="942"/>
      <c r="AM57" s="942"/>
      <c r="AN57" s="942"/>
      <c r="AO57" s="942"/>
      <c r="AP57" s="942"/>
      <c r="AQ57" s="942"/>
      <c r="AR57" s="942"/>
      <c r="AS57" s="942"/>
      <c r="AT57" s="942"/>
      <c r="AU57" s="942"/>
    </row>
    <row r="58" spans="2:47" ht="24" customHeight="1">
      <c r="B58" s="1218"/>
      <c r="C58" s="1245"/>
      <c r="D58" s="1245"/>
      <c r="E58" s="1245"/>
      <c r="F58" s="1245"/>
      <c r="G58" s="1245"/>
      <c r="H58" s="3845" t="s">
        <v>22</v>
      </c>
      <c r="I58" s="3845"/>
      <c r="J58" s="3845"/>
      <c r="K58" s="3846">
        <f>SUM(K50:L57)</f>
        <v>0</v>
      </c>
      <c r="L58" s="3846"/>
      <c r="M58" s="1245"/>
      <c r="N58" s="1245"/>
      <c r="O58" s="1245"/>
      <c r="P58" s="1245"/>
      <c r="Q58" s="1245"/>
      <c r="R58" s="1245"/>
      <c r="S58" s="1246"/>
      <c r="T58" s="1248"/>
      <c r="U58" s="1248"/>
      <c r="V58" s="1218"/>
      <c r="W58" s="942"/>
      <c r="X58" s="942"/>
      <c r="Y58" s="942"/>
      <c r="Z58" s="942"/>
      <c r="AA58" s="942"/>
      <c r="AB58" s="942"/>
      <c r="AC58" s="942"/>
      <c r="AD58" s="942"/>
      <c r="AE58" s="942"/>
      <c r="AF58" s="942"/>
      <c r="AG58" s="942"/>
      <c r="AH58" s="942"/>
      <c r="AI58" s="942"/>
      <c r="AJ58" s="942"/>
      <c r="AK58" s="942"/>
      <c r="AL58" s="942"/>
      <c r="AM58" s="942"/>
      <c r="AN58" s="942"/>
      <c r="AO58" s="942"/>
      <c r="AP58" s="942"/>
      <c r="AQ58" s="942"/>
      <c r="AR58" s="942"/>
      <c r="AS58" s="942"/>
      <c r="AT58" s="942"/>
      <c r="AU58" s="942"/>
    </row>
    <row r="59" spans="2:47" ht="21.95" customHeight="1">
      <c r="B59" s="1218"/>
      <c r="C59" s="1245"/>
      <c r="D59" s="1245"/>
      <c r="E59" s="1245"/>
      <c r="F59" s="1245"/>
      <c r="G59" s="1245"/>
      <c r="H59" s="1245"/>
      <c r="I59" s="1245"/>
      <c r="J59" s="1245"/>
      <c r="K59" s="1245"/>
      <c r="L59" s="1245"/>
      <c r="M59" s="1245"/>
      <c r="N59" s="1245"/>
      <c r="O59" s="1245"/>
      <c r="P59" s="1245"/>
      <c r="Q59" s="1245"/>
      <c r="R59" s="1245"/>
      <c r="S59" s="1246"/>
      <c r="T59" s="1248"/>
      <c r="U59" s="1248"/>
      <c r="V59" s="1218"/>
      <c r="W59" s="942"/>
      <c r="X59" s="942"/>
      <c r="Y59" s="942"/>
      <c r="Z59" s="942"/>
      <c r="AA59" s="942"/>
      <c r="AB59" s="942"/>
      <c r="AC59" s="942"/>
      <c r="AD59" s="942"/>
      <c r="AE59" s="942"/>
      <c r="AF59" s="942"/>
      <c r="AG59" s="942"/>
      <c r="AH59" s="942"/>
      <c r="AI59" s="942"/>
      <c r="AJ59" s="942"/>
      <c r="AK59" s="942"/>
      <c r="AL59" s="942"/>
      <c r="AM59" s="942"/>
      <c r="AN59" s="942"/>
      <c r="AO59" s="942"/>
      <c r="AP59" s="942"/>
      <c r="AQ59" s="942"/>
      <c r="AR59" s="942"/>
      <c r="AS59" s="942"/>
      <c r="AT59" s="942"/>
      <c r="AU59" s="942"/>
    </row>
    <row r="60" spans="2:47" ht="21.95" customHeight="1" thickBot="1">
      <c r="B60" s="1218"/>
      <c r="C60" s="1245"/>
      <c r="D60" s="1245"/>
      <c r="E60" s="1245"/>
      <c r="F60" s="1245"/>
      <c r="G60" s="1245"/>
      <c r="H60" s="1245"/>
      <c r="I60" s="1245"/>
      <c r="J60" s="1245"/>
      <c r="K60" s="1245"/>
      <c r="L60" s="1245"/>
      <c r="M60" s="1245"/>
      <c r="N60" s="1245"/>
      <c r="O60" s="1245"/>
      <c r="P60" s="1245"/>
      <c r="Q60" s="1245"/>
      <c r="R60" s="1245"/>
      <c r="S60" s="1246"/>
      <c r="T60" s="1248"/>
      <c r="U60" s="1248"/>
      <c r="V60" s="1218"/>
      <c r="W60" s="942"/>
      <c r="X60" s="942"/>
      <c r="Y60" s="942"/>
      <c r="Z60" s="942"/>
      <c r="AA60" s="942"/>
      <c r="AB60" s="942"/>
      <c r="AC60" s="942"/>
      <c r="AD60" s="942"/>
      <c r="AE60" s="942"/>
      <c r="AF60" s="942"/>
      <c r="AG60" s="942"/>
      <c r="AH60" s="942"/>
      <c r="AI60" s="942"/>
      <c r="AJ60" s="942"/>
      <c r="AK60" s="942"/>
      <c r="AL60" s="942"/>
      <c r="AM60" s="942"/>
      <c r="AN60" s="942"/>
      <c r="AO60" s="942"/>
      <c r="AP60" s="942"/>
      <c r="AQ60" s="942"/>
      <c r="AR60" s="942"/>
      <c r="AS60" s="942"/>
      <c r="AT60" s="942"/>
      <c r="AU60" s="942"/>
    </row>
    <row r="61" spans="2:47" ht="21.95" customHeight="1" thickBot="1">
      <c r="B61" s="1218"/>
      <c r="C61" s="1245"/>
      <c r="D61" s="1245"/>
      <c r="E61" s="1245"/>
      <c r="F61" s="1245"/>
      <c r="G61" s="1245"/>
      <c r="H61" s="3848" t="s">
        <v>777</v>
      </c>
      <c r="I61" s="3849"/>
      <c r="J61" s="3849"/>
      <c r="K61" s="1430"/>
      <c r="L61" s="1431">
        <f>'Formula-I '!BO123</f>
        <v>0</v>
      </c>
      <c r="M61" s="1245"/>
      <c r="N61" s="1245"/>
      <c r="O61" s="1245"/>
      <c r="P61" s="1245"/>
      <c r="Q61" s="1245"/>
      <c r="R61" s="1245"/>
      <c r="S61" s="1246"/>
      <c r="T61" s="1248"/>
      <c r="U61" s="1248"/>
      <c r="V61" s="1218"/>
      <c r="W61" s="942"/>
      <c r="X61" s="942"/>
      <c r="Y61" s="942"/>
      <c r="Z61" s="942"/>
      <c r="AA61" s="942"/>
      <c r="AB61" s="942"/>
      <c r="AC61" s="942"/>
      <c r="AD61" s="942"/>
      <c r="AE61" s="942"/>
      <c r="AF61" s="942"/>
      <c r="AG61" s="942"/>
      <c r="AH61" s="942"/>
      <c r="AI61" s="942"/>
      <c r="AJ61" s="942"/>
      <c r="AK61" s="942"/>
      <c r="AL61" s="942"/>
      <c r="AM61" s="942"/>
      <c r="AN61" s="942"/>
      <c r="AO61" s="942"/>
      <c r="AP61" s="942"/>
      <c r="AQ61" s="942"/>
      <c r="AR61" s="942"/>
      <c r="AS61" s="942"/>
      <c r="AT61" s="942"/>
      <c r="AU61" s="942"/>
    </row>
    <row r="62" spans="2:47" ht="21.95" customHeight="1">
      <c r="B62" s="1218"/>
      <c r="C62" s="1245"/>
      <c r="D62" s="1245"/>
      <c r="E62" s="1245"/>
      <c r="F62" s="1245"/>
      <c r="G62" s="1245"/>
      <c r="H62" s="1245"/>
      <c r="I62" s="1245"/>
      <c r="J62" s="1245"/>
      <c r="K62" s="1245"/>
      <c r="L62" s="1245"/>
      <c r="M62" s="1245"/>
      <c r="N62" s="1245"/>
      <c r="O62" s="1245"/>
      <c r="P62" s="1245"/>
      <c r="Q62" s="1245"/>
      <c r="R62" s="1245"/>
      <c r="S62" s="1246"/>
      <c r="T62" s="1248"/>
      <c r="U62" s="1248"/>
      <c r="V62" s="1218"/>
      <c r="W62" s="942"/>
      <c r="X62" s="942"/>
      <c r="Y62" s="942"/>
      <c r="Z62" s="942"/>
      <c r="AA62" s="942"/>
      <c r="AB62" s="942"/>
      <c r="AC62" s="942"/>
      <c r="AD62" s="942"/>
      <c r="AE62" s="942"/>
      <c r="AF62" s="942"/>
      <c r="AG62" s="942"/>
      <c r="AH62" s="942"/>
      <c r="AI62" s="942"/>
      <c r="AJ62" s="942"/>
      <c r="AK62" s="942"/>
      <c r="AL62" s="942"/>
      <c r="AM62" s="942"/>
      <c r="AN62" s="942"/>
      <c r="AO62" s="942"/>
      <c r="AP62" s="942"/>
      <c r="AQ62" s="942"/>
      <c r="AR62" s="942"/>
      <c r="AS62" s="942"/>
      <c r="AT62" s="942"/>
      <c r="AU62" s="942"/>
    </row>
    <row r="63" spans="2:47" ht="21.95" customHeight="1">
      <c r="B63" s="1218"/>
      <c r="C63" s="1245"/>
      <c r="D63" s="1245"/>
      <c r="E63" s="1245"/>
      <c r="F63" s="1245"/>
      <c r="G63" s="1245"/>
      <c r="H63" s="1245"/>
      <c r="I63" s="1245"/>
      <c r="J63" s="1245"/>
      <c r="K63" s="1245"/>
      <c r="L63" s="1245"/>
      <c r="M63" s="1245"/>
      <c r="N63" s="1245"/>
      <c r="O63" s="1245"/>
      <c r="P63" s="1245"/>
      <c r="Q63" s="1245"/>
      <c r="R63" s="1245"/>
      <c r="S63" s="1246"/>
      <c r="T63" s="1248"/>
      <c r="U63" s="1248"/>
      <c r="V63" s="1218"/>
      <c r="W63" s="942"/>
      <c r="X63" s="942"/>
      <c r="Y63" s="942"/>
      <c r="Z63" s="942"/>
      <c r="AA63" s="942"/>
      <c r="AB63" s="942"/>
      <c r="AC63" s="942"/>
      <c r="AD63" s="942"/>
      <c r="AE63" s="942"/>
      <c r="AF63" s="942"/>
      <c r="AG63" s="942"/>
      <c r="AH63" s="942"/>
      <c r="AI63" s="942"/>
      <c r="AJ63" s="942"/>
      <c r="AK63" s="942"/>
      <c r="AL63" s="942"/>
      <c r="AM63" s="942"/>
      <c r="AN63" s="942"/>
      <c r="AO63" s="942"/>
      <c r="AP63" s="942"/>
      <c r="AQ63" s="942"/>
      <c r="AR63" s="942"/>
      <c r="AS63" s="942"/>
      <c r="AT63" s="942"/>
      <c r="AU63" s="942"/>
    </row>
    <row r="64" spans="2:47" ht="7.5" customHeight="1">
      <c r="B64" s="1218"/>
      <c r="C64" s="1218"/>
      <c r="D64" s="1218"/>
      <c r="E64" s="1218"/>
      <c r="F64" s="1218"/>
      <c r="G64" s="1218"/>
      <c r="H64" s="1218"/>
      <c r="I64" s="1218"/>
      <c r="J64" s="1218"/>
      <c r="K64" s="1218"/>
      <c r="L64" s="1218"/>
      <c r="M64" s="1218"/>
      <c r="N64" s="1218"/>
      <c r="O64" s="1218"/>
      <c r="P64" s="1218"/>
      <c r="Q64" s="1218"/>
      <c r="R64" s="1218"/>
      <c r="S64" s="1219"/>
      <c r="T64" s="1218"/>
      <c r="U64" s="1218"/>
      <c r="V64" s="1218"/>
      <c r="W64" s="942"/>
      <c r="X64" s="942"/>
      <c r="Y64" s="942"/>
      <c r="Z64" s="942"/>
      <c r="AA64" s="942"/>
      <c r="AB64" s="942"/>
      <c r="AC64" s="942"/>
      <c r="AD64" s="942"/>
      <c r="AE64" s="942"/>
      <c r="AF64" s="942"/>
      <c r="AG64" s="942"/>
      <c r="AH64" s="942"/>
      <c r="AI64" s="942"/>
      <c r="AJ64" s="942"/>
      <c r="AK64" s="942"/>
      <c r="AL64" s="942"/>
      <c r="AM64" s="942"/>
      <c r="AN64" s="942"/>
      <c r="AO64" s="942"/>
      <c r="AP64" s="942"/>
      <c r="AQ64" s="942"/>
      <c r="AR64" s="942"/>
      <c r="AS64" s="942"/>
      <c r="AT64" s="942"/>
      <c r="AU64" s="942"/>
    </row>
    <row r="65" spans="2:47" hidden="1">
      <c r="B65" s="1249"/>
      <c r="C65" s="1250"/>
      <c r="D65" s="1249"/>
      <c r="E65" s="1249"/>
      <c r="F65" s="1249"/>
      <c r="G65" s="1249"/>
      <c r="H65" s="1251"/>
      <c r="I65" s="1251"/>
      <c r="J65" s="1251"/>
      <c r="K65" s="1251"/>
      <c r="L65" s="1252"/>
      <c r="M65" s="1252"/>
      <c r="N65" s="1252"/>
      <c r="O65" s="1252"/>
      <c r="P65" s="1252"/>
      <c r="Q65" s="1252"/>
      <c r="R65" s="1252"/>
      <c r="S65" s="1249"/>
      <c r="T65" s="1249"/>
      <c r="U65" s="1249"/>
      <c r="V65" s="1249"/>
      <c r="W65" s="942"/>
      <c r="X65" s="942"/>
      <c r="Y65" s="942"/>
      <c r="Z65" s="942"/>
      <c r="AA65" s="942"/>
      <c r="AB65" s="942"/>
      <c r="AC65" s="942"/>
      <c r="AD65" s="942"/>
      <c r="AE65" s="942"/>
      <c r="AF65" s="942"/>
      <c r="AG65" s="942"/>
      <c r="AH65" s="942"/>
      <c r="AI65" s="942"/>
      <c r="AJ65" s="942"/>
      <c r="AK65" s="942"/>
      <c r="AL65" s="942"/>
      <c r="AM65" s="942"/>
      <c r="AN65" s="942"/>
      <c r="AO65" s="942"/>
      <c r="AP65" s="942"/>
      <c r="AQ65" s="942"/>
      <c r="AR65" s="942"/>
      <c r="AS65" s="942"/>
      <c r="AT65" s="942"/>
      <c r="AU65" s="942"/>
    </row>
    <row r="66" spans="2:47" ht="15.75" hidden="1">
      <c r="B66" s="1249"/>
      <c r="C66" s="1250"/>
      <c r="D66" s="3850"/>
      <c r="E66" s="3850"/>
      <c r="F66" s="3850"/>
      <c r="G66" s="3850"/>
      <c r="H66" s="3850"/>
      <c r="I66" s="3850"/>
      <c r="J66" s="3851"/>
      <c r="K66" s="3851"/>
      <c r="L66" s="1253"/>
      <c r="M66" s="1253"/>
      <c r="N66" s="1253"/>
      <c r="O66" s="1253"/>
      <c r="P66" s="1253"/>
      <c r="Q66" s="1253"/>
      <c r="R66" s="1253"/>
      <c r="S66" s="1249"/>
      <c r="T66" s="1249"/>
      <c r="U66" s="1249"/>
      <c r="V66" s="1249"/>
      <c r="W66" s="942"/>
      <c r="X66" s="942"/>
      <c r="Y66" s="942"/>
      <c r="Z66" s="942"/>
      <c r="AA66" s="942"/>
      <c r="AB66" s="942"/>
      <c r="AC66" s="942"/>
      <c r="AD66" s="942"/>
      <c r="AE66" s="942"/>
      <c r="AF66" s="942"/>
      <c r="AG66" s="942"/>
      <c r="AH66" s="942"/>
      <c r="AI66" s="942"/>
      <c r="AJ66" s="942"/>
      <c r="AK66" s="942"/>
      <c r="AL66" s="942"/>
      <c r="AM66" s="942"/>
      <c r="AN66" s="942"/>
      <c r="AO66" s="942"/>
      <c r="AP66" s="942"/>
      <c r="AQ66" s="942"/>
      <c r="AR66" s="942"/>
      <c r="AS66" s="942"/>
      <c r="AT66" s="942"/>
      <c r="AU66" s="942"/>
    </row>
    <row r="67" spans="2:47" hidden="1">
      <c r="B67" s="1249"/>
      <c r="C67" s="1250"/>
      <c r="D67" s="1254"/>
      <c r="E67" s="1254"/>
      <c r="F67" s="1254"/>
      <c r="G67" s="1254"/>
      <c r="H67" s="1254"/>
      <c r="I67" s="1255"/>
      <c r="J67" s="3847"/>
      <c r="K67" s="3847"/>
      <c r="L67" s="1253"/>
      <c r="M67" s="1253"/>
      <c r="N67" s="1253"/>
      <c r="O67" s="1253"/>
      <c r="P67" s="1253"/>
      <c r="Q67" s="1253"/>
      <c r="R67" s="1253"/>
      <c r="S67" s="1249"/>
      <c r="T67" s="1249"/>
      <c r="U67" s="1249"/>
      <c r="V67" s="1249"/>
      <c r="W67" s="942"/>
      <c r="X67" s="942"/>
      <c r="Y67" s="942"/>
      <c r="Z67" s="942"/>
      <c r="AA67" s="942"/>
      <c r="AB67" s="942"/>
      <c r="AC67" s="942"/>
      <c r="AD67" s="942"/>
      <c r="AE67" s="942"/>
      <c r="AF67" s="942"/>
      <c r="AG67" s="942"/>
      <c r="AH67" s="942"/>
      <c r="AI67" s="942"/>
      <c r="AJ67" s="942"/>
      <c r="AK67" s="942"/>
      <c r="AL67" s="942"/>
      <c r="AM67" s="942"/>
      <c r="AN67" s="942"/>
      <c r="AO67" s="942"/>
      <c r="AP67" s="942"/>
      <c r="AQ67" s="942"/>
      <c r="AR67" s="942"/>
      <c r="AS67" s="942"/>
      <c r="AT67" s="942"/>
      <c r="AU67" s="942"/>
    </row>
    <row r="68" spans="2:47" hidden="1">
      <c r="B68" s="1249"/>
      <c r="C68" s="1250"/>
      <c r="D68" s="1254"/>
      <c r="E68" s="1254"/>
      <c r="F68" s="1254"/>
      <c r="G68" s="1254"/>
      <c r="H68" s="1254"/>
      <c r="I68" s="1255"/>
      <c r="J68" s="3847"/>
      <c r="K68" s="3847"/>
      <c r="L68" s="1253"/>
      <c r="M68" s="1253"/>
      <c r="N68" s="1253"/>
      <c r="O68" s="1253"/>
      <c r="P68" s="1253"/>
      <c r="Q68" s="1253"/>
      <c r="R68" s="1253"/>
      <c r="S68" s="1249"/>
      <c r="T68" s="1249"/>
      <c r="U68" s="1249"/>
      <c r="V68" s="1249"/>
      <c r="W68" s="942"/>
      <c r="X68" s="942"/>
      <c r="Y68" s="942"/>
      <c r="Z68" s="942"/>
      <c r="AA68" s="942"/>
      <c r="AB68" s="942"/>
      <c r="AC68" s="942"/>
      <c r="AD68" s="942"/>
      <c r="AE68" s="942"/>
      <c r="AF68" s="942"/>
      <c r="AG68" s="942"/>
      <c r="AH68" s="942"/>
      <c r="AI68" s="942"/>
      <c r="AJ68" s="942"/>
      <c r="AK68" s="942"/>
      <c r="AL68" s="942"/>
      <c r="AM68" s="942"/>
      <c r="AN68" s="942"/>
      <c r="AO68" s="942"/>
      <c r="AP68" s="942"/>
      <c r="AQ68" s="942"/>
      <c r="AR68" s="942"/>
      <c r="AS68" s="942"/>
      <c r="AT68" s="942"/>
      <c r="AU68" s="942"/>
    </row>
    <row r="69" spans="2:47" hidden="1">
      <c r="B69" s="1249"/>
      <c r="C69" s="1250"/>
      <c r="D69" s="1254"/>
      <c r="E69" s="1254"/>
      <c r="F69" s="1254"/>
      <c r="G69" s="1254"/>
      <c r="H69" s="1254"/>
      <c r="I69" s="1256"/>
      <c r="J69" s="3847"/>
      <c r="K69" s="3847"/>
      <c r="L69" s="1253"/>
      <c r="M69" s="1253"/>
      <c r="N69" s="1253"/>
      <c r="O69" s="1253"/>
      <c r="P69" s="1253"/>
      <c r="Q69" s="1253"/>
      <c r="R69" s="1253"/>
      <c r="S69" s="1249"/>
      <c r="T69" s="1249"/>
      <c r="U69" s="1249"/>
      <c r="V69" s="1249"/>
      <c r="W69" s="942"/>
      <c r="X69" s="942"/>
      <c r="Y69" s="942"/>
      <c r="Z69" s="942"/>
      <c r="AA69" s="942"/>
      <c r="AB69" s="942"/>
      <c r="AC69" s="942"/>
      <c r="AD69" s="942"/>
      <c r="AE69" s="942"/>
      <c r="AF69" s="942"/>
      <c r="AG69" s="942"/>
      <c r="AH69" s="942"/>
      <c r="AI69" s="942"/>
      <c r="AJ69" s="942"/>
      <c r="AK69" s="942"/>
      <c r="AL69" s="942"/>
      <c r="AM69" s="942"/>
      <c r="AN69" s="942"/>
      <c r="AO69" s="942"/>
      <c r="AP69" s="942"/>
      <c r="AQ69" s="942"/>
      <c r="AR69" s="942"/>
      <c r="AS69" s="942"/>
      <c r="AT69" s="942"/>
      <c r="AU69" s="942"/>
    </row>
    <row r="70" spans="2:47" hidden="1">
      <c r="B70" s="1249"/>
      <c r="C70" s="1250"/>
      <c r="D70" s="1254"/>
      <c r="E70" s="1254"/>
      <c r="F70" s="1254"/>
      <c r="G70" s="1254"/>
      <c r="H70" s="1254"/>
      <c r="I70" s="1256"/>
      <c r="J70" s="3861"/>
      <c r="K70" s="3861"/>
      <c r="L70" s="3861"/>
      <c r="M70" s="1257"/>
      <c r="N70" s="1257"/>
      <c r="O70" s="1257"/>
      <c r="P70" s="1257"/>
      <c r="Q70" s="1257"/>
      <c r="R70" s="1257"/>
      <c r="S70" s="1249"/>
      <c r="T70" s="1249"/>
      <c r="U70" s="1249"/>
      <c r="V70" s="1249"/>
      <c r="W70" s="942"/>
      <c r="X70" s="942"/>
      <c r="Y70" s="942"/>
      <c r="Z70" s="942"/>
      <c r="AA70" s="942"/>
      <c r="AB70" s="942"/>
      <c r="AC70" s="942"/>
      <c r="AD70" s="942"/>
      <c r="AE70" s="942"/>
      <c r="AF70" s="942"/>
      <c r="AG70" s="942"/>
      <c r="AH70" s="942"/>
      <c r="AI70" s="942"/>
      <c r="AJ70" s="942"/>
      <c r="AK70" s="942"/>
      <c r="AL70" s="942"/>
      <c r="AM70" s="942"/>
      <c r="AN70" s="942"/>
      <c r="AO70" s="942"/>
      <c r="AP70" s="942"/>
      <c r="AQ70" s="942"/>
      <c r="AR70" s="942"/>
      <c r="AS70" s="942"/>
      <c r="AT70" s="942"/>
      <c r="AU70" s="942"/>
    </row>
    <row r="71" spans="2:47" hidden="1">
      <c r="B71" s="1249"/>
      <c r="C71" s="1250"/>
      <c r="D71" s="1254"/>
      <c r="E71" s="1254"/>
      <c r="F71" s="1254"/>
      <c r="G71" s="1254"/>
      <c r="H71" s="1254"/>
      <c r="I71" s="1256"/>
      <c r="J71" s="3861"/>
      <c r="K71" s="3861"/>
      <c r="L71" s="3861"/>
      <c r="M71" s="1257"/>
      <c r="N71" s="1257"/>
      <c r="O71" s="1257"/>
      <c r="P71" s="1257"/>
      <c r="Q71" s="1257"/>
      <c r="R71" s="1257"/>
      <c r="S71" s="1249"/>
      <c r="T71" s="1249"/>
      <c r="U71" s="1249"/>
      <c r="V71" s="1249"/>
      <c r="W71" s="942"/>
      <c r="X71" s="942"/>
      <c r="Y71" s="942"/>
      <c r="Z71" s="942"/>
      <c r="AA71" s="942"/>
      <c r="AB71" s="942"/>
      <c r="AC71" s="942"/>
      <c r="AD71" s="942"/>
      <c r="AE71" s="942"/>
      <c r="AF71" s="942"/>
      <c r="AG71" s="942"/>
      <c r="AH71" s="942"/>
      <c r="AI71" s="942"/>
      <c r="AJ71" s="942"/>
      <c r="AK71" s="942"/>
      <c r="AL71" s="942"/>
      <c r="AM71" s="942"/>
      <c r="AN71" s="942"/>
      <c r="AO71" s="942"/>
      <c r="AP71" s="942"/>
      <c r="AQ71" s="942"/>
      <c r="AR71" s="942"/>
      <c r="AS71" s="942"/>
      <c r="AT71" s="942"/>
      <c r="AU71" s="942"/>
    </row>
    <row r="72" spans="2:47" hidden="1">
      <c r="B72" s="1249"/>
      <c r="C72" s="1250"/>
      <c r="D72" s="1254"/>
      <c r="E72" s="1254"/>
      <c r="F72" s="1254"/>
      <c r="G72" s="1254"/>
      <c r="H72" s="1254"/>
      <c r="I72" s="1256"/>
      <c r="J72" s="3847"/>
      <c r="K72" s="3847"/>
      <c r="L72" s="1253"/>
      <c r="M72" s="1253"/>
      <c r="N72" s="1253"/>
      <c r="O72" s="1253"/>
      <c r="P72" s="1253"/>
      <c r="Q72" s="1253"/>
      <c r="R72" s="1253"/>
      <c r="S72" s="1249"/>
      <c r="T72" s="1249"/>
      <c r="U72" s="1249"/>
      <c r="V72" s="1249"/>
      <c r="W72" s="942"/>
      <c r="X72" s="942"/>
      <c r="Y72" s="942"/>
      <c r="Z72" s="942"/>
      <c r="AA72" s="942"/>
      <c r="AB72" s="942"/>
      <c r="AC72" s="942"/>
      <c r="AD72" s="942"/>
      <c r="AE72" s="942"/>
      <c r="AF72" s="942"/>
      <c r="AG72" s="942"/>
      <c r="AH72" s="942"/>
      <c r="AI72" s="942"/>
      <c r="AJ72" s="942"/>
      <c r="AK72" s="942"/>
      <c r="AL72" s="942"/>
      <c r="AM72" s="942"/>
      <c r="AN72" s="942"/>
      <c r="AO72" s="942"/>
      <c r="AP72" s="942"/>
      <c r="AQ72" s="942"/>
      <c r="AR72" s="942"/>
      <c r="AS72" s="942"/>
      <c r="AT72" s="942"/>
      <c r="AU72" s="942"/>
    </row>
    <row r="73" spans="2:47" hidden="1">
      <c r="B73" s="1249"/>
      <c r="C73" s="1250"/>
      <c r="D73" s="1254"/>
      <c r="E73" s="1254"/>
      <c r="F73" s="1254"/>
      <c r="G73" s="1254"/>
      <c r="H73" s="1254"/>
      <c r="I73" s="1256"/>
      <c r="J73" s="3847"/>
      <c r="K73" s="3847"/>
      <c r="L73" s="1253"/>
      <c r="M73" s="1253"/>
      <c r="N73" s="1253"/>
      <c r="O73" s="1253"/>
      <c r="P73" s="1253"/>
      <c r="Q73" s="1253"/>
      <c r="R73" s="1253"/>
      <c r="S73" s="1249"/>
      <c r="T73" s="1249"/>
      <c r="U73" s="1249"/>
      <c r="V73" s="1249"/>
      <c r="W73" s="942"/>
      <c r="X73" s="942"/>
      <c r="Y73" s="942"/>
      <c r="Z73" s="942"/>
      <c r="AA73" s="942"/>
      <c r="AB73" s="942"/>
      <c r="AC73" s="942"/>
      <c r="AD73" s="942"/>
      <c r="AE73" s="942"/>
      <c r="AF73" s="942"/>
      <c r="AG73" s="942"/>
      <c r="AH73" s="942"/>
      <c r="AI73" s="942"/>
      <c r="AJ73" s="942"/>
      <c r="AK73" s="942"/>
      <c r="AL73" s="942"/>
      <c r="AM73" s="942"/>
      <c r="AN73" s="942"/>
      <c r="AO73" s="942"/>
      <c r="AP73" s="942"/>
      <c r="AQ73" s="942"/>
      <c r="AR73" s="942"/>
      <c r="AS73" s="942"/>
      <c r="AT73" s="942"/>
      <c r="AU73" s="942"/>
    </row>
    <row r="74" spans="2:47" hidden="1">
      <c r="B74" s="1249"/>
      <c r="C74" s="1250"/>
      <c r="D74" s="3858"/>
      <c r="E74" s="3858"/>
      <c r="F74" s="3858"/>
      <c r="G74" s="3858"/>
      <c r="H74" s="3858"/>
      <c r="I74" s="1256"/>
      <c r="J74" s="3859"/>
      <c r="K74" s="3859"/>
      <c r="L74" s="1254"/>
      <c r="M74" s="1254"/>
      <c r="N74" s="1254"/>
      <c r="O74" s="1254"/>
      <c r="P74" s="1254"/>
      <c r="Q74" s="1254"/>
      <c r="R74" s="1254"/>
      <c r="S74" s="1249"/>
      <c r="T74" s="1249"/>
      <c r="U74" s="1249"/>
      <c r="V74" s="1249"/>
      <c r="W74" s="942"/>
      <c r="X74" s="942"/>
      <c r="Y74" s="942"/>
      <c r="Z74" s="942"/>
      <c r="AA74" s="942"/>
      <c r="AB74" s="942"/>
      <c r="AC74" s="942"/>
      <c r="AD74" s="942"/>
      <c r="AE74" s="942"/>
      <c r="AF74" s="942"/>
      <c r="AG74" s="942"/>
      <c r="AH74" s="942"/>
      <c r="AI74" s="942"/>
      <c r="AJ74" s="942"/>
      <c r="AK74" s="942"/>
      <c r="AL74" s="942"/>
      <c r="AM74" s="942"/>
      <c r="AN74" s="942"/>
      <c r="AO74" s="942"/>
      <c r="AP74" s="942"/>
      <c r="AQ74" s="942"/>
      <c r="AR74" s="942"/>
      <c r="AS74" s="942"/>
      <c r="AT74" s="942"/>
      <c r="AU74" s="942"/>
    </row>
    <row r="75" spans="2:47" hidden="1">
      <c r="B75" s="1249"/>
      <c r="C75" s="1250"/>
      <c r="D75" s="3858"/>
      <c r="E75" s="3858"/>
      <c r="F75" s="3858"/>
      <c r="G75" s="3858"/>
      <c r="H75" s="3858"/>
      <c r="I75" s="1256"/>
      <c r="J75" s="3859"/>
      <c r="K75" s="3859"/>
      <c r="L75" s="1254"/>
      <c r="M75" s="1254"/>
      <c r="N75" s="1254"/>
      <c r="O75" s="1254"/>
      <c r="P75" s="1254"/>
      <c r="Q75" s="1254"/>
      <c r="R75" s="1254"/>
      <c r="S75" s="1249"/>
      <c r="T75" s="1249"/>
      <c r="U75" s="1249"/>
      <c r="V75" s="1249"/>
      <c r="W75" s="942"/>
      <c r="X75" s="942"/>
      <c r="Y75" s="942"/>
      <c r="Z75" s="942"/>
      <c r="AA75" s="942"/>
      <c r="AB75" s="942"/>
      <c r="AC75" s="942"/>
      <c r="AD75" s="942"/>
      <c r="AE75" s="942"/>
      <c r="AF75" s="942"/>
      <c r="AG75" s="942"/>
      <c r="AH75" s="942"/>
      <c r="AI75" s="942"/>
      <c r="AJ75" s="942"/>
      <c r="AK75" s="942"/>
      <c r="AL75" s="942"/>
      <c r="AM75" s="942"/>
      <c r="AN75" s="942"/>
      <c r="AO75" s="942"/>
      <c r="AP75" s="942"/>
      <c r="AQ75" s="942"/>
      <c r="AR75" s="942"/>
      <c r="AS75" s="942"/>
      <c r="AT75" s="942"/>
      <c r="AU75" s="942"/>
    </row>
    <row r="76" spans="2:47" hidden="1">
      <c r="B76" s="1249"/>
      <c r="C76" s="1250"/>
      <c r="D76" s="3858"/>
      <c r="E76" s="3858"/>
      <c r="F76" s="3858"/>
      <c r="G76" s="3858"/>
      <c r="H76" s="3858"/>
      <c r="I76" s="1256"/>
      <c r="J76" s="3859"/>
      <c r="K76" s="3859"/>
      <c r="L76" s="1254"/>
      <c r="M76" s="1254"/>
      <c r="N76" s="1254"/>
      <c r="O76" s="1254"/>
      <c r="P76" s="1254"/>
      <c r="Q76" s="1254"/>
      <c r="R76" s="1254"/>
      <c r="S76" s="1249"/>
      <c r="T76" s="1249"/>
      <c r="U76" s="1249"/>
      <c r="V76" s="1249"/>
      <c r="W76" s="942"/>
      <c r="X76" s="942"/>
      <c r="Y76" s="942"/>
      <c r="Z76" s="942"/>
      <c r="AA76" s="942"/>
      <c r="AB76" s="942"/>
      <c r="AC76" s="942"/>
      <c r="AD76" s="942"/>
      <c r="AE76" s="942"/>
      <c r="AF76" s="942"/>
      <c r="AG76" s="942"/>
      <c r="AH76" s="942"/>
      <c r="AI76" s="942"/>
      <c r="AJ76" s="942"/>
      <c r="AK76" s="942"/>
      <c r="AL76" s="942"/>
      <c r="AM76" s="942"/>
      <c r="AN76" s="942"/>
      <c r="AO76" s="942"/>
      <c r="AP76" s="942"/>
      <c r="AQ76" s="942"/>
      <c r="AR76" s="942"/>
      <c r="AS76" s="942"/>
      <c r="AT76" s="942"/>
      <c r="AU76" s="942"/>
    </row>
    <row r="77" spans="2:47" hidden="1">
      <c r="B77" s="1249"/>
      <c r="C77" s="1250"/>
      <c r="D77" s="3858"/>
      <c r="E77" s="3858"/>
      <c r="F77" s="3858"/>
      <c r="G77" s="3858"/>
      <c r="H77" s="3858"/>
      <c r="I77" s="1256"/>
      <c r="J77" s="3860"/>
      <c r="K77" s="3860"/>
      <c r="L77" s="1253"/>
      <c r="M77" s="1253"/>
      <c r="N77" s="1253"/>
      <c r="O77" s="1253"/>
      <c r="P77" s="1253"/>
      <c r="Q77" s="1253"/>
      <c r="R77" s="1253"/>
      <c r="S77" s="1249"/>
      <c r="T77" s="1249"/>
      <c r="U77" s="1249"/>
      <c r="V77" s="1249"/>
      <c r="W77" s="942"/>
      <c r="X77" s="942"/>
      <c r="Y77" s="942"/>
      <c r="Z77" s="942"/>
      <c r="AA77" s="942"/>
      <c r="AB77" s="942"/>
      <c r="AC77" s="942"/>
      <c r="AD77" s="942"/>
      <c r="AE77" s="942"/>
      <c r="AF77" s="942"/>
      <c r="AG77" s="942"/>
      <c r="AH77" s="942"/>
      <c r="AI77" s="942"/>
      <c r="AJ77" s="942"/>
      <c r="AK77" s="942"/>
      <c r="AL77" s="942"/>
      <c r="AM77" s="942"/>
      <c r="AN77" s="942"/>
      <c r="AO77" s="942"/>
      <c r="AP77" s="942"/>
      <c r="AQ77" s="942"/>
      <c r="AR77" s="942"/>
      <c r="AS77" s="942"/>
      <c r="AT77" s="942"/>
      <c r="AU77" s="942"/>
    </row>
    <row r="78" spans="2:47" hidden="1">
      <c r="B78" s="1249"/>
      <c r="C78" s="1250"/>
      <c r="D78" s="3858"/>
      <c r="E78" s="3858"/>
      <c r="F78" s="3858"/>
      <c r="G78" s="3858"/>
      <c r="H78" s="3858"/>
      <c r="I78" s="1256"/>
      <c r="J78" s="3860"/>
      <c r="K78" s="3860"/>
      <c r="L78" s="1253"/>
      <c r="M78" s="1253"/>
      <c r="N78" s="1253"/>
      <c r="O78" s="1253"/>
      <c r="P78" s="1253"/>
      <c r="Q78" s="1253"/>
      <c r="R78" s="1253"/>
      <c r="S78" s="1249"/>
      <c r="T78" s="1249"/>
      <c r="U78" s="1249"/>
      <c r="V78" s="1249"/>
      <c r="W78" s="942"/>
      <c r="X78" s="942"/>
      <c r="Y78" s="942"/>
      <c r="Z78" s="942"/>
      <c r="AA78" s="942"/>
      <c r="AB78" s="942"/>
      <c r="AC78" s="942"/>
      <c r="AD78" s="942"/>
      <c r="AE78" s="942"/>
      <c r="AF78" s="942"/>
      <c r="AG78" s="942"/>
      <c r="AH78" s="942"/>
      <c r="AI78" s="942"/>
      <c r="AJ78" s="942"/>
      <c r="AK78" s="942"/>
      <c r="AL78" s="942"/>
      <c r="AM78" s="942"/>
      <c r="AN78" s="942"/>
      <c r="AO78" s="942"/>
      <c r="AP78" s="942"/>
      <c r="AQ78" s="942"/>
      <c r="AR78" s="942"/>
      <c r="AS78" s="942"/>
      <c r="AT78" s="942"/>
      <c r="AU78" s="942"/>
    </row>
    <row r="79" spans="2:47" hidden="1">
      <c r="B79" s="1249"/>
      <c r="C79" s="1250"/>
      <c r="D79" s="3858"/>
      <c r="E79" s="3858"/>
      <c r="F79" s="3858"/>
      <c r="G79" s="3858"/>
      <c r="H79" s="3858"/>
      <c r="I79" s="1256"/>
      <c r="J79" s="3855"/>
      <c r="K79" s="3855"/>
      <c r="L79" s="1254"/>
      <c r="M79" s="1254"/>
      <c r="N79" s="1254"/>
      <c r="O79" s="1254"/>
      <c r="P79" s="1254"/>
      <c r="Q79" s="1254"/>
      <c r="R79" s="1254"/>
      <c r="S79" s="1249"/>
      <c r="T79" s="1249"/>
      <c r="U79" s="1249"/>
      <c r="V79" s="1249"/>
      <c r="W79" s="942"/>
      <c r="X79" s="942"/>
      <c r="Y79" s="942"/>
      <c r="Z79" s="942"/>
      <c r="AA79" s="942"/>
      <c r="AB79" s="942"/>
      <c r="AC79" s="942"/>
      <c r="AD79" s="942"/>
      <c r="AE79" s="942"/>
      <c r="AF79" s="942"/>
      <c r="AG79" s="942"/>
      <c r="AH79" s="942"/>
      <c r="AI79" s="942"/>
      <c r="AJ79" s="942"/>
      <c r="AK79" s="942"/>
      <c r="AL79" s="942"/>
      <c r="AM79" s="942"/>
      <c r="AN79" s="942"/>
      <c r="AO79" s="942"/>
      <c r="AP79" s="942"/>
      <c r="AQ79" s="942"/>
      <c r="AR79" s="942"/>
      <c r="AS79" s="942"/>
      <c r="AT79" s="942"/>
      <c r="AU79" s="942"/>
    </row>
    <row r="80" spans="2:47" hidden="1">
      <c r="B80" s="1249"/>
      <c r="C80" s="1250"/>
      <c r="D80" s="3858"/>
      <c r="E80" s="3858"/>
      <c r="F80" s="3858"/>
      <c r="G80" s="3858"/>
      <c r="H80" s="3858"/>
      <c r="I80" s="1256"/>
      <c r="J80" s="3855"/>
      <c r="K80" s="3855"/>
      <c r="L80" s="1254"/>
      <c r="M80" s="1254"/>
      <c r="N80" s="1254"/>
      <c r="O80" s="1254"/>
      <c r="P80" s="1254"/>
      <c r="Q80" s="1254"/>
      <c r="R80" s="1254"/>
      <c r="S80" s="1249"/>
      <c r="T80" s="1249"/>
      <c r="U80" s="1249"/>
      <c r="V80" s="1249"/>
      <c r="W80" s="942"/>
      <c r="X80" s="942"/>
      <c r="Y80" s="942"/>
      <c r="Z80" s="942"/>
      <c r="AA80" s="942"/>
      <c r="AB80" s="942"/>
      <c r="AC80" s="942"/>
      <c r="AD80" s="942"/>
      <c r="AE80" s="942"/>
      <c r="AF80" s="942"/>
      <c r="AG80" s="942"/>
      <c r="AH80" s="942"/>
      <c r="AI80" s="942"/>
      <c r="AJ80" s="942"/>
      <c r="AK80" s="942"/>
      <c r="AL80" s="942"/>
      <c r="AM80" s="942"/>
      <c r="AN80" s="942"/>
      <c r="AO80" s="942"/>
      <c r="AP80" s="942"/>
      <c r="AQ80" s="942"/>
      <c r="AR80" s="942"/>
      <c r="AS80" s="942"/>
      <c r="AT80" s="942"/>
      <c r="AU80" s="942"/>
    </row>
    <row r="81" spans="2:47" hidden="1">
      <c r="B81" s="1249"/>
      <c r="C81" s="1250"/>
      <c r="D81" s="3858"/>
      <c r="E81" s="3858"/>
      <c r="F81" s="3858"/>
      <c r="G81" s="3858"/>
      <c r="H81" s="3858"/>
      <c r="I81" s="1256"/>
      <c r="J81" s="3855"/>
      <c r="K81" s="3855"/>
      <c r="L81" s="1254"/>
      <c r="M81" s="1254"/>
      <c r="N81" s="1254"/>
      <c r="O81" s="1254"/>
      <c r="P81" s="1254"/>
      <c r="Q81" s="1254"/>
      <c r="R81" s="1254"/>
      <c r="S81" s="1249"/>
      <c r="T81" s="1249"/>
      <c r="U81" s="1249"/>
      <c r="V81" s="1249"/>
      <c r="W81" s="942"/>
      <c r="X81" s="942"/>
      <c r="Y81" s="942"/>
      <c r="Z81" s="942"/>
      <c r="AA81" s="942"/>
      <c r="AB81" s="942"/>
      <c r="AC81" s="942"/>
      <c r="AD81" s="942"/>
      <c r="AE81" s="942"/>
      <c r="AF81" s="942"/>
      <c r="AG81" s="942"/>
      <c r="AH81" s="942"/>
      <c r="AI81" s="942"/>
      <c r="AJ81" s="942"/>
      <c r="AK81" s="942"/>
      <c r="AL81" s="942"/>
      <c r="AM81" s="942"/>
      <c r="AN81" s="942"/>
      <c r="AO81" s="942"/>
      <c r="AP81" s="942"/>
      <c r="AQ81" s="942"/>
      <c r="AR81" s="942"/>
      <c r="AS81" s="942"/>
      <c r="AT81" s="942"/>
      <c r="AU81" s="942"/>
    </row>
    <row r="82" spans="2:47" hidden="1">
      <c r="B82" s="1249"/>
      <c r="C82" s="1250"/>
      <c r="D82" s="1258"/>
      <c r="E82" s="1258"/>
      <c r="F82" s="1258"/>
      <c r="G82" s="1258"/>
      <c r="H82" s="1259"/>
      <c r="I82" s="1260"/>
      <c r="J82" s="3855"/>
      <c r="K82" s="3855"/>
      <c r="L82" s="1254"/>
      <c r="M82" s="1254"/>
      <c r="N82" s="1254"/>
      <c r="O82" s="1254"/>
      <c r="P82" s="1254"/>
      <c r="Q82" s="1254"/>
      <c r="R82" s="1254"/>
      <c r="S82" s="1249"/>
      <c r="T82" s="1249"/>
      <c r="U82" s="1249"/>
      <c r="V82" s="1249"/>
      <c r="W82" s="942"/>
      <c r="X82" s="942"/>
      <c r="Y82" s="942"/>
      <c r="Z82" s="942"/>
      <c r="AA82" s="942"/>
      <c r="AB82" s="942"/>
      <c r="AC82" s="942"/>
      <c r="AD82" s="942"/>
      <c r="AE82" s="942"/>
      <c r="AF82" s="942"/>
      <c r="AG82" s="942"/>
      <c r="AH82" s="942"/>
      <c r="AI82" s="942"/>
      <c r="AJ82" s="942"/>
      <c r="AK82" s="942"/>
      <c r="AL82" s="942"/>
      <c r="AM82" s="942"/>
      <c r="AN82" s="942"/>
      <c r="AO82" s="942"/>
      <c r="AP82" s="942"/>
      <c r="AQ82" s="942"/>
      <c r="AR82" s="942"/>
      <c r="AS82" s="942"/>
      <c r="AT82" s="942"/>
      <c r="AU82" s="942"/>
    </row>
    <row r="83" spans="2:47" hidden="1">
      <c r="B83" s="1249"/>
      <c r="C83" s="1250"/>
      <c r="D83" s="1258"/>
      <c r="E83" s="1258"/>
      <c r="F83" s="1258"/>
      <c r="G83" s="1258"/>
      <c r="H83" s="1259"/>
      <c r="I83" s="1260"/>
      <c r="J83" s="3855"/>
      <c r="K83" s="3855"/>
      <c r="L83" s="1254"/>
      <c r="M83" s="1254"/>
      <c r="N83" s="1254"/>
      <c r="O83" s="1254"/>
      <c r="P83" s="1254"/>
      <c r="Q83" s="1254"/>
      <c r="R83" s="1254"/>
      <c r="S83" s="1249"/>
      <c r="T83" s="1249"/>
      <c r="U83" s="1249"/>
      <c r="V83" s="1249"/>
      <c r="W83" s="942"/>
      <c r="X83" s="942"/>
      <c r="Y83" s="942"/>
      <c r="Z83" s="942"/>
      <c r="AA83" s="942"/>
      <c r="AB83" s="942"/>
      <c r="AC83" s="942"/>
      <c r="AD83" s="942"/>
      <c r="AE83" s="942"/>
      <c r="AF83" s="942"/>
      <c r="AG83" s="942"/>
      <c r="AH83" s="942"/>
      <c r="AI83" s="942"/>
      <c r="AJ83" s="942"/>
      <c r="AK83" s="942"/>
      <c r="AL83" s="942"/>
      <c r="AM83" s="942"/>
      <c r="AN83" s="942"/>
      <c r="AO83" s="942"/>
      <c r="AP83" s="942"/>
      <c r="AQ83" s="942"/>
      <c r="AR83" s="942"/>
      <c r="AS83" s="942"/>
      <c r="AT83" s="942"/>
      <c r="AU83" s="942"/>
    </row>
    <row r="84" spans="2:47" hidden="1">
      <c r="B84" s="1249"/>
      <c r="C84" s="1250"/>
      <c r="D84" s="1251"/>
      <c r="E84" s="1251"/>
      <c r="F84" s="1251"/>
      <c r="G84" s="1251"/>
      <c r="H84" s="1261"/>
      <c r="I84" s="1260"/>
      <c r="J84" s="1262"/>
      <c r="K84" s="1262"/>
      <c r="L84" s="1263"/>
      <c r="M84" s="1263"/>
      <c r="N84" s="1263"/>
      <c r="O84" s="1263"/>
      <c r="P84" s="1263"/>
      <c r="Q84" s="1263"/>
      <c r="R84" s="1263"/>
      <c r="S84" s="1249"/>
      <c r="T84" s="1249"/>
      <c r="U84" s="1249"/>
      <c r="V84" s="1249"/>
      <c r="W84" s="942"/>
      <c r="X84" s="942"/>
      <c r="Y84" s="942"/>
      <c r="Z84" s="942"/>
      <c r="AA84" s="942"/>
      <c r="AB84" s="942"/>
      <c r="AC84" s="942"/>
      <c r="AD84" s="942"/>
      <c r="AE84" s="942"/>
      <c r="AF84" s="942"/>
      <c r="AG84" s="942"/>
      <c r="AH84" s="942"/>
      <c r="AI84" s="942"/>
      <c r="AJ84" s="942"/>
      <c r="AK84" s="942"/>
      <c r="AL84" s="942"/>
      <c r="AM84" s="942"/>
      <c r="AN84" s="942"/>
      <c r="AO84" s="942"/>
      <c r="AP84" s="942"/>
      <c r="AQ84" s="942"/>
      <c r="AR84" s="942"/>
      <c r="AS84" s="942"/>
      <c r="AT84" s="942"/>
      <c r="AU84" s="942"/>
    </row>
    <row r="85" spans="2:47" ht="15.75" hidden="1">
      <c r="B85" s="1249"/>
      <c r="C85" s="1250"/>
      <c r="D85" s="1264"/>
      <c r="E85" s="1251"/>
      <c r="F85" s="1251"/>
      <c r="G85" s="1251"/>
      <c r="H85" s="1251"/>
      <c r="I85" s="1251"/>
      <c r="J85" s="1262"/>
      <c r="K85" s="1262"/>
      <c r="L85" s="1263"/>
      <c r="M85" s="1263"/>
      <c r="N85" s="1263"/>
      <c r="O85" s="1263"/>
      <c r="P85" s="1263"/>
      <c r="Q85" s="1263"/>
      <c r="R85" s="1263"/>
      <c r="S85" s="1249"/>
      <c r="T85" s="1249"/>
      <c r="U85" s="1249"/>
      <c r="V85" s="1249"/>
      <c r="W85" s="942"/>
      <c r="X85" s="942"/>
      <c r="Y85" s="942"/>
      <c r="Z85" s="942"/>
      <c r="AA85" s="942"/>
      <c r="AB85" s="942"/>
      <c r="AC85" s="942"/>
      <c r="AD85" s="942"/>
      <c r="AE85" s="942"/>
      <c r="AF85" s="942"/>
      <c r="AG85" s="942"/>
      <c r="AH85" s="942"/>
      <c r="AI85" s="942"/>
      <c r="AJ85" s="942"/>
      <c r="AK85" s="942"/>
      <c r="AL85" s="942"/>
      <c r="AM85" s="942"/>
      <c r="AN85" s="942"/>
      <c r="AO85" s="942"/>
      <c r="AP85" s="942"/>
      <c r="AQ85" s="942"/>
      <c r="AR85" s="942"/>
      <c r="AS85" s="942"/>
      <c r="AT85" s="942"/>
      <c r="AU85" s="942"/>
    </row>
    <row r="86" spans="2:47" ht="15.75" hidden="1">
      <c r="B86" s="1249"/>
      <c r="C86" s="1250"/>
      <c r="D86" s="3856"/>
      <c r="E86" s="3856"/>
      <c r="F86" s="3856"/>
      <c r="G86" s="3856"/>
      <c r="H86" s="3856"/>
      <c r="I86" s="3856"/>
      <c r="J86" s="3856"/>
      <c r="K86" s="3856"/>
      <c r="L86" s="1265"/>
      <c r="M86" s="1265"/>
      <c r="N86" s="1265"/>
      <c r="O86" s="1265"/>
      <c r="P86" s="1265"/>
      <c r="Q86" s="1265"/>
      <c r="R86" s="1265"/>
      <c r="S86" s="1249"/>
      <c r="T86" s="1249"/>
      <c r="U86" s="1249"/>
      <c r="V86" s="1249"/>
      <c r="W86" s="942"/>
      <c r="X86" s="942"/>
      <c r="Y86" s="942"/>
      <c r="Z86" s="942"/>
      <c r="AA86" s="942"/>
      <c r="AB86" s="942"/>
      <c r="AC86" s="942"/>
      <c r="AD86" s="942"/>
      <c r="AE86" s="942"/>
      <c r="AF86" s="942"/>
      <c r="AG86" s="942"/>
      <c r="AH86" s="942"/>
      <c r="AI86" s="942"/>
      <c r="AJ86" s="942"/>
      <c r="AK86" s="942"/>
      <c r="AL86" s="942"/>
      <c r="AM86" s="942"/>
      <c r="AN86" s="942"/>
      <c r="AO86" s="942"/>
      <c r="AP86" s="942"/>
      <c r="AQ86" s="942"/>
      <c r="AR86" s="942"/>
      <c r="AS86" s="942"/>
      <c r="AT86" s="942"/>
      <c r="AU86" s="942"/>
    </row>
    <row r="87" spans="2:47" ht="15.75" hidden="1">
      <c r="B87" s="1249"/>
      <c r="C87" s="1250"/>
      <c r="D87" s="1264"/>
      <c r="E87" s="1251"/>
      <c r="F87" s="1251"/>
      <c r="G87" s="1251"/>
      <c r="H87" s="1251"/>
      <c r="I87" s="1251"/>
      <c r="J87" s="1251"/>
      <c r="K87" s="1251"/>
      <c r="L87" s="1252"/>
      <c r="M87" s="1252"/>
      <c r="N87" s="1252"/>
      <c r="O87" s="1252"/>
      <c r="P87" s="1252"/>
      <c r="Q87" s="1252"/>
      <c r="R87" s="1252"/>
      <c r="S87" s="1249"/>
      <c r="T87" s="1249"/>
      <c r="U87" s="1249"/>
      <c r="V87" s="1249"/>
      <c r="W87" s="942"/>
      <c r="X87" s="942"/>
      <c r="Y87" s="942"/>
      <c r="Z87" s="942"/>
      <c r="AA87" s="942"/>
      <c r="AB87" s="942"/>
      <c r="AC87" s="942"/>
      <c r="AD87" s="942"/>
      <c r="AE87" s="942"/>
      <c r="AF87" s="942"/>
      <c r="AG87" s="942"/>
      <c r="AH87" s="942"/>
      <c r="AI87" s="942"/>
      <c r="AJ87" s="942"/>
      <c r="AK87" s="942"/>
      <c r="AL87" s="942"/>
      <c r="AM87" s="942"/>
      <c r="AN87" s="942"/>
      <c r="AO87" s="942"/>
      <c r="AP87" s="942"/>
      <c r="AQ87" s="942"/>
      <c r="AR87" s="942"/>
      <c r="AS87" s="942"/>
      <c r="AT87" s="942"/>
      <c r="AU87" s="942"/>
    </row>
    <row r="88" spans="2:47" hidden="1">
      <c r="B88" s="1249"/>
      <c r="C88" s="1250"/>
      <c r="D88" s="3856"/>
      <c r="E88" s="3856"/>
      <c r="F88" s="3856"/>
      <c r="G88" s="3856"/>
      <c r="H88" s="3856"/>
      <c r="I88" s="3856"/>
      <c r="J88" s="3856"/>
      <c r="K88" s="3856"/>
      <c r="L88" s="1252"/>
      <c r="M88" s="1252"/>
      <c r="N88" s="1252"/>
      <c r="O88" s="1252"/>
      <c r="P88" s="1252"/>
      <c r="Q88" s="1252"/>
      <c r="R88" s="1252"/>
      <c r="S88" s="1249"/>
      <c r="T88" s="1249"/>
      <c r="U88" s="1249"/>
      <c r="V88" s="1249"/>
      <c r="W88" s="942"/>
      <c r="X88" s="942"/>
      <c r="Y88" s="942"/>
      <c r="Z88" s="942"/>
      <c r="AA88" s="942"/>
      <c r="AB88" s="942"/>
      <c r="AC88" s="942"/>
      <c r="AD88" s="942"/>
      <c r="AE88" s="942"/>
      <c r="AF88" s="942"/>
      <c r="AG88" s="942"/>
      <c r="AH88" s="942"/>
      <c r="AI88" s="942"/>
      <c r="AJ88" s="942"/>
      <c r="AK88" s="942"/>
      <c r="AL88" s="942"/>
      <c r="AM88" s="942"/>
      <c r="AN88" s="942"/>
      <c r="AO88" s="942"/>
      <c r="AP88" s="942"/>
      <c r="AQ88" s="942"/>
      <c r="AR88" s="942"/>
      <c r="AS88" s="942"/>
      <c r="AT88" s="942"/>
      <c r="AU88" s="942"/>
    </row>
    <row r="89" spans="2:47" ht="15.75" hidden="1">
      <c r="B89" s="1249"/>
      <c r="C89" s="1250"/>
      <c r="D89" s="1264"/>
      <c r="E89" s="1251"/>
      <c r="F89" s="1251"/>
      <c r="G89" s="1251"/>
      <c r="H89" s="1251"/>
      <c r="I89" s="1251"/>
      <c r="J89" s="1251"/>
      <c r="K89" s="1251"/>
      <c r="L89" s="1252"/>
      <c r="M89" s="1252"/>
      <c r="N89" s="1252"/>
      <c r="O89" s="1252"/>
      <c r="P89" s="1252"/>
      <c r="Q89" s="1252"/>
      <c r="R89" s="1252"/>
      <c r="S89" s="1249"/>
      <c r="T89" s="1249"/>
      <c r="U89" s="1249"/>
      <c r="V89" s="1249"/>
      <c r="W89" s="942"/>
      <c r="X89" s="942"/>
      <c r="Y89" s="942"/>
      <c r="Z89" s="942"/>
      <c r="AA89" s="942"/>
      <c r="AB89" s="942"/>
      <c r="AC89" s="942"/>
      <c r="AD89" s="942"/>
      <c r="AE89" s="942"/>
      <c r="AF89" s="942"/>
      <c r="AG89" s="942"/>
      <c r="AH89" s="942"/>
      <c r="AI89" s="942"/>
      <c r="AJ89" s="942"/>
      <c r="AK89" s="942"/>
      <c r="AL89" s="942"/>
      <c r="AM89" s="942"/>
      <c r="AN89" s="942"/>
      <c r="AO89" s="942"/>
      <c r="AP89" s="942"/>
      <c r="AQ89" s="942"/>
      <c r="AR89" s="942"/>
      <c r="AS89" s="942"/>
      <c r="AT89" s="942"/>
      <c r="AU89" s="942"/>
    </row>
    <row r="90" spans="2:47" hidden="1">
      <c r="B90" s="1249"/>
      <c r="C90" s="1250"/>
      <c r="D90" s="3856"/>
      <c r="E90" s="3856"/>
      <c r="F90" s="3856"/>
      <c r="G90" s="3856"/>
      <c r="H90" s="3856"/>
      <c r="I90" s="3856"/>
      <c r="J90" s="3856"/>
      <c r="K90" s="3856"/>
      <c r="L90" s="1252"/>
      <c r="M90" s="1252"/>
      <c r="N90" s="1252"/>
      <c r="O90" s="1252"/>
      <c r="P90" s="1252"/>
      <c r="Q90" s="1252"/>
      <c r="R90" s="1252"/>
      <c r="S90" s="1249"/>
      <c r="T90" s="1249"/>
      <c r="U90" s="1249"/>
      <c r="V90" s="1249"/>
      <c r="W90" s="942"/>
      <c r="X90" s="942"/>
      <c r="Y90" s="942"/>
      <c r="Z90" s="942"/>
      <c r="AA90" s="942"/>
      <c r="AB90" s="942"/>
      <c r="AC90" s="942"/>
      <c r="AD90" s="942"/>
      <c r="AE90" s="942"/>
      <c r="AF90" s="942"/>
      <c r="AG90" s="942"/>
      <c r="AH90" s="942"/>
      <c r="AI90" s="942"/>
      <c r="AJ90" s="942"/>
      <c r="AK90" s="942"/>
      <c r="AL90" s="942"/>
      <c r="AM90" s="942"/>
      <c r="AN90" s="942"/>
      <c r="AO90" s="942"/>
      <c r="AP90" s="942"/>
      <c r="AQ90" s="942"/>
      <c r="AR90" s="942"/>
      <c r="AS90" s="942"/>
      <c r="AT90" s="942"/>
      <c r="AU90" s="942"/>
    </row>
    <row r="91" spans="2:47" ht="15.75" hidden="1">
      <c r="B91" s="1249"/>
      <c r="C91" s="1250"/>
      <c r="D91" s="1266"/>
      <c r="E91" s="1251"/>
      <c r="F91" s="1251"/>
      <c r="G91" s="1251"/>
      <c r="H91" s="1251"/>
      <c r="I91" s="1251"/>
      <c r="J91" s="1251"/>
      <c r="K91" s="1251"/>
      <c r="L91" s="1252"/>
      <c r="M91" s="1252"/>
      <c r="N91" s="1252"/>
      <c r="O91" s="1252"/>
      <c r="P91" s="1252"/>
      <c r="Q91" s="1252"/>
      <c r="R91" s="1252"/>
      <c r="S91" s="1249"/>
      <c r="T91" s="1249"/>
      <c r="U91" s="1249"/>
      <c r="V91" s="1249"/>
      <c r="W91" s="942"/>
      <c r="X91" s="942"/>
      <c r="Y91" s="942"/>
      <c r="Z91" s="942"/>
      <c r="AA91" s="942"/>
      <c r="AB91" s="942"/>
      <c r="AC91" s="942"/>
      <c r="AD91" s="942"/>
      <c r="AE91" s="942"/>
      <c r="AF91" s="942"/>
      <c r="AG91" s="942"/>
      <c r="AH91" s="942"/>
      <c r="AI91" s="942"/>
      <c r="AJ91" s="942"/>
      <c r="AK91" s="942"/>
      <c r="AL91" s="942"/>
      <c r="AM91" s="942"/>
      <c r="AN91" s="942"/>
      <c r="AO91" s="942"/>
      <c r="AP91" s="942"/>
      <c r="AQ91" s="942"/>
      <c r="AR91" s="942"/>
      <c r="AS91" s="942"/>
      <c r="AT91" s="942"/>
      <c r="AU91" s="942"/>
    </row>
    <row r="92" spans="2:47" hidden="1">
      <c r="B92" s="1249"/>
      <c r="C92" s="1250"/>
      <c r="D92" s="3856"/>
      <c r="E92" s="3856"/>
      <c r="F92" s="3856"/>
      <c r="G92" s="3856"/>
      <c r="H92" s="3856"/>
      <c r="I92" s="3856"/>
      <c r="J92" s="3856"/>
      <c r="K92" s="3856"/>
      <c r="L92" s="1252"/>
      <c r="M92" s="1252"/>
      <c r="N92" s="1252"/>
      <c r="O92" s="1252"/>
      <c r="P92" s="1252"/>
      <c r="Q92" s="1252"/>
      <c r="R92" s="1252"/>
      <c r="S92" s="1249"/>
      <c r="T92" s="1249"/>
      <c r="U92" s="1249"/>
      <c r="V92" s="1249"/>
      <c r="W92" s="942"/>
      <c r="X92" s="942"/>
      <c r="Y92" s="942"/>
      <c r="Z92" s="942"/>
      <c r="AA92" s="942"/>
      <c r="AB92" s="942"/>
      <c r="AC92" s="942"/>
      <c r="AD92" s="942"/>
      <c r="AE92" s="942"/>
      <c r="AF92" s="942"/>
      <c r="AG92" s="942"/>
      <c r="AH92" s="942"/>
      <c r="AI92" s="942"/>
      <c r="AJ92" s="942"/>
      <c r="AK92" s="942"/>
      <c r="AL92" s="942"/>
      <c r="AM92" s="942"/>
      <c r="AN92" s="942"/>
      <c r="AO92" s="942"/>
      <c r="AP92" s="942"/>
      <c r="AQ92" s="942"/>
      <c r="AR92" s="942"/>
      <c r="AS92" s="942"/>
      <c r="AT92" s="942"/>
      <c r="AU92" s="942"/>
    </row>
    <row r="93" spans="2:47" ht="15.75" hidden="1">
      <c r="B93" s="1249"/>
      <c r="C93" s="1250"/>
      <c r="D93" s="1266"/>
      <c r="E93" s="1251"/>
      <c r="F93" s="1251"/>
      <c r="G93" s="1251"/>
      <c r="H93" s="1251"/>
      <c r="I93" s="1251"/>
      <c r="J93" s="1251"/>
      <c r="K93" s="1251"/>
      <c r="L93" s="1252"/>
      <c r="M93" s="1252"/>
      <c r="N93" s="1252"/>
      <c r="O93" s="1252"/>
      <c r="P93" s="1252"/>
      <c r="Q93" s="1252"/>
      <c r="R93" s="1252"/>
      <c r="S93" s="1249"/>
      <c r="T93" s="1249"/>
      <c r="U93" s="1249"/>
      <c r="V93" s="1249"/>
      <c r="W93" s="942"/>
      <c r="X93" s="942"/>
      <c r="Y93" s="942"/>
      <c r="Z93" s="942"/>
      <c r="AA93" s="942"/>
      <c r="AB93" s="942"/>
      <c r="AC93" s="942"/>
      <c r="AD93" s="942"/>
      <c r="AE93" s="942"/>
      <c r="AF93" s="942"/>
      <c r="AG93" s="942"/>
      <c r="AH93" s="942"/>
      <c r="AI93" s="942"/>
      <c r="AJ93" s="942"/>
      <c r="AK93" s="942"/>
      <c r="AL93" s="942"/>
      <c r="AM93" s="942"/>
      <c r="AN93" s="942"/>
      <c r="AO93" s="942"/>
      <c r="AP93" s="942"/>
      <c r="AQ93" s="942"/>
      <c r="AR93" s="942"/>
      <c r="AS93" s="942"/>
      <c r="AT93" s="942"/>
      <c r="AU93" s="942"/>
    </row>
    <row r="94" spans="2:47" ht="15.75" hidden="1">
      <c r="B94" s="1249"/>
      <c r="C94" s="1250"/>
      <c r="D94" s="1266"/>
      <c r="E94" s="1251"/>
      <c r="F94" s="1251"/>
      <c r="G94" s="1251"/>
      <c r="H94" s="1251"/>
      <c r="I94" s="1251"/>
      <c r="J94" s="1251"/>
      <c r="K94" s="1251"/>
      <c r="L94" s="1252"/>
      <c r="M94" s="1252"/>
      <c r="N94" s="1252"/>
      <c r="O94" s="1252"/>
      <c r="P94" s="1252"/>
      <c r="Q94" s="1252"/>
      <c r="R94" s="1252"/>
      <c r="S94" s="1249"/>
      <c r="T94" s="1249"/>
      <c r="U94" s="1249"/>
      <c r="V94" s="1249"/>
      <c r="W94" s="942"/>
      <c r="X94" s="942"/>
      <c r="Y94" s="942"/>
      <c r="Z94" s="942"/>
      <c r="AA94" s="942"/>
      <c r="AB94" s="942"/>
      <c r="AC94" s="942"/>
      <c r="AD94" s="942"/>
      <c r="AE94" s="942"/>
      <c r="AF94" s="942"/>
      <c r="AG94" s="942"/>
      <c r="AH94" s="942"/>
      <c r="AI94" s="942"/>
      <c r="AJ94" s="942"/>
      <c r="AK94" s="942"/>
      <c r="AL94" s="942"/>
      <c r="AM94" s="942"/>
      <c r="AN94" s="942"/>
      <c r="AO94" s="942"/>
      <c r="AP94" s="942"/>
      <c r="AQ94" s="942"/>
      <c r="AR94" s="942"/>
      <c r="AS94" s="942"/>
      <c r="AT94" s="942"/>
      <c r="AU94" s="942"/>
    </row>
    <row r="95" spans="2:47" ht="15.75" hidden="1">
      <c r="B95" s="1249"/>
      <c r="C95" s="1250"/>
      <c r="D95" s="1266"/>
      <c r="E95" s="1251"/>
      <c r="F95" s="1251"/>
      <c r="G95" s="1251"/>
      <c r="H95" s="1251"/>
      <c r="I95" s="1251"/>
      <c r="J95" s="1251"/>
      <c r="K95" s="1251"/>
      <c r="L95" s="1252"/>
      <c r="M95" s="1252"/>
      <c r="N95" s="1252"/>
      <c r="O95" s="1252"/>
      <c r="P95" s="1252"/>
      <c r="Q95" s="1252"/>
      <c r="R95" s="1252"/>
      <c r="S95" s="1249"/>
      <c r="T95" s="1249"/>
      <c r="U95" s="1249"/>
      <c r="V95" s="1249"/>
      <c r="W95" s="942"/>
      <c r="X95" s="942"/>
      <c r="Y95" s="942"/>
      <c r="Z95" s="942"/>
      <c r="AA95" s="942"/>
      <c r="AB95" s="942"/>
      <c r="AC95" s="942"/>
      <c r="AD95" s="942"/>
      <c r="AE95" s="942"/>
      <c r="AF95" s="942"/>
      <c r="AG95" s="942"/>
      <c r="AH95" s="942"/>
      <c r="AI95" s="942"/>
      <c r="AJ95" s="942"/>
      <c r="AK95" s="942"/>
      <c r="AL95" s="942"/>
      <c r="AM95" s="942"/>
      <c r="AN95" s="942"/>
      <c r="AO95" s="942"/>
      <c r="AP95" s="942"/>
      <c r="AQ95" s="942"/>
      <c r="AR95" s="942"/>
      <c r="AS95" s="942"/>
      <c r="AT95" s="942"/>
      <c r="AU95" s="942"/>
    </row>
    <row r="96" spans="2:47" ht="15.75" hidden="1">
      <c r="B96" s="1249"/>
      <c r="C96" s="1250"/>
      <c r="D96" s="1266"/>
      <c r="E96" s="1251"/>
      <c r="F96" s="1251"/>
      <c r="G96" s="1251"/>
      <c r="H96" s="1251"/>
      <c r="I96" s="1251"/>
      <c r="J96" s="1251"/>
      <c r="K96" s="1251"/>
      <c r="L96" s="1252"/>
      <c r="M96" s="1252"/>
      <c r="N96" s="1252"/>
      <c r="O96" s="1252"/>
      <c r="P96" s="1252"/>
      <c r="Q96" s="1252"/>
      <c r="R96" s="1252"/>
      <c r="S96" s="1249"/>
      <c r="T96" s="1249"/>
      <c r="U96" s="1249"/>
      <c r="V96" s="1249"/>
      <c r="W96" s="942"/>
      <c r="X96" s="942"/>
      <c r="Y96" s="942"/>
      <c r="Z96" s="942"/>
      <c r="AA96" s="942"/>
      <c r="AB96" s="942"/>
      <c r="AC96" s="942"/>
      <c r="AD96" s="942"/>
      <c r="AE96" s="942"/>
      <c r="AF96" s="942"/>
      <c r="AG96" s="942"/>
      <c r="AH96" s="942"/>
      <c r="AI96" s="942"/>
      <c r="AJ96" s="942"/>
      <c r="AK96" s="942"/>
      <c r="AL96" s="942"/>
      <c r="AM96" s="942"/>
      <c r="AN96" s="942"/>
      <c r="AO96" s="942"/>
      <c r="AP96" s="942"/>
      <c r="AQ96" s="942"/>
      <c r="AR96" s="942"/>
      <c r="AS96" s="942"/>
      <c r="AT96" s="942"/>
      <c r="AU96" s="942"/>
    </row>
    <row r="97" spans="2:47" ht="15.75" hidden="1">
      <c r="B97" s="1249"/>
      <c r="C97" s="1250"/>
      <c r="D97" s="1264"/>
      <c r="E97" s="1251"/>
      <c r="F97" s="1251"/>
      <c r="G97" s="1251"/>
      <c r="H97" s="1251"/>
      <c r="I97" s="1251"/>
      <c r="J97" s="1251"/>
      <c r="K97" s="1251"/>
      <c r="L97" s="1252"/>
      <c r="M97" s="1252"/>
      <c r="N97" s="1252"/>
      <c r="O97" s="1252"/>
      <c r="P97" s="1252"/>
      <c r="Q97" s="1252"/>
      <c r="R97" s="1252"/>
      <c r="S97" s="1249"/>
      <c r="T97" s="1249"/>
      <c r="U97" s="1249"/>
      <c r="V97" s="1249"/>
      <c r="W97" s="942"/>
      <c r="X97" s="942"/>
      <c r="Y97" s="942"/>
      <c r="Z97" s="942"/>
      <c r="AA97" s="942"/>
      <c r="AB97" s="942"/>
      <c r="AC97" s="942"/>
      <c r="AD97" s="942"/>
      <c r="AE97" s="942"/>
      <c r="AF97" s="942"/>
      <c r="AG97" s="942"/>
      <c r="AH97" s="942"/>
      <c r="AI97" s="942"/>
      <c r="AJ97" s="942"/>
      <c r="AK97" s="942"/>
      <c r="AL97" s="942"/>
      <c r="AM97" s="942"/>
      <c r="AN97" s="942"/>
      <c r="AO97" s="942"/>
      <c r="AP97" s="942"/>
      <c r="AQ97" s="942"/>
      <c r="AR97" s="942"/>
      <c r="AS97" s="942"/>
      <c r="AT97" s="942"/>
      <c r="AU97" s="942"/>
    </row>
    <row r="98" spans="2:47" hidden="1">
      <c r="B98" s="1249"/>
      <c r="C98" s="1250"/>
      <c r="D98" s="3857"/>
      <c r="E98" s="3857"/>
      <c r="F98" s="3857"/>
      <c r="G98" s="3857"/>
      <c r="H98" s="3857"/>
      <c r="I98" s="3857"/>
      <c r="J98" s="3857"/>
      <c r="K98" s="3857"/>
      <c r="L98" s="1252"/>
      <c r="M98" s="1252"/>
      <c r="N98" s="1252"/>
      <c r="O98" s="1252"/>
      <c r="P98" s="1252"/>
      <c r="Q98" s="1252"/>
      <c r="R98" s="1252"/>
      <c r="S98" s="1249"/>
      <c r="T98" s="1249"/>
      <c r="U98" s="1249"/>
      <c r="V98" s="1249"/>
      <c r="W98" s="942"/>
      <c r="X98" s="942"/>
      <c r="Y98" s="942"/>
      <c r="Z98" s="942"/>
      <c r="AA98" s="942"/>
      <c r="AB98" s="942"/>
      <c r="AC98" s="942"/>
      <c r="AD98" s="942"/>
      <c r="AE98" s="942"/>
      <c r="AF98" s="942"/>
      <c r="AG98" s="942"/>
      <c r="AH98" s="942"/>
      <c r="AI98" s="942"/>
      <c r="AJ98" s="942"/>
      <c r="AK98" s="942"/>
      <c r="AL98" s="942"/>
      <c r="AM98" s="942"/>
      <c r="AN98" s="942"/>
      <c r="AO98" s="942"/>
      <c r="AP98" s="942"/>
      <c r="AQ98" s="942"/>
      <c r="AR98" s="942"/>
      <c r="AS98" s="942"/>
      <c r="AT98" s="942"/>
      <c r="AU98" s="942"/>
    </row>
    <row r="99" spans="2:47" hidden="1">
      <c r="B99" s="1249"/>
      <c r="C99" s="1250"/>
      <c r="D99" s="3857"/>
      <c r="E99" s="3857"/>
      <c r="F99" s="3857"/>
      <c r="G99" s="3857"/>
      <c r="H99" s="3857"/>
      <c r="I99" s="3857"/>
      <c r="J99" s="3857"/>
      <c r="K99" s="3857"/>
      <c r="L99" s="1252"/>
      <c r="M99" s="1252"/>
      <c r="N99" s="1252"/>
      <c r="O99" s="1252"/>
      <c r="P99" s="1252"/>
      <c r="Q99" s="1252"/>
      <c r="R99" s="1252"/>
      <c r="S99" s="1249"/>
      <c r="T99" s="1249"/>
      <c r="U99" s="1249"/>
      <c r="V99" s="1249"/>
      <c r="W99" s="942"/>
      <c r="X99" s="942"/>
      <c r="Y99" s="942"/>
      <c r="Z99" s="942"/>
      <c r="AA99" s="942"/>
      <c r="AB99" s="942"/>
      <c r="AC99" s="942"/>
      <c r="AD99" s="942"/>
      <c r="AE99" s="942"/>
      <c r="AF99" s="942"/>
      <c r="AG99" s="942"/>
      <c r="AH99" s="942"/>
      <c r="AI99" s="942"/>
      <c r="AJ99" s="942"/>
      <c r="AK99" s="942"/>
      <c r="AL99" s="942"/>
      <c r="AM99" s="942"/>
      <c r="AN99" s="942"/>
      <c r="AO99" s="942"/>
      <c r="AP99" s="942"/>
      <c r="AQ99" s="942"/>
      <c r="AR99" s="942"/>
      <c r="AS99" s="942"/>
      <c r="AT99" s="942"/>
      <c r="AU99" s="942"/>
    </row>
    <row r="100" spans="2:47" hidden="1">
      <c r="B100" s="1249"/>
      <c r="C100" s="1250"/>
      <c r="D100" s="3857"/>
      <c r="E100" s="3857"/>
      <c r="F100" s="3857"/>
      <c r="G100" s="3857"/>
      <c r="H100" s="3857"/>
      <c r="I100" s="3857"/>
      <c r="J100" s="3857"/>
      <c r="K100" s="3857"/>
      <c r="L100" s="1252"/>
      <c r="M100" s="1252"/>
      <c r="N100" s="1252"/>
      <c r="O100" s="1252"/>
      <c r="P100" s="1252"/>
      <c r="Q100" s="1252"/>
      <c r="R100" s="1252"/>
      <c r="S100" s="1249"/>
      <c r="T100" s="1249"/>
      <c r="U100" s="1249"/>
      <c r="V100" s="1249"/>
      <c r="W100" s="942"/>
      <c r="X100" s="942"/>
      <c r="Y100" s="942"/>
      <c r="Z100" s="942"/>
      <c r="AA100" s="942"/>
      <c r="AB100" s="942"/>
      <c r="AC100" s="942"/>
      <c r="AD100" s="942"/>
      <c r="AE100" s="942"/>
      <c r="AF100" s="942"/>
      <c r="AG100" s="942"/>
      <c r="AH100" s="942"/>
      <c r="AI100" s="942"/>
      <c r="AJ100" s="942"/>
      <c r="AK100" s="942"/>
      <c r="AL100" s="942"/>
      <c r="AM100" s="942"/>
      <c r="AN100" s="942"/>
      <c r="AO100" s="942"/>
      <c r="AP100" s="942"/>
      <c r="AQ100" s="942"/>
      <c r="AR100" s="942"/>
      <c r="AS100" s="942"/>
      <c r="AT100" s="942"/>
      <c r="AU100" s="942"/>
    </row>
    <row r="101" spans="2:47" hidden="1">
      <c r="B101" s="1249"/>
      <c r="C101" s="1250"/>
      <c r="D101" s="3857"/>
      <c r="E101" s="3857"/>
      <c r="F101" s="3857"/>
      <c r="G101" s="3857"/>
      <c r="H101" s="3857"/>
      <c r="I101" s="3857"/>
      <c r="J101" s="3857"/>
      <c r="K101" s="3857"/>
      <c r="L101" s="1252"/>
      <c r="M101" s="1252"/>
      <c r="N101" s="1252"/>
      <c r="O101" s="1252"/>
      <c r="P101" s="1252"/>
      <c r="Q101" s="1252"/>
      <c r="R101" s="1252"/>
      <c r="S101" s="1249"/>
      <c r="T101" s="1249"/>
      <c r="U101" s="1249"/>
      <c r="V101" s="1249"/>
      <c r="W101" s="942"/>
      <c r="X101" s="942"/>
      <c r="Y101" s="942"/>
      <c r="Z101" s="942"/>
      <c r="AA101" s="942"/>
      <c r="AB101" s="942"/>
      <c r="AC101" s="942"/>
      <c r="AD101" s="942"/>
      <c r="AE101" s="942"/>
      <c r="AF101" s="942"/>
      <c r="AG101" s="942"/>
      <c r="AH101" s="942"/>
      <c r="AI101" s="942"/>
      <c r="AJ101" s="942"/>
      <c r="AK101" s="942"/>
      <c r="AL101" s="942"/>
      <c r="AM101" s="942"/>
      <c r="AN101" s="942"/>
      <c r="AO101" s="942"/>
      <c r="AP101" s="942"/>
      <c r="AQ101" s="942"/>
      <c r="AR101" s="942"/>
      <c r="AS101" s="942"/>
      <c r="AT101" s="942"/>
      <c r="AU101" s="942"/>
    </row>
    <row r="102" spans="2:47" hidden="1">
      <c r="B102" s="1249"/>
      <c r="C102" s="1250"/>
      <c r="D102" s="3857"/>
      <c r="E102" s="3857"/>
      <c r="F102" s="3857"/>
      <c r="G102" s="3857"/>
      <c r="H102" s="3857"/>
      <c r="I102" s="3857"/>
      <c r="J102" s="3857"/>
      <c r="K102" s="3857"/>
      <c r="L102" s="1252"/>
      <c r="M102" s="1252"/>
      <c r="N102" s="1252"/>
      <c r="O102" s="1252"/>
      <c r="P102" s="1252"/>
      <c r="Q102" s="1252"/>
      <c r="R102" s="1252"/>
      <c r="S102" s="1249"/>
      <c r="T102" s="1249"/>
      <c r="U102" s="1249"/>
      <c r="V102" s="1249"/>
      <c r="W102" s="942"/>
      <c r="X102" s="942"/>
      <c r="Y102" s="942"/>
      <c r="Z102" s="942"/>
      <c r="AA102" s="942"/>
      <c r="AB102" s="942"/>
      <c r="AC102" s="942"/>
      <c r="AD102" s="942"/>
      <c r="AE102" s="942"/>
      <c r="AF102" s="942"/>
      <c r="AG102" s="942"/>
      <c r="AH102" s="942"/>
      <c r="AI102" s="942"/>
      <c r="AJ102" s="942"/>
      <c r="AK102" s="942"/>
      <c r="AL102" s="942"/>
      <c r="AM102" s="942"/>
      <c r="AN102" s="942"/>
      <c r="AO102" s="942"/>
      <c r="AP102" s="942"/>
      <c r="AQ102" s="942"/>
      <c r="AR102" s="942"/>
      <c r="AS102" s="942"/>
      <c r="AT102" s="942"/>
      <c r="AU102" s="942"/>
    </row>
    <row r="103" spans="2:47" ht="6.75" hidden="1" customHeight="1">
      <c r="B103" s="1249"/>
      <c r="C103" s="1250"/>
      <c r="D103" s="3857"/>
      <c r="E103" s="3857"/>
      <c r="F103" s="3857"/>
      <c r="G103" s="3857"/>
      <c r="H103" s="3857"/>
      <c r="I103" s="3857"/>
      <c r="J103" s="3857"/>
      <c r="K103" s="3857"/>
      <c r="L103" s="1252"/>
      <c r="M103" s="1252"/>
      <c r="N103" s="1252"/>
      <c r="O103" s="1252"/>
      <c r="P103" s="1252"/>
      <c r="Q103" s="1252"/>
      <c r="R103" s="1252"/>
      <c r="S103" s="1249"/>
      <c r="T103" s="1249"/>
      <c r="U103" s="1249"/>
      <c r="V103" s="1249"/>
      <c r="W103" s="942"/>
      <c r="X103" s="942"/>
      <c r="Y103" s="942"/>
      <c r="Z103" s="942"/>
      <c r="AA103" s="942"/>
      <c r="AB103" s="942"/>
      <c r="AC103" s="942"/>
      <c r="AD103" s="942"/>
      <c r="AE103" s="942"/>
      <c r="AF103" s="942"/>
      <c r="AG103" s="942"/>
      <c r="AH103" s="942"/>
      <c r="AI103" s="942"/>
      <c r="AJ103" s="942"/>
      <c r="AK103" s="942"/>
      <c r="AL103" s="942"/>
      <c r="AM103" s="942"/>
      <c r="AN103" s="942"/>
      <c r="AO103" s="942"/>
      <c r="AP103" s="942"/>
      <c r="AQ103" s="942"/>
      <c r="AR103" s="942"/>
      <c r="AS103" s="942"/>
      <c r="AT103" s="942"/>
      <c r="AU103" s="942"/>
    </row>
    <row r="104" spans="2:47" hidden="1">
      <c r="B104" s="1249"/>
      <c r="C104" s="1250"/>
      <c r="D104" s="3857"/>
      <c r="E104" s="3857"/>
      <c r="F104" s="3857"/>
      <c r="G104" s="3857"/>
      <c r="H104" s="3857"/>
      <c r="I104" s="3857"/>
      <c r="J104" s="3857"/>
      <c r="K104" s="3857"/>
      <c r="L104" s="1252"/>
      <c r="M104" s="1252"/>
      <c r="N104" s="1252"/>
      <c r="O104" s="1252"/>
      <c r="P104" s="1252"/>
      <c r="Q104" s="1252"/>
      <c r="R104" s="1252"/>
      <c r="S104" s="1249"/>
      <c r="T104" s="1249"/>
      <c r="U104" s="1249"/>
      <c r="V104" s="1249"/>
      <c r="W104" s="942"/>
      <c r="X104" s="942"/>
      <c r="Y104" s="942"/>
      <c r="Z104" s="942"/>
      <c r="AA104" s="942"/>
      <c r="AB104" s="942"/>
      <c r="AC104" s="942"/>
      <c r="AD104" s="942"/>
      <c r="AE104" s="942"/>
      <c r="AF104" s="942"/>
      <c r="AG104" s="942"/>
      <c r="AH104" s="942"/>
      <c r="AI104" s="942"/>
      <c r="AJ104" s="942"/>
      <c r="AK104" s="942"/>
      <c r="AL104" s="942"/>
      <c r="AM104" s="942"/>
      <c r="AN104" s="942"/>
      <c r="AO104" s="942"/>
      <c r="AP104" s="942"/>
      <c r="AQ104" s="942"/>
      <c r="AR104" s="942"/>
      <c r="AS104" s="942"/>
      <c r="AT104" s="942"/>
      <c r="AU104" s="942"/>
    </row>
    <row r="105" spans="2:47" hidden="1">
      <c r="B105" s="1249"/>
      <c r="C105" s="1250"/>
      <c r="D105" s="3857"/>
      <c r="E105" s="3857"/>
      <c r="F105" s="3857"/>
      <c r="G105" s="3857"/>
      <c r="H105" s="3857"/>
      <c r="I105" s="3857"/>
      <c r="J105" s="3857"/>
      <c r="K105" s="3857"/>
      <c r="L105" s="1252"/>
      <c r="M105" s="1252"/>
      <c r="N105" s="1252"/>
      <c r="O105" s="1252"/>
      <c r="P105" s="1252"/>
      <c r="Q105" s="1252"/>
      <c r="R105" s="1252"/>
      <c r="S105" s="1249"/>
      <c r="T105" s="1249"/>
      <c r="U105" s="1249"/>
      <c r="V105" s="1249"/>
      <c r="W105" s="942"/>
      <c r="X105" s="942"/>
      <c r="Y105" s="942"/>
      <c r="Z105" s="942"/>
      <c r="AA105" s="942"/>
      <c r="AB105" s="942"/>
      <c r="AC105" s="942"/>
      <c r="AD105" s="942"/>
      <c r="AE105" s="942"/>
      <c r="AF105" s="942"/>
      <c r="AG105" s="942"/>
      <c r="AH105" s="942"/>
      <c r="AI105" s="942"/>
      <c r="AJ105" s="942"/>
      <c r="AK105" s="942"/>
      <c r="AL105" s="942"/>
      <c r="AM105" s="942"/>
      <c r="AN105" s="942"/>
      <c r="AO105" s="942"/>
      <c r="AP105" s="942"/>
      <c r="AQ105" s="942"/>
      <c r="AR105" s="942"/>
      <c r="AS105" s="942"/>
      <c r="AT105" s="942"/>
      <c r="AU105" s="942"/>
    </row>
    <row r="106" spans="2:47" ht="18" hidden="1">
      <c r="B106" s="1249"/>
      <c r="C106" s="1250"/>
      <c r="D106" s="3852"/>
      <c r="E106" s="3852"/>
      <c r="F106" s="3852"/>
      <c r="G106" s="3852"/>
      <c r="H106" s="1267"/>
      <c r="I106" s="1268"/>
      <c r="J106" s="1250"/>
      <c r="K106" s="1269"/>
      <c r="L106" s="1252"/>
      <c r="M106" s="1252"/>
      <c r="N106" s="1252"/>
      <c r="O106" s="1252"/>
      <c r="P106" s="1252"/>
      <c r="Q106" s="1252"/>
      <c r="R106" s="1252"/>
      <c r="S106" s="1249"/>
      <c r="T106" s="1249"/>
      <c r="U106" s="1249"/>
      <c r="V106" s="1249"/>
      <c r="W106" s="942"/>
      <c r="X106" s="942"/>
      <c r="Y106" s="942"/>
      <c r="Z106" s="942"/>
      <c r="AA106" s="942"/>
      <c r="AB106" s="942"/>
      <c r="AC106" s="942"/>
      <c r="AD106" s="942"/>
      <c r="AE106" s="942"/>
      <c r="AF106" s="942"/>
      <c r="AG106" s="942"/>
      <c r="AH106" s="942"/>
      <c r="AI106" s="942"/>
      <c r="AJ106" s="942"/>
      <c r="AK106" s="942"/>
      <c r="AL106" s="942"/>
      <c r="AM106" s="942"/>
      <c r="AN106" s="942"/>
      <c r="AO106" s="942"/>
      <c r="AP106" s="942"/>
      <c r="AQ106" s="942"/>
      <c r="AR106" s="942"/>
      <c r="AS106" s="942"/>
      <c r="AT106" s="942"/>
      <c r="AU106" s="942"/>
    </row>
    <row r="107" spans="2:47" hidden="1">
      <c r="B107" s="1249"/>
      <c r="C107" s="1250"/>
      <c r="D107" s="3853"/>
      <c r="E107" s="3853"/>
      <c r="F107" s="3853"/>
      <c r="G107" s="3853"/>
      <c r="H107" s="3853"/>
      <c r="I107" s="3853"/>
      <c r="J107" s="3853"/>
      <c r="K107" s="3853"/>
      <c r="L107" s="1250"/>
      <c r="M107" s="1250"/>
      <c r="N107" s="1250"/>
      <c r="O107" s="1250"/>
      <c r="P107" s="1250"/>
      <c r="Q107" s="1250"/>
      <c r="R107" s="1250"/>
      <c r="S107" s="1249"/>
      <c r="T107" s="1249"/>
      <c r="U107" s="1249"/>
      <c r="V107" s="1249"/>
      <c r="W107" s="942"/>
      <c r="X107" s="942"/>
      <c r="Y107" s="942"/>
      <c r="Z107" s="942"/>
      <c r="AA107" s="942"/>
      <c r="AB107" s="942"/>
      <c r="AC107" s="942"/>
      <c r="AD107" s="942"/>
      <c r="AE107" s="942"/>
      <c r="AF107" s="942"/>
      <c r="AG107" s="942"/>
      <c r="AH107" s="942"/>
      <c r="AI107" s="942"/>
      <c r="AJ107" s="942"/>
      <c r="AK107" s="942"/>
      <c r="AL107" s="942"/>
      <c r="AM107" s="942"/>
      <c r="AN107" s="942"/>
      <c r="AO107" s="942"/>
      <c r="AP107" s="942"/>
      <c r="AQ107" s="942"/>
      <c r="AR107" s="942"/>
      <c r="AS107" s="942"/>
      <c r="AT107" s="942"/>
      <c r="AU107" s="942"/>
    </row>
    <row r="108" spans="2:47" hidden="1">
      <c r="B108" s="1249"/>
      <c r="C108" s="1250"/>
      <c r="D108" s="1252"/>
      <c r="E108" s="1252"/>
      <c r="F108" s="1252"/>
      <c r="G108" s="1252"/>
      <c r="H108" s="1252"/>
      <c r="I108" s="1252"/>
      <c r="J108" s="1250"/>
      <c r="K108" s="1252"/>
      <c r="L108" s="1252"/>
      <c r="M108" s="1252"/>
      <c r="N108" s="1252"/>
      <c r="O108" s="1252"/>
      <c r="P108" s="1252"/>
      <c r="Q108" s="1252"/>
      <c r="R108" s="1252"/>
      <c r="S108" s="1249"/>
      <c r="T108" s="1249"/>
      <c r="U108" s="1249"/>
      <c r="V108" s="1249"/>
      <c r="W108" s="942"/>
      <c r="X108" s="942"/>
      <c r="Y108" s="942"/>
      <c r="Z108" s="942"/>
      <c r="AA108" s="942"/>
      <c r="AB108" s="942"/>
      <c r="AC108" s="942"/>
      <c r="AD108" s="942"/>
      <c r="AE108" s="942"/>
      <c r="AF108" s="942"/>
      <c r="AG108" s="942"/>
      <c r="AH108" s="942"/>
      <c r="AI108" s="942"/>
      <c r="AJ108" s="942"/>
      <c r="AK108" s="942"/>
      <c r="AL108" s="942"/>
      <c r="AM108" s="942"/>
      <c r="AN108" s="942"/>
      <c r="AO108" s="942"/>
      <c r="AP108" s="942"/>
      <c r="AQ108" s="942"/>
      <c r="AR108" s="942"/>
      <c r="AS108" s="942"/>
      <c r="AT108" s="942"/>
      <c r="AU108" s="942"/>
    </row>
    <row r="109" spans="2:47" hidden="1">
      <c r="B109" s="1249"/>
      <c r="C109" s="1250"/>
      <c r="D109" s="1252"/>
      <c r="E109" s="1252"/>
      <c r="F109" s="1252"/>
      <c r="G109" s="1252"/>
      <c r="H109" s="1252"/>
      <c r="I109" s="1252"/>
      <c r="J109" s="1250"/>
      <c r="K109" s="1250"/>
      <c r="L109" s="1252"/>
      <c r="M109" s="1252"/>
      <c r="N109" s="1252"/>
      <c r="O109" s="1252"/>
      <c r="P109" s="1252"/>
      <c r="Q109" s="1252"/>
      <c r="R109" s="1252"/>
      <c r="S109" s="1249"/>
      <c r="T109" s="1249"/>
      <c r="U109" s="1249"/>
      <c r="V109" s="1249"/>
      <c r="W109" s="942"/>
      <c r="X109" s="942"/>
      <c r="Y109" s="942"/>
      <c r="Z109" s="942"/>
      <c r="AA109" s="942"/>
      <c r="AB109" s="942"/>
      <c r="AC109" s="942"/>
      <c r="AD109" s="942"/>
      <c r="AE109" s="942"/>
      <c r="AF109" s="942"/>
      <c r="AG109" s="942"/>
      <c r="AH109" s="942"/>
      <c r="AI109" s="942"/>
      <c r="AJ109" s="942"/>
      <c r="AK109" s="942"/>
      <c r="AL109" s="942"/>
      <c r="AM109" s="942"/>
      <c r="AN109" s="942"/>
      <c r="AO109" s="942"/>
      <c r="AP109" s="942"/>
      <c r="AQ109" s="942"/>
      <c r="AR109" s="942"/>
      <c r="AS109" s="942"/>
      <c r="AT109" s="942"/>
      <c r="AU109" s="942"/>
    </row>
    <row r="110" spans="2:47" hidden="1">
      <c r="B110" s="1249"/>
      <c r="C110" s="1250"/>
      <c r="D110" s="1252"/>
      <c r="E110" s="1252"/>
      <c r="F110" s="1252"/>
      <c r="G110" s="1252"/>
      <c r="H110" s="1252"/>
      <c r="I110" s="1252"/>
      <c r="J110" s="1252"/>
      <c r="K110" s="1252"/>
      <c r="L110" s="1252"/>
      <c r="M110" s="1252"/>
      <c r="N110" s="1252"/>
      <c r="O110" s="1252"/>
      <c r="P110" s="1252"/>
      <c r="Q110" s="1252"/>
      <c r="R110" s="1252"/>
      <c r="S110" s="1249"/>
      <c r="T110" s="1249"/>
      <c r="U110" s="1249"/>
      <c r="V110" s="1249"/>
      <c r="W110" s="942"/>
      <c r="X110" s="942"/>
      <c r="Y110" s="942"/>
      <c r="Z110" s="942"/>
      <c r="AA110" s="942"/>
      <c r="AB110" s="942"/>
      <c r="AC110" s="942"/>
      <c r="AD110" s="942"/>
      <c r="AE110" s="942"/>
      <c r="AF110" s="942"/>
      <c r="AG110" s="942"/>
      <c r="AH110" s="942"/>
      <c r="AI110" s="942"/>
      <c r="AJ110" s="942"/>
      <c r="AK110" s="942"/>
      <c r="AL110" s="942"/>
      <c r="AM110" s="942"/>
      <c r="AN110" s="942"/>
      <c r="AO110" s="942"/>
      <c r="AP110" s="942"/>
      <c r="AQ110" s="942"/>
      <c r="AR110" s="942"/>
      <c r="AS110" s="942"/>
      <c r="AT110" s="942"/>
      <c r="AU110" s="942"/>
    </row>
    <row r="111" spans="2:47" hidden="1">
      <c r="B111" s="1249"/>
      <c r="C111" s="1250"/>
      <c r="D111" s="1252"/>
      <c r="E111" s="1252"/>
      <c r="F111" s="1252"/>
      <c r="G111" s="1252"/>
      <c r="H111" s="1252"/>
      <c r="I111" s="1252"/>
      <c r="J111" s="1252"/>
      <c r="K111" s="1252"/>
      <c r="L111" s="1252"/>
      <c r="M111" s="1252"/>
      <c r="N111" s="1252"/>
      <c r="O111" s="1252"/>
      <c r="P111" s="1252"/>
      <c r="Q111" s="1252"/>
      <c r="R111" s="1252"/>
      <c r="S111" s="1249"/>
      <c r="T111" s="1249"/>
      <c r="U111" s="1249"/>
      <c r="V111" s="1249"/>
      <c r="W111" s="942"/>
      <c r="X111" s="942"/>
      <c r="Y111" s="942"/>
      <c r="Z111" s="942"/>
      <c r="AA111" s="942"/>
      <c r="AB111" s="942"/>
      <c r="AC111" s="942"/>
      <c r="AD111" s="942"/>
      <c r="AE111" s="942"/>
      <c r="AF111" s="942"/>
      <c r="AG111" s="942"/>
      <c r="AH111" s="942"/>
      <c r="AI111" s="942"/>
      <c r="AJ111" s="942"/>
      <c r="AK111" s="942"/>
      <c r="AL111" s="942"/>
      <c r="AM111" s="942"/>
      <c r="AN111" s="942"/>
      <c r="AO111" s="942"/>
      <c r="AP111" s="942"/>
      <c r="AQ111" s="942"/>
      <c r="AR111" s="942"/>
      <c r="AS111" s="942"/>
      <c r="AT111" s="942"/>
      <c r="AU111" s="942"/>
    </row>
    <row r="112" spans="2:47" hidden="1">
      <c r="B112" s="1249"/>
      <c r="C112" s="1250"/>
      <c r="D112" s="1252"/>
      <c r="E112" s="1252"/>
      <c r="F112" s="1252"/>
      <c r="G112" s="1252"/>
      <c r="H112" s="1252"/>
      <c r="I112" s="1252"/>
      <c r="J112" s="1252"/>
      <c r="K112" s="1252"/>
      <c r="L112" s="1252"/>
      <c r="M112" s="1252"/>
      <c r="N112" s="1252"/>
      <c r="O112" s="1252"/>
      <c r="P112" s="1252"/>
      <c r="Q112" s="1252"/>
      <c r="R112" s="1252"/>
      <c r="S112" s="1249"/>
      <c r="T112" s="1249"/>
      <c r="U112" s="1249"/>
      <c r="V112" s="1249"/>
      <c r="W112" s="942"/>
      <c r="X112" s="942"/>
      <c r="Y112" s="942"/>
      <c r="Z112" s="942"/>
      <c r="AA112" s="942"/>
      <c r="AB112" s="942"/>
      <c r="AC112" s="942"/>
      <c r="AD112" s="942"/>
      <c r="AE112" s="942"/>
      <c r="AF112" s="942"/>
      <c r="AG112" s="942"/>
      <c r="AH112" s="942"/>
      <c r="AI112" s="942"/>
      <c r="AJ112" s="942"/>
      <c r="AK112" s="942"/>
      <c r="AL112" s="942"/>
      <c r="AM112" s="942"/>
      <c r="AN112" s="942"/>
      <c r="AO112" s="942"/>
      <c r="AP112" s="942"/>
      <c r="AQ112" s="942"/>
      <c r="AR112" s="942"/>
      <c r="AS112" s="942"/>
      <c r="AT112" s="942"/>
      <c r="AU112" s="942"/>
    </row>
    <row r="113" spans="2:47" hidden="1">
      <c r="B113" s="1249"/>
      <c r="C113" s="1250"/>
      <c r="D113" s="1252"/>
      <c r="E113" s="1252"/>
      <c r="F113" s="1252"/>
      <c r="G113" s="1252"/>
      <c r="H113" s="1252"/>
      <c r="I113" s="1252"/>
      <c r="J113" s="1252"/>
      <c r="K113" s="1252"/>
      <c r="L113" s="1252"/>
      <c r="M113" s="1252"/>
      <c r="N113" s="1252"/>
      <c r="O113" s="1252"/>
      <c r="P113" s="1252"/>
      <c r="Q113" s="1252"/>
      <c r="R113" s="1252"/>
      <c r="S113" s="1249"/>
      <c r="T113" s="1249"/>
      <c r="U113" s="1249"/>
      <c r="V113" s="1249"/>
      <c r="W113" s="942"/>
      <c r="X113" s="942"/>
      <c r="Y113" s="942"/>
      <c r="Z113" s="942"/>
      <c r="AA113" s="942"/>
      <c r="AB113" s="942"/>
      <c r="AC113" s="942"/>
      <c r="AD113" s="942"/>
      <c r="AE113" s="942"/>
      <c r="AF113" s="942"/>
      <c r="AG113" s="942"/>
      <c r="AH113" s="942"/>
      <c r="AI113" s="942"/>
      <c r="AJ113" s="942"/>
      <c r="AK113" s="942"/>
      <c r="AL113" s="942"/>
      <c r="AM113" s="942"/>
      <c r="AN113" s="942"/>
      <c r="AO113" s="942"/>
      <c r="AP113" s="942"/>
      <c r="AQ113" s="942"/>
      <c r="AR113" s="942"/>
      <c r="AS113" s="942"/>
      <c r="AT113" s="942"/>
      <c r="AU113" s="942"/>
    </row>
    <row r="114" spans="2:47" hidden="1">
      <c r="B114" s="1249"/>
      <c r="C114" s="1250"/>
      <c r="D114" s="1252"/>
      <c r="E114" s="1252"/>
      <c r="F114" s="1252"/>
      <c r="G114" s="1252"/>
      <c r="H114" s="1252"/>
      <c r="I114" s="1252"/>
      <c r="J114" s="1252"/>
      <c r="K114" s="1252"/>
      <c r="L114" s="1252"/>
      <c r="M114" s="1252"/>
      <c r="N114" s="1252"/>
      <c r="O114" s="1252"/>
      <c r="P114" s="1252"/>
      <c r="Q114" s="1252"/>
      <c r="R114" s="1252"/>
      <c r="S114" s="1249"/>
      <c r="T114" s="1249"/>
      <c r="U114" s="1249"/>
      <c r="V114" s="1249"/>
      <c r="W114" s="942"/>
      <c r="X114" s="942"/>
      <c r="Y114" s="942"/>
      <c r="Z114" s="942"/>
      <c r="AA114" s="942"/>
      <c r="AB114" s="942"/>
      <c r="AC114" s="942"/>
      <c r="AD114" s="942"/>
      <c r="AE114" s="942"/>
      <c r="AF114" s="942"/>
      <c r="AG114" s="942"/>
      <c r="AH114" s="942"/>
      <c r="AI114" s="942"/>
      <c r="AJ114" s="942"/>
      <c r="AK114" s="942"/>
      <c r="AL114" s="942"/>
      <c r="AM114" s="942"/>
      <c r="AN114" s="942"/>
      <c r="AO114" s="942"/>
      <c r="AP114" s="942"/>
      <c r="AQ114" s="942"/>
      <c r="AR114" s="942"/>
      <c r="AS114" s="942"/>
      <c r="AT114" s="942"/>
      <c r="AU114" s="942"/>
    </row>
    <row r="115" spans="2:47" hidden="1">
      <c r="B115" s="1249"/>
      <c r="C115" s="1250"/>
      <c r="D115" s="1252"/>
      <c r="E115" s="1252"/>
      <c r="F115" s="1252"/>
      <c r="G115" s="1252"/>
      <c r="H115" s="1252"/>
      <c r="I115" s="1252"/>
      <c r="J115" s="1252"/>
      <c r="K115" s="1252"/>
      <c r="L115" s="1252"/>
      <c r="M115" s="1252"/>
      <c r="N115" s="1252"/>
      <c r="O115" s="1252"/>
      <c r="P115" s="1252"/>
      <c r="Q115" s="1252"/>
      <c r="R115" s="1252"/>
      <c r="S115" s="1249"/>
      <c r="T115" s="1249"/>
      <c r="U115" s="1249"/>
      <c r="V115" s="1249"/>
      <c r="W115" s="942"/>
      <c r="X115" s="942"/>
      <c r="Y115" s="942"/>
      <c r="Z115" s="942"/>
      <c r="AA115" s="942"/>
      <c r="AB115" s="942"/>
      <c r="AC115" s="942"/>
      <c r="AD115" s="942"/>
      <c r="AE115" s="942"/>
      <c r="AF115" s="942"/>
      <c r="AG115" s="942"/>
      <c r="AH115" s="942"/>
      <c r="AI115" s="942"/>
      <c r="AJ115" s="942"/>
      <c r="AK115" s="942"/>
      <c r="AL115" s="942"/>
      <c r="AM115" s="942"/>
      <c r="AN115" s="942"/>
      <c r="AO115" s="942"/>
      <c r="AP115" s="942"/>
      <c r="AQ115" s="942"/>
      <c r="AR115" s="942"/>
      <c r="AS115" s="942"/>
      <c r="AT115" s="942"/>
      <c r="AU115" s="942"/>
    </row>
    <row r="116" spans="2:47" hidden="1">
      <c r="B116" s="1249"/>
      <c r="C116" s="1250"/>
      <c r="D116" s="1252"/>
      <c r="E116" s="1252"/>
      <c r="F116" s="1252"/>
      <c r="G116" s="1252"/>
      <c r="H116" s="1252"/>
      <c r="I116" s="1252"/>
      <c r="J116" s="3854"/>
      <c r="K116" s="3854"/>
      <c r="L116" s="1252"/>
      <c r="M116" s="1252"/>
      <c r="N116" s="1252"/>
      <c r="O116" s="1252"/>
      <c r="P116" s="1252"/>
      <c r="Q116" s="1252"/>
      <c r="R116" s="1252"/>
      <c r="S116" s="1249"/>
      <c r="T116" s="1249"/>
      <c r="U116" s="1249"/>
      <c r="V116" s="1249"/>
      <c r="W116" s="942"/>
      <c r="X116" s="942"/>
      <c r="Y116" s="942"/>
      <c r="Z116" s="942"/>
      <c r="AA116" s="942"/>
      <c r="AB116" s="942"/>
      <c r="AC116" s="942"/>
      <c r="AD116" s="942"/>
      <c r="AE116" s="942"/>
      <c r="AF116" s="942"/>
      <c r="AG116" s="942"/>
      <c r="AH116" s="942"/>
      <c r="AI116" s="942"/>
      <c r="AJ116" s="942"/>
      <c r="AK116" s="942"/>
      <c r="AL116" s="942"/>
      <c r="AM116" s="942"/>
      <c r="AN116" s="942"/>
      <c r="AO116" s="942"/>
      <c r="AP116" s="942"/>
      <c r="AQ116" s="942"/>
      <c r="AR116" s="942"/>
      <c r="AS116" s="942"/>
      <c r="AT116" s="942"/>
      <c r="AU116" s="942"/>
    </row>
    <row r="117" spans="2:47" hidden="1">
      <c r="B117" s="1249"/>
      <c r="C117" s="1250"/>
      <c r="D117" s="1252"/>
      <c r="E117" s="1252"/>
      <c r="F117" s="1252"/>
      <c r="G117" s="1252"/>
      <c r="H117" s="1252"/>
      <c r="I117" s="1252"/>
      <c r="J117" s="1252"/>
      <c r="K117" s="1252"/>
      <c r="L117" s="1252"/>
      <c r="M117" s="1252"/>
      <c r="N117" s="1252"/>
      <c r="O117" s="1252"/>
      <c r="P117" s="1252"/>
      <c r="Q117" s="1252"/>
      <c r="R117" s="1252"/>
      <c r="S117" s="1249"/>
      <c r="T117" s="1249"/>
      <c r="U117" s="1249"/>
      <c r="V117" s="1249"/>
      <c r="W117" s="942"/>
      <c r="X117" s="942"/>
      <c r="Y117" s="942"/>
      <c r="Z117" s="942"/>
      <c r="AA117" s="942"/>
      <c r="AB117" s="942"/>
      <c r="AC117" s="942"/>
      <c r="AD117" s="942"/>
      <c r="AE117" s="942"/>
      <c r="AF117" s="942"/>
      <c r="AG117" s="942"/>
      <c r="AH117" s="942"/>
      <c r="AI117" s="942"/>
      <c r="AJ117" s="942"/>
      <c r="AK117" s="942"/>
      <c r="AL117" s="942"/>
      <c r="AM117" s="942"/>
      <c r="AN117" s="942"/>
      <c r="AO117" s="942"/>
      <c r="AP117" s="942"/>
      <c r="AQ117" s="942"/>
      <c r="AR117" s="942"/>
      <c r="AS117" s="942"/>
      <c r="AT117" s="942"/>
      <c r="AU117" s="942"/>
    </row>
    <row r="118" spans="2:47" hidden="1">
      <c r="B118" s="1249"/>
      <c r="C118" s="1250"/>
      <c r="D118" s="1252"/>
      <c r="E118" s="1252"/>
      <c r="F118" s="1252"/>
      <c r="G118" s="1252"/>
      <c r="H118" s="1252"/>
      <c r="I118" s="1252"/>
      <c r="J118" s="1252"/>
      <c r="K118" s="1252"/>
      <c r="L118" s="1252"/>
      <c r="M118" s="1252"/>
      <c r="N118" s="1252"/>
      <c r="O118" s="1252"/>
      <c r="P118" s="1252"/>
      <c r="Q118" s="1252"/>
      <c r="R118" s="1252"/>
      <c r="S118" s="1249"/>
      <c r="T118" s="1249"/>
      <c r="U118" s="1249"/>
      <c r="V118" s="1249"/>
      <c r="W118" s="942"/>
      <c r="X118" s="942"/>
      <c r="Y118" s="942"/>
      <c r="Z118" s="942"/>
      <c r="AA118" s="942"/>
      <c r="AB118" s="942"/>
      <c r="AC118" s="942"/>
      <c r="AD118" s="942"/>
      <c r="AE118" s="942"/>
      <c r="AF118" s="942"/>
      <c r="AG118" s="942"/>
      <c r="AH118" s="942"/>
      <c r="AI118" s="942"/>
      <c r="AJ118" s="942"/>
      <c r="AK118" s="942"/>
      <c r="AL118" s="942"/>
      <c r="AM118" s="942"/>
      <c r="AN118" s="942"/>
      <c r="AO118" s="942"/>
      <c r="AP118" s="942"/>
      <c r="AQ118" s="942"/>
      <c r="AR118" s="942"/>
      <c r="AS118" s="942"/>
      <c r="AT118" s="942"/>
      <c r="AU118" s="942"/>
    </row>
    <row r="119" spans="2:47" hidden="1">
      <c r="B119" s="1249"/>
      <c r="C119" s="1249"/>
      <c r="D119" s="1249"/>
      <c r="E119" s="1249"/>
      <c r="F119" s="1249"/>
      <c r="G119" s="1249"/>
      <c r="H119" s="1249"/>
      <c r="I119" s="1249"/>
      <c r="J119" s="1249"/>
      <c r="K119" s="1249"/>
      <c r="L119" s="1249"/>
      <c r="M119" s="1249"/>
      <c r="N119" s="1249"/>
      <c r="O119" s="1249"/>
      <c r="P119" s="1249"/>
      <c r="Q119" s="1249"/>
      <c r="R119" s="1249"/>
      <c r="S119" s="1249"/>
      <c r="T119" s="1249"/>
      <c r="U119" s="1249"/>
      <c r="V119" s="1249"/>
      <c r="W119" s="942"/>
      <c r="X119" s="942"/>
      <c r="Y119" s="942"/>
      <c r="Z119" s="942"/>
      <c r="AA119" s="942"/>
      <c r="AB119" s="942"/>
      <c r="AC119" s="942"/>
      <c r="AD119" s="942"/>
      <c r="AE119" s="942"/>
      <c r="AF119" s="942"/>
      <c r="AG119" s="942"/>
      <c r="AH119" s="942"/>
      <c r="AI119" s="942"/>
      <c r="AJ119" s="942"/>
      <c r="AK119" s="942"/>
      <c r="AL119" s="942"/>
      <c r="AM119" s="942"/>
      <c r="AN119" s="942"/>
      <c r="AO119" s="942"/>
      <c r="AP119" s="942"/>
      <c r="AQ119" s="942"/>
      <c r="AR119" s="942"/>
      <c r="AS119" s="942"/>
      <c r="AT119" s="942"/>
      <c r="AU119" s="942"/>
    </row>
    <row r="120" spans="2:47" hidden="1">
      <c r="B120" s="1249"/>
      <c r="C120" s="1249"/>
      <c r="D120" s="1249"/>
      <c r="E120" s="1249"/>
      <c r="F120" s="1249"/>
      <c r="G120" s="1249"/>
      <c r="H120" s="1249"/>
      <c r="I120" s="1249"/>
      <c r="J120" s="1249"/>
      <c r="K120" s="1249"/>
      <c r="L120" s="1249"/>
      <c r="M120" s="1249"/>
      <c r="N120" s="1249"/>
      <c r="O120" s="1249"/>
      <c r="P120" s="1249"/>
      <c r="Q120" s="1249"/>
      <c r="R120" s="1249"/>
      <c r="S120" s="1249"/>
      <c r="T120" s="1249"/>
      <c r="U120" s="1249"/>
      <c r="V120" s="1249"/>
      <c r="W120" s="942"/>
      <c r="X120" s="942"/>
      <c r="Y120" s="942"/>
      <c r="Z120" s="942"/>
      <c r="AA120" s="942"/>
      <c r="AB120" s="942"/>
      <c r="AC120" s="942"/>
      <c r="AD120" s="942"/>
      <c r="AE120" s="942"/>
      <c r="AF120" s="942"/>
      <c r="AG120" s="942"/>
      <c r="AH120" s="942"/>
      <c r="AI120" s="942"/>
      <c r="AJ120" s="942"/>
      <c r="AK120" s="942"/>
      <c r="AL120" s="942"/>
      <c r="AM120" s="942"/>
      <c r="AN120" s="942"/>
      <c r="AO120" s="942"/>
      <c r="AP120" s="942"/>
      <c r="AQ120" s="942"/>
      <c r="AR120" s="942"/>
      <c r="AS120" s="942"/>
      <c r="AT120" s="942"/>
      <c r="AU120" s="942"/>
    </row>
    <row r="121" spans="2:47" hidden="1">
      <c r="B121" s="1249"/>
      <c r="C121" s="1249"/>
      <c r="D121" s="1249"/>
      <c r="E121" s="1249"/>
      <c r="F121" s="1249"/>
      <c r="G121" s="1249"/>
      <c r="H121" s="1249"/>
      <c r="I121" s="1249"/>
      <c r="J121" s="1249"/>
      <c r="K121" s="1249"/>
      <c r="L121" s="1249"/>
      <c r="M121" s="1249"/>
      <c r="N121" s="1249"/>
      <c r="O121" s="1249"/>
      <c r="P121" s="1249"/>
      <c r="Q121" s="1249"/>
      <c r="R121" s="1249"/>
      <c r="S121" s="1249"/>
      <c r="T121" s="1249"/>
      <c r="U121" s="1249"/>
      <c r="V121" s="1249"/>
      <c r="W121" s="942"/>
      <c r="X121" s="942"/>
      <c r="Y121" s="942"/>
      <c r="Z121" s="942"/>
      <c r="AA121" s="942"/>
      <c r="AB121" s="942"/>
      <c r="AC121" s="942"/>
      <c r="AD121" s="942"/>
      <c r="AE121" s="942"/>
      <c r="AF121" s="942"/>
      <c r="AG121" s="942"/>
      <c r="AH121" s="942"/>
      <c r="AI121" s="942"/>
      <c r="AJ121" s="942"/>
      <c r="AK121" s="942"/>
      <c r="AL121" s="942"/>
      <c r="AM121" s="942"/>
      <c r="AN121" s="942"/>
      <c r="AO121" s="942"/>
      <c r="AP121" s="942"/>
      <c r="AQ121" s="942"/>
      <c r="AR121" s="942"/>
      <c r="AS121" s="942"/>
      <c r="AT121" s="942"/>
      <c r="AU121" s="942"/>
    </row>
    <row r="122" spans="2:47" hidden="1">
      <c r="B122" s="1249"/>
      <c r="C122" s="1249"/>
      <c r="D122" s="1249"/>
      <c r="E122" s="1249"/>
      <c r="F122" s="1249"/>
      <c r="G122" s="1249"/>
      <c r="H122" s="1249"/>
      <c r="I122" s="1249"/>
      <c r="J122" s="1249"/>
      <c r="K122" s="1249"/>
      <c r="L122" s="1249"/>
      <c r="M122" s="1249"/>
      <c r="N122" s="1249"/>
      <c r="O122" s="1249"/>
      <c r="P122" s="1249"/>
      <c r="Q122" s="1249"/>
      <c r="R122" s="1249"/>
      <c r="S122" s="1249"/>
      <c r="T122" s="1249"/>
      <c r="U122" s="1249"/>
      <c r="V122" s="1249"/>
      <c r="W122" s="942"/>
      <c r="X122" s="942"/>
      <c r="Y122" s="942"/>
      <c r="Z122" s="942"/>
      <c r="AA122" s="942"/>
      <c r="AB122" s="942"/>
      <c r="AC122" s="942"/>
      <c r="AD122" s="942"/>
      <c r="AE122" s="942"/>
      <c r="AF122" s="942"/>
      <c r="AG122" s="942"/>
      <c r="AH122" s="942"/>
      <c r="AI122" s="942"/>
      <c r="AJ122" s="942"/>
      <c r="AK122" s="942"/>
      <c r="AL122" s="942"/>
      <c r="AM122" s="942"/>
      <c r="AN122" s="942"/>
      <c r="AO122" s="942"/>
      <c r="AP122" s="942"/>
      <c r="AQ122" s="942"/>
      <c r="AR122" s="942"/>
      <c r="AS122" s="942"/>
      <c r="AT122" s="942"/>
      <c r="AU122" s="942"/>
    </row>
    <row r="123" spans="2:47" hidden="1">
      <c r="B123" s="1249"/>
      <c r="C123" s="1249"/>
      <c r="D123" s="1249"/>
      <c r="E123" s="1249"/>
      <c r="F123" s="1249"/>
      <c r="G123" s="1249"/>
      <c r="H123" s="1249"/>
      <c r="I123" s="1249"/>
      <c r="J123" s="1249"/>
      <c r="K123" s="1249"/>
      <c r="L123" s="1249"/>
      <c r="M123" s="1249"/>
      <c r="N123" s="1249"/>
      <c r="O123" s="1249"/>
      <c r="P123" s="1249"/>
      <c r="Q123" s="1249"/>
      <c r="R123" s="1249"/>
      <c r="S123" s="1249"/>
      <c r="T123" s="1249"/>
      <c r="U123" s="1249"/>
      <c r="V123" s="1249"/>
      <c r="W123" s="942"/>
      <c r="X123" s="942"/>
      <c r="Y123" s="942"/>
      <c r="Z123" s="942"/>
      <c r="AA123" s="942"/>
      <c r="AB123" s="942"/>
      <c r="AC123" s="942"/>
      <c r="AD123" s="942"/>
      <c r="AE123" s="942"/>
      <c r="AF123" s="942"/>
      <c r="AG123" s="942"/>
      <c r="AH123" s="942"/>
      <c r="AI123" s="942"/>
      <c r="AJ123" s="942"/>
      <c r="AK123" s="942"/>
      <c r="AL123" s="942"/>
      <c r="AM123" s="942"/>
      <c r="AN123" s="942"/>
      <c r="AO123" s="942"/>
      <c r="AP123" s="942"/>
      <c r="AQ123" s="942"/>
      <c r="AR123" s="942"/>
      <c r="AS123" s="942"/>
      <c r="AT123" s="942"/>
      <c r="AU123" s="942"/>
    </row>
    <row r="124" spans="2:47" hidden="1">
      <c r="B124" s="1249"/>
      <c r="C124" s="1249"/>
      <c r="D124" s="1249"/>
      <c r="E124" s="1249"/>
      <c r="F124" s="1249"/>
      <c r="G124" s="1249"/>
      <c r="H124" s="1249"/>
      <c r="I124" s="1249"/>
      <c r="J124" s="1249"/>
      <c r="K124" s="1249"/>
      <c r="L124" s="1249"/>
      <c r="M124" s="1249"/>
      <c r="N124" s="1249"/>
      <c r="O124" s="1249"/>
      <c r="P124" s="1249"/>
      <c r="Q124" s="1249"/>
      <c r="R124" s="1249"/>
      <c r="S124" s="1249"/>
      <c r="T124" s="1249"/>
      <c r="U124" s="1249"/>
      <c r="V124" s="1249"/>
      <c r="W124" s="942"/>
      <c r="X124" s="942"/>
      <c r="Y124" s="942"/>
      <c r="Z124" s="942"/>
      <c r="AA124" s="942"/>
      <c r="AB124" s="942"/>
      <c r="AC124" s="942"/>
      <c r="AD124" s="942"/>
      <c r="AE124" s="942"/>
      <c r="AF124" s="942"/>
      <c r="AG124" s="942"/>
      <c r="AH124" s="942"/>
      <c r="AI124" s="942"/>
      <c r="AJ124" s="942"/>
      <c r="AK124" s="942"/>
      <c r="AL124" s="942"/>
      <c r="AM124" s="942"/>
      <c r="AN124" s="942"/>
      <c r="AO124" s="942"/>
      <c r="AP124" s="942"/>
      <c r="AQ124" s="942"/>
      <c r="AR124" s="942"/>
      <c r="AS124" s="942"/>
      <c r="AT124" s="942"/>
      <c r="AU124" s="942"/>
    </row>
    <row r="125" spans="2:47" hidden="1">
      <c r="B125" s="1249"/>
      <c r="C125" s="1249"/>
      <c r="D125" s="1249"/>
      <c r="E125" s="1249"/>
      <c r="F125" s="1249"/>
      <c r="G125" s="1249"/>
      <c r="H125" s="1249"/>
      <c r="I125" s="1249"/>
      <c r="J125" s="1249"/>
      <c r="K125" s="1249"/>
      <c r="L125" s="1249"/>
      <c r="M125" s="1249"/>
      <c r="N125" s="1249"/>
      <c r="O125" s="1249"/>
      <c r="P125" s="1249"/>
      <c r="Q125" s="1249"/>
      <c r="R125" s="1249"/>
      <c r="S125" s="1249"/>
      <c r="T125" s="1249"/>
      <c r="U125" s="1249"/>
      <c r="V125" s="1249"/>
      <c r="W125" s="942"/>
      <c r="X125" s="942"/>
      <c r="Y125" s="942"/>
      <c r="Z125" s="942"/>
      <c r="AA125" s="942"/>
      <c r="AB125" s="942"/>
      <c r="AC125" s="942"/>
      <c r="AD125" s="942"/>
      <c r="AE125" s="942"/>
      <c r="AF125" s="942"/>
      <c r="AG125" s="942"/>
      <c r="AH125" s="942"/>
      <c r="AI125" s="942"/>
      <c r="AJ125" s="942"/>
      <c r="AK125" s="942"/>
      <c r="AL125" s="942"/>
      <c r="AM125" s="942"/>
      <c r="AN125" s="942"/>
      <c r="AO125" s="942"/>
      <c r="AP125" s="942"/>
      <c r="AQ125" s="942"/>
      <c r="AR125" s="942"/>
      <c r="AS125" s="942"/>
      <c r="AT125" s="942"/>
      <c r="AU125" s="942"/>
    </row>
    <row r="126" spans="2:47" hidden="1">
      <c r="B126" s="1249"/>
      <c r="C126" s="1249"/>
      <c r="D126" s="1249"/>
      <c r="E126" s="1249"/>
      <c r="F126" s="1249"/>
      <c r="G126" s="1249"/>
      <c r="H126" s="1249"/>
      <c r="I126" s="1249"/>
      <c r="J126" s="1249"/>
      <c r="K126" s="1249"/>
      <c r="L126" s="1249"/>
      <c r="M126" s="1249"/>
      <c r="N126" s="1249"/>
      <c r="O126" s="1249"/>
      <c r="P126" s="1249"/>
      <c r="Q126" s="1249"/>
      <c r="R126" s="1249"/>
      <c r="S126" s="1249"/>
      <c r="T126" s="1249"/>
      <c r="U126" s="1249"/>
      <c r="V126" s="1249"/>
      <c r="W126" s="942"/>
      <c r="X126" s="942"/>
      <c r="Y126" s="942"/>
      <c r="Z126" s="942"/>
      <c r="AA126" s="942"/>
      <c r="AB126" s="942"/>
      <c r="AC126" s="942"/>
      <c r="AD126" s="942"/>
      <c r="AE126" s="942"/>
      <c r="AF126" s="942"/>
      <c r="AG126" s="942"/>
      <c r="AH126" s="942"/>
      <c r="AI126" s="942"/>
      <c r="AJ126" s="942"/>
      <c r="AK126" s="942"/>
      <c r="AL126" s="942"/>
      <c r="AM126" s="942"/>
      <c r="AN126" s="942"/>
      <c r="AO126" s="942"/>
      <c r="AP126" s="942"/>
      <c r="AQ126" s="942"/>
      <c r="AR126" s="942"/>
      <c r="AS126" s="942"/>
      <c r="AT126" s="942"/>
      <c r="AU126" s="942"/>
    </row>
    <row r="127" spans="2:47" hidden="1">
      <c r="B127" s="1249"/>
      <c r="C127" s="1249"/>
      <c r="D127" s="1249"/>
      <c r="E127" s="1249"/>
      <c r="F127" s="1249"/>
      <c r="G127" s="1249"/>
      <c r="H127" s="1249"/>
      <c r="I127" s="1249"/>
      <c r="J127" s="1249"/>
      <c r="K127" s="1249"/>
      <c r="L127" s="1249"/>
      <c r="M127" s="1249"/>
      <c r="N127" s="1249"/>
      <c r="O127" s="1249"/>
      <c r="P127" s="1249"/>
      <c r="Q127" s="1249"/>
      <c r="R127" s="1249"/>
      <c r="S127" s="1249"/>
      <c r="T127" s="1249"/>
      <c r="U127" s="1249"/>
      <c r="V127" s="1249"/>
      <c r="W127" s="942"/>
      <c r="X127" s="942"/>
      <c r="Y127" s="942"/>
      <c r="Z127" s="942"/>
      <c r="AA127" s="942"/>
      <c r="AB127" s="942"/>
      <c r="AC127" s="942"/>
      <c r="AD127" s="942"/>
      <c r="AE127" s="942"/>
      <c r="AF127" s="942"/>
      <c r="AG127" s="942"/>
      <c r="AH127" s="942"/>
      <c r="AI127" s="942"/>
      <c r="AJ127" s="942"/>
      <c r="AK127" s="942"/>
      <c r="AL127" s="942"/>
      <c r="AM127" s="942"/>
      <c r="AN127" s="942"/>
      <c r="AO127" s="942"/>
      <c r="AP127" s="942"/>
      <c r="AQ127" s="942"/>
      <c r="AR127" s="942"/>
      <c r="AS127" s="942"/>
      <c r="AT127" s="942"/>
      <c r="AU127" s="942"/>
    </row>
    <row r="128" spans="2:47" hidden="1">
      <c r="B128" s="1249"/>
      <c r="C128" s="1249"/>
      <c r="D128" s="1249"/>
      <c r="E128" s="1249"/>
      <c r="F128" s="1249"/>
      <c r="G128" s="1249"/>
      <c r="H128" s="1249"/>
      <c r="I128" s="1249"/>
      <c r="J128" s="1249"/>
      <c r="K128" s="1249"/>
      <c r="L128" s="1249"/>
      <c r="M128" s="1249"/>
      <c r="N128" s="1249"/>
      <c r="O128" s="1249"/>
      <c r="P128" s="1249"/>
      <c r="Q128" s="1249"/>
      <c r="R128" s="1249"/>
      <c r="S128" s="1249"/>
      <c r="T128" s="1249"/>
      <c r="U128" s="1249"/>
      <c r="V128" s="1249"/>
      <c r="W128" s="942"/>
      <c r="X128" s="942"/>
      <c r="Y128" s="942"/>
      <c r="Z128" s="942"/>
      <c r="AA128" s="942"/>
      <c r="AB128" s="942"/>
      <c r="AC128" s="942"/>
      <c r="AD128" s="942"/>
      <c r="AE128" s="942"/>
      <c r="AF128" s="942"/>
      <c r="AG128" s="942"/>
      <c r="AH128" s="942"/>
      <c r="AI128" s="942"/>
      <c r="AJ128" s="942"/>
      <c r="AK128" s="942"/>
      <c r="AL128" s="942"/>
      <c r="AM128" s="942"/>
      <c r="AN128" s="942"/>
      <c r="AO128" s="942"/>
      <c r="AP128" s="942"/>
      <c r="AQ128" s="942"/>
      <c r="AR128" s="942"/>
      <c r="AS128" s="942"/>
      <c r="AT128" s="942"/>
      <c r="AU128" s="942"/>
    </row>
    <row r="129" spans="2:47" hidden="1">
      <c r="B129" s="1249"/>
      <c r="C129" s="1249"/>
      <c r="D129" s="1249"/>
      <c r="E129" s="1249"/>
      <c r="F129" s="1249"/>
      <c r="G129" s="1249"/>
      <c r="H129" s="1249"/>
      <c r="I129" s="1249"/>
      <c r="J129" s="1249"/>
      <c r="K129" s="1249"/>
      <c r="L129" s="1249"/>
      <c r="M129" s="1249"/>
      <c r="N129" s="1249"/>
      <c r="O129" s="1249"/>
      <c r="P129" s="1249"/>
      <c r="Q129" s="1249"/>
      <c r="R129" s="1249"/>
      <c r="S129" s="1249"/>
      <c r="T129" s="1249"/>
      <c r="U129" s="1249"/>
      <c r="V129" s="1249"/>
      <c r="W129" s="942"/>
      <c r="X129" s="942"/>
      <c r="Y129" s="942"/>
      <c r="Z129" s="942"/>
      <c r="AA129" s="942"/>
      <c r="AB129" s="942"/>
      <c r="AC129" s="942"/>
      <c r="AD129" s="942"/>
      <c r="AE129" s="942"/>
      <c r="AF129" s="942"/>
      <c r="AG129" s="942"/>
      <c r="AH129" s="942"/>
      <c r="AI129" s="942"/>
      <c r="AJ129" s="942"/>
      <c r="AK129" s="942"/>
      <c r="AL129" s="942"/>
      <c r="AM129" s="942"/>
      <c r="AN129" s="942"/>
      <c r="AO129" s="942"/>
      <c r="AP129" s="942"/>
      <c r="AQ129" s="942"/>
      <c r="AR129" s="942"/>
      <c r="AS129" s="942"/>
      <c r="AT129" s="942"/>
      <c r="AU129" s="942"/>
    </row>
    <row r="130" spans="2:47" hidden="1">
      <c r="B130" s="1249"/>
      <c r="C130" s="1249"/>
      <c r="D130" s="1249"/>
      <c r="E130" s="1249"/>
      <c r="F130" s="1249"/>
      <c r="G130" s="1249"/>
      <c r="H130" s="1249"/>
      <c r="I130" s="1249"/>
      <c r="J130" s="1249"/>
      <c r="K130" s="1249"/>
      <c r="L130" s="1249"/>
      <c r="M130" s="1249"/>
      <c r="N130" s="1249"/>
      <c r="O130" s="1249"/>
      <c r="P130" s="1249"/>
      <c r="Q130" s="1249"/>
      <c r="R130" s="1249"/>
      <c r="S130" s="1249"/>
      <c r="T130" s="1249"/>
      <c r="U130" s="1249"/>
      <c r="V130" s="1249"/>
      <c r="W130" s="942"/>
      <c r="X130" s="942"/>
      <c r="Y130" s="942"/>
      <c r="Z130" s="942"/>
      <c r="AA130" s="942"/>
      <c r="AB130" s="942"/>
      <c r="AC130" s="942"/>
      <c r="AD130" s="942"/>
      <c r="AE130" s="942"/>
      <c r="AF130" s="942"/>
      <c r="AG130" s="942"/>
      <c r="AH130" s="942"/>
      <c r="AI130" s="942"/>
      <c r="AJ130" s="942"/>
      <c r="AK130" s="942"/>
      <c r="AL130" s="942"/>
      <c r="AM130" s="942"/>
      <c r="AN130" s="942"/>
      <c r="AO130" s="942"/>
      <c r="AP130" s="942"/>
      <c r="AQ130" s="942"/>
      <c r="AR130" s="942"/>
      <c r="AS130" s="942"/>
      <c r="AT130" s="942"/>
      <c r="AU130" s="942"/>
    </row>
    <row r="131" spans="2:47" hidden="1">
      <c r="B131" s="1249"/>
      <c r="C131" s="1249"/>
      <c r="D131" s="1249"/>
      <c r="E131" s="1249"/>
      <c r="F131" s="1249"/>
      <c r="G131" s="1249"/>
      <c r="H131" s="1249"/>
      <c r="I131" s="1249"/>
      <c r="J131" s="1249"/>
      <c r="K131" s="1249"/>
      <c r="L131" s="1249"/>
      <c r="M131" s="1249"/>
      <c r="N131" s="1249"/>
      <c r="O131" s="1249"/>
      <c r="P131" s="1249"/>
      <c r="Q131" s="1249"/>
      <c r="R131" s="1249"/>
      <c r="S131" s="1249"/>
      <c r="T131" s="1249"/>
      <c r="U131" s="1249"/>
      <c r="V131" s="1249"/>
      <c r="W131" s="942"/>
      <c r="X131" s="942"/>
      <c r="Y131" s="942"/>
      <c r="Z131" s="942"/>
      <c r="AA131" s="942"/>
      <c r="AB131" s="942"/>
      <c r="AC131" s="942"/>
      <c r="AD131" s="942"/>
      <c r="AE131" s="942"/>
      <c r="AF131" s="942"/>
      <c r="AG131" s="942"/>
      <c r="AH131" s="942"/>
      <c r="AI131" s="942"/>
      <c r="AJ131" s="942"/>
      <c r="AK131" s="942"/>
      <c r="AL131" s="942"/>
      <c r="AM131" s="942"/>
      <c r="AN131" s="942"/>
      <c r="AO131" s="942"/>
      <c r="AP131" s="942"/>
      <c r="AQ131" s="942"/>
      <c r="AR131" s="942"/>
      <c r="AS131" s="942"/>
      <c r="AT131" s="942"/>
      <c r="AU131" s="942"/>
    </row>
    <row r="132" spans="2:47" hidden="1">
      <c r="B132" s="1249"/>
      <c r="C132" s="1249"/>
      <c r="D132" s="1249"/>
      <c r="E132" s="1249"/>
      <c r="F132" s="1249"/>
      <c r="G132" s="1249"/>
      <c r="H132" s="1249"/>
      <c r="I132" s="1249"/>
      <c r="J132" s="1249"/>
      <c r="K132" s="1249"/>
      <c r="L132" s="1249"/>
      <c r="M132" s="1249"/>
      <c r="N132" s="1249"/>
      <c r="O132" s="1249"/>
      <c r="P132" s="1249"/>
      <c r="Q132" s="1249"/>
      <c r="R132" s="1249"/>
      <c r="S132" s="1249"/>
      <c r="T132" s="1249"/>
      <c r="U132" s="1249"/>
      <c r="V132" s="1249"/>
      <c r="W132" s="942"/>
      <c r="X132" s="942"/>
      <c r="Y132" s="942"/>
      <c r="Z132" s="942"/>
      <c r="AA132" s="942"/>
      <c r="AB132" s="942"/>
      <c r="AC132" s="942"/>
      <c r="AD132" s="942"/>
      <c r="AE132" s="942"/>
      <c r="AF132" s="942"/>
      <c r="AG132" s="942"/>
      <c r="AH132" s="942"/>
      <c r="AI132" s="942"/>
      <c r="AJ132" s="942"/>
      <c r="AK132" s="942"/>
      <c r="AL132" s="942"/>
      <c r="AM132" s="942"/>
      <c r="AN132" s="942"/>
      <c r="AO132" s="942"/>
      <c r="AP132" s="942"/>
      <c r="AQ132" s="942"/>
      <c r="AR132" s="942"/>
      <c r="AS132" s="942"/>
      <c r="AT132" s="942"/>
      <c r="AU132" s="942"/>
    </row>
    <row r="133" spans="2:47" hidden="1">
      <c r="B133" s="1249"/>
      <c r="C133" s="1249"/>
      <c r="D133" s="1249"/>
      <c r="E133" s="1249"/>
      <c r="F133" s="1249"/>
      <c r="G133" s="1249"/>
      <c r="H133" s="1249"/>
      <c r="I133" s="1249"/>
      <c r="J133" s="1249"/>
      <c r="K133" s="1249"/>
      <c r="L133" s="1249"/>
      <c r="M133" s="1249"/>
      <c r="N133" s="1249"/>
      <c r="O133" s="1249"/>
      <c r="P133" s="1249"/>
      <c r="Q133" s="1249"/>
      <c r="R133" s="1249"/>
      <c r="S133" s="1249"/>
      <c r="T133" s="1249"/>
      <c r="U133" s="1249"/>
      <c r="V133" s="1249"/>
      <c r="W133" s="942"/>
      <c r="X133" s="942"/>
      <c r="Y133" s="942"/>
      <c r="Z133" s="942"/>
      <c r="AA133" s="942"/>
      <c r="AB133" s="942"/>
      <c r="AC133" s="942"/>
      <c r="AD133" s="942"/>
      <c r="AE133" s="942"/>
      <c r="AF133" s="942"/>
      <c r="AG133" s="942"/>
      <c r="AH133" s="942"/>
      <c r="AI133" s="942"/>
      <c r="AJ133" s="942"/>
      <c r="AK133" s="942"/>
      <c r="AL133" s="942"/>
      <c r="AM133" s="942"/>
      <c r="AN133" s="942"/>
      <c r="AO133" s="942"/>
      <c r="AP133" s="942"/>
      <c r="AQ133" s="942"/>
      <c r="AR133" s="942"/>
      <c r="AS133" s="942"/>
      <c r="AT133" s="942"/>
      <c r="AU133" s="942"/>
    </row>
    <row r="134" spans="2:47" hidden="1">
      <c r="B134" s="1249"/>
      <c r="C134" s="1249"/>
      <c r="D134" s="1249"/>
      <c r="E134" s="1249"/>
      <c r="F134" s="1249"/>
      <c r="G134" s="1249"/>
      <c r="H134" s="1249"/>
      <c r="I134" s="1249"/>
      <c r="J134" s="1249"/>
      <c r="K134" s="1249"/>
      <c r="L134" s="1249"/>
      <c r="M134" s="1249"/>
      <c r="N134" s="1249"/>
      <c r="O134" s="1249"/>
      <c r="P134" s="1249"/>
      <c r="Q134" s="1249"/>
      <c r="R134" s="1249"/>
      <c r="S134" s="1249"/>
      <c r="T134" s="1249"/>
      <c r="U134" s="1249"/>
      <c r="V134" s="1249"/>
      <c r="W134" s="942"/>
      <c r="X134" s="942"/>
      <c r="Y134" s="942"/>
      <c r="Z134" s="942"/>
      <c r="AA134" s="942"/>
      <c r="AB134" s="942"/>
      <c r="AC134" s="942"/>
      <c r="AD134" s="942"/>
      <c r="AE134" s="942"/>
      <c r="AF134" s="942"/>
      <c r="AG134" s="942"/>
      <c r="AH134" s="942"/>
      <c r="AI134" s="942"/>
      <c r="AJ134" s="942"/>
      <c r="AK134" s="942"/>
      <c r="AL134" s="942"/>
      <c r="AM134" s="942"/>
      <c r="AN134" s="942"/>
      <c r="AO134" s="942"/>
      <c r="AP134" s="942"/>
      <c r="AQ134" s="942"/>
      <c r="AR134" s="942"/>
      <c r="AS134" s="942"/>
      <c r="AT134" s="942"/>
      <c r="AU134" s="942"/>
    </row>
    <row r="135" spans="2:47" hidden="1">
      <c r="B135" s="1249"/>
      <c r="C135" s="1249"/>
      <c r="D135" s="1249"/>
      <c r="E135" s="1249"/>
      <c r="F135" s="1249"/>
      <c r="G135" s="1249"/>
      <c r="H135" s="1249"/>
      <c r="I135" s="1249"/>
      <c r="J135" s="1249"/>
      <c r="K135" s="1249"/>
      <c r="L135" s="1249"/>
      <c r="M135" s="1249"/>
      <c r="N135" s="1249"/>
      <c r="O135" s="1249"/>
      <c r="P135" s="1249"/>
      <c r="Q135" s="1249"/>
      <c r="R135" s="1249"/>
      <c r="S135" s="1249"/>
      <c r="T135" s="1249"/>
      <c r="U135" s="1249"/>
      <c r="V135" s="1249"/>
      <c r="W135" s="942"/>
      <c r="X135" s="942"/>
      <c r="Y135" s="942"/>
      <c r="Z135" s="942"/>
      <c r="AA135" s="942"/>
      <c r="AB135" s="942"/>
      <c r="AC135" s="942"/>
      <c r="AD135" s="942"/>
      <c r="AE135" s="942"/>
      <c r="AF135" s="942"/>
      <c r="AG135" s="942"/>
      <c r="AH135" s="942"/>
      <c r="AI135" s="942"/>
      <c r="AJ135" s="942"/>
      <c r="AK135" s="942"/>
      <c r="AL135" s="942"/>
      <c r="AM135" s="942"/>
      <c r="AN135" s="942"/>
      <c r="AO135" s="942"/>
      <c r="AP135" s="942"/>
      <c r="AQ135" s="942"/>
      <c r="AR135" s="942"/>
      <c r="AS135" s="942"/>
      <c r="AT135" s="942"/>
      <c r="AU135" s="942"/>
    </row>
    <row r="136" spans="2:47" hidden="1">
      <c r="B136" s="1249"/>
      <c r="C136" s="1249"/>
      <c r="D136" s="1249"/>
      <c r="E136" s="1249"/>
      <c r="F136" s="1249"/>
      <c r="G136" s="1249"/>
      <c r="H136" s="1249"/>
      <c r="I136" s="1249"/>
      <c r="J136" s="1249"/>
      <c r="K136" s="1249"/>
      <c r="L136" s="1249"/>
      <c r="M136" s="1249"/>
      <c r="N136" s="1249"/>
      <c r="O136" s="1249"/>
      <c r="P136" s="1249"/>
      <c r="Q136" s="1249"/>
      <c r="R136" s="1249"/>
      <c r="S136" s="1249"/>
      <c r="T136" s="1249"/>
      <c r="U136" s="1249"/>
      <c r="V136" s="1249"/>
      <c r="W136" s="942"/>
      <c r="X136" s="942"/>
      <c r="Y136" s="942"/>
      <c r="Z136" s="942"/>
      <c r="AA136" s="942"/>
      <c r="AB136" s="942"/>
      <c r="AC136" s="942"/>
      <c r="AD136" s="942"/>
      <c r="AE136" s="942"/>
      <c r="AF136" s="942"/>
      <c r="AG136" s="942"/>
      <c r="AH136" s="942"/>
      <c r="AI136" s="942"/>
      <c r="AJ136" s="942"/>
      <c r="AK136" s="942"/>
      <c r="AL136" s="942"/>
      <c r="AM136" s="942"/>
      <c r="AN136" s="942"/>
      <c r="AO136" s="942"/>
      <c r="AP136" s="942"/>
      <c r="AQ136" s="942"/>
      <c r="AR136" s="942"/>
      <c r="AS136" s="942"/>
      <c r="AT136" s="942"/>
      <c r="AU136" s="942"/>
    </row>
    <row r="137" spans="2:47" hidden="1">
      <c r="B137" s="1249"/>
      <c r="C137" s="1249"/>
      <c r="D137" s="1249"/>
      <c r="E137" s="1249"/>
      <c r="F137" s="1249"/>
      <c r="G137" s="1249"/>
      <c r="H137" s="1249"/>
      <c r="I137" s="1249"/>
      <c r="J137" s="1249"/>
      <c r="K137" s="1249"/>
      <c r="L137" s="1249"/>
      <c r="M137" s="1249"/>
      <c r="N137" s="1249"/>
      <c r="O137" s="1249"/>
      <c r="P137" s="1249"/>
      <c r="Q137" s="1249"/>
      <c r="R137" s="1249"/>
      <c r="S137" s="1249"/>
      <c r="T137" s="1249"/>
      <c r="U137" s="1249"/>
      <c r="V137" s="1249"/>
      <c r="W137" s="942"/>
      <c r="X137" s="942"/>
      <c r="Y137" s="942"/>
      <c r="Z137" s="942"/>
      <c r="AA137" s="942"/>
      <c r="AB137" s="942"/>
      <c r="AC137" s="942"/>
      <c r="AD137" s="942"/>
      <c r="AE137" s="942"/>
      <c r="AF137" s="942"/>
      <c r="AG137" s="942"/>
      <c r="AH137" s="942"/>
      <c r="AI137" s="942"/>
      <c r="AJ137" s="942"/>
      <c r="AK137" s="942"/>
      <c r="AL137" s="942"/>
      <c r="AM137" s="942"/>
      <c r="AN137" s="942"/>
      <c r="AO137" s="942"/>
      <c r="AP137" s="942"/>
      <c r="AQ137" s="942"/>
      <c r="AR137" s="942"/>
      <c r="AS137" s="942"/>
      <c r="AT137" s="942"/>
      <c r="AU137" s="942"/>
    </row>
    <row r="138" spans="2:47" hidden="1">
      <c r="B138" s="1249"/>
      <c r="C138" s="1249"/>
      <c r="D138" s="1249"/>
      <c r="E138" s="1249"/>
      <c r="F138" s="1249"/>
      <c r="G138" s="1249"/>
      <c r="H138" s="1249"/>
      <c r="I138" s="1249"/>
      <c r="J138" s="1249"/>
      <c r="K138" s="1249"/>
      <c r="L138" s="1249"/>
      <c r="M138" s="1249"/>
      <c r="N138" s="1249"/>
      <c r="O138" s="1249"/>
      <c r="P138" s="1249"/>
      <c r="Q138" s="1249"/>
      <c r="R138" s="1249"/>
      <c r="S138" s="1249"/>
      <c r="T138" s="1249"/>
      <c r="U138" s="1249"/>
      <c r="V138" s="1249"/>
      <c r="W138" s="942"/>
      <c r="X138" s="942"/>
      <c r="Y138" s="942"/>
      <c r="Z138" s="942"/>
      <c r="AA138" s="942"/>
      <c r="AB138" s="942"/>
      <c r="AC138" s="942"/>
      <c r="AD138" s="942"/>
      <c r="AE138" s="942"/>
      <c r="AF138" s="942"/>
      <c r="AG138" s="942"/>
      <c r="AH138" s="942"/>
      <c r="AI138" s="942"/>
      <c r="AJ138" s="942"/>
      <c r="AK138" s="942"/>
      <c r="AL138" s="942"/>
      <c r="AM138" s="942"/>
      <c r="AN138" s="942"/>
      <c r="AO138" s="942"/>
      <c r="AP138" s="942"/>
      <c r="AQ138" s="942"/>
      <c r="AR138" s="942"/>
      <c r="AS138" s="942"/>
      <c r="AT138" s="942"/>
      <c r="AU138" s="942"/>
    </row>
    <row r="139" spans="2:47" hidden="1">
      <c r="B139" s="1249"/>
      <c r="C139" s="1249"/>
      <c r="D139" s="1249"/>
      <c r="E139" s="1249"/>
      <c r="F139" s="1249"/>
      <c r="G139" s="1249"/>
      <c r="H139" s="1249"/>
      <c r="I139" s="1249"/>
      <c r="J139" s="1249"/>
      <c r="K139" s="1249"/>
      <c r="L139" s="1249"/>
      <c r="M139" s="1249"/>
      <c r="N139" s="1249"/>
      <c r="O139" s="1249"/>
      <c r="P139" s="1249"/>
      <c r="Q139" s="1249"/>
      <c r="R139" s="1249"/>
      <c r="S139" s="1249"/>
      <c r="T139" s="1249"/>
      <c r="U139" s="1249"/>
      <c r="V139" s="1249"/>
      <c r="W139" s="942"/>
      <c r="X139" s="942"/>
      <c r="Y139" s="942"/>
      <c r="Z139" s="942"/>
      <c r="AA139" s="942"/>
      <c r="AB139" s="942"/>
      <c r="AC139" s="942"/>
      <c r="AD139" s="942"/>
      <c r="AE139" s="942"/>
      <c r="AF139" s="942"/>
      <c r="AG139" s="942"/>
      <c r="AH139" s="942"/>
      <c r="AI139" s="942"/>
      <c r="AJ139" s="942"/>
      <c r="AK139" s="942"/>
      <c r="AL139" s="942"/>
      <c r="AM139" s="942"/>
      <c r="AN139" s="942"/>
      <c r="AO139" s="942"/>
      <c r="AP139" s="942"/>
      <c r="AQ139" s="942"/>
      <c r="AR139" s="942"/>
      <c r="AS139" s="942"/>
      <c r="AT139" s="942"/>
      <c r="AU139" s="942"/>
    </row>
    <row r="140" spans="2:47" hidden="1">
      <c r="B140" s="1249"/>
      <c r="C140" s="1249"/>
      <c r="D140" s="1249"/>
      <c r="E140" s="1249"/>
      <c r="F140" s="1249"/>
      <c r="G140" s="1249"/>
      <c r="H140" s="1249"/>
      <c r="I140" s="1249"/>
      <c r="J140" s="1249"/>
      <c r="K140" s="1249"/>
      <c r="L140" s="1249"/>
      <c r="M140" s="1249"/>
      <c r="N140" s="1249"/>
      <c r="O140" s="1249"/>
      <c r="P140" s="1249"/>
      <c r="Q140" s="1249"/>
      <c r="R140" s="1249"/>
      <c r="S140" s="1249"/>
      <c r="T140" s="1249"/>
      <c r="U140" s="1249"/>
      <c r="V140" s="1249"/>
      <c r="W140" s="942"/>
      <c r="X140" s="942"/>
      <c r="Y140" s="942"/>
      <c r="Z140" s="942"/>
      <c r="AA140" s="942"/>
      <c r="AB140" s="942"/>
      <c r="AC140" s="942"/>
      <c r="AD140" s="942"/>
      <c r="AE140" s="942"/>
      <c r="AF140" s="942"/>
      <c r="AG140" s="942"/>
      <c r="AH140" s="942"/>
      <c r="AI140" s="942"/>
      <c r="AJ140" s="942"/>
      <c r="AK140" s="942"/>
      <c r="AL140" s="942"/>
      <c r="AM140" s="942"/>
      <c r="AN140" s="942"/>
      <c r="AO140" s="942"/>
      <c r="AP140" s="942"/>
      <c r="AQ140" s="942"/>
      <c r="AR140" s="942"/>
      <c r="AS140" s="942"/>
      <c r="AT140" s="942"/>
      <c r="AU140" s="942"/>
    </row>
    <row r="141" spans="2:47" hidden="1">
      <c r="B141" s="1249"/>
      <c r="C141" s="1249"/>
      <c r="D141" s="1249"/>
      <c r="E141" s="1249"/>
      <c r="F141" s="1249"/>
      <c r="G141" s="1249"/>
      <c r="H141" s="1249"/>
      <c r="I141" s="1249"/>
      <c r="J141" s="1249"/>
      <c r="K141" s="1249"/>
      <c r="L141" s="1249"/>
      <c r="M141" s="1249"/>
      <c r="N141" s="1249"/>
      <c r="O141" s="1249"/>
      <c r="P141" s="1249"/>
      <c r="Q141" s="1249"/>
      <c r="R141" s="1249"/>
      <c r="S141" s="1249"/>
      <c r="T141" s="1249"/>
      <c r="U141" s="1249"/>
      <c r="V141" s="1249"/>
      <c r="W141" s="942"/>
      <c r="X141" s="942"/>
      <c r="Y141" s="942"/>
      <c r="Z141" s="942"/>
      <c r="AA141" s="942"/>
      <c r="AB141" s="942"/>
      <c r="AC141" s="942"/>
      <c r="AD141" s="942"/>
      <c r="AE141" s="942"/>
      <c r="AF141" s="942"/>
      <c r="AG141" s="942"/>
      <c r="AH141" s="942"/>
      <c r="AI141" s="942"/>
      <c r="AJ141" s="942"/>
      <c r="AK141" s="942"/>
      <c r="AL141" s="942"/>
      <c r="AM141" s="942"/>
      <c r="AN141" s="942"/>
      <c r="AO141" s="942"/>
      <c r="AP141" s="942"/>
      <c r="AQ141" s="942"/>
      <c r="AR141" s="942"/>
      <c r="AS141" s="942"/>
      <c r="AT141" s="942"/>
      <c r="AU141" s="942"/>
    </row>
    <row r="142" spans="2:47" hidden="1">
      <c r="B142" s="1249"/>
      <c r="C142" s="1249"/>
      <c r="D142" s="1249"/>
      <c r="E142" s="1249"/>
      <c r="F142" s="1249"/>
      <c r="G142" s="1249"/>
      <c r="H142" s="1249"/>
      <c r="I142" s="1249"/>
      <c r="J142" s="1249"/>
      <c r="K142" s="1249"/>
      <c r="L142" s="1249"/>
      <c r="M142" s="1249"/>
      <c r="N142" s="1249"/>
      <c r="O142" s="1249"/>
      <c r="P142" s="1249"/>
      <c r="Q142" s="1249"/>
      <c r="R142" s="1249"/>
      <c r="S142" s="1249"/>
      <c r="T142" s="1249"/>
      <c r="U142" s="1249"/>
      <c r="V142" s="1249"/>
      <c r="W142" s="942"/>
      <c r="X142" s="942"/>
      <c r="Y142" s="942"/>
      <c r="Z142" s="942"/>
      <c r="AA142" s="942"/>
      <c r="AB142" s="942"/>
      <c r="AC142" s="942"/>
      <c r="AD142" s="942"/>
      <c r="AE142" s="942"/>
      <c r="AF142" s="942"/>
      <c r="AG142" s="942"/>
      <c r="AH142" s="942"/>
      <c r="AI142" s="942"/>
      <c r="AJ142" s="942"/>
      <c r="AK142" s="942"/>
      <c r="AL142" s="942"/>
      <c r="AM142" s="942"/>
      <c r="AN142" s="942"/>
      <c r="AO142" s="942"/>
      <c r="AP142" s="942"/>
      <c r="AQ142" s="942"/>
      <c r="AR142" s="942"/>
      <c r="AS142" s="942"/>
      <c r="AT142" s="942"/>
      <c r="AU142" s="942"/>
    </row>
    <row r="143" spans="2:47" hidden="1">
      <c r="B143" s="1249"/>
      <c r="C143" s="1249"/>
      <c r="D143" s="1249"/>
      <c r="E143" s="1249"/>
      <c r="F143" s="1249"/>
      <c r="G143" s="1249"/>
      <c r="H143" s="1249"/>
      <c r="I143" s="1249"/>
      <c r="J143" s="1249"/>
      <c r="K143" s="1249"/>
      <c r="L143" s="1249"/>
      <c r="M143" s="1249"/>
      <c r="N143" s="1249"/>
      <c r="O143" s="1249"/>
      <c r="P143" s="1249"/>
      <c r="Q143" s="1249"/>
      <c r="R143" s="1249"/>
      <c r="S143" s="1249"/>
      <c r="T143" s="1249"/>
      <c r="U143" s="1249"/>
      <c r="V143" s="1249"/>
      <c r="W143" s="942"/>
      <c r="X143" s="942"/>
      <c r="Y143" s="942"/>
      <c r="Z143" s="942"/>
      <c r="AA143" s="942"/>
      <c r="AB143" s="942"/>
      <c r="AC143" s="942"/>
      <c r="AD143" s="942"/>
      <c r="AE143" s="942"/>
      <c r="AF143" s="942"/>
      <c r="AG143" s="942"/>
      <c r="AH143" s="942"/>
      <c r="AI143" s="942"/>
      <c r="AJ143" s="942"/>
      <c r="AK143" s="942"/>
      <c r="AL143" s="942"/>
      <c r="AM143" s="942"/>
      <c r="AN143" s="942"/>
      <c r="AO143" s="942"/>
      <c r="AP143" s="942"/>
      <c r="AQ143" s="942"/>
      <c r="AR143" s="942"/>
      <c r="AS143" s="942"/>
      <c r="AT143" s="942"/>
      <c r="AU143" s="942"/>
    </row>
    <row r="144" spans="2:47" hidden="1">
      <c r="B144" s="1249"/>
      <c r="C144" s="1249"/>
      <c r="D144" s="1249"/>
      <c r="E144" s="1249"/>
      <c r="F144" s="1249"/>
      <c r="G144" s="1249"/>
      <c r="H144" s="1249"/>
      <c r="I144" s="1249"/>
      <c r="J144" s="1249"/>
      <c r="K144" s="1249"/>
      <c r="L144" s="1249"/>
      <c r="M144" s="1249"/>
      <c r="N144" s="1249"/>
      <c r="O144" s="1249"/>
      <c r="P144" s="1249"/>
      <c r="Q144" s="1249"/>
      <c r="R144" s="1249"/>
      <c r="S144" s="1249"/>
      <c r="T144" s="1249"/>
      <c r="U144" s="1249"/>
      <c r="V144" s="1249"/>
      <c r="W144" s="942"/>
      <c r="X144" s="942"/>
      <c r="Y144" s="942"/>
      <c r="Z144" s="942"/>
      <c r="AA144" s="942"/>
      <c r="AB144" s="942"/>
      <c r="AC144" s="942"/>
      <c r="AD144" s="942"/>
      <c r="AE144" s="942"/>
      <c r="AF144" s="942"/>
      <c r="AG144" s="942"/>
      <c r="AH144" s="942"/>
      <c r="AI144" s="942"/>
      <c r="AJ144" s="942"/>
      <c r="AK144" s="942"/>
      <c r="AL144" s="942"/>
      <c r="AM144" s="942"/>
      <c r="AN144" s="942"/>
      <c r="AO144" s="942"/>
      <c r="AP144" s="942"/>
      <c r="AQ144" s="942"/>
      <c r="AR144" s="942"/>
      <c r="AS144" s="942"/>
      <c r="AT144" s="942"/>
      <c r="AU144" s="942"/>
    </row>
    <row r="145" spans="2:47" hidden="1">
      <c r="B145" s="1249"/>
      <c r="C145" s="1249"/>
      <c r="D145" s="1249"/>
      <c r="E145" s="1249"/>
      <c r="F145" s="1249"/>
      <c r="G145" s="1249"/>
      <c r="H145" s="1249"/>
      <c r="I145" s="1249"/>
      <c r="J145" s="1249"/>
      <c r="K145" s="1249"/>
      <c r="L145" s="1249"/>
      <c r="M145" s="1249"/>
      <c r="N145" s="1249"/>
      <c r="O145" s="1249"/>
      <c r="P145" s="1249"/>
      <c r="Q145" s="1249"/>
      <c r="R145" s="1249"/>
      <c r="S145" s="1249"/>
      <c r="T145" s="1249"/>
      <c r="U145" s="1249"/>
      <c r="V145" s="1249"/>
      <c r="W145" s="942"/>
      <c r="X145" s="942"/>
      <c r="Y145" s="942"/>
      <c r="Z145" s="942"/>
      <c r="AA145" s="942"/>
      <c r="AB145" s="942"/>
      <c r="AC145" s="942"/>
      <c r="AD145" s="942"/>
      <c r="AE145" s="942"/>
      <c r="AF145" s="942"/>
      <c r="AG145" s="942"/>
      <c r="AH145" s="942"/>
      <c r="AI145" s="942"/>
      <c r="AJ145" s="942"/>
      <c r="AK145" s="942"/>
      <c r="AL145" s="942"/>
      <c r="AM145" s="942"/>
      <c r="AN145" s="942"/>
      <c r="AO145" s="942"/>
      <c r="AP145" s="942"/>
      <c r="AQ145" s="942"/>
      <c r="AR145" s="942"/>
      <c r="AS145" s="942"/>
      <c r="AT145" s="942"/>
      <c r="AU145" s="942"/>
    </row>
    <row r="146" spans="2:47" hidden="1">
      <c r="B146" s="1249"/>
      <c r="C146" s="1249"/>
      <c r="D146" s="1249"/>
      <c r="E146" s="1249"/>
      <c r="F146" s="1249"/>
      <c r="G146" s="1249"/>
      <c r="H146" s="1249"/>
      <c r="I146" s="1249"/>
      <c r="J146" s="1249"/>
      <c r="K146" s="1249"/>
      <c r="L146" s="1249"/>
      <c r="M146" s="1249"/>
      <c r="N146" s="1249"/>
      <c r="O146" s="1249"/>
      <c r="P146" s="1249"/>
      <c r="Q146" s="1249"/>
      <c r="R146" s="1249"/>
      <c r="S146" s="1249"/>
      <c r="T146" s="1249"/>
      <c r="U146" s="1249"/>
      <c r="V146" s="1249"/>
      <c r="W146" s="942"/>
      <c r="X146" s="942"/>
      <c r="Y146" s="942"/>
      <c r="Z146" s="942"/>
      <c r="AA146" s="942"/>
      <c r="AB146" s="942"/>
      <c r="AC146" s="942"/>
      <c r="AD146" s="942"/>
      <c r="AE146" s="942"/>
      <c r="AF146" s="942"/>
      <c r="AG146" s="942"/>
      <c r="AH146" s="942"/>
      <c r="AI146" s="942"/>
      <c r="AJ146" s="942"/>
      <c r="AK146" s="942"/>
      <c r="AL146" s="942"/>
      <c r="AM146" s="942"/>
      <c r="AN146" s="942"/>
      <c r="AO146" s="942"/>
      <c r="AP146" s="942"/>
      <c r="AQ146" s="942"/>
      <c r="AR146" s="942"/>
      <c r="AS146" s="942"/>
      <c r="AT146" s="942"/>
      <c r="AU146" s="942"/>
    </row>
    <row r="147" spans="2:47" hidden="1">
      <c r="B147" s="1249"/>
      <c r="C147" s="1249"/>
      <c r="D147" s="1249"/>
      <c r="E147" s="1249"/>
      <c r="F147" s="1249"/>
      <c r="G147" s="1249"/>
      <c r="H147" s="1249"/>
      <c r="I147" s="1249"/>
      <c r="J147" s="1249"/>
      <c r="K147" s="1249"/>
      <c r="L147" s="1249"/>
      <c r="M147" s="1249"/>
      <c r="N147" s="1249"/>
      <c r="O147" s="1249"/>
      <c r="P147" s="1249"/>
      <c r="Q147" s="1249"/>
      <c r="R147" s="1249"/>
      <c r="S147" s="1249"/>
      <c r="T147" s="1249"/>
      <c r="U147" s="1249"/>
      <c r="V147" s="1249"/>
      <c r="W147" s="942"/>
      <c r="X147" s="942"/>
      <c r="Y147" s="942"/>
      <c r="Z147" s="942"/>
      <c r="AA147" s="942"/>
      <c r="AB147" s="942"/>
      <c r="AC147" s="942"/>
      <c r="AD147" s="942"/>
      <c r="AE147" s="942"/>
      <c r="AF147" s="942"/>
      <c r="AG147" s="942"/>
      <c r="AH147" s="942"/>
      <c r="AI147" s="942"/>
      <c r="AJ147" s="942"/>
      <c r="AK147" s="942"/>
      <c r="AL147" s="942"/>
      <c r="AM147" s="942"/>
      <c r="AN147" s="942"/>
      <c r="AO147" s="942"/>
      <c r="AP147" s="942"/>
      <c r="AQ147" s="942"/>
      <c r="AR147" s="942"/>
      <c r="AS147" s="942"/>
      <c r="AT147" s="942"/>
      <c r="AU147" s="942"/>
    </row>
    <row r="148" spans="2:47" hidden="1">
      <c r="B148" s="1249"/>
      <c r="C148" s="1249"/>
      <c r="D148" s="1249"/>
      <c r="E148" s="1249"/>
      <c r="F148" s="1249"/>
      <c r="G148" s="1249"/>
      <c r="H148" s="1249"/>
      <c r="I148" s="1249"/>
      <c r="J148" s="1249"/>
      <c r="K148" s="1249"/>
      <c r="L148" s="1249"/>
      <c r="M148" s="1249"/>
      <c r="N148" s="1249"/>
      <c r="O148" s="1249"/>
      <c r="P148" s="1249"/>
      <c r="Q148" s="1249"/>
      <c r="R148" s="1249"/>
      <c r="S148" s="1249"/>
      <c r="T148" s="1249"/>
      <c r="U148" s="1249"/>
      <c r="V148" s="1249"/>
      <c r="W148" s="942"/>
      <c r="X148" s="942"/>
      <c r="Y148" s="942"/>
      <c r="Z148" s="942"/>
      <c r="AA148" s="942"/>
      <c r="AB148" s="942"/>
      <c r="AC148" s="942"/>
      <c r="AD148" s="942"/>
      <c r="AE148" s="942"/>
      <c r="AF148" s="942"/>
      <c r="AG148" s="942"/>
      <c r="AH148" s="942"/>
      <c r="AI148" s="942"/>
      <c r="AJ148" s="942"/>
      <c r="AK148" s="942"/>
      <c r="AL148" s="942"/>
      <c r="AM148" s="942"/>
      <c r="AN148" s="942"/>
      <c r="AO148" s="942"/>
      <c r="AP148" s="942"/>
      <c r="AQ148" s="942"/>
      <c r="AR148" s="942"/>
      <c r="AS148" s="942"/>
      <c r="AT148" s="942"/>
      <c r="AU148" s="942"/>
    </row>
    <row r="149" spans="2:47" hidden="1">
      <c r="B149" s="1249"/>
      <c r="C149" s="1249"/>
      <c r="D149" s="1249"/>
      <c r="E149" s="1249"/>
      <c r="F149" s="1249"/>
      <c r="G149" s="1249"/>
      <c r="H149" s="1249"/>
      <c r="I149" s="1249"/>
      <c r="J149" s="1249"/>
      <c r="K149" s="1249"/>
      <c r="L149" s="1249"/>
      <c r="M149" s="1249"/>
      <c r="N149" s="1249"/>
      <c r="O149" s="1249"/>
      <c r="P149" s="1249"/>
      <c r="Q149" s="1249"/>
      <c r="R149" s="1249"/>
      <c r="S149" s="1249"/>
      <c r="T149" s="1249"/>
      <c r="U149" s="1249"/>
      <c r="V149" s="1249"/>
      <c r="W149" s="942"/>
      <c r="X149" s="942"/>
      <c r="Y149" s="942"/>
      <c r="Z149" s="942"/>
      <c r="AA149" s="942"/>
      <c r="AB149" s="942"/>
      <c r="AC149" s="942"/>
      <c r="AD149" s="942"/>
      <c r="AE149" s="942"/>
      <c r="AF149" s="942"/>
      <c r="AG149" s="942"/>
      <c r="AH149" s="942"/>
      <c r="AI149" s="942"/>
      <c r="AJ149" s="942"/>
      <c r="AK149" s="942"/>
      <c r="AL149" s="942"/>
      <c r="AM149" s="942"/>
      <c r="AN149" s="942"/>
      <c r="AO149" s="942"/>
      <c r="AP149" s="942"/>
      <c r="AQ149" s="942"/>
      <c r="AR149" s="942"/>
      <c r="AS149" s="942"/>
      <c r="AT149" s="942"/>
      <c r="AU149" s="942"/>
    </row>
    <row r="150" spans="2:47" hidden="1">
      <c r="B150" s="1249"/>
      <c r="C150" s="1249"/>
      <c r="D150" s="1249"/>
      <c r="E150" s="1249"/>
      <c r="F150" s="1249"/>
      <c r="G150" s="1249"/>
      <c r="H150" s="1249"/>
      <c r="I150" s="1249"/>
      <c r="J150" s="1249"/>
      <c r="K150" s="1249"/>
      <c r="L150" s="1249"/>
      <c r="M150" s="1249"/>
      <c r="N150" s="1249"/>
      <c r="O150" s="1249"/>
      <c r="P150" s="1249"/>
      <c r="Q150" s="1249"/>
      <c r="R150" s="1249"/>
      <c r="S150" s="1249"/>
      <c r="T150" s="1249"/>
      <c r="U150" s="1249"/>
      <c r="V150" s="1249"/>
      <c r="W150" s="942"/>
      <c r="X150" s="942"/>
      <c r="Y150" s="942"/>
      <c r="Z150" s="942"/>
      <c r="AA150" s="942"/>
      <c r="AB150" s="942"/>
      <c r="AC150" s="942"/>
      <c r="AD150" s="942"/>
      <c r="AE150" s="942"/>
      <c r="AF150" s="942"/>
      <c r="AG150" s="942"/>
      <c r="AH150" s="942"/>
      <c r="AI150" s="942"/>
      <c r="AJ150" s="942"/>
      <c r="AK150" s="942"/>
      <c r="AL150" s="942"/>
      <c r="AM150" s="942"/>
      <c r="AN150" s="942"/>
      <c r="AO150" s="942"/>
      <c r="AP150" s="942"/>
      <c r="AQ150" s="942"/>
      <c r="AR150" s="942"/>
      <c r="AS150" s="942"/>
      <c r="AT150" s="942"/>
      <c r="AU150" s="942"/>
    </row>
    <row r="151" spans="2:47" hidden="1">
      <c r="B151" s="1249"/>
      <c r="C151" s="1249"/>
      <c r="D151" s="1249"/>
      <c r="E151" s="1249"/>
      <c r="F151" s="1249"/>
      <c r="G151" s="1249"/>
      <c r="H151" s="1249"/>
      <c r="I151" s="1249"/>
      <c r="J151" s="1249"/>
      <c r="K151" s="1249"/>
      <c r="L151" s="1249"/>
      <c r="M151" s="1249"/>
      <c r="N151" s="1249"/>
      <c r="O151" s="1249"/>
      <c r="P151" s="1249"/>
      <c r="Q151" s="1249"/>
      <c r="R151" s="1249"/>
      <c r="S151" s="1249"/>
      <c r="T151" s="1249"/>
      <c r="U151" s="1249"/>
      <c r="V151" s="1249"/>
      <c r="W151" s="942"/>
      <c r="X151" s="942"/>
      <c r="Y151" s="942"/>
      <c r="Z151" s="942"/>
      <c r="AA151" s="942"/>
      <c r="AB151" s="942"/>
      <c r="AC151" s="942"/>
      <c r="AD151" s="942"/>
      <c r="AE151" s="942"/>
      <c r="AF151" s="942"/>
      <c r="AG151" s="942"/>
      <c r="AH151" s="942"/>
      <c r="AI151" s="942"/>
      <c r="AJ151" s="942"/>
      <c r="AK151" s="942"/>
      <c r="AL151" s="942"/>
      <c r="AM151" s="942"/>
      <c r="AN151" s="942"/>
      <c r="AO151" s="942"/>
      <c r="AP151" s="942"/>
      <c r="AQ151" s="942"/>
      <c r="AR151" s="942"/>
      <c r="AS151" s="942"/>
      <c r="AT151" s="942"/>
      <c r="AU151" s="942"/>
    </row>
    <row r="152" spans="2:47" hidden="1">
      <c r="B152" s="1249"/>
      <c r="C152" s="1249"/>
      <c r="D152" s="1249"/>
      <c r="E152" s="1249"/>
      <c r="F152" s="1249"/>
      <c r="G152" s="1249"/>
      <c r="H152" s="1249"/>
      <c r="I152" s="1249"/>
      <c r="J152" s="1249"/>
      <c r="K152" s="1249"/>
      <c r="L152" s="1249"/>
      <c r="M152" s="1249"/>
      <c r="N152" s="1249"/>
      <c r="O152" s="1249"/>
      <c r="P152" s="1249"/>
      <c r="Q152" s="1249"/>
      <c r="R152" s="1249"/>
      <c r="S152" s="1249"/>
      <c r="T152" s="1249"/>
      <c r="U152" s="1249"/>
      <c r="V152" s="1249"/>
      <c r="W152" s="942"/>
      <c r="X152" s="942"/>
      <c r="Y152" s="942"/>
      <c r="Z152" s="942"/>
      <c r="AA152" s="942"/>
      <c r="AB152" s="942"/>
      <c r="AC152" s="942"/>
      <c r="AD152" s="942"/>
      <c r="AE152" s="942"/>
      <c r="AF152" s="942"/>
      <c r="AG152" s="942"/>
      <c r="AH152" s="942"/>
      <c r="AI152" s="942"/>
      <c r="AJ152" s="942"/>
      <c r="AK152" s="942"/>
      <c r="AL152" s="942"/>
      <c r="AM152" s="942"/>
      <c r="AN152" s="942"/>
      <c r="AO152" s="942"/>
      <c r="AP152" s="942"/>
      <c r="AQ152" s="942"/>
      <c r="AR152" s="942"/>
      <c r="AS152" s="942"/>
      <c r="AT152" s="942"/>
      <c r="AU152" s="942"/>
    </row>
    <row r="153" spans="2:47" hidden="1">
      <c r="B153" s="1249"/>
      <c r="C153" s="1249"/>
      <c r="D153" s="1249"/>
      <c r="E153" s="1249"/>
      <c r="F153" s="1249"/>
      <c r="G153" s="1249"/>
      <c r="H153" s="1249"/>
      <c r="I153" s="1249"/>
      <c r="J153" s="1249"/>
      <c r="K153" s="1249"/>
      <c r="L153" s="1249"/>
      <c r="M153" s="1249"/>
      <c r="N153" s="1249"/>
      <c r="O153" s="1249"/>
      <c r="P153" s="1249"/>
      <c r="Q153" s="1249"/>
      <c r="R153" s="1249"/>
      <c r="S153" s="1249"/>
      <c r="T153" s="1249"/>
      <c r="U153" s="1249"/>
      <c r="V153" s="1249"/>
      <c r="W153" s="942"/>
      <c r="X153" s="942"/>
      <c r="Y153" s="942"/>
      <c r="Z153" s="942"/>
      <c r="AA153" s="942"/>
      <c r="AB153" s="942"/>
      <c r="AC153" s="942"/>
      <c r="AD153" s="942"/>
      <c r="AE153" s="942"/>
      <c r="AF153" s="942"/>
      <c r="AG153" s="942"/>
      <c r="AH153" s="942"/>
      <c r="AI153" s="942"/>
      <c r="AJ153" s="942"/>
      <c r="AK153" s="942"/>
      <c r="AL153" s="942"/>
      <c r="AM153" s="942"/>
      <c r="AN153" s="942"/>
      <c r="AO153" s="942"/>
      <c r="AP153" s="942"/>
      <c r="AQ153" s="942"/>
      <c r="AR153" s="942"/>
      <c r="AS153" s="942"/>
      <c r="AT153" s="942"/>
      <c r="AU153" s="942"/>
    </row>
    <row r="154" spans="2:47" hidden="1">
      <c r="B154" s="1249"/>
      <c r="C154" s="1249"/>
      <c r="D154" s="1249"/>
      <c r="E154" s="1249"/>
      <c r="F154" s="1249"/>
      <c r="G154" s="1249"/>
      <c r="H154" s="1249"/>
      <c r="I154" s="1249"/>
      <c r="J154" s="1249"/>
      <c r="K154" s="1249"/>
      <c r="L154" s="1249"/>
      <c r="M154" s="1249"/>
      <c r="N154" s="1249"/>
      <c r="O154" s="1249"/>
      <c r="P154" s="1249"/>
      <c r="Q154" s="1249"/>
      <c r="R154" s="1249"/>
      <c r="S154" s="1249"/>
      <c r="T154" s="1249"/>
      <c r="U154" s="1249"/>
      <c r="V154" s="1249"/>
      <c r="W154" s="942"/>
      <c r="X154" s="942"/>
      <c r="Y154" s="942"/>
      <c r="Z154" s="942"/>
      <c r="AA154" s="942"/>
      <c r="AB154" s="942"/>
      <c r="AC154" s="942"/>
      <c r="AD154" s="942"/>
      <c r="AE154" s="942"/>
      <c r="AF154" s="942"/>
      <c r="AG154" s="942"/>
      <c r="AH154" s="942"/>
      <c r="AI154" s="942"/>
      <c r="AJ154" s="942"/>
      <c r="AK154" s="942"/>
      <c r="AL154" s="942"/>
      <c r="AM154" s="942"/>
      <c r="AN154" s="942"/>
      <c r="AO154" s="942"/>
      <c r="AP154" s="942"/>
      <c r="AQ154" s="942"/>
      <c r="AR154" s="942"/>
      <c r="AS154" s="942"/>
      <c r="AT154" s="942"/>
      <c r="AU154" s="942"/>
    </row>
    <row r="155" spans="2:47" hidden="1">
      <c r="B155" s="1249"/>
      <c r="C155" s="1249"/>
      <c r="D155" s="1249"/>
      <c r="E155" s="1249"/>
      <c r="F155" s="1249"/>
      <c r="G155" s="1249"/>
      <c r="H155" s="1249"/>
      <c r="I155" s="1249"/>
      <c r="J155" s="1249"/>
      <c r="K155" s="1249"/>
      <c r="L155" s="1249"/>
      <c r="M155" s="1249"/>
      <c r="N155" s="1249"/>
      <c r="O155" s="1249"/>
      <c r="P155" s="1249"/>
      <c r="Q155" s="1249"/>
      <c r="R155" s="1249"/>
      <c r="S155" s="1249"/>
      <c r="T155" s="1249"/>
      <c r="U155" s="1249"/>
      <c r="V155" s="1249"/>
      <c r="W155" s="942"/>
      <c r="X155" s="942"/>
      <c r="Y155" s="942"/>
      <c r="Z155" s="942"/>
      <c r="AA155" s="942"/>
      <c r="AB155" s="942"/>
      <c r="AC155" s="942"/>
      <c r="AD155" s="942"/>
      <c r="AE155" s="942"/>
      <c r="AF155" s="942"/>
      <c r="AG155" s="942"/>
      <c r="AH155" s="942"/>
      <c r="AI155" s="942"/>
      <c r="AJ155" s="942"/>
      <c r="AK155" s="942"/>
      <c r="AL155" s="942"/>
      <c r="AM155" s="942"/>
      <c r="AN155" s="942"/>
      <c r="AO155" s="942"/>
      <c r="AP155" s="942"/>
      <c r="AQ155" s="942"/>
      <c r="AR155" s="942"/>
      <c r="AS155" s="942"/>
      <c r="AT155" s="942"/>
      <c r="AU155" s="942"/>
    </row>
    <row r="156" spans="2:47" hidden="1">
      <c r="B156" s="1249"/>
      <c r="C156" s="1249"/>
      <c r="D156" s="1249"/>
      <c r="E156" s="1249"/>
      <c r="F156" s="1249"/>
      <c r="G156" s="1249"/>
      <c r="H156" s="1249"/>
      <c r="I156" s="1249"/>
      <c r="J156" s="1249"/>
      <c r="K156" s="1249"/>
      <c r="L156" s="1249"/>
      <c r="M156" s="1249"/>
      <c r="N156" s="1249"/>
      <c r="O156" s="1249"/>
      <c r="P156" s="1249"/>
      <c r="Q156" s="1249"/>
      <c r="R156" s="1249"/>
      <c r="S156" s="1249"/>
      <c r="T156" s="1249"/>
      <c r="U156" s="1249"/>
      <c r="V156" s="1249"/>
      <c r="W156" s="942"/>
      <c r="X156" s="942"/>
      <c r="Y156" s="942"/>
      <c r="Z156" s="942"/>
      <c r="AA156" s="942"/>
      <c r="AB156" s="942"/>
      <c r="AC156" s="942"/>
      <c r="AD156" s="942"/>
      <c r="AE156" s="942"/>
      <c r="AF156" s="942"/>
      <c r="AG156" s="942"/>
      <c r="AH156" s="942"/>
      <c r="AI156" s="942"/>
      <c r="AJ156" s="942"/>
      <c r="AK156" s="942"/>
      <c r="AL156" s="942"/>
      <c r="AM156" s="942"/>
      <c r="AN156" s="942"/>
      <c r="AO156" s="942"/>
      <c r="AP156" s="942"/>
      <c r="AQ156" s="942"/>
      <c r="AR156" s="942"/>
      <c r="AS156" s="942"/>
      <c r="AT156" s="942"/>
      <c r="AU156" s="942"/>
    </row>
    <row r="157" spans="2:47" hidden="1">
      <c r="B157" s="1249"/>
      <c r="C157" s="1249"/>
      <c r="D157" s="1249"/>
      <c r="E157" s="1249"/>
      <c r="F157" s="1249"/>
      <c r="G157" s="1249"/>
      <c r="H157" s="1249"/>
      <c r="I157" s="1249"/>
      <c r="J157" s="1249"/>
      <c r="K157" s="1249"/>
      <c r="L157" s="1249"/>
      <c r="M157" s="1249"/>
      <c r="N157" s="1249"/>
      <c r="O157" s="1249"/>
      <c r="P157" s="1249"/>
      <c r="Q157" s="1249"/>
      <c r="R157" s="1249"/>
      <c r="S157" s="1249"/>
      <c r="T157" s="1249"/>
      <c r="U157" s="1249"/>
      <c r="V157" s="1249"/>
      <c r="W157" s="942"/>
      <c r="X157" s="942"/>
      <c r="Y157" s="942"/>
      <c r="Z157" s="942"/>
      <c r="AA157" s="942"/>
      <c r="AB157" s="942"/>
      <c r="AC157" s="942"/>
      <c r="AD157" s="942"/>
      <c r="AE157" s="942"/>
      <c r="AF157" s="942"/>
      <c r="AG157" s="942"/>
      <c r="AH157" s="942"/>
      <c r="AI157" s="942"/>
      <c r="AJ157" s="942"/>
      <c r="AK157" s="942"/>
      <c r="AL157" s="942"/>
      <c r="AM157" s="942"/>
      <c r="AN157" s="942"/>
      <c r="AO157" s="942"/>
      <c r="AP157" s="942"/>
      <c r="AQ157" s="942"/>
      <c r="AR157" s="942"/>
      <c r="AS157" s="942"/>
      <c r="AT157" s="942"/>
      <c r="AU157" s="942"/>
    </row>
    <row r="158" spans="2:47" hidden="1">
      <c r="B158" s="1249"/>
      <c r="C158" s="1249"/>
      <c r="D158" s="1249"/>
      <c r="E158" s="1249"/>
      <c r="F158" s="1249"/>
      <c r="G158" s="1249"/>
      <c r="H158" s="1249"/>
      <c r="I158" s="1249"/>
      <c r="J158" s="1249"/>
      <c r="K158" s="1249"/>
      <c r="L158" s="1249"/>
      <c r="M158" s="1249"/>
      <c r="N158" s="1249"/>
      <c r="O158" s="1249"/>
      <c r="P158" s="1249"/>
      <c r="Q158" s="1249"/>
      <c r="R158" s="1249"/>
      <c r="S158" s="1249"/>
      <c r="T158" s="1249"/>
      <c r="U158" s="1249"/>
      <c r="V158" s="1249"/>
      <c r="W158" s="942"/>
      <c r="X158" s="942"/>
      <c r="Y158" s="942"/>
      <c r="Z158" s="942"/>
      <c r="AA158" s="942"/>
      <c r="AB158" s="942"/>
      <c r="AC158" s="942"/>
      <c r="AD158" s="942"/>
      <c r="AE158" s="942"/>
      <c r="AF158" s="942"/>
      <c r="AG158" s="942"/>
      <c r="AH158" s="942"/>
      <c r="AI158" s="942"/>
      <c r="AJ158" s="942"/>
      <c r="AK158" s="942"/>
      <c r="AL158" s="942"/>
      <c r="AM158" s="942"/>
      <c r="AN158" s="942"/>
      <c r="AO158" s="942"/>
      <c r="AP158" s="942"/>
      <c r="AQ158" s="942"/>
      <c r="AR158" s="942"/>
      <c r="AS158" s="942"/>
      <c r="AT158" s="942"/>
      <c r="AU158" s="942"/>
    </row>
    <row r="159" spans="2:47" hidden="1">
      <c r="B159" s="1249"/>
      <c r="C159" s="1249"/>
      <c r="D159" s="1249"/>
      <c r="E159" s="1249"/>
      <c r="F159" s="1249"/>
      <c r="G159" s="1249"/>
      <c r="H159" s="1249"/>
      <c r="I159" s="1249"/>
      <c r="J159" s="1249"/>
      <c r="K159" s="1249"/>
      <c r="L159" s="1249"/>
      <c r="M159" s="1249"/>
      <c r="N159" s="1249"/>
      <c r="O159" s="1249"/>
      <c r="P159" s="1249"/>
      <c r="Q159" s="1249"/>
      <c r="R159" s="1249"/>
      <c r="S159" s="1249"/>
      <c r="T159" s="1249"/>
      <c r="U159" s="1249"/>
      <c r="V159" s="1249"/>
      <c r="W159" s="942"/>
      <c r="X159" s="942"/>
      <c r="Y159" s="942"/>
      <c r="Z159" s="942"/>
      <c r="AA159" s="942"/>
      <c r="AB159" s="942"/>
      <c r="AC159" s="942"/>
      <c r="AD159" s="942"/>
      <c r="AE159" s="942"/>
      <c r="AF159" s="942"/>
      <c r="AG159" s="942"/>
      <c r="AH159" s="942"/>
      <c r="AI159" s="942"/>
      <c r="AJ159" s="942"/>
      <c r="AK159" s="942"/>
      <c r="AL159" s="942"/>
      <c r="AM159" s="942"/>
      <c r="AN159" s="942"/>
      <c r="AO159" s="942"/>
      <c r="AP159" s="942"/>
      <c r="AQ159" s="942"/>
      <c r="AR159" s="942"/>
      <c r="AS159" s="942"/>
      <c r="AT159" s="942"/>
      <c r="AU159" s="942"/>
    </row>
    <row r="160" spans="2:47" hidden="1">
      <c r="B160" s="1249"/>
      <c r="C160" s="1249"/>
      <c r="D160" s="1249"/>
      <c r="E160" s="1249"/>
      <c r="F160" s="1249"/>
      <c r="G160" s="1249"/>
      <c r="H160" s="1249"/>
      <c r="I160" s="1249"/>
      <c r="J160" s="1249"/>
      <c r="K160" s="1249"/>
      <c r="L160" s="1249"/>
      <c r="M160" s="1249"/>
      <c r="N160" s="1249"/>
      <c r="O160" s="1249"/>
      <c r="P160" s="1249"/>
      <c r="Q160" s="1249"/>
      <c r="R160" s="1249"/>
      <c r="S160" s="1249"/>
      <c r="T160" s="1249"/>
      <c r="U160" s="1249"/>
      <c r="V160" s="1249"/>
      <c r="W160" s="942"/>
      <c r="X160" s="942"/>
      <c r="Y160" s="942"/>
      <c r="Z160" s="942"/>
      <c r="AA160" s="942"/>
      <c r="AB160" s="942"/>
      <c r="AC160" s="942"/>
      <c r="AD160" s="942"/>
      <c r="AE160" s="942"/>
      <c r="AF160" s="942"/>
      <c r="AG160" s="942"/>
      <c r="AH160" s="942"/>
      <c r="AI160" s="942"/>
      <c r="AJ160" s="942"/>
      <c r="AK160" s="942"/>
      <c r="AL160" s="942"/>
      <c r="AM160" s="942"/>
      <c r="AN160" s="942"/>
      <c r="AO160" s="942"/>
      <c r="AP160" s="942"/>
      <c r="AQ160" s="942"/>
      <c r="AR160" s="942"/>
      <c r="AS160" s="942"/>
      <c r="AT160" s="942"/>
      <c r="AU160" s="942"/>
    </row>
    <row r="161" spans="2:47" hidden="1">
      <c r="B161" s="1249"/>
      <c r="C161" s="1249"/>
      <c r="D161" s="1249"/>
      <c r="E161" s="1249"/>
      <c r="F161" s="1249"/>
      <c r="G161" s="1249"/>
      <c r="H161" s="1249"/>
      <c r="I161" s="1249"/>
      <c r="J161" s="1249"/>
      <c r="K161" s="1249"/>
      <c r="L161" s="1249"/>
      <c r="M161" s="1249"/>
      <c r="N161" s="1249"/>
      <c r="O161" s="1249"/>
      <c r="P161" s="1249"/>
      <c r="Q161" s="1249"/>
      <c r="R161" s="1249"/>
      <c r="S161" s="1249"/>
      <c r="T161" s="1249"/>
      <c r="U161" s="1249"/>
      <c r="V161" s="1249"/>
      <c r="W161" s="942"/>
      <c r="X161" s="942"/>
      <c r="Y161" s="942"/>
      <c r="Z161" s="942"/>
      <c r="AA161" s="942"/>
      <c r="AB161" s="942"/>
      <c r="AC161" s="942"/>
      <c r="AD161" s="942"/>
      <c r="AE161" s="942"/>
      <c r="AF161" s="942"/>
      <c r="AG161" s="942"/>
      <c r="AH161" s="942"/>
      <c r="AI161" s="942"/>
      <c r="AJ161" s="942"/>
      <c r="AK161" s="942"/>
      <c r="AL161" s="942"/>
      <c r="AM161" s="942"/>
      <c r="AN161" s="942"/>
      <c r="AO161" s="942"/>
      <c r="AP161" s="942"/>
      <c r="AQ161" s="942"/>
      <c r="AR161" s="942"/>
      <c r="AS161" s="942"/>
      <c r="AT161" s="942"/>
      <c r="AU161" s="942"/>
    </row>
    <row r="162" spans="2:47" hidden="1">
      <c r="B162" s="1249"/>
      <c r="C162" s="1249"/>
      <c r="D162" s="1249"/>
      <c r="E162" s="1249"/>
      <c r="F162" s="1249"/>
      <c r="G162" s="1249"/>
      <c r="H162" s="1249"/>
      <c r="I162" s="1249"/>
      <c r="J162" s="1249"/>
      <c r="K162" s="1249"/>
      <c r="L162" s="1249"/>
      <c r="M162" s="1249"/>
      <c r="N162" s="1249"/>
      <c r="O162" s="1249"/>
      <c r="P162" s="1249"/>
      <c r="Q162" s="1249"/>
      <c r="R162" s="1249"/>
      <c r="S162" s="1249"/>
      <c r="T162" s="1249"/>
      <c r="U162" s="1249"/>
      <c r="V162" s="1249"/>
      <c r="W162" s="942"/>
      <c r="X162" s="942"/>
      <c r="Y162" s="942"/>
      <c r="Z162" s="942"/>
      <c r="AA162" s="942"/>
      <c r="AB162" s="942"/>
      <c r="AC162" s="942"/>
      <c r="AD162" s="942"/>
      <c r="AE162" s="942"/>
      <c r="AF162" s="942"/>
      <c r="AG162" s="942"/>
      <c r="AH162" s="942"/>
      <c r="AI162" s="942"/>
      <c r="AJ162" s="942"/>
      <c r="AK162" s="942"/>
      <c r="AL162" s="942"/>
      <c r="AM162" s="942"/>
      <c r="AN162" s="942"/>
      <c r="AO162" s="942"/>
      <c r="AP162" s="942"/>
      <c r="AQ162" s="942"/>
      <c r="AR162" s="942"/>
      <c r="AS162" s="942"/>
      <c r="AT162" s="942"/>
      <c r="AU162" s="942"/>
    </row>
    <row r="163" spans="2:47" hidden="1">
      <c r="B163" s="1249"/>
      <c r="C163" s="1249"/>
      <c r="D163" s="1249"/>
      <c r="E163" s="1249"/>
      <c r="F163" s="1249"/>
      <c r="G163" s="1249"/>
      <c r="H163" s="1249"/>
      <c r="I163" s="1249"/>
      <c r="J163" s="1249"/>
      <c r="K163" s="1249"/>
      <c r="L163" s="1249"/>
      <c r="M163" s="1249"/>
      <c r="N163" s="1249"/>
      <c r="O163" s="1249"/>
      <c r="P163" s="1249"/>
      <c r="Q163" s="1249"/>
      <c r="R163" s="1249"/>
      <c r="S163" s="1249"/>
      <c r="T163" s="1249"/>
      <c r="U163" s="1249"/>
      <c r="V163" s="1249"/>
      <c r="W163" s="942"/>
      <c r="X163" s="942"/>
      <c r="Y163" s="942"/>
      <c r="Z163" s="942"/>
      <c r="AA163" s="942"/>
      <c r="AB163" s="942"/>
      <c r="AC163" s="942"/>
      <c r="AD163" s="942"/>
      <c r="AE163" s="942"/>
      <c r="AF163" s="942"/>
      <c r="AG163" s="942"/>
      <c r="AH163" s="942"/>
      <c r="AI163" s="942"/>
      <c r="AJ163" s="942"/>
      <c r="AK163" s="942"/>
      <c r="AL163" s="942"/>
      <c r="AM163" s="942"/>
      <c r="AN163" s="942"/>
      <c r="AO163" s="942"/>
      <c r="AP163" s="942"/>
      <c r="AQ163" s="942"/>
      <c r="AR163" s="942"/>
      <c r="AS163" s="942"/>
      <c r="AT163" s="942"/>
      <c r="AU163" s="942"/>
    </row>
    <row r="164" spans="2:47" hidden="1">
      <c r="B164" s="1249"/>
      <c r="C164" s="1249"/>
      <c r="D164" s="1249"/>
      <c r="E164" s="1249"/>
      <c r="F164" s="1249"/>
      <c r="G164" s="1249"/>
      <c r="H164" s="1249"/>
      <c r="I164" s="1249"/>
      <c r="J164" s="1249"/>
      <c r="K164" s="1249"/>
      <c r="L164" s="1249"/>
      <c r="M164" s="1249"/>
      <c r="N164" s="1249"/>
      <c r="O164" s="1249"/>
      <c r="P164" s="1249"/>
      <c r="Q164" s="1249"/>
      <c r="R164" s="1249"/>
      <c r="S164" s="1249"/>
      <c r="T164" s="1249"/>
      <c r="U164" s="1249"/>
      <c r="V164" s="1249"/>
      <c r="W164" s="942"/>
      <c r="X164" s="942"/>
      <c r="Y164" s="942"/>
      <c r="Z164" s="942"/>
      <c r="AA164" s="942"/>
      <c r="AB164" s="942"/>
      <c r="AC164" s="942"/>
      <c r="AD164" s="942"/>
      <c r="AE164" s="942"/>
      <c r="AF164" s="942"/>
      <c r="AG164" s="942"/>
      <c r="AH164" s="942"/>
      <c r="AI164" s="942"/>
      <c r="AJ164" s="942"/>
      <c r="AK164" s="942"/>
      <c r="AL164" s="942"/>
      <c r="AM164" s="942"/>
      <c r="AN164" s="942"/>
      <c r="AO164" s="942"/>
      <c r="AP164" s="942"/>
      <c r="AQ164" s="942"/>
      <c r="AR164" s="942"/>
      <c r="AS164" s="942"/>
      <c r="AT164" s="942"/>
      <c r="AU164" s="942"/>
    </row>
    <row r="165" spans="2:47" hidden="1">
      <c r="B165" s="1249"/>
      <c r="C165" s="1249"/>
      <c r="D165" s="1249"/>
      <c r="E165" s="1249"/>
      <c r="F165" s="1249"/>
      <c r="G165" s="1249"/>
      <c r="H165" s="1249"/>
      <c r="I165" s="1249"/>
      <c r="J165" s="1249"/>
      <c r="K165" s="1249"/>
      <c r="L165" s="1249"/>
      <c r="M165" s="1249"/>
      <c r="N165" s="1249"/>
      <c r="O165" s="1249"/>
      <c r="P165" s="1249"/>
      <c r="Q165" s="1249"/>
      <c r="R165" s="1249"/>
      <c r="S165" s="1249"/>
      <c r="T165" s="1249"/>
      <c r="U165" s="1249"/>
      <c r="V165" s="1249"/>
      <c r="W165" s="942"/>
      <c r="X165" s="942"/>
      <c r="Y165" s="942"/>
      <c r="Z165" s="942"/>
      <c r="AA165" s="942"/>
      <c r="AB165" s="942"/>
      <c r="AC165" s="942"/>
      <c r="AD165" s="942"/>
      <c r="AE165" s="942"/>
      <c r="AF165" s="942"/>
      <c r="AG165" s="942"/>
      <c r="AH165" s="942"/>
      <c r="AI165" s="942"/>
      <c r="AJ165" s="942"/>
      <c r="AK165" s="942"/>
      <c r="AL165" s="942"/>
      <c r="AM165" s="942"/>
      <c r="AN165" s="942"/>
      <c r="AO165" s="942"/>
      <c r="AP165" s="942"/>
      <c r="AQ165" s="942"/>
      <c r="AR165" s="942"/>
      <c r="AS165" s="942"/>
      <c r="AT165" s="942"/>
      <c r="AU165" s="942"/>
    </row>
    <row r="166" spans="2:47" hidden="1">
      <c r="B166" s="1249"/>
      <c r="C166" s="1249"/>
      <c r="D166" s="1249"/>
      <c r="E166" s="1249"/>
      <c r="F166" s="1249"/>
      <c r="G166" s="1249"/>
      <c r="H166" s="1249"/>
      <c r="I166" s="1249"/>
      <c r="J166" s="1249"/>
      <c r="K166" s="1249"/>
      <c r="L166" s="1249"/>
      <c r="M166" s="1249"/>
      <c r="N166" s="1249"/>
      <c r="O166" s="1249"/>
      <c r="P166" s="1249"/>
      <c r="Q166" s="1249"/>
      <c r="R166" s="1249"/>
      <c r="S166" s="1249"/>
      <c r="T166" s="1249"/>
      <c r="U166" s="1249"/>
      <c r="V166" s="1249"/>
      <c r="W166" s="942"/>
      <c r="X166" s="942"/>
      <c r="Y166" s="942"/>
      <c r="Z166" s="942"/>
      <c r="AA166" s="942"/>
      <c r="AB166" s="942"/>
      <c r="AC166" s="942"/>
      <c r="AD166" s="942"/>
      <c r="AE166" s="942"/>
      <c r="AF166" s="942"/>
      <c r="AG166" s="942"/>
      <c r="AH166" s="942"/>
      <c r="AI166" s="942"/>
      <c r="AJ166" s="942"/>
      <c r="AK166" s="942"/>
      <c r="AL166" s="942"/>
      <c r="AM166" s="942"/>
      <c r="AN166" s="942"/>
      <c r="AO166" s="942"/>
      <c r="AP166" s="942"/>
      <c r="AQ166" s="942"/>
      <c r="AR166" s="942"/>
      <c r="AS166" s="942"/>
      <c r="AT166" s="942"/>
      <c r="AU166" s="942"/>
    </row>
    <row r="167" spans="2:47" hidden="1">
      <c r="B167" s="1249"/>
      <c r="C167" s="1249"/>
      <c r="D167" s="1249"/>
      <c r="E167" s="1249"/>
      <c r="F167" s="1249"/>
      <c r="G167" s="1249"/>
      <c r="H167" s="1249"/>
      <c r="I167" s="1249"/>
      <c r="J167" s="1249"/>
      <c r="K167" s="1249"/>
      <c r="L167" s="1249"/>
      <c r="M167" s="1249"/>
      <c r="N167" s="1249"/>
      <c r="O167" s="1249"/>
      <c r="P167" s="1249"/>
      <c r="Q167" s="1249"/>
      <c r="R167" s="1249"/>
      <c r="S167" s="1249"/>
      <c r="T167" s="1249"/>
      <c r="U167" s="1249"/>
      <c r="V167" s="1249"/>
      <c r="W167" s="942"/>
      <c r="X167" s="942"/>
      <c r="Y167" s="942"/>
      <c r="Z167" s="942"/>
      <c r="AA167" s="942"/>
      <c r="AB167" s="942"/>
      <c r="AC167" s="942"/>
      <c r="AD167" s="942"/>
      <c r="AE167" s="942"/>
      <c r="AF167" s="942"/>
      <c r="AG167" s="942"/>
      <c r="AH167" s="942"/>
      <c r="AI167" s="942"/>
      <c r="AJ167" s="942"/>
      <c r="AK167" s="942"/>
      <c r="AL167" s="942"/>
      <c r="AM167" s="942"/>
      <c r="AN167" s="942"/>
      <c r="AO167" s="942"/>
      <c r="AP167" s="942"/>
      <c r="AQ167" s="942"/>
      <c r="AR167" s="942"/>
      <c r="AS167" s="942"/>
      <c r="AT167" s="942"/>
      <c r="AU167" s="942"/>
    </row>
    <row r="168" spans="2:47" hidden="1">
      <c r="B168" s="1249"/>
      <c r="C168" s="1249"/>
      <c r="D168" s="1249"/>
      <c r="E168" s="1249"/>
      <c r="F168" s="1249"/>
      <c r="G168" s="1249"/>
      <c r="H168" s="1249"/>
      <c r="I168" s="1249"/>
      <c r="J168" s="1249"/>
      <c r="K168" s="1249"/>
      <c r="L168" s="1249"/>
      <c r="M168" s="1249"/>
      <c r="N168" s="1249"/>
      <c r="O168" s="1249"/>
      <c r="P168" s="1249"/>
      <c r="Q168" s="1249"/>
      <c r="R168" s="1249"/>
      <c r="S168" s="1249"/>
      <c r="T168" s="1249"/>
      <c r="U168" s="1249"/>
      <c r="V168" s="1249"/>
      <c r="W168" s="942"/>
      <c r="X168" s="942"/>
      <c r="Y168" s="942"/>
      <c r="Z168" s="942"/>
      <c r="AA168" s="942"/>
      <c r="AB168" s="942"/>
      <c r="AC168" s="942"/>
      <c r="AD168" s="942"/>
      <c r="AE168" s="942"/>
      <c r="AF168" s="942"/>
      <c r="AG168" s="942"/>
      <c r="AH168" s="942"/>
      <c r="AI168" s="942"/>
      <c r="AJ168" s="942"/>
      <c r="AK168" s="942"/>
      <c r="AL168" s="942"/>
      <c r="AM168" s="942"/>
      <c r="AN168" s="942"/>
      <c r="AO168" s="942"/>
      <c r="AP168" s="942"/>
      <c r="AQ168" s="942"/>
      <c r="AR168" s="942"/>
      <c r="AS168" s="942"/>
      <c r="AT168" s="942"/>
      <c r="AU168" s="942"/>
    </row>
    <row r="169" spans="2:47" hidden="1">
      <c r="B169" s="1249"/>
      <c r="C169" s="1249"/>
      <c r="D169" s="1249"/>
      <c r="E169" s="1249"/>
      <c r="F169" s="1249"/>
      <c r="G169" s="1249"/>
      <c r="H169" s="1249"/>
      <c r="I169" s="1249"/>
      <c r="J169" s="1249"/>
      <c r="K169" s="1249"/>
      <c r="L169" s="1249"/>
      <c r="M169" s="1249"/>
      <c r="N169" s="1249"/>
      <c r="O169" s="1249"/>
      <c r="P169" s="1249"/>
      <c r="Q169" s="1249"/>
      <c r="R169" s="1249"/>
      <c r="S169" s="1249"/>
      <c r="T169" s="1249"/>
      <c r="U169" s="1249"/>
      <c r="V169" s="1249"/>
      <c r="W169" s="942"/>
      <c r="X169" s="942"/>
      <c r="Y169" s="942"/>
      <c r="Z169" s="942"/>
      <c r="AA169" s="942"/>
      <c r="AB169" s="942"/>
      <c r="AC169" s="942"/>
      <c r="AD169" s="942"/>
      <c r="AE169" s="942"/>
      <c r="AF169" s="942"/>
      <c r="AG169" s="942"/>
      <c r="AH169" s="942"/>
      <c r="AI169" s="942"/>
      <c r="AJ169" s="942"/>
      <c r="AK169" s="942"/>
      <c r="AL169" s="942"/>
      <c r="AM169" s="942"/>
      <c r="AN169" s="942"/>
      <c r="AO169" s="942"/>
      <c r="AP169" s="942"/>
      <c r="AQ169" s="942"/>
      <c r="AR169" s="942"/>
      <c r="AS169" s="942"/>
      <c r="AT169" s="942"/>
      <c r="AU169" s="942"/>
    </row>
    <row r="170" spans="2:47" hidden="1">
      <c r="B170" s="1249"/>
      <c r="C170" s="1249"/>
      <c r="D170" s="1249"/>
      <c r="E170" s="1249"/>
      <c r="F170" s="1249"/>
      <c r="G170" s="1249"/>
      <c r="H170" s="1249"/>
      <c r="I170" s="1249"/>
      <c r="J170" s="1249"/>
      <c r="K170" s="1249"/>
      <c r="L170" s="1249"/>
      <c r="M170" s="1249"/>
      <c r="N170" s="1249"/>
      <c r="O170" s="1249"/>
      <c r="P170" s="1249"/>
      <c r="Q170" s="1249"/>
      <c r="R170" s="1249"/>
      <c r="S170" s="1249"/>
      <c r="T170" s="1249"/>
      <c r="U170" s="1249"/>
      <c r="V170" s="1249"/>
      <c r="W170" s="942"/>
      <c r="X170" s="942"/>
      <c r="Y170" s="942"/>
      <c r="Z170" s="942"/>
      <c r="AA170" s="942"/>
      <c r="AB170" s="942"/>
      <c r="AC170" s="942"/>
      <c r="AD170" s="942"/>
      <c r="AE170" s="942"/>
      <c r="AF170" s="942"/>
      <c r="AG170" s="942"/>
      <c r="AH170" s="942"/>
      <c r="AI170" s="942"/>
      <c r="AJ170" s="942"/>
      <c r="AK170" s="942"/>
      <c r="AL170" s="942"/>
      <c r="AM170" s="942"/>
      <c r="AN170" s="942"/>
      <c r="AO170" s="942"/>
      <c r="AP170" s="942"/>
      <c r="AQ170" s="942"/>
      <c r="AR170" s="942"/>
      <c r="AS170" s="942"/>
      <c r="AT170" s="942"/>
      <c r="AU170" s="942"/>
    </row>
    <row r="171" spans="2:47" hidden="1">
      <c r="B171" s="1249"/>
      <c r="C171" s="1249"/>
      <c r="D171" s="1249"/>
      <c r="E171" s="1249"/>
      <c r="F171" s="1249"/>
      <c r="G171" s="1249"/>
      <c r="H171" s="1249"/>
      <c r="I171" s="1249"/>
      <c r="J171" s="1249"/>
      <c r="K171" s="1249"/>
      <c r="L171" s="1249"/>
      <c r="M171" s="1249"/>
      <c r="N171" s="1249"/>
      <c r="O171" s="1249"/>
      <c r="P171" s="1249"/>
      <c r="Q171" s="1249"/>
      <c r="R171" s="1249"/>
      <c r="S171" s="1249"/>
      <c r="T171" s="1249"/>
      <c r="U171" s="1249"/>
      <c r="V171" s="1249"/>
      <c r="W171" s="942"/>
      <c r="X171" s="942"/>
      <c r="Y171" s="942"/>
      <c r="Z171" s="942"/>
      <c r="AA171" s="942"/>
      <c r="AB171" s="942"/>
      <c r="AC171" s="942"/>
      <c r="AD171" s="942"/>
      <c r="AE171" s="942"/>
      <c r="AF171" s="942"/>
      <c r="AG171" s="942"/>
      <c r="AH171" s="942"/>
      <c r="AI171" s="942"/>
      <c r="AJ171" s="942"/>
      <c r="AK171" s="942"/>
      <c r="AL171" s="942"/>
      <c r="AM171" s="942"/>
      <c r="AN171" s="942"/>
      <c r="AO171" s="942"/>
      <c r="AP171" s="942"/>
      <c r="AQ171" s="942"/>
      <c r="AR171" s="942"/>
      <c r="AS171" s="942"/>
      <c r="AT171" s="942"/>
      <c r="AU171" s="942"/>
    </row>
    <row r="172" spans="2:47" hidden="1">
      <c r="B172" s="1249"/>
      <c r="C172" s="1249"/>
      <c r="D172" s="1249"/>
      <c r="E172" s="1249"/>
      <c r="F172" s="1249"/>
      <c r="G172" s="1249"/>
      <c r="H172" s="1249"/>
      <c r="I172" s="1249"/>
      <c r="J172" s="1249"/>
      <c r="K172" s="1249"/>
      <c r="L172" s="1249"/>
      <c r="M172" s="1249"/>
      <c r="N172" s="1249"/>
      <c r="O172" s="1249"/>
      <c r="P172" s="1249"/>
      <c r="Q172" s="1249"/>
      <c r="R172" s="1249"/>
      <c r="S172" s="1249"/>
      <c r="T172" s="1249"/>
      <c r="U172" s="1249"/>
      <c r="V172" s="1249"/>
      <c r="W172" s="942"/>
      <c r="X172" s="942"/>
      <c r="Y172" s="942"/>
      <c r="Z172" s="942"/>
      <c r="AA172" s="942"/>
      <c r="AB172" s="942"/>
      <c r="AC172" s="942"/>
      <c r="AD172" s="942"/>
      <c r="AE172" s="942"/>
      <c r="AF172" s="942"/>
      <c r="AG172" s="942"/>
      <c r="AH172" s="942"/>
      <c r="AI172" s="942"/>
      <c r="AJ172" s="942"/>
      <c r="AK172" s="942"/>
      <c r="AL172" s="942"/>
      <c r="AM172" s="942"/>
      <c r="AN172" s="942"/>
      <c r="AO172" s="942"/>
      <c r="AP172" s="942"/>
      <c r="AQ172" s="942"/>
      <c r="AR172" s="942"/>
      <c r="AS172" s="942"/>
      <c r="AT172" s="942"/>
      <c r="AU172" s="942"/>
    </row>
    <row r="173" spans="2:47" hidden="1">
      <c r="B173" s="1249"/>
      <c r="C173" s="1249"/>
      <c r="D173" s="1249"/>
      <c r="E173" s="1249"/>
      <c r="F173" s="1249"/>
      <c r="G173" s="1249"/>
      <c r="H173" s="1249"/>
      <c r="I173" s="1249"/>
      <c r="J173" s="1249"/>
      <c r="K173" s="1249"/>
      <c r="L173" s="1249"/>
      <c r="M173" s="1249"/>
      <c r="N173" s="1249"/>
      <c r="O173" s="1249"/>
      <c r="P173" s="1249"/>
      <c r="Q173" s="1249"/>
      <c r="R173" s="1249"/>
      <c r="S173" s="1249"/>
      <c r="T173" s="1249"/>
      <c r="U173" s="1249"/>
      <c r="V173" s="1249"/>
      <c r="W173" s="942"/>
      <c r="X173" s="942"/>
      <c r="Y173" s="942"/>
      <c r="Z173" s="942"/>
      <c r="AA173" s="942"/>
      <c r="AB173" s="942"/>
      <c r="AC173" s="942"/>
      <c r="AD173" s="942"/>
      <c r="AE173" s="942"/>
      <c r="AF173" s="942"/>
      <c r="AG173" s="942"/>
      <c r="AH173" s="942"/>
      <c r="AI173" s="942"/>
      <c r="AJ173" s="942"/>
      <c r="AK173" s="942"/>
      <c r="AL173" s="942"/>
      <c r="AM173" s="942"/>
      <c r="AN173" s="942"/>
      <c r="AO173" s="942"/>
      <c r="AP173" s="942"/>
      <c r="AQ173" s="942"/>
      <c r="AR173" s="942"/>
      <c r="AS173" s="942"/>
      <c r="AT173" s="942"/>
      <c r="AU173" s="942"/>
    </row>
    <row r="174" spans="2:47" hidden="1">
      <c r="B174" s="1249"/>
      <c r="C174" s="1249"/>
      <c r="D174" s="1249"/>
      <c r="E174" s="1249"/>
      <c r="F174" s="1249"/>
      <c r="G174" s="1249"/>
      <c r="H174" s="1249"/>
      <c r="I174" s="1249"/>
      <c r="J174" s="1249"/>
      <c r="K174" s="1249"/>
      <c r="L174" s="1249"/>
      <c r="M174" s="1249"/>
      <c r="N174" s="1249"/>
      <c r="O174" s="1249"/>
      <c r="P174" s="1249"/>
      <c r="Q174" s="1249"/>
      <c r="R174" s="1249"/>
      <c r="S174" s="1249"/>
      <c r="T174" s="1249"/>
      <c r="U174" s="1249"/>
      <c r="V174" s="1249"/>
      <c r="W174" s="942"/>
      <c r="X174" s="942"/>
      <c r="Y174" s="942"/>
      <c r="Z174" s="942"/>
      <c r="AA174" s="942"/>
      <c r="AB174" s="942"/>
      <c r="AC174" s="942"/>
      <c r="AD174" s="942"/>
      <c r="AE174" s="942"/>
      <c r="AF174" s="942"/>
      <c r="AG174" s="942"/>
      <c r="AH174" s="942"/>
      <c r="AI174" s="942"/>
      <c r="AJ174" s="942"/>
      <c r="AK174" s="942"/>
      <c r="AL174" s="942"/>
      <c r="AM174" s="942"/>
      <c r="AN174" s="942"/>
      <c r="AO174" s="942"/>
      <c r="AP174" s="942"/>
      <c r="AQ174" s="942"/>
      <c r="AR174" s="942"/>
      <c r="AS174" s="942"/>
      <c r="AT174" s="942"/>
      <c r="AU174" s="942"/>
    </row>
    <row r="175" spans="2:47" hidden="1">
      <c r="B175" s="1249"/>
      <c r="C175" s="1249"/>
      <c r="D175" s="1249"/>
      <c r="E175" s="1249"/>
      <c r="F175" s="1249"/>
      <c r="G175" s="1249"/>
      <c r="H175" s="1249"/>
      <c r="I175" s="1249"/>
      <c r="J175" s="1249"/>
      <c r="K175" s="1249"/>
      <c r="L175" s="1249"/>
      <c r="M175" s="1249"/>
      <c r="N175" s="1249"/>
      <c r="O175" s="1249"/>
      <c r="P175" s="1249"/>
      <c r="Q175" s="1249"/>
      <c r="R175" s="1249"/>
      <c r="S175" s="1249"/>
      <c r="T175" s="1249"/>
      <c r="U175" s="1249"/>
      <c r="V175" s="1249"/>
      <c r="W175" s="942"/>
      <c r="X175" s="942"/>
      <c r="Y175" s="942"/>
      <c r="Z175" s="942"/>
      <c r="AA175" s="942"/>
      <c r="AB175" s="942"/>
      <c r="AC175" s="942"/>
      <c r="AD175" s="942"/>
      <c r="AE175" s="942"/>
      <c r="AF175" s="942"/>
      <c r="AG175" s="942"/>
      <c r="AH175" s="942"/>
      <c r="AI175" s="942"/>
      <c r="AJ175" s="942"/>
      <c r="AK175" s="942"/>
      <c r="AL175" s="942"/>
      <c r="AM175" s="942"/>
      <c r="AN175" s="942"/>
      <c r="AO175" s="942"/>
      <c r="AP175" s="942"/>
      <c r="AQ175" s="942"/>
      <c r="AR175" s="942"/>
      <c r="AS175" s="942"/>
      <c r="AT175" s="942"/>
      <c r="AU175" s="942"/>
    </row>
    <row r="176" spans="2:47" hidden="1">
      <c r="B176" s="1249"/>
      <c r="C176" s="1249"/>
      <c r="D176" s="1249"/>
      <c r="E176" s="1249"/>
      <c r="F176" s="1249"/>
      <c r="G176" s="1249"/>
      <c r="H176" s="1249"/>
      <c r="I176" s="1249"/>
      <c r="J176" s="1249"/>
      <c r="K176" s="1249"/>
      <c r="L176" s="1249"/>
      <c r="M176" s="1249"/>
      <c r="N176" s="1249"/>
      <c r="O176" s="1249"/>
      <c r="P176" s="1249"/>
      <c r="Q176" s="1249"/>
      <c r="R176" s="1249"/>
      <c r="S176" s="1249"/>
      <c r="T176" s="1249"/>
      <c r="U176" s="1249"/>
      <c r="V176" s="1249"/>
      <c r="W176" s="942"/>
      <c r="X176" s="942"/>
      <c r="Y176" s="942"/>
      <c r="Z176" s="942"/>
      <c r="AA176" s="942"/>
      <c r="AB176" s="942"/>
      <c r="AC176" s="942"/>
      <c r="AD176" s="942"/>
      <c r="AE176" s="942"/>
      <c r="AF176" s="942"/>
      <c r="AG176" s="942"/>
      <c r="AH176" s="942"/>
      <c r="AI176" s="942"/>
      <c r="AJ176" s="942"/>
      <c r="AK176" s="942"/>
      <c r="AL176" s="942"/>
      <c r="AM176" s="942"/>
      <c r="AN176" s="942"/>
      <c r="AO176" s="942"/>
      <c r="AP176" s="942"/>
      <c r="AQ176" s="942"/>
      <c r="AR176" s="942"/>
      <c r="AS176" s="942"/>
      <c r="AT176" s="942"/>
      <c r="AU176" s="942"/>
    </row>
    <row r="177" spans="2:47" hidden="1">
      <c r="B177" s="1249"/>
      <c r="C177" s="1249"/>
      <c r="D177" s="1249"/>
      <c r="E177" s="1249"/>
      <c r="F177" s="1249"/>
      <c r="G177" s="1249"/>
      <c r="H177" s="1249"/>
      <c r="I177" s="1249"/>
      <c r="J177" s="1249"/>
      <c r="K177" s="1249"/>
      <c r="L177" s="1249"/>
      <c r="M177" s="1249"/>
      <c r="N177" s="1249"/>
      <c r="O177" s="1249"/>
      <c r="P177" s="1249"/>
      <c r="Q177" s="1249"/>
      <c r="R177" s="1249"/>
      <c r="S177" s="1249"/>
      <c r="T177" s="1249"/>
      <c r="U177" s="1249"/>
      <c r="V177" s="1249"/>
      <c r="W177" s="942"/>
      <c r="X177" s="942"/>
      <c r="Y177" s="942"/>
      <c r="Z177" s="942"/>
      <c r="AA177" s="942"/>
      <c r="AB177" s="942"/>
      <c r="AC177" s="942"/>
      <c r="AD177" s="942"/>
      <c r="AE177" s="942"/>
      <c r="AF177" s="942"/>
      <c r="AG177" s="942"/>
      <c r="AH177" s="942"/>
      <c r="AI177" s="942"/>
      <c r="AJ177" s="942"/>
      <c r="AK177" s="942"/>
      <c r="AL177" s="942"/>
      <c r="AM177" s="942"/>
      <c r="AN177" s="942"/>
      <c r="AO177" s="942"/>
      <c r="AP177" s="942"/>
      <c r="AQ177" s="942"/>
      <c r="AR177" s="942"/>
      <c r="AS177" s="942"/>
      <c r="AT177" s="942"/>
      <c r="AU177" s="942"/>
    </row>
    <row r="178" spans="2:47" hidden="1">
      <c r="B178" s="1249"/>
      <c r="C178" s="1249"/>
      <c r="D178" s="1249"/>
      <c r="E178" s="1249"/>
      <c r="F178" s="1249"/>
      <c r="G178" s="1249"/>
      <c r="H178" s="1249"/>
      <c r="I178" s="1249"/>
      <c r="J178" s="1249"/>
      <c r="K178" s="1249"/>
      <c r="L178" s="1249"/>
      <c r="M178" s="1249"/>
      <c r="N178" s="1249"/>
      <c r="O178" s="1249"/>
      <c r="P178" s="1249"/>
      <c r="Q178" s="1249"/>
      <c r="R178" s="1249"/>
      <c r="S178" s="1249"/>
      <c r="T178" s="1249"/>
      <c r="U178" s="1249"/>
      <c r="V178" s="1249"/>
      <c r="W178" s="942"/>
      <c r="X178" s="942"/>
      <c r="Y178" s="942"/>
      <c r="Z178" s="942"/>
      <c r="AA178" s="942"/>
      <c r="AB178" s="942"/>
      <c r="AC178" s="942"/>
      <c r="AD178" s="942"/>
      <c r="AE178" s="942"/>
      <c r="AF178" s="942"/>
      <c r="AG178" s="942"/>
      <c r="AH178" s="942"/>
      <c r="AI178" s="942"/>
      <c r="AJ178" s="942"/>
      <c r="AK178" s="942"/>
      <c r="AL178" s="942"/>
      <c r="AM178" s="942"/>
      <c r="AN178" s="942"/>
      <c r="AO178" s="942"/>
      <c r="AP178" s="942"/>
      <c r="AQ178" s="942"/>
      <c r="AR178" s="942"/>
      <c r="AS178" s="942"/>
      <c r="AT178" s="942"/>
      <c r="AU178" s="942"/>
    </row>
    <row r="179" spans="2:47" hidden="1">
      <c r="B179" s="1249"/>
      <c r="C179" s="1249"/>
      <c r="D179" s="1249"/>
      <c r="E179" s="1249"/>
      <c r="F179" s="1249"/>
      <c r="G179" s="1249"/>
      <c r="H179" s="1249"/>
      <c r="I179" s="1249"/>
      <c r="J179" s="1249"/>
      <c r="K179" s="1249"/>
      <c r="L179" s="1249"/>
      <c r="M179" s="1249"/>
      <c r="N179" s="1249"/>
      <c r="O179" s="1249"/>
      <c r="P179" s="1249"/>
      <c r="Q179" s="1249"/>
      <c r="R179" s="1249"/>
      <c r="S179" s="1249"/>
      <c r="T179" s="1249"/>
      <c r="U179" s="1249"/>
      <c r="V179" s="1249"/>
      <c r="W179" s="942"/>
      <c r="X179" s="942"/>
      <c r="Y179" s="942"/>
      <c r="Z179" s="942"/>
      <c r="AA179" s="942"/>
      <c r="AB179" s="942"/>
      <c r="AC179" s="942"/>
      <c r="AD179" s="942"/>
      <c r="AE179" s="942"/>
      <c r="AF179" s="942"/>
      <c r="AG179" s="942"/>
      <c r="AH179" s="942"/>
      <c r="AI179" s="942"/>
      <c r="AJ179" s="942"/>
      <c r="AK179" s="942"/>
      <c r="AL179" s="942"/>
      <c r="AM179" s="942"/>
      <c r="AN179" s="942"/>
      <c r="AO179" s="942"/>
      <c r="AP179" s="942"/>
      <c r="AQ179" s="942"/>
      <c r="AR179" s="942"/>
      <c r="AS179" s="942"/>
      <c r="AT179" s="942"/>
      <c r="AU179" s="942"/>
    </row>
    <row r="180" spans="2:47" hidden="1">
      <c r="B180" s="1249"/>
      <c r="C180" s="1249"/>
      <c r="D180" s="1249"/>
      <c r="E180" s="1249"/>
      <c r="F180" s="1249"/>
      <c r="G180" s="1249"/>
      <c r="H180" s="1249"/>
      <c r="I180" s="1249"/>
      <c r="J180" s="1249"/>
      <c r="K180" s="1249"/>
      <c r="L180" s="1249"/>
      <c r="M180" s="1249"/>
      <c r="N180" s="1249"/>
      <c r="O180" s="1249"/>
      <c r="P180" s="1249"/>
      <c r="Q180" s="1249"/>
      <c r="R180" s="1249"/>
      <c r="S180" s="1249"/>
      <c r="T180" s="1249"/>
      <c r="U180" s="1249"/>
      <c r="V180" s="1249"/>
      <c r="W180" s="942"/>
      <c r="X180" s="942"/>
      <c r="Y180" s="942"/>
      <c r="Z180" s="942"/>
      <c r="AA180" s="942"/>
      <c r="AB180" s="942"/>
      <c r="AC180" s="942"/>
      <c r="AD180" s="942"/>
      <c r="AE180" s="942"/>
      <c r="AF180" s="942"/>
      <c r="AG180" s="942"/>
      <c r="AH180" s="942"/>
      <c r="AI180" s="942"/>
      <c r="AJ180" s="942"/>
      <c r="AK180" s="942"/>
      <c r="AL180" s="942"/>
      <c r="AM180" s="942"/>
      <c r="AN180" s="942"/>
      <c r="AO180" s="942"/>
      <c r="AP180" s="942"/>
      <c r="AQ180" s="942"/>
      <c r="AR180" s="942"/>
      <c r="AS180" s="942"/>
      <c r="AT180" s="942"/>
      <c r="AU180" s="942"/>
    </row>
    <row r="181" spans="2:47" hidden="1">
      <c r="B181" s="1249"/>
      <c r="C181" s="1249"/>
      <c r="D181" s="1249"/>
      <c r="E181" s="1249"/>
      <c r="F181" s="1249"/>
      <c r="G181" s="1249"/>
      <c r="H181" s="1249"/>
      <c r="I181" s="1249"/>
      <c r="J181" s="1249"/>
      <c r="K181" s="1249"/>
      <c r="L181" s="1249"/>
      <c r="M181" s="1249"/>
      <c r="N181" s="1249"/>
      <c r="O181" s="1249"/>
      <c r="P181" s="1249"/>
      <c r="Q181" s="1249"/>
      <c r="R181" s="1249"/>
      <c r="S181" s="1249"/>
      <c r="T181" s="1249"/>
      <c r="U181" s="1249"/>
      <c r="V181" s="1249"/>
      <c r="W181" s="942"/>
      <c r="X181" s="942"/>
      <c r="Y181" s="942"/>
      <c r="Z181" s="942"/>
      <c r="AA181" s="942"/>
      <c r="AB181" s="942"/>
      <c r="AC181" s="942"/>
      <c r="AD181" s="942"/>
      <c r="AE181" s="942"/>
      <c r="AF181" s="942"/>
      <c r="AG181" s="942"/>
      <c r="AH181" s="942"/>
      <c r="AI181" s="942"/>
      <c r="AJ181" s="942"/>
      <c r="AK181" s="942"/>
      <c r="AL181" s="942"/>
      <c r="AM181" s="942"/>
      <c r="AN181" s="942"/>
      <c r="AO181" s="942"/>
      <c r="AP181" s="942"/>
      <c r="AQ181" s="942"/>
      <c r="AR181" s="942"/>
      <c r="AS181" s="942"/>
      <c r="AT181" s="942"/>
      <c r="AU181" s="942"/>
    </row>
    <row r="182" spans="2:47" hidden="1">
      <c r="B182" s="1249"/>
      <c r="C182" s="1249"/>
      <c r="D182" s="1249"/>
      <c r="E182" s="1249"/>
      <c r="F182" s="1249"/>
      <c r="G182" s="1249"/>
      <c r="H182" s="1249"/>
      <c r="I182" s="1249"/>
      <c r="J182" s="1249"/>
      <c r="K182" s="1249"/>
      <c r="L182" s="1249"/>
      <c r="M182" s="1249"/>
      <c r="N182" s="1249"/>
      <c r="O182" s="1249"/>
      <c r="P182" s="1249"/>
      <c r="Q182" s="1249"/>
      <c r="R182" s="1249"/>
      <c r="S182" s="1249"/>
      <c r="T182" s="1249"/>
      <c r="U182" s="1249"/>
      <c r="V182" s="1249"/>
      <c r="W182" s="942"/>
      <c r="X182" s="942"/>
      <c r="Y182" s="942"/>
      <c r="Z182" s="942"/>
      <c r="AA182" s="942"/>
      <c r="AB182" s="942"/>
      <c r="AC182" s="942"/>
      <c r="AD182" s="942"/>
      <c r="AE182" s="942"/>
      <c r="AF182" s="942"/>
      <c r="AG182" s="942"/>
      <c r="AH182" s="942"/>
      <c r="AI182" s="942"/>
      <c r="AJ182" s="942"/>
      <c r="AK182" s="942"/>
      <c r="AL182" s="942"/>
      <c r="AM182" s="942"/>
      <c r="AN182" s="942"/>
      <c r="AO182" s="942"/>
      <c r="AP182" s="942"/>
      <c r="AQ182" s="942"/>
      <c r="AR182" s="942"/>
      <c r="AS182" s="942"/>
      <c r="AT182" s="942"/>
      <c r="AU182" s="942"/>
    </row>
    <row r="183" spans="2:47" hidden="1">
      <c r="C183" s="1270"/>
      <c r="D183" s="1270"/>
      <c r="E183" s="1270"/>
      <c r="F183" s="1270"/>
      <c r="G183" s="1270"/>
      <c r="H183" s="1270"/>
      <c r="I183" s="1270"/>
      <c r="J183" s="1270"/>
      <c r="K183" s="1270"/>
      <c r="L183" s="1270"/>
      <c r="M183" s="1270"/>
      <c r="N183" s="1270"/>
      <c r="O183" s="1270"/>
      <c r="P183" s="1270"/>
      <c r="Q183" s="1270"/>
      <c r="R183" s="1270"/>
      <c r="S183" s="1270"/>
      <c r="T183" s="1270"/>
      <c r="U183" s="1270"/>
      <c r="V183" s="1270"/>
    </row>
    <row r="184" spans="2:47" hidden="1">
      <c r="C184" s="1270"/>
      <c r="D184" s="1270"/>
      <c r="E184" s="1270"/>
      <c r="F184" s="1270"/>
      <c r="G184" s="1270"/>
      <c r="H184" s="1270"/>
      <c r="I184" s="1270"/>
      <c r="J184" s="1270"/>
      <c r="K184" s="1270"/>
      <c r="L184" s="1270"/>
      <c r="M184" s="1270"/>
      <c r="N184" s="1270"/>
      <c r="O184" s="1270"/>
      <c r="P184" s="1270"/>
      <c r="Q184" s="1270"/>
      <c r="R184" s="1270"/>
      <c r="S184" s="1270"/>
      <c r="T184" s="1270"/>
      <c r="U184" s="1270"/>
      <c r="V184" s="1270"/>
    </row>
    <row r="185" spans="2:47" hidden="1">
      <c r="C185" s="1270"/>
      <c r="D185" s="1270"/>
      <c r="E185" s="1270"/>
      <c r="F185" s="1270"/>
      <c r="G185" s="1270"/>
      <c r="H185" s="1270"/>
      <c r="I185" s="1270"/>
      <c r="J185" s="1270"/>
      <c r="K185" s="1270"/>
      <c r="L185" s="1270"/>
      <c r="M185" s="1270"/>
      <c r="N185" s="1270"/>
      <c r="O185" s="1270"/>
      <c r="P185" s="1270"/>
      <c r="Q185" s="1270"/>
      <c r="R185" s="1270"/>
      <c r="S185" s="1270"/>
      <c r="T185" s="1270"/>
      <c r="U185" s="1270"/>
      <c r="V185" s="1270"/>
    </row>
    <row r="186" spans="2:47" hidden="1">
      <c r="C186" s="1270"/>
      <c r="D186" s="1270"/>
      <c r="E186" s="1270"/>
      <c r="F186" s="1270"/>
      <c r="G186" s="1270"/>
      <c r="H186" s="1270"/>
      <c r="I186" s="1270"/>
      <c r="J186" s="1270"/>
      <c r="K186" s="1270"/>
      <c r="L186" s="1270"/>
      <c r="M186" s="1270"/>
      <c r="N186" s="1270"/>
      <c r="O186" s="1270"/>
      <c r="P186" s="1270"/>
      <c r="Q186" s="1270"/>
      <c r="R186" s="1270"/>
      <c r="S186" s="1270"/>
      <c r="T186" s="1270"/>
      <c r="U186" s="1270"/>
      <c r="V186" s="1270"/>
    </row>
    <row r="187" spans="2:47" hidden="1">
      <c r="C187" s="1270"/>
      <c r="D187" s="1270"/>
      <c r="E187" s="1270"/>
      <c r="F187" s="1270"/>
      <c r="G187" s="1270"/>
      <c r="H187" s="1270"/>
      <c r="I187" s="1270"/>
      <c r="J187" s="1270"/>
      <c r="K187" s="1270"/>
      <c r="L187" s="1270"/>
      <c r="M187" s="1270"/>
      <c r="N187" s="1270"/>
      <c r="O187" s="1270"/>
      <c r="P187" s="1270"/>
      <c r="Q187" s="1270"/>
      <c r="R187" s="1270"/>
      <c r="S187" s="1270"/>
      <c r="T187" s="1270"/>
      <c r="U187" s="1270"/>
      <c r="V187" s="1270"/>
    </row>
    <row r="188" spans="2:47" hidden="1">
      <c r="C188" s="1270"/>
      <c r="D188" s="1270"/>
      <c r="E188" s="1270"/>
      <c r="F188" s="1270"/>
      <c r="G188" s="1270"/>
      <c r="H188" s="1270"/>
      <c r="I188" s="1270"/>
      <c r="J188" s="1270"/>
      <c r="K188" s="1270"/>
      <c r="L188" s="1270"/>
      <c r="M188" s="1270"/>
      <c r="N188" s="1270"/>
      <c r="O188" s="1270"/>
      <c r="P188" s="1270"/>
      <c r="Q188" s="1270"/>
      <c r="R188" s="1270"/>
      <c r="S188" s="1270"/>
      <c r="T188" s="1270"/>
      <c r="U188" s="1270"/>
      <c r="V188" s="1270"/>
    </row>
    <row r="189" spans="2:47" hidden="1">
      <c r="C189" s="1270"/>
      <c r="D189" s="1270"/>
      <c r="E189" s="1270"/>
      <c r="F189" s="1270"/>
      <c r="G189" s="1270"/>
      <c r="H189" s="1270"/>
      <c r="I189" s="1270"/>
      <c r="J189" s="1270"/>
      <c r="K189" s="1270"/>
      <c r="L189" s="1270"/>
      <c r="M189" s="1270"/>
      <c r="N189" s="1270"/>
      <c r="O189" s="1270"/>
      <c r="P189" s="1270"/>
      <c r="Q189" s="1270"/>
      <c r="R189" s="1270"/>
      <c r="S189" s="1270"/>
      <c r="T189" s="1270"/>
      <c r="U189" s="1270"/>
      <c r="V189" s="1270"/>
    </row>
    <row r="190" spans="2:47" hidden="1">
      <c r="C190" s="1270"/>
      <c r="D190" s="1270"/>
      <c r="E190" s="1270"/>
      <c r="F190" s="1270"/>
      <c r="G190" s="1270"/>
      <c r="H190" s="1270"/>
      <c r="I190" s="1270"/>
      <c r="J190" s="1270"/>
      <c r="K190" s="1270"/>
      <c r="L190" s="1270"/>
      <c r="M190" s="1270"/>
      <c r="N190" s="1270"/>
      <c r="O190" s="1270"/>
      <c r="P190" s="1270"/>
      <c r="Q190" s="1270"/>
      <c r="R190" s="1270"/>
      <c r="S190" s="1270"/>
      <c r="T190" s="1270"/>
      <c r="U190" s="1270"/>
      <c r="V190" s="1270"/>
    </row>
    <row r="191" spans="2:47" hidden="1">
      <c r="C191" s="1270"/>
      <c r="D191" s="1270"/>
      <c r="E191" s="1270"/>
      <c r="F191" s="1270"/>
      <c r="G191" s="1270"/>
      <c r="H191" s="1270"/>
      <c r="I191" s="1270"/>
      <c r="J191" s="1270"/>
      <c r="K191" s="1270"/>
      <c r="L191" s="1270"/>
      <c r="M191" s="1270"/>
      <c r="N191" s="1270"/>
      <c r="O191" s="1270"/>
      <c r="P191" s="1270"/>
      <c r="Q191" s="1270"/>
      <c r="R191" s="1270"/>
      <c r="S191" s="1270"/>
      <c r="T191" s="1270"/>
      <c r="U191" s="1270"/>
      <c r="V191" s="1270"/>
    </row>
    <row r="192" spans="2:47" hidden="1">
      <c r="C192" s="1270"/>
      <c r="D192" s="1270"/>
      <c r="E192" s="1270"/>
      <c r="F192" s="1270"/>
      <c r="G192" s="1270"/>
      <c r="H192" s="1270"/>
      <c r="I192" s="1270"/>
      <c r="J192" s="1270"/>
      <c r="K192" s="1270"/>
      <c r="L192" s="1270"/>
      <c r="M192" s="1270"/>
      <c r="N192" s="1270"/>
      <c r="O192" s="1270"/>
      <c r="P192" s="1270"/>
      <c r="Q192" s="1270"/>
      <c r="R192" s="1270"/>
      <c r="S192" s="1270"/>
      <c r="T192" s="1270"/>
      <c r="U192" s="1270"/>
      <c r="V192" s="1270"/>
    </row>
    <row r="193" spans="3:22" hidden="1">
      <c r="C193" s="1270"/>
      <c r="D193" s="1270"/>
      <c r="E193" s="1270"/>
      <c r="F193" s="1270"/>
      <c r="G193" s="1270"/>
      <c r="H193" s="1270"/>
      <c r="I193" s="1270"/>
      <c r="J193" s="1270"/>
      <c r="K193" s="1270"/>
      <c r="L193" s="1270"/>
      <c r="M193" s="1270"/>
      <c r="N193" s="1270"/>
      <c r="O193" s="1270"/>
      <c r="P193" s="1270"/>
      <c r="Q193" s="1270"/>
      <c r="R193" s="1270"/>
      <c r="S193" s="1270"/>
      <c r="T193" s="1270"/>
      <c r="U193" s="1270"/>
      <c r="V193" s="1270"/>
    </row>
    <row r="194" spans="3:22" hidden="1">
      <c r="C194" s="1270"/>
      <c r="D194" s="1270"/>
      <c r="E194" s="1270"/>
      <c r="F194" s="1270"/>
      <c r="G194" s="1270"/>
      <c r="H194" s="1270"/>
      <c r="I194" s="1270"/>
      <c r="J194" s="1270"/>
      <c r="K194" s="1270"/>
      <c r="L194" s="1270"/>
      <c r="M194" s="1270"/>
      <c r="N194" s="1270"/>
      <c r="O194" s="1270"/>
      <c r="P194" s="1270"/>
      <c r="Q194" s="1270"/>
      <c r="R194" s="1270"/>
      <c r="S194" s="1270"/>
      <c r="T194" s="1270"/>
      <c r="U194" s="1270"/>
      <c r="V194" s="1270"/>
    </row>
    <row r="195" spans="3:22" hidden="1">
      <c r="C195" s="1270"/>
      <c r="D195" s="1270"/>
      <c r="E195" s="1270"/>
      <c r="F195" s="1270"/>
      <c r="G195" s="1270"/>
      <c r="H195" s="1270"/>
      <c r="I195" s="1270"/>
      <c r="J195" s="1270"/>
      <c r="K195" s="1270"/>
      <c r="L195" s="1270"/>
      <c r="M195" s="1270"/>
      <c r="N195" s="1270"/>
      <c r="O195" s="1270"/>
      <c r="P195" s="1270"/>
      <c r="Q195" s="1270"/>
      <c r="R195" s="1270"/>
      <c r="S195" s="1270"/>
      <c r="T195" s="1270"/>
      <c r="U195" s="1270"/>
      <c r="V195" s="1270"/>
    </row>
    <row r="196" spans="3:22" hidden="1">
      <c r="C196" s="1270"/>
      <c r="D196" s="1270"/>
      <c r="E196" s="1270"/>
      <c r="F196" s="1270"/>
      <c r="G196" s="1270"/>
      <c r="H196" s="1270"/>
      <c r="I196" s="1270"/>
      <c r="J196" s="1270"/>
      <c r="K196" s="1270"/>
      <c r="L196" s="1270"/>
      <c r="M196" s="1270"/>
      <c r="N196" s="1270"/>
      <c r="O196" s="1270"/>
      <c r="P196" s="1270"/>
      <c r="Q196" s="1270"/>
      <c r="R196" s="1270"/>
      <c r="S196" s="1270"/>
      <c r="T196" s="1270"/>
      <c r="U196" s="1270"/>
      <c r="V196" s="1270"/>
    </row>
    <row r="197" spans="3:22" hidden="1">
      <c r="C197" s="1270"/>
      <c r="D197" s="1270"/>
      <c r="E197" s="1270"/>
      <c r="F197" s="1270"/>
      <c r="G197" s="1270"/>
      <c r="H197" s="1270"/>
      <c r="I197" s="1270"/>
      <c r="J197" s="1270"/>
      <c r="K197" s="1270"/>
      <c r="L197" s="1270"/>
      <c r="M197" s="1270"/>
      <c r="N197" s="1270"/>
      <c r="O197" s="1270"/>
      <c r="P197" s="1270"/>
      <c r="Q197" s="1270"/>
      <c r="R197" s="1270"/>
      <c r="S197" s="1270"/>
      <c r="T197" s="1270"/>
      <c r="U197" s="1270"/>
      <c r="V197" s="1270"/>
    </row>
    <row r="198" spans="3:22" hidden="1">
      <c r="C198" s="1270"/>
      <c r="D198" s="1270"/>
      <c r="E198" s="1270"/>
      <c r="F198" s="1270"/>
      <c r="G198" s="1270"/>
      <c r="H198" s="1270"/>
      <c r="I198" s="1270"/>
      <c r="J198" s="1270"/>
      <c r="K198" s="1270"/>
      <c r="L198" s="1270"/>
      <c r="M198" s="1270"/>
      <c r="N198" s="1270"/>
      <c r="O198" s="1270"/>
      <c r="P198" s="1270"/>
      <c r="Q198" s="1270"/>
      <c r="R198" s="1270"/>
      <c r="S198" s="1270"/>
      <c r="T198" s="1270"/>
      <c r="U198" s="1270"/>
      <c r="V198" s="1270"/>
    </row>
    <row r="199" spans="3:22" hidden="1">
      <c r="C199" s="1270"/>
      <c r="D199" s="1270"/>
      <c r="E199" s="1270"/>
      <c r="F199" s="1270"/>
      <c r="G199" s="1270"/>
      <c r="H199" s="1270"/>
      <c r="I199" s="1270"/>
      <c r="J199" s="1270"/>
      <c r="K199" s="1270"/>
      <c r="L199" s="1270"/>
      <c r="M199" s="1270"/>
      <c r="N199" s="1270"/>
      <c r="O199" s="1270"/>
      <c r="P199" s="1270"/>
      <c r="Q199" s="1270"/>
      <c r="R199" s="1270"/>
      <c r="S199" s="1270"/>
      <c r="T199" s="1270"/>
      <c r="U199" s="1270"/>
      <c r="V199" s="1270"/>
    </row>
    <row r="200" spans="3:22" hidden="1">
      <c r="C200" s="1270"/>
      <c r="D200" s="1270"/>
      <c r="E200" s="1270"/>
      <c r="F200" s="1270"/>
      <c r="G200" s="1270"/>
      <c r="H200" s="1270"/>
      <c r="I200" s="1270"/>
      <c r="J200" s="1270"/>
      <c r="K200" s="1270"/>
      <c r="L200" s="1270"/>
      <c r="M200" s="1270"/>
      <c r="N200" s="1270"/>
      <c r="O200" s="1270"/>
      <c r="P200" s="1270"/>
      <c r="Q200" s="1270"/>
      <c r="R200" s="1270"/>
      <c r="S200" s="1270"/>
      <c r="T200" s="1270"/>
      <c r="U200" s="1270"/>
      <c r="V200" s="1270"/>
    </row>
    <row r="201" spans="3:22" hidden="1">
      <c r="C201" s="1270"/>
      <c r="D201" s="1270"/>
      <c r="E201" s="1270"/>
      <c r="F201" s="1270"/>
      <c r="G201" s="1270"/>
      <c r="H201" s="1270"/>
      <c r="I201" s="1270"/>
      <c r="J201" s="1270"/>
      <c r="K201" s="1270"/>
      <c r="L201" s="1270"/>
      <c r="M201" s="1270"/>
      <c r="N201" s="1270"/>
      <c r="O201" s="1270"/>
      <c r="P201" s="1270"/>
      <c r="Q201" s="1270"/>
      <c r="R201" s="1270"/>
      <c r="S201" s="1270"/>
      <c r="T201" s="1270"/>
      <c r="U201" s="1270"/>
      <c r="V201" s="1270"/>
    </row>
    <row r="202" spans="3:22" hidden="1">
      <c r="C202" s="1270"/>
      <c r="D202" s="1270"/>
      <c r="E202" s="1270"/>
      <c r="F202" s="1270"/>
      <c r="G202" s="1270"/>
      <c r="H202" s="1270"/>
      <c r="I202" s="1270"/>
      <c r="J202" s="1270"/>
      <c r="K202" s="1270"/>
      <c r="L202" s="1270"/>
      <c r="M202" s="1270"/>
      <c r="N202" s="1270"/>
      <c r="O202" s="1270"/>
      <c r="P202" s="1270"/>
      <c r="Q202" s="1270"/>
      <c r="R202" s="1270"/>
      <c r="S202" s="1270"/>
      <c r="T202" s="1270"/>
      <c r="U202" s="1270"/>
      <c r="V202" s="1270"/>
    </row>
    <row r="203" spans="3:22" hidden="1">
      <c r="C203" s="1270"/>
      <c r="D203" s="1270"/>
      <c r="E203" s="1270"/>
      <c r="F203" s="1270"/>
      <c r="G203" s="1270"/>
      <c r="H203" s="1270"/>
      <c r="I203" s="1270"/>
      <c r="J203" s="1270"/>
      <c r="K203" s="1270"/>
      <c r="L203" s="1270"/>
      <c r="M203" s="1270"/>
      <c r="N203" s="1270"/>
      <c r="O203" s="1270"/>
      <c r="P203" s="1270"/>
      <c r="Q203" s="1270"/>
      <c r="R203" s="1270"/>
      <c r="S203" s="1270"/>
      <c r="T203" s="1270"/>
      <c r="U203" s="1270"/>
      <c r="V203" s="1270"/>
    </row>
    <row r="204" spans="3:22" hidden="1">
      <c r="C204" s="1270"/>
      <c r="D204" s="1270"/>
      <c r="E204" s="1270"/>
      <c r="F204" s="1270"/>
      <c r="G204" s="1270"/>
      <c r="H204" s="1270"/>
      <c r="I204" s="1270"/>
      <c r="J204" s="1270"/>
      <c r="K204" s="1270"/>
      <c r="L204" s="1270"/>
      <c r="M204" s="1270"/>
      <c r="N204" s="1270"/>
      <c r="O204" s="1270"/>
      <c r="P204" s="1270"/>
      <c r="Q204" s="1270"/>
      <c r="R204" s="1270"/>
      <c r="S204" s="1270"/>
      <c r="T204" s="1270"/>
      <c r="U204" s="1270"/>
      <c r="V204" s="1270"/>
    </row>
    <row r="205" spans="3:22" hidden="1">
      <c r="C205" s="1270"/>
      <c r="D205" s="1270"/>
      <c r="E205" s="1270"/>
      <c r="F205" s="1270"/>
      <c r="G205" s="1270"/>
      <c r="H205" s="1270"/>
      <c r="I205" s="1270"/>
      <c r="J205" s="1270"/>
      <c r="K205" s="1270"/>
      <c r="L205" s="1270"/>
      <c r="M205" s="1270"/>
      <c r="N205" s="1270"/>
      <c r="O205" s="1270"/>
      <c r="P205" s="1270"/>
      <c r="Q205" s="1270"/>
      <c r="R205" s="1270"/>
      <c r="S205" s="1270"/>
      <c r="T205" s="1270"/>
      <c r="U205" s="1270"/>
      <c r="V205" s="1270"/>
    </row>
    <row r="206" spans="3:22" hidden="1">
      <c r="C206" s="1270"/>
      <c r="D206" s="1270"/>
      <c r="E206" s="1270"/>
      <c r="F206" s="1270"/>
      <c r="G206" s="1270"/>
      <c r="H206" s="1270"/>
      <c r="I206" s="1270"/>
      <c r="J206" s="1270"/>
      <c r="K206" s="1270"/>
      <c r="L206" s="1270"/>
      <c r="M206" s="1270"/>
      <c r="N206" s="1270"/>
      <c r="O206" s="1270"/>
      <c r="P206" s="1270"/>
      <c r="Q206" s="1270"/>
      <c r="R206" s="1270"/>
      <c r="S206" s="1270"/>
      <c r="T206" s="1270"/>
      <c r="U206" s="1270"/>
      <c r="V206" s="1270"/>
    </row>
    <row r="207" spans="3:22" hidden="1">
      <c r="C207" s="1270"/>
      <c r="D207" s="1270"/>
      <c r="E207" s="1270"/>
      <c r="F207" s="1270"/>
      <c r="G207" s="1270"/>
      <c r="H207" s="1270"/>
      <c r="I207" s="1270"/>
      <c r="J207" s="1270"/>
      <c r="K207" s="1270"/>
      <c r="L207" s="1270"/>
      <c r="M207" s="1270"/>
      <c r="N207" s="1270"/>
      <c r="O207" s="1270"/>
      <c r="P207" s="1270"/>
      <c r="Q207" s="1270"/>
      <c r="R207" s="1270"/>
      <c r="S207" s="1270"/>
      <c r="T207" s="1270"/>
      <c r="U207" s="1270"/>
      <c r="V207" s="1270"/>
    </row>
    <row r="208" spans="3:22" hidden="1">
      <c r="C208" s="1270"/>
      <c r="D208" s="1270"/>
      <c r="E208" s="1270"/>
      <c r="F208" s="1270"/>
      <c r="G208" s="1270"/>
      <c r="H208" s="1270"/>
      <c r="I208" s="1270"/>
      <c r="J208" s="1270"/>
      <c r="K208" s="1270"/>
      <c r="L208" s="1270"/>
      <c r="M208" s="1270"/>
      <c r="N208" s="1270"/>
      <c r="O208" s="1270"/>
      <c r="P208" s="1270"/>
      <c r="Q208" s="1270"/>
      <c r="R208" s="1270"/>
      <c r="S208" s="1270"/>
      <c r="T208" s="1270"/>
      <c r="U208" s="1270"/>
      <c r="V208" s="1270"/>
    </row>
    <row r="209" spans="3:22" hidden="1">
      <c r="C209" s="1270"/>
      <c r="D209" s="1270"/>
      <c r="E209" s="1270"/>
      <c r="F209" s="1270"/>
      <c r="G209" s="1270"/>
      <c r="H209" s="1270"/>
      <c r="I209" s="1270"/>
      <c r="J209" s="1270"/>
      <c r="K209" s="1270"/>
      <c r="L209" s="1270"/>
      <c r="M209" s="1270"/>
      <c r="N209" s="1270"/>
      <c r="O209" s="1270"/>
      <c r="P209" s="1270"/>
      <c r="Q209" s="1270"/>
      <c r="R209" s="1270"/>
      <c r="S209" s="1270"/>
      <c r="T209" s="1270"/>
      <c r="U209" s="1270"/>
      <c r="V209" s="1270"/>
    </row>
    <row r="210" spans="3:22" hidden="1">
      <c r="C210" s="1270"/>
      <c r="D210" s="1270"/>
      <c r="E210" s="1270"/>
      <c r="F210" s="1270"/>
      <c r="G210" s="1270"/>
      <c r="H210" s="1270"/>
      <c r="I210" s="1270"/>
      <c r="J210" s="1270"/>
      <c r="K210" s="1270"/>
      <c r="L210" s="1270"/>
      <c r="M210" s="1270"/>
      <c r="N210" s="1270"/>
      <c r="O210" s="1270"/>
      <c r="P210" s="1270"/>
      <c r="Q210" s="1270"/>
      <c r="R210" s="1270"/>
      <c r="S210" s="1270"/>
      <c r="T210" s="1270"/>
      <c r="U210" s="1270"/>
      <c r="V210" s="1270"/>
    </row>
    <row r="211" spans="3:22" hidden="1">
      <c r="C211" s="1270"/>
      <c r="D211" s="1270"/>
      <c r="E211" s="1270"/>
      <c r="F211" s="1270"/>
      <c r="G211" s="1270"/>
      <c r="H211" s="1270"/>
      <c r="I211" s="1270"/>
      <c r="J211" s="1270"/>
      <c r="K211" s="1270"/>
      <c r="L211" s="1270"/>
      <c r="M211" s="1270"/>
      <c r="N211" s="1270"/>
      <c r="O211" s="1270"/>
      <c r="P211" s="1270"/>
      <c r="Q211" s="1270"/>
      <c r="R211" s="1270"/>
      <c r="S211" s="1270"/>
      <c r="T211" s="1270"/>
      <c r="U211" s="1270"/>
      <c r="V211" s="1270"/>
    </row>
    <row r="212" spans="3:22" hidden="1">
      <c r="C212" s="1270"/>
      <c r="D212" s="1270"/>
      <c r="E212" s="1270"/>
      <c r="F212" s="1270"/>
      <c r="G212" s="1270"/>
      <c r="H212" s="1270"/>
      <c r="I212" s="1270"/>
      <c r="J212" s="1270"/>
      <c r="K212" s="1270"/>
      <c r="L212" s="1270"/>
      <c r="M212" s="1270"/>
      <c r="N212" s="1270"/>
      <c r="O212" s="1270"/>
      <c r="P212" s="1270"/>
      <c r="Q212" s="1270"/>
      <c r="R212" s="1270"/>
      <c r="S212" s="1270"/>
      <c r="T212" s="1270"/>
      <c r="U212" s="1270"/>
      <c r="V212" s="1270"/>
    </row>
    <row r="213" spans="3:22" hidden="1">
      <c r="C213" s="1270"/>
      <c r="D213" s="1270"/>
      <c r="E213" s="1270"/>
      <c r="F213" s="1270"/>
      <c r="G213" s="1270"/>
      <c r="H213" s="1270"/>
      <c r="I213" s="1270"/>
      <c r="J213" s="1270"/>
      <c r="K213" s="1270"/>
      <c r="L213" s="1270"/>
      <c r="M213" s="1270"/>
      <c r="N213" s="1270"/>
      <c r="O213" s="1270"/>
      <c r="P213" s="1270"/>
      <c r="Q213" s="1270"/>
      <c r="R213" s="1270"/>
      <c r="S213" s="1270"/>
      <c r="T213" s="1270"/>
      <c r="U213" s="1270"/>
      <c r="V213" s="1270"/>
    </row>
    <row r="214" spans="3:22" hidden="1">
      <c r="C214" s="1270"/>
      <c r="D214" s="1270"/>
      <c r="E214" s="1270"/>
      <c r="F214" s="1270"/>
      <c r="G214" s="1270"/>
      <c r="H214" s="1270"/>
      <c r="I214" s="1270"/>
      <c r="J214" s="1270"/>
      <c r="K214" s="1270"/>
      <c r="L214" s="1270"/>
      <c r="M214" s="1270"/>
      <c r="N214" s="1270"/>
      <c r="O214" s="1270"/>
      <c r="P214" s="1270"/>
      <c r="Q214" s="1270"/>
      <c r="R214" s="1270"/>
      <c r="S214" s="1270"/>
      <c r="T214" s="1270"/>
      <c r="U214" s="1270"/>
      <c r="V214" s="1270"/>
    </row>
    <row r="215" spans="3:22" hidden="1">
      <c r="C215" s="1270"/>
      <c r="D215" s="1270"/>
      <c r="E215" s="1270"/>
      <c r="F215" s="1270"/>
      <c r="G215" s="1270"/>
      <c r="H215" s="1270"/>
      <c r="I215" s="1270"/>
      <c r="J215" s="1270"/>
      <c r="K215" s="1270"/>
      <c r="L215" s="1270"/>
      <c r="M215" s="1270"/>
      <c r="N215" s="1270"/>
      <c r="O215" s="1270"/>
      <c r="P215" s="1270"/>
      <c r="Q215" s="1270"/>
      <c r="R215" s="1270"/>
      <c r="S215" s="1270"/>
      <c r="T215" s="1270"/>
      <c r="U215" s="1270"/>
      <c r="V215" s="1270"/>
    </row>
    <row r="216" spans="3:22" hidden="1">
      <c r="C216" s="1270"/>
      <c r="D216" s="1270"/>
      <c r="E216" s="1270"/>
      <c r="F216" s="1270"/>
      <c r="G216" s="1270"/>
      <c r="H216" s="1270"/>
      <c r="I216" s="1270"/>
      <c r="J216" s="1270"/>
      <c r="K216" s="1270"/>
      <c r="L216" s="1270"/>
      <c r="M216" s="1270"/>
      <c r="N216" s="1270"/>
      <c r="O216" s="1270"/>
      <c r="P216" s="1270"/>
      <c r="Q216" s="1270"/>
      <c r="R216" s="1270"/>
      <c r="S216" s="1270"/>
      <c r="T216" s="1270"/>
      <c r="U216" s="1270"/>
      <c r="V216" s="1270"/>
    </row>
    <row r="217" spans="3:22" hidden="1">
      <c r="C217" s="1270"/>
      <c r="D217" s="1270"/>
      <c r="E217" s="1270"/>
      <c r="F217" s="1270"/>
      <c r="G217" s="1270"/>
      <c r="H217" s="1270"/>
      <c r="I217" s="1270"/>
      <c r="J217" s="1270"/>
      <c r="K217" s="1270"/>
      <c r="L217" s="1270"/>
      <c r="M217" s="1270"/>
      <c r="N217" s="1270"/>
      <c r="O217" s="1270"/>
      <c r="P217" s="1270"/>
      <c r="Q217" s="1270"/>
      <c r="R217" s="1270"/>
      <c r="S217" s="1270"/>
      <c r="T217" s="1270"/>
      <c r="U217" s="1270"/>
      <c r="V217" s="1270"/>
    </row>
    <row r="218" spans="3:22" hidden="1">
      <c r="C218" s="1270"/>
      <c r="D218" s="1270"/>
      <c r="E218" s="1270"/>
      <c r="F218" s="1270"/>
      <c r="G218" s="1270"/>
      <c r="H218" s="1270"/>
      <c r="I218" s="1270"/>
      <c r="J218" s="1270"/>
      <c r="K218" s="1270"/>
      <c r="L218" s="1270"/>
      <c r="M218" s="1270"/>
      <c r="N218" s="1270"/>
      <c r="O218" s="1270"/>
      <c r="P218" s="1270"/>
      <c r="Q218" s="1270"/>
      <c r="R218" s="1270"/>
      <c r="S218" s="1270"/>
      <c r="T218" s="1270"/>
      <c r="U218" s="1270"/>
      <c r="V218" s="1270"/>
    </row>
    <row r="219" spans="3:22" hidden="1">
      <c r="C219" s="1270"/>
      <c r="D219" s="1270"/>
      <c r="E219" s="1270"/>
      <c r="F219" s="1270"/>
      <c r="G219" s="1270"/>
      <c r="H219" s="1270"/>
      <c r="I219" s="1270"/>
      <c r="J219" s="1270"/>
      <c r="K219" s="1270"/>
      <c r="L219" s="1270"/>
      <c r="M219" s="1270"/>
      <c r="N219" s="1270"/>
      <c r="O219" s="1270"/>
      <c r="P219" s="1270"/>
      <c r="Q219" s="1270"/>
      <c r="R219" s="1270"/>
      <c r="S219" s="1270"/>
      <c r="T219" s="1270"/>
      <c r="U219" s="1270"/>
      <c r="V219" s="1270"/>
    </row>
    <row r="220" spans="3:22" hidden="1">
      <c r="C220" s="1270"/>
      <c r="D220" s="1270"/>
      <c r="E220" s="1270"/>
      <c r="F220" s="1270"/>
      <c r="G220" s="1270"/>
      <c r="H220" s="1270"/>
      <c r="I220" s="1270"/>
      <c r="J220" s="1270"/>
      <c r="K220" s="1270"/>
      <c r="L220" s="1270"/>
      <c r="M220" s="1270"/>
      <c r="N220" s="1270"/>
      <c r="O220" s="1270"/>
      <c r="P220" s="1270"/>
      <c r="Q220" s="1270"/>
      <c r="R220" s="1270"/>
      <c r="S220" s="1270"/>
      <c r="T220" s="1270"/>
      <c r="U220" s="1270"/>
      <c r="V220" s="1270"/>
    </row>
    <row r="221" spans="3:22" hidden="1">
      <c r="C221" s="1270"/>
      <c r="D221" s="1270"/>
      <c r="E221" s="1270"/>
      <c r="F221" s="1270"/>
      <c r="G221" s="1270"/>
      <c r="H221" s="1270"/>
      <c r="I221" s="1270"/>
      <c r="J221" s="1270"/>
      <c r="K221" s="1270"/>
      <c r="L221" s="1270"/>
      <c r="M221" s="1270"/>
      <c r="N221" s="1270"/>
      <c r="O221" s="1270"/>
      <c r="P221" s="1270"/>
      <c r="Q221" s="1270"/>
      <c r="R221" s="1270"/>
      <c r="S221" s="1270"/>
      <c r="T221" s="1270"/>
      <c r="U221" s="1270"/>
      <c r="V221" s="1270"/>
    </row>
    <row r="222" spans="3:22" hidden="1">
      <c r="C222" s="1270"/>
      <c r="D222" s="1270"/>
      <c r="E222" s="1270"/>
      <c r="F222" s="1270"/>
      <c r="G222" s="1270"/>
      <c r="H222" s="1270"/>
      <c r="I222" s="1270"/>
      <c r="J222" s="1270"/>
      <c r="K222" s="1270"/>
      <c r="L222" s="1270"/>
      <c r="M222" s="1270"/>
      <c r="N222" s="1270"/>
      <c r="O222" s="1270"/>
      <c r="P222" s="1270"/>
      <c r="Q222" s="1270"/>
      <c r="R222" s="1270"/>
      <c r="S222" s="1270"/>
      <c r="T222" s="1270"/>
      <c r="U222" s="1270"/>
      <c r="V222" s="1270"/>
    </row>
    <row r="223" spans="3:22" hidden="1">
      <c r="C223" s="1270"/>
      <c r="D223" s="1270"/>
      <c r="E223" s="1270"/>
      <c r="F223" s="1270"/>
      <c r="G223" s="1270"/>
      <c r="H223" s="1270"/>
      <c r="I223" s="1270"/>
      <c r="J223" s="1270"/>
      <c r="K223" s="1270"/>
      <c r="L223" s="1270"/>
      <c r="M223" s="1270"/>
      <c r="N223" s="1270"/>
      <c r="O223" s="1270"/>
      <c r="P223" s="1270"/>
      <c r="Q223" s="1270"/>
      <c r="R223" s="1270"/>
      <c r="S223" s="1270"/>
      <c r="T223" s="1270"/>
      <c r="U223" s="1270"/>
      <c r="V223" s="1270"/>
    </row>
    <row r="224" spans="3:22" hidden="1">
      <c r="C224" s="1270"/>
      <c r="D224" s="1270"/>
      <c r="E224" s="1270"/>
      <c r="F224" s="1270"/>
      <c r="G224" s="1270"/>
      <c r="H224" s="1270"/>
      <c r="I224" s="1270"/>
      <c r="J224" s="1270"/>
      <c r="K224" s="1270"/>
      <c r="L224" s="1270"/>
      <c r="M224" s="1270"/>
      <c r="N224" s="1270"/>
      <c r="O224" s="1270"/>
      <c r="P224" s="1270"/>
      <c r="Q224" s="1270"/>
      <c r="R224" s="1270"/>
      <c r="S224" s="1270"/>
      <c r="T224" s="1270"/>
      <c r="U224" s="1270"/>
      <c r="V224" s="1270"/>
    </row>
    <row r="225" spans="3:22" hidden="1">
      <c r="C225" s="1270"/>
      <c r="D225" s="1270"/>
      <c r="E225" s="1270"/>
      <c r="F225" s="1270"/>
      <c r="G225" s="1270"/>
      <c r="H225" s="1270"/>
      <c r="I225" s="1270"/>
      <c r="J225" s="1270"/>
      <c r="K225" s="1270"/>
      <c r="L225" s="1270"/>
      <c r="M225" s="1270"/>
      <c r="N225" s="1270"/>
      <c r="O225" s="1270"/>
      <c r="P225" s="1270"/>
      <c r="Q225" s="1270"/>
      <c r="R225" s="1270"/>
      <c r="S225" s="1270"/>
      <c r="T225" s="1270"/>
      <c r="U225" s="1270"/>
      <c r="V225" s="1270"/>
    </row>
    <row r="226" spans="3:22" hidden="1">
      <c r="C226" s="1270"/>
      <c r="D226" s="1270"/>
      <c r="E226" s="1270"/>
      <c r="F226" s="1270"/>
      <c r="G226" s="1270"/>
      <c r="H226" s="1270"/>
      <c r="I226" s="1270"/>
      <c r="J226" s="1270"/>
      <c r="K226" s="1270"/>
      <c r="L226" s="1270"/>
      <c r="M226" s="1270"/>
      <c r="N226" s="1270"/>
      <c r="O226" s="1270"/>
      <c r="P226" s="1270"/>
      <c r="Q226" s="1270"/>
      <c r="R226" s="1270"/>
      <c r="S226" s="1270"/>
      <c r="T226" s="1270"/>
      <c r="U226" s="1270"/>
      <c r="V226" s="1270"/>
    </row>
    <row r="227" spans="3:22" hidden="1">
      <c r="C227" s="1270"/>
      <c r="D227" s="1270"/>
      <c r="E227" s="1270"/>
      <c r="F227" s="1270"/>
      <c r="G227" s="1270"/>
      <c r="H227" s="1270"/>
      <c r="I227" s="1270"/>
      <c r="J227" s="1270"/>
      <c r="K227" s="1270"/>
      <c r="L227" s="1270"/>
      <c r="M227" s="1270"/>
      <c r="N227" s="1270"/>
      <c r="O227" s="1270"/>
      <c r="P227" s="1270"/>
      <c r="Q227" s="1270"/>
      <c r="R227" s="1270"/>
      <c r="S227" s="1270"/>
      <c r="T227" s="1270"/>
      <c r="U227" s="1270"/>
      <c r="V227" s="1270"/>
    </row>
    <row r="228" spans="3:22" hidden="1">
      <c r="C228" s="1270"/>
      <c r="D228" s="1270"/>
      <c r="E228" s="1270"/>
      <c r="F228" s="1270"/>
      <c r="G228" s="1270"/>
      <c r="H228" s="1270"/>
      <c r="I228" s="1270"/>
      <c r="J228" s="1270"/>
      <c r="K228" s="1270"/>
      <c r="L228" s="1270"/>
      <c r="M228" s="1270"/>
      <c r="N228" s="1270"/>
      <c r="O228" s="1270"/>
      <c r="P228" s="1270"/>
      <c r="Q228" s="1270"/>
      <c r="R228" s="1270"/>
      <c r="S228" s="1270"/>
      <c r="T228" s="1270"/>
      <c r="U228" s="1270"/>
      <c r="V228" s="1270"/>
    </row>
    <row r="229" spans="3:22" hidden="1">
      <c r="C229" s="1270"/>
      <c r="D229" s="1270"/>
      <c r="E229" s="1270"/>
      <c r="F229" s="1270"/>
      <c r="G229" s="1270"/>
      <c r="H229" s="1270"/>
      <c r="I229" s="1270"/>
      <c r="J229" s="1270"/>
      <c r="K229" s="1270"/>
      <c r="L229" s="1270"/>
      <c r="M229" s="1270"/>
      <c r="N229" s="1270"/>
      <c r="O229" s="1270"/>
      <c r="P229" s="1270"/>
      <c r="Q229" s="1270"/>
      <c r="R229" s="1270"/>
      <c r="S229" s="1270"/>
      <c r="T229" s="1270"/>
      <c r="U229" s="1270"/>
      <c r="V229" s="1270"/>
    </row>
    <row r="230" spans="3:22" hidden="1">
      <c r="C230" s="1270"/>
      <c r="D230" s="1270"/>
      <c r="E230" s="1270"/>
      <c r="F230" s="1270"/>
      <c r="G230" s="1270"/>
      <c r="H230" s="1270"/>
      <c r="I230" s="1270"/>
      <c r="J230" s="1270"/>
      <c r="K230" s="1270"/>
      <c r="L230" s="1270"/>
      <c r="M230" s="1270"/>
      <c r="N230" s="1270"/>
      <c r="O230" s="1270"/>
      <c r="P230" s="1270"/>
      <c r="Q230" s="1270"/>
      <c r="R230" s="1270"/>
      <c r="S230" s="1270"/>
      <c r="T230" s="1270"/>
      <c r="U230" s="1270"/>
      <c r="V230" s="1270"/>
    </row>
    <row r="231" spans="3:22" hidden="1">
      <c r="C231" s="1270"/>
      <c r="D231" s="1270"/>
      <c r="E231" s="1270"/>
      <c r="F231" s="1270"/>
      <c r="G231" s="1270"/>
      <c r="H231" s="1270"/>
      <c r="I231" s="1270"/>
      <c r="J231" s="1270"/>
      <c r="K231" s="1270"/>
      <c r="L231" s="1270"/>
      <c r="M231" s="1270"/>
      <c r="N231" s="1270"/>
      <c r="O231" s="1270"/>
      <c r="P231" s="1270"/>
      <c r="Q231" s="1270"/>
      <c r="R231" s="1270"/>
      <c r="S231" s="1270"/>
      <c r="T231" s="1270"/>
      <c r="U231" s="1270"/>
      <c r="V231" s="1270"/>
    </row>
    <row r="232" spans="3:22" hidden="1">
      <c r="C232" s="1270"/>
      <c r="D232" s="1270"/>
      <c r="E232" s="1270"/>
      <c r="F232" s="1270"/>
      <c r="G232" s="1270"/>
      <c r="H232" s="1270"/>
      <c r="I232" s="1270"/>
      <c r="J232" s="1270"/>
      <c r="K232" s="1270"/>
      <c r="L232" s="1270"/>
      <c r="M232" s="1270"/>
      <c r="N232" s="1270"/>
      <c r="O232" s="1270"/>
      <c r="P232" s="1270"/>
      <c r="Q232" s="1270"/>
      <c r="R232" s="1270"/>
      <c r="S232" s="1270"/>
      <c r="T232" s="1270"/>
      <c r="U232" s="1270"/>
      <c r="V232" s="1270"/>
    </row>
    <row r="233" spans="3:22" hidden="1">
      <c r="C233" s="1270"/>
      <c r="D233" s="1270"/>
      <c r="E233" s="1270"/>
      <c r="F233" s="1270"/>
      <c r="G233" s="1270"/>
      <c r="H233" s="1270"/>
      <c r="I233" s="1270"/>
      <c r="J233" s="1270"/>
      <c r="K233" s="1270"/>
      <c r="L233" s="1270"/>
      <c r="M233" s="1270"/>
      <c r="N233" s="1270"/>
      <c r="O233" s="1270"/>
      <c r="P233" s="1270"/>
      <c r="Q233" s="1270"/>
      <c r="R233" s="1270"/>
      <c r="S233" s="1270"/>
      <c r="T233" s="1270"/>
      <c r="U233" s="1270"/>
      <c r="V233" s="1270"/>
    </row>
    <row r="234" spans="3:22" hidden="1">
      <c r="C234" s="1270"/>
      <c r="D234" s="1270"/>
      <c r="E234" s="1270"/>
      <c r="F234" s="1270"/>
      <c r="G234" s="1270"/>
      <c r="H234" s="1270"/>
      <c r="I234" s="1270"/>
      <c r="J234" s="1270"/>
      <c r="K234" s="1270"/>
      <c r="L234" s="1270"/>
      <c r="M234" s="1270"/>
      <c r="N234" s="1270"/>
      <c r="O234" s="1270"/>
      <c r="P234" s="1270"/>
      <c r="Q234" s="1270"/>
      <c r="R234" s="1270"/>
      <c r="S234" s="1270"/>
      <c r="T234" s="1270"/>
      <c r="U234" s="1270"/>
      <c r="V234" s="1270"/>
    </row>
    <row r="235" spans="3:22" hidden="1">
      <c r="C235" s="1270"/>
      <c r="D235" s="1270"/>
      <c r="E235" s="1270"/>
      <c r="F235" s="1270"/>
      <c r="G235" s="1270"/>
      <c r="H235" s="1270"/>
      <c r="I235" s="1270"/>
      <c r="J235" s="1270"/>
      <c r="K235" s="1270"/>
      <c r="L235" s="1270"/>
      <c r="M235" s="1270"/>
      <c r="N235" s="1270"/>
      <c r="O235" s="1270"/>
      <c r="P235" s="1270"/>
      <c r="Q235" s="1270"/>
      <c r="R235" s="1270"/>
      <c r="S235" s="1270"/>
      <c r="T235" s="1270"/>
      <c r="U235" s="1270"/>
      <c r="V235" s="1270"/>
    </row>
    <row r="236" spans="3:22" hidden="1">
      <c r="C236" s="1270"/>
      <c r="D236" s="1270"/>
      <c r="E236" s="1270"/>
      <c r="F236" s="1270"/>
      <c r="G236" s="1270"/>
      <c r="H236" s="1270"/>
      <c r="I236" s="1270"/>
      <c r="J236" s="1270"/>
      <c r="K236" s="1270"/>
      <c r="L236" s="1270"/>
      <c r="M236" s="1270"/>
      <c r="N236" s="1270"/>
      <c r="O236" s="1270"/>
      <c r="P236" s="1270"/>
      <c r="Q236" s="1270"/>
      <c r="R236" s="1270"/>
      <c r="S236" s="1270"/>
      <c r="T236" s="1270"/>
      <c r="U236" s="1270"/>
      <c r="V236" s="1270"/>
    </row>
    <row r="237" spans="3:22" hidden="1">
      <c r="C237" s="1270"/>
      <c r="D237" s="1270"/>
      <c r="E237" s="1270"/>
      <c r="F237" s="1270"/>
      <c r="G237" s="1270"/>
      <c r="H237" s="1270"/>
      <c r="I237" s="1270"/>
      <c r="J237" s="1270"/>
      <c r="K237" s="1270"/>
      <c r="L237" s="1270"/>
      <c r="M237" s="1270"/>
      <c r="N237" s="1270"/>
      <c r="O237" s="1270"/>
      <c r="P237" s="1270"/>
      <c r="Q237" s="1270"/>
      <c r="R237" s="1270"/>
      <c r="S237" s="1270"/>
      <c r="T237" s="1270"/>
      <c r="U237" s="1270"/>
      <c r="V237" s="1270"/>
    </row>
    <row r="238" spans="3:22" hidden="1">
      <c r="C238" s="1270"/>
      <c r="D238" s="1270"/>
      <c r="E238" s="1270"/>
      <c r="F238" s="1270"/>
      <c r="G238" s="1270"/>
      <c r="H238" s="1270"/>
      <c r="I238" s="1270"/>
      <c r="J238" s="1270"/>
      <c r="K238" s="1270"/>
      <c r="L238" s="1270"/>
      <c r="M238" s="1270"/>
      <c r="N238" s="1270"/>
      <c r="O238" s="1270"/>
      <c r="P238" s="1270"/>
      <c r="Q238" s="1270"/>
      <c r="R238" s="1270"/>
      <c r="S238" s="1270"/>
      <c r="T238" s="1270"/>
      <c r="U238" s="1270"/>
      <c r="V238" s="1270"/>
    </row>
    <row r="239" spans="3:22" hidden="1">
      <c r="C239" s="1270"/>
      <c r="D239" s="1270"/>
      <c r="E239" s="1270"/>
      <c r="F239" s="1270"/>
      <c r="G239" s="1270"/>
      <c r="H239" s="1270"/>
      <c r="I239" s="1270"/>
      <c r="J239" s="1270"/>
      <c r="K239" s="1270"/>
      <c r="L239" s="1270"/>
      <c r="M239" s="1270"/>
      <c r="N239" s="1270"/>
      <c r="O239" s="1270"/>
      <c r="P239" s="1270"/>
      <c r="Q239" s="1270"/>
      <c r="R239" s="1270"/>
      <c r="S239" s="1270"/>
      <c r="T239" s="1270"/>
      <c r="U239" s="1270"/>
      <c r="V239" s="1270"/>
    </row>
    <row r="240" spans="3:22" hidden="1">
      <c r="C240" s="1270"/>
      <c r="D240" s="1270"/>
      <c r="E240" s="1270"/>
      <c r="F240" s="1270"/>
      <c r="G240" s="1270"/>
      <c r="H240" s="1270"/>
      <c r="I240" s="1270"/>
      <c r="J240" s="1270"/>
      <c r="K240" s="1270"/>
      <c r="L240" s="1270"/>
      <c r="M240" s="1270"/>
      <c r="N240" s="1270"/>
      <c r="O240" s="1270"/>
      <c r="P240" s="1270"/>
      <c r="Q240" s="1270"/>
      <c r="R240" s="1270"/>
      <c r="S240" s="1270"/>
      <c r="T240" s="1270"/>
      <c r="U240" s="1270"/>
      <c r="V240" s="1270"/>
    </row>
    <row r="241" spans="3:22" hidden="1">
      <c r="C241" s="1270"/>
      <c r="D241" s="1270"/>
      <c r="E241" s="1270"/>
      <c r="F241" s="1270"/>
      <c r="G241" s="1270"/>
      <c r="H241" s="1270"/>
      <c r="I241" s="1270"/>
      <c r="J241" s="1270"/>
      <c r="K241" s="1270"/>
      <c r="L241" s="1270"/>
      <c r="M241" s="1270"/>
      <c r="N241" s="1270"/>
      <c r="O241" s="1270"/>
      <c r="P241" s="1270"/>
      <c r="Q241" s="1270"/>
      <c r="R241" s="1270"/>
      <c r="S241" s="1270"/>
      <c r="T241" s="1270"/>
      <c r="U241" s="1270"/>
      <c r="V241" s="1270"/>
    </row>
    <row r="242" spans="3:22" hidden="1">
      <c r="C242" s="1270"/>
      <c r="D242" s="1270"/>
      <c r="E242" s="1270"/>
      <c r="F242" s="1270"/>
      <c r="G242" s="1270"/>
      <c r="H242" s="1270"/>
      <c r="I242" s="1270"/>
      <c r="J242" s="1270"/>
      <c r="K242" s="1270"/>
      <c r="L242" s="1270"/>
      <c r="M242" s="1270"/>
      <c r="N242" s="1270"/>
      <c r="O242" s="1270"/>
      <c r="P242" s="1270"/>
      <c r="Q242" s="1270"/>
      <c r="R242" s="1270"/>
      <c r="S242" s="1270"/>
      <c r="T242" s="1270"/>
      <c r="U242" s="1270"/>
      <c r="V242" s="1270"/>
    </row>
    <row r="243" spans="3:22" hidden="1">
      <c r="C243" s="1270"/>
      <c r="D243" s="1270"/>
      <c r="E243" s="1270"/>
      <c r="F243" s="1270"/>
      <c r="G243" s="1270"/>
      <c r="H243" s="1270"/>
      <c r="I243" s="1270"/>
      <c r="J243" s="1270"/>
      <c r="K243" s="1270"/>
      <c r="L243" s="1270"/>
      <c r="M243" s="1270"/>
      <c r="N243" s="1270"/>
      <c r="O243" s="1270"/>
      <c r="P243" s="1270"/>
      <c r="Q243" s="1270"/>
      <c r="R243" s="1270"/>
      <c r="S243" s="1270"/>
      <c r="T243" s="1270"/>
      <c r="U243" s="1270"/>
      <c r="V243" s="1270"/>
    </row>
    <row r="244" spans="3:22" hidden="1">
      <c r="C244" s="1270"/>
      <c r="D244" s="1270"/>
      <c r="E244" s="1270"/>
      <c r="F244" s="1270"/>
      <c r="G244" s="1270"/>
      <c r="H244" s="1270"/>
      <c r="I244" s="1270"/>
      <c r="J244" s="1270"/>
      <c r="K244" s="1270"/>
      <c r="L244" s="1270"/>
      <c r="M244" s="1270"/>
      <c r="N244" s="1270"/>
      <c r="O244" s="1270"/>
      <c r="P244" s="1270"/>
      <c r="Q244" s="1270"/>
      <c r="R244" s="1270"/>
      <c r="S244" s="1270"/>
      <c r="T244" s="1270"/>
      <c r="U244" s="1270"/>
      <c r="V244" s="1270"/>
    </row>
    <row r="245" spans="3:22" hidden="1">
      <c r="C245" s="1270"/>
      <c r="D245" s="1270"/>
      <c r="E245" s="1270"/>
      <c r="F245" s="1270"/>
      <c r="G245" s="1270"/>
      <c r="H245" s="1270"/>
      <c r="I245" s="1270"/>
      <c r="J245" s="1270"/>
      <c r="K245" s="1270"/>
      <c r="L245" s="1270"/>
      <c r="M245" s="1270"/>
      <c r="N245" s="1270"/>
      <c r="O245" s="1270"/>
      <c r="P245" s="1270"/>
      <c r="Q245" s="1270"/>
      <c r="R245" s="1270"/>
      <c r="S245" s="1270"/>
      <c r="T245" s="1270"/>
      <c r="U245" s="1270"/>
      <c r="V245" s="1270"/>
    </row>
    <row r="246" spans="3:22" hidden="1">
      <c r="C246" s="1270"/>
      <c r="D246" s="1270"/>
      <c r="E246" s="1270"/>
      <c r="F246" s="1270"/>
      <c r="G246" s="1270"/>
      <c r="H246" s="1270"/>
      <c r="I246" s="1270"/>
      <c r="J246" s="1270"/>
      <c r="K246" s="1270"/>
      <c r="L246" s="1270"/>
      <c r="M246" s="1270"/>
      <c r="N246" s="1270"/>
      <c r="O246" s="1270"/>
      <c r="P246" s="1270"/>
      <c r="Q246" s="1270"/>
      <c r="R246" s="1270"/>
      <c r="S246" s="1270"/>
      <c r="T246" s="1270"/>
      <c r="U246" s="1270"/>
      <c r="V246" s="1270"/>
    </row>
    <row r="247" spans="3:22" hidden="1">
      <c r="C247" s="1270"/>
      <c r="D247" s="1270"/>
      <c r="E247" s="1270"/>
      <c r="F247" s="1270"/>
      <c r="G247" s="1270"/>
      <c r="H247" s="1270"/>
      <c r="I247" s="1270"/>
      <c r="J247" s="1270"/>
      <c r="K247" s="1270"/>
      <c r="L247" s="1270"/>
      <c r="M247" s="1270"/>
      <c r="N247" s="1270"/>
      <c r="O247" s="1270"/>
      <c r="P247" s="1270"/>
      <c r="Q247" s="1270"/>
      <c r="R247" s="1270"/>
      <c r="S247" s="1270"/>
      <c r="T247" s="1270"/>
      <c r="U247" s="1270"/>
      <c r="V247" s="1270"/>
    </row>
    <row r="248" spans="3:22" hidden="1">
      <c r="C248" s="1270"/>
      <c r="D248" s="1270"/>
      <c r="E248" s="1270"/>
      <c r="F248" s="1270"/>
      <c r="G248" s="1270"/>
      <c r="H248" s="1270"/>
      <c r="I248" s="1270"/>
      <c r="J248" s="1270"/>
      <c r="K248" s="1270"/>
      <c r="L248" s="1270"/>
      <c r="M248" s="1270"/>
      <c r="N248" s="1270"/>
      <c r="O248" s="1270"/>
      <c r="P248" s="1270"/>
      <c r="Q248" s="1270"/>
      <c r="R248" s="1270"/>
      <c r="S248" s="1270"/>
      <c r="T248" s="1270"/>
      <c r="U248" s="1270"/>
      <c r="V248" s="1270"/>
    </row>
    <row r="249" spans="3:22" hidden="1">
      <c r="C249" s="1270"/>
      <c r="D249" s="1270"/>
      <c r="E249" s="1270"/>
      <c r="F249" s="1270"/>
      <c r="G249" s="1270"/>
      <c r="H249" s="1270"/>
      <c r="I249" s="1270"/>
      <c r="J249" s="1270"/>
      <c r="K249" s="1270"/>
      <c r="L249" s="1270"/>
      <c r="M249" s="1270"/>
      <c r="N249" s="1270"/>
      <c r="O249" s="1270"/>
      <c r="P249" s="1270"/>
      <c r="Q249" s="1270"/>
      <c r="R249" s="1270"/>
      <c r="S249" s="1270"/>
      <c r="T249" s="1270"/>
      <c r="U249" s="1270"/>
      <c r="V249" s="1270"/>
    </row>
    <row r="250" spans="3:22" hidden="1">
      <c r="C250" s="1270"/>
      <c r="D250" s="1270"/>
      <c r="E250" s="1270"/>
      <c r="F250" s="1270"/>
      <c r="G250" s="1270"/>
      <c r="H250" s="1270"/>
      <c r="I250" s="1270"/>
      <c r="J250" s="1270"/>
      <c r="K250" s="1270"/>
      <c r="L250" s="1270"/>
      <c r="M250" s="1270"/>
      <c r="N250" s="1270"/>
      <c r="O250" s="1270"/>
      <c r="P250" s="1270"/>
      <c r="Q250" s="1270"/>
      <c r="R250" s="1270"/>
      <c r="S250" s="1270"/>
      <c r="T250" s="1270"/>
      <c r="U250" s="1270"/>
      <c r="V250" s="1270"/>
    </row>
    <row r="251" spans="3:22" hidden="1">
      <c r="C251" s="1270"/>
      <c r="D251" s="1270"/>
      <c r="E251" s="1270"/>
      <c r="F251" s="1270"/>
      <c r="G251" s="1270"/>
      <c r="H251" s="1270"/>
      <c r="I251" s="1270"/>
      <c r="J251" s="1270"/>
      <c r="K251" s="1270"/>
      <c r="L251" s="1270"/>
      <c r="M251" s="1270"/>
      <c r="N251" s="1270"/>
      <c r="O251" s="1270"/>
      <c r="P251" s="1270"/>
      <c r="Q251" s="1270"/>
      <c r="R251" s="1270"/>
      <c r="S251" s="1270"/>
      <c r="T251" s="1270"/>
      <c r="U251" s="1270"/>
      <c r="V251" s="1270"/>
    </row>
    <row r="252" spans="3:22" hidden="1">
      <c r="C252" s="1270"/>
      <c r="D252" s="1270"/>
      <c r="E252" s="1270"/>
      <c r="F252" s="1270"/>
      <c r="G252" s="1270"/>
      <c r="H252" s="1270"/>
      <c r="I252" s="1270"/>
      <c r="J252" s="1270"/>
      <c r="K252" s="1270"/>
      <c r="L252" s="1270"/>
      <c r="M252" s="1270"/>
      <c r="N252" s="1270"/>
      <c r="O252" s="1270"/>
      <c r="P252" s="1270"/>
      <c r="Q252" s="1270"/>
      <c r="R252" s="1270"/>
      <c r="S252" s="1270"/>
      <c r="T252" s="1270"/>
      <c r="U252" s="1270"/>
      <c r="V252" s="1270"/>
    </row>
    <row r="253" spans="3:22" hidden="1">
      <c r="C253" s="1270"/>
      <c r="D253" s="1270"/>
      <c r="E253" s="1270"/>
      <c r="F253" s="1270"/>
      <c r="G253" s="1270"/>
      <c r="H253" s="1270"/>
      <c r="I253" s="1270"/>
      <c r="J253" s="1270"/>
      <c r="K253" s="1270"/>
      <c r="L253" s="1270"/>
      <c r="M253" s="1270"/>
      <c r="N253" s="1270"/>
      <c r="O253" s="1270"/>
      <c r="P253" s="1270"/>
      <c r="Q253" s="1270"/>
      <c r="R253" s="1270"/>
      <c r="S253" s="1270"/>
      <c r="T253" s="1270"/>
      <c r="U253" s="1270"/>
      <c r="V253" s="1270"/>
    </row>
    <row r="254" spans="3:22" hidden="1">
      <c r="C254" s="1270"/>
      <c r="D254" s="1270"/>
      <c r="E254" s="1270"/>
      <c r="F254" s="1270"/>
      <c r="G254" s="1270"/>
      <c r="H254" s="1270"/>
      <c r="I254" s="1270"/>
      <c r="J254" s="1270"/>
      <c r="K254" s="1270"/>
      <c r="L254" s="1270"/>
      <c r="M254" s="1270"/>
      <c r="N254" s="1270"/>
      <c r="O254" s="1270"/>
      <c r="P254" s="1270"/>
      <c r="Q254" s="1270"/>
      <c r="R254" s="1270"/>
      <c r="S254" s="1270"/>
      <c r="T254" s="1270"/>
      <c r="U254" s="1270"/>
      <c r="V254" s="1270"/>
    </row>
    <row r="255" spans="3:22" hidden="1">
      <c r="C255" s="1270"/>
      <c r="D255" s="1270"/>
      <c r="E255" s="1270"/>
      <c r="F255" s="1270"/>
      <c r="G255" s="1270"/>
      <c r="H255" s="1270"/>
      <c r="I255" s="1270"/>
      <c r="J255" s="1270"/>
      <c r="K255" s="1270"/>
      <c r="L255" s="1270"/>
      <c r="M255" s="1270"/>
      <c r="N255" s="1270"/>
      <c r="O255" s="1270"/>
      <c r="P255" s="1270"/>
      <c r="Q255" s="1270"/>
      <c r="R255" s="1270"/>
      <c r="S255" s="1270"/>
      <c r="T255" s="1270"/>
      <c r="U255" s="1270"/>
      <c r="V255" s="1270"/>
    </row>
    <row r="256" spans="3:22" hidden="1">
      <c r="C256" s="1270"/>
      <c r="D256" s="1270"/>
      <c r="E256" s="1270"/>
      <c r="F256" s="1270"/>
      <c r="G256" s="1270"/>
      <c r="H256" s="1270"/>
      <c r="I256" s="1270"/>
      <c r="J256" s="1270"/>
      <c r="K256" s="1270"/>
      <c r="L256" s="1270"/>
      <c r="M256" s="1270"/>
      <c r="N256" s="1270"/>
      <c r="O256" s="1270"/>
      <c r="P256" s="1270"/>
      <c r="Q256" s="1270"/>
      <c r="R256" s="1270"/>
      <c r="S256" s="1270"/>
      <c r="T256" s="1270"/>
      <c r="U256" s="1270"/>
      <c r="V256" s="1270"/>
    </row>
    <row r="257" spans="3:22" hidden="1">
      <c r="C257" s="1270"/>
      <c r="D257" s="1270"/>
      <c r="E257" s="1270"/>
      <c r="F257" s="1270"/>
      <c r="G257" s="1270"/>
      <c r="H257" s="1270"/>
      <c r="I257" s="1270"/>
      <c r="J257" s="1270"/>
      <c r="K257" s="1270"/>
      <c r="L257" s="1270"/>
      <c r="M257" s="1270"/>
      <c r="N257" s="1270"/>
      <c r="O257" s="1270"/>
      <c r="P257" s="1270"/>
      <c r="Q257" s="1270"/>
      <c r="R257" s="1270"/>
      <c r="S257" s="1270"/>
      <c r="T257" s="1270"/>
      <c r="U257" s="1270"/>
      <c r="V257" s="1270"/>
    </row>
    <row r="258" spans="3:22" hidden="1">
      <c r="C258" s="1270"/>
      <c r="D258" s="1270"/>
      <c r="E258" s="1270"/>
      <c r="F258" s="1270"/>
      <c r="G258" s="1270"/>
      <c r="H258" s="1270"/>
      <c r="I258" s="1270"/>
      <c r="J258" s="1270"/>
      <c r="K258" s="1270"/>
      <c r="L258" s="1270"/>
      <c r="M258" s="1270"/>
      <c r="N258" s="1270"/>
      <c r="O258" s="1270"/>
      <c r="P258" s="1270"/>
      <c r="Q258" s="1270"/>
      <c r="R258" s="1270"/>
      <c r="S258" s="1270"/>
      <c r="T258" s="1270"/>
      <c r="U258" s="1270"/>
      <c r="V258" s="1270"/>
    </row>
    <row r="259" spans="3:22" hidden="1">
      <c r="C259" s="1270"/>
      <c r="D259" s="1270"/>
      <c r="E259" s="1270"/>
      <c r="F259" s="1270"/>
      <c r="G259" s="1270"/>
      <c r="H259" s="1270"/>
      <c r="I259" s="1270"/>
      <c r="J259" s="1270"/>
      <c r="K259" s="1270"/>
      <c r="L259" s="1270"/>
      <c r="M259" s="1270"/>
      <c r="N259" s="1270"/>
      <c r="O259" s="1270"/>
      <c r="P259" s="1270"/>
      <c r="Q259" s="1270"/>
      <c r="R259" s="1270"/>
      <c r="S259" s="1270"/>
      <c r="T259" s="1270"/>
      <c r="U259" s="1270"/>
      <c r="V259" s="1270"/>
    </row>
    <row r="260" spans="3:22" hidden="1">
      <c r="C260" s="1270"/>
      <c r="D260" s="1270"/>
      <c r="E260" s="1270"/>
      <c r="F260" s="1270"/>
      <c r="G260" s="1270"/>
      <c r="H260" s="1270"/>
      <c r="I260" s="1270"/>
      <c r="J260" s="1270"/>
      <c r="K260" s="1270"/>
      <c r="L260" s="1270"/>
      <c r="M260" s="1270"/>
      <c r="N260" s="1270"/>
      <c r="O260" s="1270"/>
      <c r="P260" s="1270"/>
      <c r="Q260" s="1270"/>
      <c r="R260" s="1270"/>
      <c r="S260" s="1270"/>
      <c r="T260" s="1270"/>
      <c r="U260" s="1270"/>
      <c r="V260" s="1270"/>
    </row>
    <row r="261" spans="3:22" hidden="1">
      <c r="C261" s="1270"/>
      <c r="D261" s="1270"/>
      <c r="E261" s="1270"/>
      <c r="F261" s="1270"/>
      <c r="G261" s="1270"/>
      <c r="H261" s="1270"/>
      <c r="I261" s="1270"/>
      <c r="J261" s="1270"/>
      <c r="K261" s="1270"/>
      <c r="L261" s="1270"/>
      <c r="M261" s="1270"/>
      <c r="N261" s="1270"/>
      <c r="O261" s="1270"/>
      <c r="P261" s="1270"/>
      <c r="Q261" s="1270"/>
      <c r="R261" s="1270"/>
      <c r="S261" s="1270"/>
      <c r="T261" s="1270"/>
      <c r="U261" s="1270"/>
      <c r="V261" s="1270"/>
    </row>
    <row r="262" spans="3:22" hidden="1">
      <c r="C262" s="1270"/>
      <c r="D262" s="1270"/>
      <c r="E262" s="1270"/>
      <c r="F262" s="1270"/>
      <c r="G262" s="1270"/>
      <c r="H262" s="1270"/>
      <c r="I262" s="1270"/>
      <c r="J262" s="1270"/>
      <c r="K262" s="1270"/>
      <c r="L262" s="1270"/>
      <c r="M262" s="1270"/>
      <c r="N262" s="1270"/>
      <c r="O262" s="1270"/>
      <c r="P262" s="1270"/>
      <c r="Q262" s="1270"/>
      <c r="R262" s="1270"/>
      <c r="S262" s="1270"/>
      <c r="T262" s="1270"/>
      <c r="U262" s="1270"/>
      <c r="V262" s="1270"/>
    </row>
    <row r="263" spans="3:22" hidden="1">
      <c r="C263" s="1270"/>
      <c r="D263" s="1270"/>
      <c r="E263" s="1270"/>
      <c r="F263" s="1270"/>
      <c r="G263" s="1270"/>
      <c r="H263" s="1270"/>
      <c r="I263" s="1270"/>
      <c r="J263" s="1270"/>
      <c r="K263" s="1270"/>
      <c r="L263" s="1270"/>
      <c r="M263" s="1270"/>
      <c r="N263" s="1270"/>
      <c r="O263" s="1270"/>
      <c r="P263" s="1270"/>
      <c r="Q263" s="1270"/>
      <c r="R263" s="1270"/>
      <c r="S263" s="1270"/>
      <c r="T263" s="1270"/>
      <c r="U263" s="1270"/>
      <c r="V263" s="1270"/>
    </row>
    <row r="264" spans="3:22" hidden="1">
      <c r="C264" s="1270"/>
      <c r="D264" s="1270"/>
      <c r="E264" s="1270"/>
      <c r="F264" s="1270"/>
      <c r="G264" s="1270"/>
      <c r="H264" s="1270"/>
      <c r="I264" s="1270"/>
      <c r="J264" s="1270"/>
      <c r="K264" s="1270"/>
      <c r="L264" s="1270"/>
      <c r="M264" s="1270"/>
      <c r="N264" s="1270"/>
      <c r="O264" s="1270"/>
      <c r="P264" s="1270"/>
      <c r="Q264" s="1270"/>
      <c r="R264" s="1270"/>
      <c r="S264" s="1270"/>
      <c r="T264" s="1270"/>
      <c r="U264" s="1270"/>
      <c r="V264" s="1270"/>
    </row>
    <row r="265" spans="3:22" hidden="1">
      <c r="C265" s="1270"/>
      <c r="D265" s="1270"/>
      <c r="E265" s="1270"/>
      <c r="F265" s="1270"/>
      <c r="G265" s="1270"/>
      <c r="H265" s="1270"/>
      <c r="I265" s="1270"/>
      <c r="J265" s="1270"/>
      <c r="K265" s="1270"/>
      <c r="L265" s="1270"/>
      <c r="M265" s="1270"/>
      <c r="N265" s="1270"/>
      <c r="O265" s="1270"/>
      <c r="P265" s="1270"/>
      <c r="Q265" s="1270"/>
      <c r="R265" s="1270"/>
      <c r="S265" s="1270"/>
      <c r="T265" s="1270"/>
      <c r="U265" s="1270"/>
      <c r="V265" s="1270"/>
    </row>
    <row r="266" spans="3:22" hidden="1">
      <c r="C266" s="1270"/>
      <c r="D266" s="1270"/>
      <c r="E266" s="1270"/>
      <c r="F266" s="1270"/>
      <c r="G266" s="1270"/>
      <c r="H266" s="1270"/>
      <c r="I266" s="1270"/>
      <c r="J266" s="1270"/>
      <c r="K266" s="1270"/>
      <c r="L266" s="1270"/>
      <c r="M266" s="1270"/>
      <c r="N266" s="1270"/>
      <c r="O266" s="1270"/>
      <c r="P266" s="1270"/>
      <c r="Q266" s="1270"/>
      <c r="R266" s="1270"/>
      <c r="S266" s="1270"/>
      <c r="T266" s="1270"/>
      <c r="U266" s="1270"/>
      <c r="V266" s="1270"/>
    </row>
    <row r="267" spans="3:22" hidden="1">
      <c r="C267" s="1270"/>
      <c r="D267" s="1270"/>
      <c r="E267" s="1270"/>
      <c r="F267" s="1270"/>
      <c r="G267" s="1270"/>
      <c r="H267" s="1270"/>
      <c r="I267" s="1270"/>
      <c r="J267" s="1270"/>
      <c r="K267" s="1270"/>
      <c r="L267" s="1270"/>
      <c r="M267" s="1270"/>
      <c r="N267" s="1270"/>
      <c r="O267" s="1270"/>
      <c r="P267" s="1270"/>
      <c r="Q267" s="1270"/>
      <c r="R267" s="1270"/>
      <c r="S267" s="1270"/>
      <c r="T267" s="1270"/>
      <c r="U267" s="1270"/>
      <c r="V267" s="1270"/>
    </row>
    <row r="268" spans="3:22" hidden="1">
      <c r="C268" s="1270"/>
      <c r="D268" s="1270"/>
      <c r="E268" s="1270"/>
      <c r="F268" s="1270"/>
      <c r="G268" s="1270"/>
      <c r="H268" s="1270"/>
      <c r="I268" s="1270"/>
      <c r="J268" s="1270"/>
      <c r="K268" s="1270"/>
      <c r="L268" s="1270"/>
      <c r="M268" s="1270"/>
      <c r="N268" s="1270"/>
      <c r="O268" s="1270"/>
      <c r="P268" s="1270"/>
      <c r="Q268" s="1270"/>
      <c r="R268" s="1270"/>
      <c r="S268" s="1270"/>
      <c r="T268" s="1270"/>
      <c r="U268" s="1270"/>
      <c r="V268" s="1270"/>
    </row>
    <row r="269" spans="3:22" hidden="1">
      <c r="C269" s="1270"/>
      <c r="D269" s="1270"/>
      <c r="E269" s="1270"/>
      <c r="F269" s="1270"/>
      <c r="G269" s="1270"/>
      <c r="H269" s="1270"/>
      <c r="I269" s="1270"/>
      <c r="J269" s="1270"/>
      <c r="K269" s="1270"/>
      <c r="L269" s="1270"/>
      <c r="M269" s="1270"/>
      <c r="N269" s="1270"/>
      <c r="O269" s="1270"/>
      <c r="P269" s="1270"/>
      <c r="Q269" s="1270"/>
      <c r="R269" s="1270"/>
      <c r="S269" s="1270"/>
      <c r="T269" s="1270"/>
      <c r="U269" s="1270"/>
      <c r="V269" s="1270"/>
    </row>
    <row r="270" spans="3:22" hidden="1">
      <c r="C270" s="1270"/>
      <c r="D270" s="1270"/>
      <c r="E270" s="1270"/>
      <c r="F270" s="1270"/>
      <c r="G270" s="1270"/>
      <c r="H270" s="1270"/>
      <c r="I270" s="1270"/>
      <c r="J270" s="1270"/>
      <c r="K270" s="1270"/>
      <c r="L270" s="1270"/>
      <c r="M270" s="1270"/>
      <c r="N270" s="1270"/>
      <c r="O270" s="1270"/>
      <c r="P270" s="1270"/>
      <c r="Q270" s="1270"/>
      <c r="R270" s="1270"/>
      <c r="S270" s="1270"/>
      <c r="T270" s="1270"/>
      <c r="U270" s="1270"/>
      <c r="V270" s="1270"/>
    </row>
    <row r="271" spans="3:22" hidden="1">
      <c r="C271" s="1270"/>
      <c r="D271" s="1270"/>
      <c r="E271" s="1270"/>
      <c r="F271" s="1270"/>
      <c r="G271" s="1270"/>
      <c r="H271" s="1270"/>
      <c r="I271" s="1270"/>
      <c r="J271" s="1270"/>
      <c r="K271" s="1270"/>
      <c r="L271" s="1270"/>
      <c r="M271" s="1270"/>
      <c r="N271" s="1270"/>
      <c r="O271" s="1270"/>
      <c r="P271" s="1270"/>
      <c r="Q271" s="1270"/>
      <c r="R271" s="1270"/>
      <c r="S271" s="1270"/>
      <c r="T271" s="1270"/>
      <c r="U271" s="1270"/>
      <c r="V271" s="1270"/>
    </row>
    <row r="272" spans="3:22" hidden="1">
      <c r="C272" s="1270"/>
      <c r="D272" s="1270"/>
      <c r="E272" s="1270"/>
      <c r="F272" s="1270"/>
      <c r="G272" s="1270"/>
      <c r="H272" s="1270"/>
      <c r="I272" s="1270"/>
      <c r="J272" s="1270"/>
      <c r="K272" s="1270"/>
      <c r="L272" s="1270"/>
      <c r="M272" s="1270"/>
      <c r="N272" s="1270"/>
      <c r="O272" s="1270"/>
      <c r="P272" s="1270"/>
      <c r="Q272" s="1270"/>
      <c r="R272" s="1270"/>
      <c r="S272" s="1270"/>
      <c r="T272" s="1270"/>
      <c r="U272" s="1270"/>
      <c r="V272" s="1270"/>
    </row>
    <row r="273" spans="3:22" hidden="1">
      <c r="C273" s="1270"/>
      <c r="D273" s="1270"/>
      <c r="E273" s="1270"/>
      <c r="F273" s="1270"/>
      <c r="G273" s="1270"/>
      <c r="H273" s="1270"/>
      <c r="I273" s="1270"/>
      <c r="J273" s="1270"/>
      <c r="K273" s="1270"/>
      <c r="L273" s="1270"/>
      <c r="M273" s="1270"/>
      <c r="N273" s="1270"/>
      <c r="O273" s="1270"/>
      <c r="P273" s="1270"/>
      <c r="Q273" s="1270"/>
      <c r="R273" s="1270"/>
      <c r="S273" s="1270"/>
      <c r="T273" s="1270"/>
      <c r="U273" s="1270"/>
      <c r="V273" s="1270"/>
    </row>
    <row r="274" spans="3:22" hidden="1">
      <c r="C274" s="1270"/>
      <c r="D274" s="1270"/>
      <c r="E274" s="1270"/>
      <c r="F274" s="1270"/>
      <c r="G274" s="1270"/>
      <c r="H274" s="1270"/>
      <c r="I274" s="1270"/>
      <c r="J274" s="1270"/>
      <c r="K274" s="1270"/>
      <c r="L274" s="1270"/>
      <c r="M274" s="1270"/>
      <c r="N274" s="1270"/>
      <c r="O274" s="1270"/>
      <c r="P274" s="1270"/>
      <c r="Q274" s="1270"/>
      <c r="R274" s="1270"/>
      <c r="S274" s="1270"/>
      <c r="T274" s="1270"/>
      <c r="U274" s="1270"/>
      <c r="V274" s="1270"/>
    </row>
    <row r="275" spans="3:22" hidden="1">
      <c r="C275" s="1270"/>
      <c r="D275" s="1270"/>
      <c r="E275" s="1270"/>
      <c r="F275" s="1270"/>
      <c r="G275" s="1270"/>
      <c r="H275" s="1270"/>
      <c r="I275" s="1270"/>
      <c r="J275" s="1270"/>
      <c r="K275" s="1270"/>
      <c r="L275" s="1270"/>
      <c r="M275" s="1270"/>
      <c r="N275" s="1270"/>
      <c r="O275" s="1270"/>
      <c r="P275" s="1270"/>
      <c r="Q275" s="1270"/>
      <c r="R275" s="1270"/>
      <c r="S275" s="1270"/>
      <c r="T275" s="1270"/>
      <c r="U275" s="1270"/>
      <c r="V275" s="1270"/>
    </row>
    <row r="276" spans="3:22" hidden="1">
      <c r="C276" s="1270"/>
      <c r="D276" s="1270"/>
      <c r="E276" s="1270"/>
      <c r="F276" s="1270"/>
      <c r="G276" s="1270"/>
      <c r="H276" s="1270"/>
      <c r="I276" s="1270"/>
      <c r="J276" s="1270"/>
      <c r="K276" s="1270"/>
      <c r="L276" s="1270"/>
      <c r="M276" s="1270"/>
      <c r="N276" s="1270"/>
      <c r="O276" s="1270"/>
      <c r="P276" s="1270"/>
      <c r="Q276" s="1270"/>
      <c r="R276" s="1270"/>
      <c r="S276" s="1270"/>
      <c r="T276" s="1270"/>
      <c r="U276" s="1270"/>
      <c r="V276" s="1270"/>
    </row>
    <row r="277" spans="3:22" hidden="1">
      <c r="C277" s="1270"/>
      <c r="D277" s="1270"/>
      <c r="E277" s="1270"/>
      <c r="F277" s="1270"/>
      <c r="G277" s="1270"/>
      <c r="H277" s="1270"/>
      <c r="I277" s="1270"/>
      <c r="J277" s="1270"/>
      <c r="K277" s="1270"/>
      <c r="L277" s="1270"/>
      <c r="M277" s="1270"/>
      <c r="N277" s="1270"/>
      <c r="O277" s="1270"/>
      <c r="P277" s="1270"/>
      <c r="Q277" s="1270"/>
      <c r="R277" s="1270"/>
      <c r="S277" s="1270"/>
      <c r="T277" s="1270"/>
      <c r="U277" s="1270"/>
      <c r="V277" s="1270"/>
    </row>
    <row r="278" spans="3:22" hidden="1">
      <c r="C278" s="1270"/>
      <c r="D278" s="1270"/>
      <c r="E278" s="1270"/>
      <c r="F278" s="1270"/>
      <c r="G278" s="1270"/>
      <c r="H278" s="1270"/>
      <c r="I278" s="1270"/>
      <c r="J278" s="1270"/>
      <c r="K278" s="1270"/>
      <c r="L278" s="1270"/>
      <c r="M278" s="1270"/>
      <c r="N278" s="1270"/>
      <c r="O278" s="1270"/>
      <c r="P278" s="1270"/>
      <c r="Q278" s="1270"/>
      <c r="R278" s="1270"/>
      <c r="S278" s="1270"/>
      <c r="T278" s="1270"/>
      <c r="U278" s="1270"/>
      <c r="V278" s="1270"/>
    </row>
    <row r="279" spans="3:22" hidden="1">
      <c r="C279" s="1270"/>
      <c r="D279" s="1270"/>
      <c r="E279" s="1270"/>
      <c r="F279" s="1270"/>
      <c r="G279" s="1270"/>
      <c r="H279" s="1270"/>
      <c r="I279" s="1270"/>
      <c r="J279" s="1270"/>
      <c r="K279" s="1270"/>
      <c r="L279" s="1270"/>
      <c r="M279" s="1270"/>
      <c r="N279" s="1270"/>
      <c r="O279" s="1270"/>
      <c r="P279" s="1270"/>
      <c r="Q279" s="1270"/>
      <c r="R279" s="1270"/>
      <c r="S279" s="1270"/>
      <c r="T279" s="1270"/>
      <c r="U279" s="1270"/>
      <c r="V279" s="1270"/>
    </row>
    <row r="280" spans="3:22" hidden="1">
      <c r="C280" s="1270"/>
      <c r="D280" s="1270"/>
      <c r="E280" s="1270"/>
      <c r="F280" s="1270"/>
      <c r="G280" s="1270"/>
      <c r="H280" s="1270"/>
      <c r="I280" s="1270"/>
      <c r="J280" s="1270"/>
      <c r="K280" s="1270"/>
      <c r="L280" s="1270"/>
      <c r="M280" s="1270"/>
      <c r="N280" s="1270"/>
      <c r="O280" s="1270"/>
      <c r="P280" s="1270"/>
      <c r="Q280" s="1270"/>
      <c r="R280" s="1270"/>
      <c r="S280" s="1270"/>
      <c r="T280" s="1270"/>
      <c r="U280" s="1270"/>
      <c r="V280" s="1270"/>
    </row>
    <row r="281" spans="3:22" hidden="1">
      <c r="C281" s="1270"/>
      <c r="D281" s="1270"/>
      <c r="E281" s="1270"/>
      <c r="F281" s="1270"/>
      <c r="G281" s="1270"/>
      <c r="H281" s="1270"/>
      <c r="I281" s="1270"/>
      <c r="J281" s="1270"/>
      <c r="K281" s="1270"/>
      <c r="L281" s="1270"/>
      <c r="M281" s="1270"/>
      <c r="N281" s="1270"/>
      <c r="O281" s="1270"/>
      <c r="P281" s="1270"/>
      <c r="Q281" s="1270"/>
      <c r="R281" s="1270"/>
      <c r="S281" s="1270"/>
      <c r="T281" s="1270"/>
      <c r="U281" s="1270"/>
      <c r="V281" s="1270"/>
    </row>
    <row r="282" spans="3:22" hidden="1">
      <c r="C282" s="1270"/>
      <c r="D282" s="1270"/>
      <c r="E282" s="1270"/>
      <c r="F282" s="1270"/>
      <c r="G282" s="1270"/>
      <c r="H282" s="1270"/>
      <c r="I282" s="1270"/>
      <c r="J282" s="1270"/>
      <c r="K282" s="1270"/>
      <c r="L282" s="1270"/>
      <c r="M282" s="1270"/>
      <c r="N282" s="1270"/>
      <c r="O282" s="1270"/>
      <c r="P282" s="1270"/>
      <c r="Q282" s="1270"/>
      <c r="R282" s="1270"/>
      <c r="S282" s="1270"/>
      <c r="T282" s="1270"/>
      <c r="U282" s="1270"/>
      <c r="V282" s="1270"/>
    </row>
    <row r="283" spans="3:22" hidden="1">
      <c r="C283" s="1270"/>
      <c r="D283" s="1270"/>
      <c r="E283" s="1270"/>
      <c r="F283" s="1270"/>
      <c r="G283" s="1270"/>
      <c r="H283" s="1270"/>
      <c r="I283" s="1270"/>
      <c r="J283" s="1270"/>
      <c r="K283" s="1270"/>
      <c r="L283" s="1270"/>
      <c r="M283" s="1270"/>
      <c r="N283" s="1270"/>
      <c r="O283" s="1270"/>
      <c r="P283" s="1270"/>
      <c r="Q283" s="1270"/>
      <c r="R283" s="1270"/>
      <c r="S283" s="1270"/>
      <c r="T283" s="1270"/>
      <c r="U283" s="1270"/>
      <c r="V283" s="1270"/>
    </row>
    <row r="284" spans="3:22" hidden="1">
      <c r="C284" s="1270"/>
      <c r="D284" s="1270"/>
      <c r="E284" s="1270"/>
      <c r="F284" s="1270"/>
      <c r="G284" s="1270"/>
      <c r="H284" s="1270"/>
      <c r="I284" s="1270"/>
      <c r="J284" s="1270"/>
      <c r="K284" s="1270"/>
      <c r="L284" s="1270"/>
      <c r="M284" s="1270"/>
      <c r="N284" s="1270"/>
      <c r="O284" s="1270"/>
      <c r="P284" s="1270"/>
      <c r="Q284" s="1270"/>
      <c r="R284" s="1270"/>
      <c r="S284" s="1270"/>
      <c r="T284" s="1270"/>
      <c r="U284" s="1270"/>
      <c r="V284" s="1270"/>
    </row>
    <row r="285" spans="3:22" hidden="1">
      <c r="C285" s="1270"/>
      <c r="D285" s="1270"/>
      <c r="E285" s="1270"/>
      <c r="F285" s="1270"/>
      <c r="G285" s="1270"/>
      <c r="H285" s="1270"/>
      <c r="I285" s="1270"/>
      <c r="J285" s="1270"/>
      <c r="K285" s="1270"/>
      <c r="L285" s="1270"/>
      <c r="M285" s="1270"/>
      <c r="N285" s="1270"/>
      <c r="O285" s="1270"/>
      <c r="P285" s="1270"/>
      <c r="Q285" s="1270"/>
      <c r="R285" s="1270"/>
      <c r="S285" s="1270"/>
      <c r="T285" s="1270"/>
      <c r="U285" s="1270"/>
      <c r="V285" s="1270"/>
    </row>
    <row r="286" spans="3:22" hidden="1">
      <c r="C286" s="1270"/>
      <c r="D286" s="1270"/>
      <c r="E286" s="1270"/>
      <c r="F286" s="1270"/>
      <c r="G286" s="1270"/>
      <c r="H286" s="1270"/>
      <c r="I286" s="1270"/>
      <c r="J286" s="1270"/>
      <c r="K286" s="1270"/>
      <c r="L286" s="1270"/>
      <c r="M286" s="1270"/>
      <c r="N286" s="1270"/>
      <c r="O286" s="1270"/>
      <c r="P286" s="1270"/>
      <c r="Q286" s="1270"/>
      <c r="R286" s="1270"/>
      <c r="S286" s="1270"/>
      <c r="T286" s="1270"/>
      <c r="U286" s="1270"/>
      <c r="V286" s="1270"/>
    </row>
    <row r="287" spans="3:22" hidden="1">
      <c r="C287" s="1270"/>
      <c r="D287" s="1270"/>
      <c r="E287" s="1270"/>
      <c r="F287" s="1270"/>
      <c r="G287" s="1270"/>
      <c r="H287" s="1270"/>
      <c r="I287" s="1270"/>
      <c r="J287" s="1270"/>
      <c r="K287" s="1270"/>
      <c r="L287" s="1270"/>
      <c r="M287" s="1270"/>
      <c r="N287" s="1270"/>
      <c r="O287" s="1270"/>
      <c r="P287" s="1270"/>
      <c r="Q287" s="1270"/>
      <c r="R287" s="1270"/>
      <c r="S287" s="1270"/>
      <c r="T287" s="1270"/>
      <c r="U287" s="1270"/>
      <c r="V287" s="1270"/>
    </row>
    <row r="288" spans="3:22" hidden="1">
      <c r="C288" s="1270"/>
      <c r="D288" s="1270"/>
      <c r="E288" s="1270"/>
      <c r="F288" s="1270"/>
      <c r="G288" s="1270"/>
      <c r="H288" s="1270"/>
      <c r="I288" s="1270"/>
      <c r="J288" s="1270"/>
      <c r="K288" s="1270"/>
      <c r="L288" s="1270"/>
      <c r="M288" s="1270"/>
      <c r="N288" s="1270"/>
      <c r="O288" s="1270"/>
      <c r="P288" s="1270"/>
      <c r="Q288" s="1270"/>
      <c r="R288" s="1270"/>
      <c r="S288" s="1270"/>
      <c r="T288" s="1270"/>
      <c r="U288" s="1270"/>
      <c r="V288" s="1270"/>
    </row>
    <row r="289" spans="3:22" hidden="1">
      <c r="C289" s="1270"/>
      <c r="D289" s="1270"/>
      <c r="E289" s="1270"/>
      <c r="F289" s="1270"/>
      <c r="G289" s="1270"/>
      <c r="H289" s="1270"/>
      <c r="I289" s="1270"/>
      <c r="J289" s="1270"/>
      <c r="K289" s="1270"/>
      <c r="L289" s="1270"/>
      <c r="M289" s="1270"/>
      <c r="N289" s="1270"/>
      <c r="O289" s="1270"/>
      <c r="P289" s="1270"/>
      <c r="Q289" s="1270"/>
      <c r="R289" s="1270"/>
      <c r="S289" s="1270"/>
      <c r="T289" s="1270"/>
      <c r="U289" s="1270"/>
      <c r="V289" s="1270"/>
    </row>
    <row r="290" spans="3:22" hidden="1">
      <c r="C290" s="1270"/>
      <c r="D290" s="1270"/>
      <c r="E290" s="1270"/>
      <c r="F290" s="1270"/>
      <c r="G290" s="1270"/>
      <c r="H290" s="1270"/>
      <c r="I290" s="1270"/>
      <c r="J290" s="1270"/>
      <c r="K290" s="1270"/>
      <c r="L290" s="1270"/>
      <c r="M290" s="1270"/>
      <c r="N290" s="1270"/>
      <c r="O290" s="1270"/>
      <c r="P290" s="1270"/>
      <c r="Q290" s="1270"/>
      <c r="R290" s="1270"/>
      <c r="S290" s="1270"/>
      <c r="T290" s="1270"/>
      <c r="U290" s="1270"/>
      <c r="V290" s="1270"/>
    </row>
    <row r="291" spans="3:22" hidden="1">
      <c r="C291" s="1270"/>
      <c r="D291" s="1270"/>
      <c r="E291" s="1270"/>
      <c r="F291" s="1270"/>
      <c r="G291" s="1270"/>
      <c r="H291" s="1270"/>
      <c r="I291" s="1270"/>
      <c r="J291" s="1270"/>
      <c r="K291" s="1270"/>
      <c r="L291" s="1270"/>
      <c r="M291" s="1270"/>
      <c r="N291" s="1270"/>
      <c r="O291" s="1270"/>
      <c r="P291" s="1270"/>
      <c r="Q291" s="1270"/>
      <c r="R291" s="1270"/>
      <c r="S291" s="1270"/>
      <c r="T291" s="1270"/>
      <c r="U291" s="1270"/>
      <c r="V291" s="1270"/>
    </row>
    <row r="292" spans="3:22" hidden="1">
      <c r="C292" s="1270"/>
      <c r="D292" s="1270"/>
      <c r="E292" s="1270"/>
      <c r="F292" s="1270"/>
      <c r="G292" s="1270"/>
      <c r="H292" s="1270"/>
      <c r="I292" s="1270"/>
      <c r="J292" s="1270"/>
      <c r="K292" s="1270"/>
      <c r="L292" s="1270"/>
      <c r="M292" s="1270"/>
      <c r="N292" s="1270"/>
      <c r="O292" s="1270"/>
      <c r="P292" s="1270"/>
      <c r="Q292" s="1270"/>
      <c r="R292" s="1270"/>
      <c r="S292" s="1270"/>
      <c r="T292" s="1270"/>
      <c r="U292" s="1270"/>
      <c r="V292" s="1270"/>
    </row>
    <row r="293" spans="3:22" hidden="1">
      <c r="C293" s="1270"/>
      <c r="D293" s="1270"/>
      <c r="E293" s="1270"/>
      <c r="F293" s="1270"/>
      <c r="G293" s="1270"/>
      <c r="H293" s="1270"/>
      <c r="I293" s="1270"/>
      <c r="J293" s="1270"/>
      <c r="K293" s="1270"/>
      <c r="L293" s="1270"/>
      <c r="M293" s="1270"/>
      <c r="N293" s="1270"/>
      <c r="O293" s="1270"/>
      <c r="P293" s="1270"/>
      <c r="Q293" s="1270"/>
      <c r="R293" s="1270"/>
      <c r="S293" s="1270"/>
      <c r="T293" s="1270"/>
      <c r="U293" s="1270"/>
      <c r="V293" s="1270"/>
    </row>
    <row r="294" spans="3:22" hidden="1">
      <c r="C294" s="1270"/>
      <c r="D294" s="1270"/>
      <c r="E294" s="1270"/>
      <c r="F294" s="1270"/>
      <c r="G294" s="1270"/>
      <c r="H294" s="1270"/>
      <c r="I294" s="1270"/>
      <c r="J294" s="1270"/>
      <c r="K294" s="1270"/>
      <c r="L294" s="1270"/>
      <c r="M294" s="1270"/>
      <c r="N294" s="1270"/>
      <c r="O294" s="1270"/>
      <c r="P294" s="1270"/>
      <c r="Q294" s="1270"/>
      <c r="R294" s="1270"/>
      <c r="S294" s="1270"/>
      <c r="T294" s="1270"/>
      <c r="U294" s="1270"/>
      <c r="V294" s="1270"/>
    </row>
    <row r="295" spans="3:22" hidden="1">
      <c r="C295" s="1270"/>
      <c r="D295" s="1270"/>
      <c r="E295" s="1270"/>
      <c r="F295" s="1270"/>
      <c r="G295" s="1270"/>
      <c r="H295" s="1270"/>
      <c r="I295" s="1270"/>
      <c r="J295" s="1270"/>
      <c r="K295" s="1270"/>
      <c r="L295" s="1270"/>
      <c r="M295" s="1270"/>
      <c r="N295" s="1270"/>
      <c r="O295" s="1270"/>
      <c r="P295" s="1270"/>
      <c r="Q295" s="1270"/>
      <c r="R295" s="1270"/>
      <c r="S295" s="1270"/>
      <c r="T295" s="1270"/>
      <c r="U295" s="1270"/>
      <c r="V295" s="1270"/>
    </row>
    <row r="296" spans="3:22" hidden="1">
      <c r="C296" s="1270"/>
      <c r="D296" s="1270"/>
      <c r="E296" s="1270"/>
      <c r="F296" s="1270"/>
      <c r="G296" s="1270"/>
      <c r="H296" s="1270"/>
      <c r="I296" s="1270"/>
      <c r="J296" s="1270"/>
      <c r="K296" s="1270"/>
      <c r="L296" s="1270"/>
      <c r="M296" s="1270"/>
      <c r="N296" s="1270"/>
      <c r="O296" s="1270"/>
      <c r="P296" s="1270"/>
      <c r="Q296" s="1270"/>
      <c r="R296" s="1270"/>
      <c r="S296" s="1270"/>
      <c r="T296" s="1270"/>
      <c r="U296" s="1270"/>
      <c r="V296" s="1270"/>
    </row>
    <row r="297" spans="3:22" hidden="1">
      <c r="C297" s="1270"/>
      <c r="D297" s="1270"/>
      <c r="E297" s="1270"/>
      <c r="F297" s="1270"/>
      <c r="G297" s="1270"/>
      <c r="H297" s="1270"/>
      <c r="I297" s="1270"/>
      <c r="J297" s="1270"/>
      <c r="K297" s="1270"/>
      <c r="L297" s="1270"/>
      <c r="M297" s="1270"/>
      <c r="N297" s="1270"/>
      <c r="O297" s="1270"/>
      <c r="P297" s="1270"/>
      <c r="Q297" s="1270"/>
      <c r="R297" s="1270"/>
      <c r="S297" s="1270"/>
      <c r="T297" s="1270"/>
      <c r="U297" s="1270"/>
      <c r="V297" s="1270"/>
    </row>
    <row r="298" spans="3:22" hidden="1">
      <c r="C298" s="1270"/>
      <c r="D298" s="1270"/>
      <c r="E298" s="1270"/>
      <c r="F298" s="1270"/>
      <c r="G298" s="1270"/>
      <c r="H298" s="1270"/>
      <c r="I298" s="1270"/>
      <c r="J298" s="1270"/>
      <c r="K298" s="1270"/>
      <c r="L298" s="1270"/>
      <c r="M298" s="1270"/>
      <c r="N298" s="1270"/>
      <c r="O298" s="1270"/>
      <c r="P298" s="1270"/>
      <c r="Q298" s="1270"/>
      <c r="R298" s="1270"/>
      <c r="S298" s="1270"/>
      <c r="T298" s="1270"/>
      <c r="U298" s="1270"/>
      <c r="V298" s="1270"/>
    </row>
    <row r="299" spans="3:22" hidden="1">
      <c r="C299" s="1270"/>
      <c r="D299" s="1270"/>
      <c r="E299" s="1270"/>
      <c r="F299" s="1270"/>
      <c r="G299" s="1270"/>
      <c r="H299" s="1270"/>
      <c r="I299" s="1270"/>
      <c r="J299" s="1270"/>
      <c r="K299" s="1270"/>
      <c r="L299" s="1270"/>
      <c r="M299" s="1270"/>
      <c r="N299" s="1270"/>
      <c r="O299" s="1270"/>
      <c r="P299" s="1270"/>
      <c r="Q299" s="1270"/>
      <c r="R299" s="1270"/>
      <c r="S299" s="1270"/>
      <c r="T299" s="1270"/>
      <c r="U299" s="1270"/>
      <c r="V299" s="1270"/>
    </row>
    <row r="300" spans="3:22" hidden="1">
      <c r="C300" s="1270"/>
      <c r="D300" s="1270"/>
      <c r="E300" s="1270"/>
      <c r="F300" s="1270"/>
      <c r="G300" s="1270"/>
      <c r="H300" s="1270"/>
      <c r="I300" s="1270"/>
      <c r="J300" s="1270"/>
      <c r="K300" s="1270"/>
      <c r="L300" s="1270"/>
      <c r="M300" s="1270"/>
      <c r="N300" s="1270"/>
      <c r="O300" s="1270"/>
      <c r="P300" s="1270"/>
      <c r="Q300" s="1270"/>
      <c r="R300" s="1270"/>
      <c r="S300" s="1270"/>
      <c r="T300" s="1270"/>
      <c r="U300" s="1270"/>
      <c r="V300" s="1270"/>
    </row>
    <row r="301" spans="3:22" hidden="1">
      <c r="C301" s="1270"/>
      <c r="D301" s="1270"/>
      <c r="E301" s="1270"/>
      <c r="F301" s="1270"/>
      <c r="G301" s="1270"/>
      <c r="H301" s="1270"/>
      <c r="I301" s="1270"/>
      <c r="J301" s="1270"/>
      <c r="K301" s="1270"/>
      <c r="L301" s="1270"/>
      <c r="M301" s="1270"/>
      <c r="N301" s="1270"/>
      <c r="O301" s="1270"/>
      <c r="P301" s="1270"/>
      <c r="Q301" s="1270"/>
      <c r="R301" s="1270"/>
      <c r="S301" s="1270"/>
      <c r="T301" s="1270"/>
      <c r="U301" s="1270"/>
      <c r="V301" s="1270"/>
    </row>
    <row r="302" spans="3:22" hidden="1">
      <c r="C302" s="1270"/>
      <c r="D302" s="1270"/>
      <c r="E302" s="1270"/>
      <c r="F302" s="1270"/>
      <c r="G302" s="1270"/>
      <c r="H302" s="1270"/>
      <c r="I302" s="1270"/>
      <c r="J302" s="1270"/>
      <c r="K302" s="1270"/>
      <c r="L302" s="1270"/>
      <c r="M302" s="1270"/>
      <c r="N302" s="1270"/>
      <c r="O302" s="1270"/>
      <c r="P302" s="1270"/>
      <c r="Q302" s="1270"/>
      <c r="R302" s="1270"/>
      <c r="S302" s="1270"/>
      <c r="T302" s="1270"/>
      <c r="U302" s="1270"/>
      <c r="V302" s="1270"/>
    </row>
    <row r="303" spans="3:22" hidden="1">
      <c r="C303" s="1270"/>
      <c r="D303" s="1270"/>
      <c r="E303" s="1270"/>
      <c r="F303" s="1270"/>
      <c r="G303" s="1270"/>
      <c r="H303" s="1270"/>
      <c r="I303" s="1270"/>
      <c r="J303" s="1270"/>
      <c r="K303" s="1270"/>
      <c r="L303" s="1270"/>
      <c r="M303" s="1270"/>
      <c r="N303" s="1270"/>
      <c r="O303" s="1270"/>
      <c r="P303" s="1270"/>
      <c r="Q303" s="1270"/>
      <c r="R303" s="1270"/>
      <c r="S303" s="1270"/>
      <c r="T303" s="1270"/>
      <c r="U303" s="1270"/>
      <c r="V303" s="1270"/>
    </row>
    <row r="304" spans="3:22" hidden="1">
      <c r="C304" s="1270"/>
      <c r="D304" s="1270"/>
      <c r="E304" s="1270"/>
      <c r="F304" s="1270"/>
      <c r="G304" s="1270"/>
      <c r="H304" s="1270"/>
      <c r="I304" s="1270"/>
      <c r="J304" s="1270"/>
      <c r="K304" s="1270"/>
      <c r="L304" s="1270"/>
      <c r="M304" s="1270"/>
      <c r="N304" s="1270"/>
      <c r="O304" s="1270"/>
      <c r="P304" s="1270"/>
      <c r="Q304" s="1270"/>
      <c r="R304" s="1270"/>
      <c r="S304" s="1270"/>
      <c r="T304" s="1270"/>
      <c r="U304" s="1270"/>
      <c r="V304" s="1270"/>
    </row>
    <row r="305" spans="3:22" hidden="1">
      <c r="C305" s="1270"/>
      <c r="D305" s="1270"/>
      <c r="E305" s="1270"/>
      <c r="F305" s="1270"/>
      <c r="G305" s="1270"/>
      <c r="H305" s="1270"/>
      <c r="I305" s="1270"/>
      <c r="J305" s="1270"/>
      <c r="K305" s="1270"/>
      <c r="L305" s="1270"/>
      <c r="M305" s="1270"/>
      <c r="N305" s="1270"/>
      <c r="O305" s="1270"/>
      <c r="P305" s="1270"/>
      <c r="Q305" s="1270"/>
      <c r="R305" s="1270"/>
      <c r="S305" s="1270"/>
      <c r="T305" s="1270"/>
      <c r="U305" s="1270"/>
      <c r="V305" s="1270"/>
    </row>
    <row r="306" spans="3:22" hidden="1">
      <c r="C306" s="1270"/>
      <c r="D306" s="1270"/>
      <c r="E306" s="1270"/>
      <c r="F306" s="1270"/>
      <c r="G306" s="1270"/>
      <c r="H306" s="1270"/>
      <c r="I306" s="1270"/>
      <c r="J306" s="1270"/>
      <c r="K306" s="1270"/>
      <c r="L306" s="1270"/>
      <c r="M306" s="1270"/>
      <c r="N306" s="1270"/>
      <c r="O306" s="1270"/>
      <c r="P306" s="1270"/>
      <c r="Q306" s="1270"/>
      <c r="R306" s="1270"/>
      <c r="S306" s="1270"/>
      <c r="T306" s="1270"/>
      <c r="U306" s="1270"/>
      <c r="V306" s="1270"/>
    </row>
    <row r="307" spans="3:22" hidden="1">
      <c r="C307" s="1270"/>
      <c r="D307" s="1270"/>
      <c r="E307" s="1270"/>
      <c r="F307" s="1270"/>
      <c r="G307" s="1270"/>
      <c r="H307" s="1270"/>
      <c r="I307" s="1270"/>
      <c r="J307" s="1270"/>
      <c r="K307" s="1270"/>
      <c r="L307" s="1270"/>
      <c r="M307" s="1270"/>
      <c r="N307" s="1270"/>
      <c r="O307" s="1270"/>
      <c r="P307" s="1270"/>
      <c r="Q307" s="1270"/>
      <c r="R307" s="1270"/>
      <c r="S307" s="1270"/>
      <c r="T307" s="1270"/>
      <c r="U307" s="1270"/>
      <c r="V307" s="1270"/>
    </row>
    <row r="308" spans="3:22" hidden="1">
      <c r="C308" s="1270"/>
      <c r="D308" s="1270"/>
      <c r="E308" s="1270"/>
      <c r="F308" s="1270"/>
      <c r="G308" s="1270"/>
      <c r="H308" s="1270"/>
      <c r="I308" s="1270"/>
      <c r="J308" s="1270"/>
      <c r="K308" s="1270"/>
      <c r="L308" s="1270"/>
      <c r="M308" s="1270"/>
      <c r="N308" s="1270"/>
      <c r="O308" s="1270"/>
      <c r="P308" s="1270"/>
      <c r="Q308" s="1270"/>
      <c r="R308" s="1270"/>
      <c r="S308" s="1270"/>
      <c r="T308" s="1270"/>
      <c r="U308" s="1270"/>
      <c r="V308" s="1270"/>
    </row>
    <row r="309" spans="3:22" hidden="1">
      <c r="C309" s="1270"/>
      <c r="D309" s="1270"/>
      <c r="E309" s="1270"/>
      <c r="F309" s="1270"/>
      <c r="G309" s="1270"/>
      <c r="H309" s="1270"/>
      <c r="I309" s="1270"/>
      <c r="J309" s="1270"/>
      <c r="K309" s="1270"/>
      <c r="L309" s="1270"/>
      <c r="M309" s="1270"/>
      <c r="N309" s="1270"/>
      <c r="O309" s="1270"/>
      <c r="P309" s="1270"/>
      <c r="Q309" s="1270"/>
      <c r="R309" s="1270"/>
      <c r="S309" s="1270"/>
      <c r="T309" s="1270"/>
      <c r="U309" s="1270"/>
      <c r="V309" s="1270"/>
    </row>
    <row r="310" spans="3:22" hidden="1">
      <c r="C310" s="1270"/>
      <c r="D310" s="1270"/>
      <c r="E310" s="1270"/>
      <c r="F310" s="1270"/>
      <c r="G310" s="1270"/>
      <c r="H310" s="1270"/>
      <c r="I310" s="1270"/>
      <c r="J310" s="1270"/>
      <c r="K310" s="1270"/>
      <c r="L310" s="1270"/>
      <c r="M310" s="1270"/>
      <c r="N310" s="1270"/>
      <c r="O310" s="1270"/>
      <c r="P310" s="1270"/>
      <c r="Q310" s="1270"/>
      <c r="R310" s="1270"/>
      <c r="S310" s="1270"/>
      <c r="T310" s="1270"/>
      <c r="U310" s="1270"/>
      <c r="V310" s="1270"/>
    </row>
    <row r="311" spans="3:22" hidden="1">
      <c r="C311" s="1270"/>
      <c r="D311" s="1270"/>
      <c r="E311" s="1270"/>
      <c r="F311" s="1270"/>
      <c r="G311" s="1270"/>
      <c r="H311" s="1270"/>
      <c r="I311" s="1270"/>
      <c r="J311" s="1270"/>
      <c r="K311" s="1270"/>
      <c r="L311" s="1270"/>
      <c r="M311" s="1270"/>
      <c r="N311" s="1270"/>
      <c r="O311" s="1270"/>
      <c r="P311" s="1270"/>
      <c r="Q311" s="1270"/>
      <c r="R311" s="1270"/>
      <c r="S311" s="1270"/>
      <c r="T311" s="1270"/>
      <c r="U311" s="1270"/>
      <c r="V311" s="1270"/>
    </row>
    <row r="312" spans="3:22" hidden="1">
      <c r="C312" s="1270"/>
      <c r="D312" s="1270"/>
      <c r="E312" s="1270"/>
      <c r="F312" s="1270"/>
      <c r="G312" s="1270"/>
      <c r="H312" s="1270"/>
      <c r="I312" s="1270"/>
      <c r="J312" s="1270"/>
      <c r="K312" s="1270"/>
      <c r="L312" s="1270"/>
      <c r="M312" s="1270"/>
      <c r="N312" s="1270"/>
      <c r="O312" s="1270"/>
      <c r="P312" s="1270"/>
      <c r="Q312" s="1270"/>
      <c r="R312" s="1270"/>
      <c r="S312" s="1270"/>
      <c r="T312" s="1270"/>
      <c r="U312" s="1270"/>
      <c r="V312" s="1270"/>
    </row>
    <row r="313" spans="3:22" hidden="1">
      <c r="C313" s="1270"/>
      <c r="D313" s="1270"/>
      <c r="E313" s="1270"/>
      <c r="F313" s="1270"/>
      <c r="G313" s="1270"/>
      <c r="H313" s="1270"/>
      <c r="I313" s="1270"/>
      <c r="J313" s="1270"/>
      <c r="K313" s="1270"/>
      <c r="L313" s="1270"/>
      <c r="M313" s="1270"/>
      <c r="N313" s="1270"/>
      <c r="O313" s="1270"/>
      <c r="P313" s="1270"/>
      <c r="Q313" s="1270"/>
      <c r="R313" s="1270"/>
      <c r="S313" s="1270"/>
      <c r="T313" s="1270"/>
      <c r="U313" s="1270"/>
      <c r="V313" s="1270"/>
    </row>
    <row r="314" spans="3:22" hidden="1">
      <c r="C314" s="1270"/>
      <c r="D314" s="1270"/>
      <c r="E314" s="1270"/>
      <c r="F314" s="1270"/>
      <c r="G314" s="1270"/>
      <c r="H314" s="1270"/>
      <c r="I314" s="1270"/>
      <c r="J314" s="1270"/>
      <c r="K314" s="1270"/>
      <c r="L314" s="1270"/>
      <c r="M314" s="1270"/>
      <c r="N314" s="1270"/>
      <c r="O314" s="1270"/>
      <c r="P314" s="1270"/>
      <c r="Q314" s="1270"/>
      <c r="R314" s="1270"/>
      <c r="S314" s="1270"/>
      <c r="T314" s="1270"/>
      <c r="U314" s="1270"/>
      <c r="V314" s="1270"/>
    </row>
    <row r="315" spans="3:22" hidden="1">
      <c r="C315" s="1270"/>
      <c r="D315" s="1270"/>
      <c r="E315" s="1270"/>
      <c r="F315" s="1270"/>
      <c r="G315" s="1270"/>
      <c r="H315" s="1270"/>
      <c r="I315" s="1270"/>
      <c r="J315" s="1270"/>
      <c r="K315" s="1270"/>
      <c r="L315" s="1270"/>
      <c r="M315" s="1270"/>
      <c r="N315" s="1270"/>
      <c r="O315" s="1270"/>
      <c r="P315" s="1270"/>
      <c r="Q315" s="1270"/>
      <c r="R315" s="1270"/>
      <c r="S315" s="1270"/>
      <c r="T315" s="1270"/>
      <c r="U315" s="1270"/>
      <c r="V315" s="1270"/>
    </row>
    <row r="316" spans="3:22" hidden="1">
      <c r="C316" s="1270"/>
      <c r="D316" s="1270"/>
      <c r="E316" s="1270"/>
      <c r="F316" s="1270"/>
      <c r="G316" s="1270"/>
      <c r="H316" s="1270"/>
      <c r="I316" s="1270"/>
      <c r="J316" s="1270"/>
      <c r="K316" s="1270"/>
      <c r="L316" s="1270"/>
      <c r="M316" s="1270"/>
      <c r="N316" s="1270"/>
      <c r="O316" s="1270"/>
      <c r="P316" s="1270"/>
      <c r="Q316" s="1270"/>
      <c r="R316" s="1270"/>
      <c r="S316" s="1270"/>
      <c r="T316" s="1270"/>
      <c r="U316" s="1270"/>
      <c r="V316" s="1270"/>
    </row>
    <row r="317" spans="3:22" hidden="1">
      <c r="C317" s="1270"/>
      <c r="D317" s="1270"/>
      <c r="E317" s="1270"/>
      <c r="F317" s="1270"/>
      <c r="G317" s="1270"/>
      <c r="H317" s="1270"/>
      <c r="I317" s="1270"/>
      <c r="J317" s="1270"/>
      <c r="K317" s="1270"/>
      <c r="L317" s="1270"/>
      <c r="M317" s="1270"/>
      <c r="N317" s="1270"/>
      <c r="O317" s="1270"/>
      <c r="P317" s="1270"/>
      <c r="Q317" s="1270"/>
      <c r="R317" s="1270"/>
      <c r="S317" s="1270"/>
      <c r="T317" s="1270"/>
      <c r="U317" s="1270"/>
      <c r="V317" s="1270"/>
    </row>
    <row r="318" spans="3:22" hidden="1">
      <c r="C318" s="1270"/>
      <c r="D318" s="1270"/>
      <c r="E318" s="1270"/>
      <c r="F318" s="1270"/>
      <c r="G318" s="1270"/>
      <c r="H318" s="1270"/>
      <c r="I318" s="1270"/>
      <c r="J318" s="1270"/>
      <c r="K318" s="1270"/>
      <c r="L318" s="1270"/>
      <c r="M318" s="1270"/>
      <c r="N318" s="1270"/>
      <c r="O318" s="1270"/>
      <c r="P318" s="1270"/>
      <c r="Q318" s="1270"/>
      <c r="R318" s="1270"/>
      <c r="S318" s="1270"/>
      <c r="T318" s="1270"/>
      <c r="U318" s="1270"/>
      <c r="V318" s="1270"/>
    </row>
    <row r="319" spans="3:22" hidden="1">
      <c r="C319" s="1270"/>
      <c r="D319" s="1270"/>
      <c r="E319" s="1270"/>
      <c r="F319" s="1270"/>
      <c r="G319" s="1270"/>
      <c r="H319" s="1270"/>
      <c r="I319" s="1270"/>
      <c r="J319" s="1270"/>
      <c r="K319" s="1270"/>
      <c r="L319" s="1270"/>
      <c r="M319" s="1270"/>
      <c r="N319" s="1270"/>
      <c r="O319" s="1270"/>
      <c r="P319" s="1270"/>
      <c r="Q319" s="1270"/>
      <c r="R319" s="1270"/>
      <c r="S319" s="1270"/>
      <c r="T319" s="1270"/>
      <c r="U319" s="1270"/>
      <c r="V319" s="1270"/>
    </row>
    <row r="320" spans="3:22" hidden="1">
      <c r="C320" s="1270"/>
      <c r="D320" s="1270"/>
      <c r="E320" s="1270"/>
      <c r="F320" s="1270"/>
      <c r="G320" s="1270"/>
      <c r="H320" s="1270"/>
      <c r="I320" s="1270"/>
      <c r="J320" s="1270"/>
      <c r="K320" s="1270"/>
      <c r="L320" s="1270"/>
      <c r="M320" s="1270"/>
      <c r="N320" s="1270"/>
      <c r="O320" s="1270"/>
      <c r="P320" s="1270"/>
      <c r="Q320" s="1270"/>
      <c r="R320" s="1270"/>
      <c r="S320" s="1270"/>
      <c r="T320" s="1270"/>
      <c r="U320" s="1270"/>
      <c r="V320" s="1270"/>
    </row>
    <row r="321" spans="3:22" hidden="1">
      <c r="C321" s="1270"/>
      <c r="D321" s="1270"/>
      <c r="E321" s="1270"/>
      <c r="F321" s="1270"/>
      <c r="G321" s="1270"/>
      <c r="H321" s="1270"/>
      <c r="I321" s="1270"/>
      <c r="J321" s="1270"/>
      <c r="K321" s="1270"/>
      <c r="L321" s="1270"/>
      <c r="M321" s="1270"/>
      <c r="N321" s="1270"/>
      <c r="O321" s="1270"/>
      <c r="P321" s="1270"/>
      <c r="Q321" s="1270"/>
      <c r="R321" s="1270"/>
      <c r="S321" s="1270"/>
      <c r="T321" s="1270"/>
      <c r="U321" s="1270"/>
      <c r="V321" s="1270"/>
    </row>
    <row r="322" spans="3:22" hidden="1">
      <c r="C322" s="1270"/>
      <c r="D322" s="1270"/>
      <c r="E322" s="1270"/>
      <c r="F322" s="1270"/>
      <c r="G322" s="1270"/>
      <c r="H322" s="1270"/>
      <c r="I322" s="1270"/>
      <c r="J322" s="1270"/>
      <c r="K322" s="1270"/>
      <c r="L322" s="1270"/>
      <c r="M322" s="1270"/>
      <c r="N322" s="1270"/>
      <c r="O322" s="1270"/>
      <c r="P322" s="1270"/>
      <c r="Q322" s="1270"/>
      <c r="R322" s="1270"/>
      <c r="S322" s="1270"/>
      <c r="T322" s="1270"/>
      <c r="U322" s="1270"/>
      <c r="V322" s="1270"/>
    </row>
    <row r="323" spans="3:22" hidden="1">
      <c r="C323" s="1270"/>
      <c r="D323" s="1270"/>
      <c r="E323" s="1270"/>
      <c r="F323" s="1270"/>
      <c r="G323" s="1270"/>
      <c r="H323" s="1270"/>
      <c r="I323" s="1270"/>
      <c r="J323" s="1270"/>
      <c r="K323" s="1270"/>
      <c r="L323" s="1270"/>
      <c r="M323" s="1270"/>
      <c r="N323" s="1270"/>
      <c r="O323" s="1270"/>
      <c r="P323" s="1270"/>
      <c r="Q323" s="1270"/>
      <c r="R323" s="1270"/>
      <c r="S323" s="1270"/>
      <c r="T323" s="1270"/>
      <c r="U323" s="1270"/>
      <c r="V323" s="1270"/>
    </row>
    <row r="324" spans="3:22" hidden="1">
      <c r="C324" s="1270"/>
      <c r="D324" s="1270"/>
      <c r="E324" s="1270"/>
      <c r="F324" s="1270"/>
      <c r="G324" s="1270"/>
      <c r="H324" s="1270"/>
      <c r="I324" s="1270"/>
      <c r="J324" s="1270"/>
      <c r="K324" s="1270"/>
      <c r="L324" s="1270"/>
      <c r="M324" s="1270"/>
      <c r="N324" s="1270"/>
      <c r="O324" s="1270"/>
      <c r="P324" s="1270"/>
      <c r="Q324" s="1270"/>
      <c r="R324" s="1270"/>
      <c r="S324" s="1270"/>
      <c r="T324" s="1270"/>
      <c r="U324" s="1270"/>
      <c r="V324" s="1270"/>
    </row>
    <row r="325" spans="3:22" hidden="1">
      <c r="C325" s="1270"/>
      <c r="D325" s="1270"/>
      <c r="E325" s="1270"/>
      <c r="F325" s="1270"/>
      <c r="G325" s="1270"/>
      <c r="H325" s="1270"/>
      <c r="I325" s="1270"/>
      <c r="J325" s="1270"/>
      <c r="K325" s="1270"/>
      <c r="L325" s="1270"/>
      <c r="M325" s="1270"/>
      <c r="N325" s="1270"/>
      <c r="O325" s="1270"/>
      <c r="P325" s="1270"/>
      <c r="Q325" s="1270"/>
      <c r="R325" s="1270"/>
      <c r="S325" s="1270"/>
      <c r="T325" s="1270"/>
      <c r="U325" s="1270"/>
      <c r="V325" s="1270"/>
    </row>
    <row r="326" spans="3:22" hidden="1">
      <c r="C326" s="1270"/>
      <c r="D326" s="1270"/>
      <c r="E326" s="1270"/>
      <c r="F326" s="1270"/>
      <c r="G326" s="1270"/>
      <c r="H326" s="1270"/>
      <c r="I326" s="1270"/>
      <c r="J326" s="1270"/>
      <c r="K326" s="1270"/>
      <c r="L326" s="1270"/>
      <c r="M326" s="1270"/>
      <c r="N326" s="1270"/>
      <c r="O326" s="1270"/>
      <c r="P326" s="1270"/>
      <c r="Q326" s="1270"/>
      <c r="R326" s="1270"/>
      <c r="S326" s="1270"/>
      <c r="T326" s="1270"/>
      <c r="U326" s="1270"/>
      <c r="V326" s="1270"/>
    </row>
    <row r="327" spans="3:22" hidden="1">
      <c r="C327" s="1270"/>
      <c r="D327" s="1270"/>
      <c r="E327" s="1270"/>
      <c r="F327" s="1270"/>
      <c r="G327" s="1270"/>
      <c r="H327" s="1270"/>
      <c r="I327" s="1270"/>
      <c r="J327" s="1270"/>
      <c r="K327" s="1270"/>
      <c r="L327" s="1270"/>
      <c r="M327" s="1270"/>
      <c r="N327" s="1270"/>
      <c r="O327" s="1270"/>
      <c r="P327" s="1270"/>
      <c r="Q327" s="1270"/>
      <c r="R327" s="1270"/>
      <c r="S327" s="1270"/>
      <c r="T327" s="1270"/>
      <c r="U327" s="1270"/>
      <c r="V327" s="1270"/>
    </row>
    <row r="328" spans="3:22" hidden="1">
      <c r="C328" s="1270"/>
      <c r="D328" s="1270"/>
      <c r="E328" s="1270"/>
      <c r="F328" s="1270"/>
      <c r="G328" s="1270"/>
      <c r="H328" s="1270"/>
      <c r="I328" s="1270"/>
      <c r="J328" s="1270"/>
      <c r="K328" s="1270"/>
      <c r="L328" s="1270"/>
      <c r="M328" s="1270"/>
      <c r="N328" s="1270"/>
      <c r="O328" s="1270"/>
      <c r="P328" s="1270"/>
      <c r="Q328" s="1270"/>
      <c r="R328" s="1270"/>
      <c r="S328" s="1270"/>
      <c r="T328" s="1270"/>
      <c r="U328" s="1270"/>
      <c r="V328" s="1270"/>
    </row>
    <row r="329" spans="3:22" hidden="1">
      <c r="C329" s="1270"/>
      <c r="D329" s="1270"/>
      <c r="E329" s="1270"/>
      <c r="F329" s="1270"/>
      <c r="G329" s="1270"/>
      <c r="H329" s="1270"/>
      <c r="I329" s="1270"/>
      <c r="J329" s="1270"/>
      <c r="K329" s="1270"/>
      <c r="L329" s="1270"/>
      <c r="M329" s="1270"/>
      <c r="N329" s="1270"/>
      <c r="O329" s="1270"/>
      <c r="P329" s="1270"/>
      <c r="Q329" s="1270"/>
      <c r="R329" s="1270"/>
      <c r="S329" s="1270"/>
      <c r="T329" s="1270"/>
      <c r="U329" s="1270"/>
      <c r="V329" s="1270"/>
    </row>
    <row r="330" spans="3:22" hidden="1">
      <c r="C330" s="1270"/>
      <c r="D330" s="1270"/>
      <c r="E330" s="1270"/>
      <c r="F330" s="1270"/>
      <c r="G330" s="1270"/>
      <c r="H330" s="1270"/>
      <c r="I330" s="1270"/>
      <c r="J330" s="1270"/>
      <c r="K330" s="1270"/>
      <c r="L330" s="1270"/>
      <c r="M330" s="1270"/>
      <c r="N330" s="1270"/>
      <c r="O330" s="1270"/>
      <c r="P330" s="1270"/>
      <c r="Q330" s="1270"/>
      <c r="R330" s="1270"/>
      <c r="S330" s="1270"/>
      <c r="T330" s="1270"/>
      <c r="U330" s="1270"/>
      <c r="V330" s="1270"/>
    </row>
    <row r="331" spans="3:22" hidden="1">
      <c r="C331" s="1270"/>
      <c r="D331" s="1270"/>
      <c r="E331" s="1270"/>
      <c r="F331" s="1270"/>
      <c r="G331" s="1270"/>
      <c r="H331" s="1270"/>
      <c r="I331" s="1270"/>
      <c r="J331" s="1270"/>
      <c r="K331" s="1270"/>
      <c r="L331" s="1270"/>
      <c r="M331" s="1270"/>
      <c r="N331" s="1270"/>
      <c r="O331" s="1270"/>
      <c r="P331" s="1270"/>
      <c r="Q331" s="1270"/>
      <c r="R331" s="1270"/>
      <c r="S331" s="1270"/>
      <c r="T331" s="1270"/>
      <c r="U331" s="1270"/>
      <c r="V331" s="1270"/>
    </row>
    <row r="332" spans="3:22" hidden="1">
      <c r="C332" s="1270"/>
      <c r="D332" s="1270"/>
      <c r="E332" s="1270"/>
      <c r="F332" s="1270"/>
      <c r="G332" s="1270"/>
      <c r="H332" s="1270"/>
      <c r="I332" s="1270"/>
      <c r="J332" s="1270"/>
      <c r="K332" s="1270"/>
      <c r="L332" s="1270"/>
      <c r="M332" s="1270"/>
      <c r="N332" s="1270"/>
      <c r="O332" s="1270"/>
      <c r="P332" s="1270"/>
      <c r="Q332" s="1270"/>
      <c r="R332" s="1270"/>
      <c r="S332" s="1270"/>
      <c r="T332" s="1270"/>
      <c r="U332" s="1270"/>
      <c r="V332" s="1270"/>
    </row>
    <row r="333" spans="3:22" hidden="1">
      <c r="C333" s="1270"/>
      <c r="D333" s="1270"/>
      <c r="E333" s="1270"/>
      <c r="F333" s="1270"/>
      <c r="G333" s="1270"/>
      <c r="H333" s="1270"/>
      <c r="I333" s="1270"/>
      <c r="J333" s="1270"/>
      <c r="K333" s="1270"/>
      <c r="L333" s="1270"/>
      <c r="M333" s="1270"/>
      <c r="N333" s="1270"/>
      <c r="O333" s="1270"/>
      <c r="P333" s="1270"/>
      <c r="Q333" s="1270"/>
      <c r="R333" s="1270"/>
      <c r="S333" s="1270"/>
      <c r="T333" s="1270"/>
      <c r="U333" s="1270"/>
      <c r="V333" s="1270"/>
    </row>
    <row r="334" spans="3:22" hidden="1">
      <c r="C334" s="1270"/>
      <c r="D334" s="1270"/>
      <c r="E334" s="1270"/>
      <c r="F334" s="1270"/>
      <c r="G334" s="1270"/>
      <c r="H334" s="1270"/>
      <c r="I334" s="1270"/>
      <c r="J334" s="1270"/>
      <c r="K334" s="1270"/>
      <c r="L334" s="1270"/>
      <c r="M334" s="1270"/>
      <c r="N334" s="1270"/>
      <c r="O334" s="1270"/>
      <c r="P334" s="1270"/>
      <c r="Q334" s="1270"/>
      <c r="R334" s="1270"/>
      <c r="S334" s="1270"/>
      <c r="T334" s="1270"/>
      <c r="U334" s="1270"/>
      <c r="V334" s="1270"/>
    </row>
    <row r="335" spans="3:22" hidden="1">
      <c r="C335" s="1270"/>
      <c r="D335" s="1270"/>
      <c r="E335" s="1270"/>
      <c r="F335" s="1270"/>
      <c r="G335" s="1270"/>
      <c r="H335" s="1270"/>
      <c r="I335" s="1270"/>
      <c r="J335" s="1270"/>
      <c r="K335" s="1270"/>
      <c r="L335" s="1270"/>
      <c r="M335" s="1270"/>
      <c r="N335" s="1270"/>
      <c r="O335" s="1270"/>
      <c r="P335" s="1270"/>
      <c r="Q335" s="1270"/>
      <c r="R335" s="1270"/>
      <c r="S335" s="1270"/>
      <c r="T335" s="1270"/>
      <c r="U335" s="1270"/>
      <c r="V335" s="1270"/>
    </row>
    <row r="336" spans="3:22" hidden="1">
      <c r="C336" s="1270"/>
      <c r="D336" s="1270"/>
      <c r="E336" s="1270"/>
      <c r="F336" s="1270"/>
      <c r="G336" s="1270"/>
      <c r="H336" s="1270"/>
      <c r="I336" s="1270"/>
      <c r="J336" s="1270"/>
      <c r="K336" s="1270"/>
      <c r="L336" s="1270"/>
      <c r="M336" s="1270"/>
      <c r="N336" s="1270"/>
      <c r="O336" s="1270"/>
      <c r="P336" s="1270"/>
      <c r="Q336" s="1270"/>
      <c r="R336" s="1270"/>
      <c r="S336" s="1270"/>
      <c r="T336" s="1270"/>
      <c r="U336" s="1270"/>
      <c r="V336" s="1270"/>
    </row>
    <row r="337" spans="3:22" hidden="1">
      <c r="C337" s="1270"/>
      <c r="D337" s="1270"/>
      <c r="E337" s="1270"/>
      <c r="F337" s="1270"/>
      <c r="G337" s="1270"/>
      <c r="H337" s="1270"/>
      <c r="I337" s="1270"/>
      <c r="J337" s="1270"/>
      <c r="K337" s="1270"/>
      <c r="L337" s="1270"/>
      <c r="M337" s="1270"/>
      <c r="N337" s="1270"/>
      <c r="O337" s="1270"/>
      <c r="P337" s="1270"/>
      <c r="Q337" s="1270"/>
      <c r="R337" s="1270"/>
      <c r="S337" s="1270"/>
      <c r="T337" s="1270"/>
      <c r="U337" s="1270"/>
      <c r="V337" s="1270"/>
    </row>
    <row r="338" spans="3:22" hidden="1">
      <c r="C338" s="1270"/>
      <c r="D338" s="1270"/>
      <c r="E338" s="1270"/>
      <c r="F338" s="1270"/>
      <c r="G338" s="1270"/>
      <c r="H338" s="1270"/>
      <c r="I338" s="1270"/>
      <c r="J338" s="1270"/>
      <c r="K338" s="1270"/>
      <c r="L338" s="1270"/>
      <c r="M338" s="1270"/>
      <c r="N338" s="1270"/>
      <c r="O338" s="1270"/>
      <c r="P338" s="1270"/>
      <c r="Q338" s="1270"/>
      <c r="R338" s="1270"/>
      <c r="S338" s="1270"/>
      <c r="T338" s="1270"/>
      <c r="U338" s="1270"/>
      <c r="V338" s="1270"/>
    </row>
    <row r="339" spans="3:22" hidden="1">
      <c r="C339" s="1270"/>
      <c r="D339" s="1270"/>
      <c r="E339" s="1270"/>
      <c r="F339" s="1270"/>
      <c r="G339" s="1270"/>
      <c r="H339" s="1270"/>
      <c r="I339" s="1270"/>
      <c r="J339" s="1270"/>
      <c r="K339" s="1270"/>
      <c r="L339" s="1270"/>
      <c r="M339" s="1270"/>
      <c r="N339" s="1270"/>
      <c r="O339" s="1270"/>
      <c r="P339" s="1270"/>
      <c r="Q339" s="1270"/>
      <c r="R339" s="1270"/>
      <c r="S339" s="1270"/>
      <c r="T339" s="1270"/>
      <c r="U339" s="1270"/>
      <c r="V339" s="1270"/>
    </row>
    <row r="340" spans="3:22" hidden="1">
      <c r="C340" s="1270"/>
      <c r="D340" s="1270"/>
      <c r="E340" s="1270"/>
      <c r="F340" s="1270"/>
      <c r="G340" s="1270"/>
      <c r="H340" s="1270"/>
      <c r="I340" s="1270"/>
      <c r="J340" s="1270"/>
      <c r="K340" s="1270"/>
      <c r="L340" s="1270"/>
      <c r="M340" s="1270"/>
      <c r="N340" s="1270"/>
      <c r="O340" s="1270"/>
      <c r="P340" s="1270"/>
      <c r="Q340" s="1270"/>
      <c r="R340" s="1270"/>
      <c r="S340" s="1270"/>
      <c r="T340" s="1270"/>
      <c r="U340" s="1270"/>
      <c r="V340" s="1270"/>
    </row>
    <row r="341" spans="3:22" hidden="1">
      <c r="C341" s="1270"/>
      <c r="D341" s="1270"/>
      <c r="E341" s="1270"/>
      <c r="F341" s="1270"/>
      <c r="G341" s="1270"/>
      <c r="H341" s="1270"/>
      <c r="I341" s="1270"/>
      <c r="J341" s="1270"/>
      <c r="K341" s="1270"/>
      <c r="L341" s="1270"/>
      <c r="M341" s="1270"/>
      <c r="N341" s="1270"/>
      <c r="O341" s="1270"/>
      <c r="P341" s="1270"/>
      <c r="Q341" s="1270"/>
      <c r="R341" s="1270"/>
      <c r="S341" s="1270"/>
      <c r="T341" s="1270"/>
      <c r="U341" s="1270"/>
      <c r="V341" s="1270"/>
    </row>
    <row r="342" spans="3:22" hidden="1">
      <c r="C342" s="1270"/>
      <c r="D342" s="1270"/>
      <c r="E342" s="1270"/>
      <c r="F342" s="1270"/>
      <c r="G342" s="1270"/>
      <c r="H342" s="1270"/>
      <c r="I342" s="1270"/>
      <c r="J342" s="1270"/>
      <c r="K342" s="1270"/>
      <c r="L342" s="1270"/>
      <c r="M342" s="1270"/>
      <c r="N342" s="1270"/>
      <c r="O342" s="1270"/>
      <c r="P342" s="1270"/>
      <c r="Q342" s="1270"/>
      <c r="R342" s="1270"/>
      <c r="S342" s="1270"/>
      <c r="T342" s="1270"/>
      <c r="U342" s="1270"/>
      <c r="V342" s="1270"/>
    </row>
    <row r="343" spans="3:22" hidden="1">
      <c r="C343" s="1270"/>
      <c r="D343" s="1270"/>
      <c r="E343" s="1270"/>
      <c r="F343" s="1270"/>
      <c r="G343" s="1270"/>
      <c r="H343" s="1270"/>
      <c r="I343" s="1270"/>
      <c r="J343" s="1270"/>
      <c r="K343" s="1270"/>
      <c r="L343" s="1270"/>
      <c r="M343" s="1270"/>
      <c r="N343" s="1270"/>
      <c r="O343" s="1270"/>
      <c r="P343" s="1270"/>
      <c r="Q343" s="1270"/>
      <c r="R343" s="1270"/>
      <c r="S343" s="1270"/>
      <c r="T343" s="1270"/>
      <c r="U343" s="1270"/>
      <c r="V343" s="1270"/>
    </row>
    <row r="344" spans="3:22" hidden="1">
      <c r="C344" s="1270"/>
      <c r="D344" s="1270"/>
      <c r="E344" s="1270"/>
      <c r="F344" s="1270"/>
      <c r="G344" s="1270"/>
      <c r="H344" s="1270"/>
      <c r="I344" s="1270"/>
      <c r="J344" s="1270"/>
      <c r="K344" s="1270"/>
      <c r="L344" s="1270"/>
      <c r="M344" s="1270"/>
      <c r="N344" s="1270"/>
      <c r="O344" s="1270"/>
      <c r="P344" s="1270"/>
      <c r="Q344" s="1270"/>
      <c r="R344" s="1270"/>
      <c r="S344" s="1270"/>
      <c r="T344" s="1270"/>
      <c r="U344" s="1270"/>
      <c r="V344" s="1270"/>
    </row>
    <row r="345" spans="3:22" hidden="1">
      <c r="C345" s="1270"/>
      <c r="D345" s="1270"/>
      <c r="E345" s="1270"/>
      <c r="F345" s="1270"/>
      <c r="G345" s="1270"/>
      <c r="H345" s="1270"/>
      <c r="I345" s="1270"/>
      <c r="J345" s="1270"/>
      <c r="K345" s="1270"/>
      <c r="L345" s="1270"/>
      <c r="M345" s="1270"/>
      <c r="N345" s="1270"/>
      <c r="O345" s="1270"/>
      <c r="P345" s="1270"/>
      <c r="Q345" s="1270"/>
      <c r="R345" s="1270"/>
      <c r="S345" s="1270"/>
      <c r="T345" s="1270"/>
      <c r="U345" s="1270"/>
      <c r="V345" s="1270"/>
    </row>
    <row r="346" spans="3:22" hidden="1">
      <c r="C346" s="1270"/>
      <c r="D346" s="1270"/>
      <c r="E346" s="1270"/>
      <c r="F346" s="1270"/>
      <c r="G346" s="1270"/>
      <c r="H346" s="1270"/>
      <c r="I346" s="1270"/>
      <c r="J346" s="1270"/>
      <c r="K346" s="1270"/>
      <c r="L346" s="1270"/>
      <c r="M346" s="1270"/>
      <c r="N346" s="1270"/>
      <c r="O346" s="1270"/>
      <c r="P346" s="1270"/>
      <c r="Q346" s="1270"/>
      <c r="R346" s="1270"/>
      <c r="S346" s="1270"/>
      <c r="T346" s="1270"/>
      <c r="U346" s="1270"/>
      <c r="V346" s="1270"/>
    </row>
    <row r="347" spans="3:22" hidden="1">
      <c r="C347" s="1270"/>
      <c r="D347" s="1270"/>
      <c r="E347" s="1270"/>
      <c r="F347" s="1270"/>
      <c r="G347" s="1270"/>
      <c r="H347" s="1270"/>
      <c r="I347" s="1270"/>
      <c r="J347" s="1270"/>
      <c r="K347" s="1270"/>
      <c r="L347" s="1270"/>
      <c r="M347" s="1270"/>
      <c r="N347" s="1270"/>
      <c r="O347" s="1270"/>
      <c r="P347" s="1270"/>
      <c r="Q347" s="1270"/>
      <c r="R347" s="1270"/>
      <c r="S347" s="1270"/>
      <c r="T347" s="1270"/>
      <c r="U347" s="1270"/>
      <c r="V347" s="1270"/>
    </row>
    <row r="348" spans="3:22" hidden="1">
      <c r="C348" s="1270"/>
      <c r="D348" s="1270"/>
      <c r="E348" s="1270"/>
      <c r="F348" s="1270"/>
      <c r="G348" s="1270"/>
      <c r="H348" s="1270"/>
      <c r="I348" s="1270"/>
      <c r="J348" s="1270"/>
      <c r="K348" s="1270"/>
      <c r="L348" s="1270"/>
      <c r="M348" s="1270"/>
      <c r="N348" s="1270"/>
      <c r="O348" s="1270"/>
      <c r="P348" s="1270"/>
      <c r="Q348" s="1270"/>
      <c r="R348" s="1270"/>
      <c r="S348" s="1270"/>
      <c r="T348" s="1270"/>
      <c r="U348" s="1270"/>
      <c r="V348" s="1270"/>
    </row>
    <row r="349" spans="3:22" hidden="1">
      <c r="C349" s="1270"/>
      <c r="D349" s="1270"/>
      <c r="E349" s="1270"/>
      <c r="F349" s="1270"/>
      <c r="G349" s="1270"/>
      <c r="H349" s="1270"/>
      <c r="I349" s="1270"/>
      <c r="J349" s="1270"/>
      <c r="K349" s="1270"/>
      <c r="L349" s="1270"/>
      <c r="M349" s="1270"/>
      <c r="N349" s="1270"/>
      <c r="O349" s="1270"/>
      <c r="P349" s="1270"/>
      <c r="Q349" s="1270"/>
      <c r="R349" s="1270"/>
      <c r="S349" s="1270"/>
      <c r="T349" s="1270"/>
      <c r="U349" s="1270"/>
      <c r="V349" s="1270"/>
    </row>
    <row r="350" spans="3:22" hidden="1">
      <c r="C350" s="1270"/>
      <c r="D350" s="1270"/>
      <c r="E350" s="1270"/>
      <c r="F350" s="1270"/>
      <c r="G350" s="1270"/>
      <c r="H350" s="1270"/>
      <c r="I350" s="1270"/>
      <c r="J350" s="1270"/>
      <c r="K350" s="1270"/>
      <c r="L350" s="1270"/>
      <c r="M350" s="1270"/>
      <c r="N350" s="1270"/>
      <c r="O350" s="1270"/>
      <c r="P350" s="1270"/>
      <c r="Q350" s="1270"/>
      <c r="R350" s="1270"/>
      <c r="S350" s="1270"/>
      <c r="T350" s="1270"/>
      <c r="U350" s="1270"/>
      <c r="V350" s="1270"/>
    </row>
    <row r="351" spans="3:22" hidden="1">
      <c r="C351" s="1270"/>
      <c r="D351" s="1270"/>
      <c r="E351" s="1270"/>
      <c r="F351" s="1270"/>
      <c r="G351" s="1270"/>
      <c r="H351" s="1270"/>
      <c r="I351" s="1270"/>
      <c r="J351" s="1270"/>
      <c r="K351" s="1270"/>
      <c r="L351" s="1270"/>
      <c r="M351" s="1270"/>
      <c r="N351" s="1270"/>
      <c r="O351" s="1270"/>
      <c r="P351" s="1270"/>
      <c r="Q351" s="1270"/>
      <c r="R351" s="1270"/>
      <c r="S351" s="1270"/>
      <c r="T351" s="1270"/>
      <c r="U351" s="1270"/>
      <c r="V351" s="1270"/>
    </row>
    <row r="352" spans="3:22" hidden="1">
      <c r="C352" s="1270"/>
      <c r="D352" s="1270"/>
      <c r="E352" s="1270"/>
      <c r="F352" s="1270"/>
      <c r="G352" s="1270"/>
      <c r="H352" s="1270"/>
      <c r="I352" s="1270"/>
      <c r="J352" s="1270"/>
      <c r="K352" s="1270"/>
      <c r="L352" s="1270"/>
      <c r="M352" s="1270"/>
      <c r="N352" s="1270"/>
      <c r="O352" s="1270"/>
      <c r="P352" s="1270"/>
      <c r="Q352" s="1270"/>
      <c r="R352" s="1270"/>
      <c r="S352" s="1270"/>
      <c r="T352" s="1270"/>
      <c r="U352" s="1270"/>
      <c r="V352" s="1270"/>
    </row>
    <row r="353" spans="3:22" hidden="1">
      <c r="C353" s="1270"/>
      <c r="D353" s="1270"/>
      <c r="E353" s="1270"/>
      <c r="F353" s="1270"/>
      <c r="G353" s="1270"/>
      <c r="H353" s="1270"/>
      <c r="I353" s="1270"/>
      <c r="J353" s="1270"/>
      <c r="K353" s="1270"/>
      <c r="L353" s="1270"/>
      <c r="M353" s="1270"/>
      <c r="N353" s="1270"/>
      <c r="O353" s="1270"/>
      <c r="P353" s="1270"/>
      <c r="Q353" s="1270"/>
      <c r="R353" s="1270"/>
      <c r="S353" s="1270"/>
      <c r="T353" s="1270"/>
      <c r="U353" s="1270"/>
      <c r="V353" s="1270"/>
    </row>
    <row r="354" spans="3:22" hidden="1">
      <c r="C354" s="1270"/>
      <c r="D354" s="1270"/>
      <c r="E354" s="1270"/>
      <c r="F354" s="1270"/>
      <c r="G354" s="1270"/>
      <c r="H354" s="1270"/>
      <c r="I354" s="1270"/>
      <c r="J354" s="1270"/>
      <c r="K354" s="1270"/>
      <c r="L354" s="1270"/>
      <c r="M354" s="1270"/>
      <c r="N354" s="1270"/>
      <c r="O354" s="1270"/>
      <c r="P354" s="1270"/>
      <c r="Q354" s="1270"/>
      <c r="R354" s="1270"/>
      <c r="S354" s="1270"/>
      <c r="T354" s="1270"/>
      <c r="U354" s="1270"/>
      <c r="V354" s="1270"/>
    </row>
    <row r="355" spans="3:22" hidden="1">
      <c r="C355" s="1270"/>
      <c r="D355" s="1270"/>
      <c r="E355" s="1270"/>
      <c r="F355" s="1270"/>
      <c r="G355" s="1270"/>
      <c r="H355" s="1270"/>
      <c r="I355" s="1270"/>
      <c r="J355" s="1270"/>
      <c r="K355" s="1270"/>
      <c r="L355" s="1270"/>
      <c r="M355" s="1270"/>
      <c r="N355" s="1270"/>
      <c r="O355" s="1270"/>
      <c r="P355" s="1270"/>
      <c r="Q355" s="1270"/>
      <c r="R355" s="1270"/>
      <c r="S355" s="1270"/>
      <c r="T355" s="1270"/>
      <c r="U355" s="1270"/>
      <c r="V355" s="1270"/>
    </row>
    <row r="356" spans="3:22" hidden="1">
      <c r="C356" s="1270"/>
      <c r="D356" s="1270"/>
      <c r="E356" s="1270"/>
      <c r="F356" s="1270"/>
      <c r="G356" s="1270"/>
      <c r="H356" s="1270"/>
      <c r="I356" s="1270"/>
      <c r="J356" s="1270"/>
      <c r="K356" s="1270"/>
      <c r="L356" s="1270"/>
      <c r="M356" s="1270"/>
      <c r="N356" s="1270"/>
      <c r="O356" s="1270"/>
      <c r="P356" s="1270"/>
      <c r="Q356" s="1270"/>
      <c r="R356" s="1270"/>
      <c r="S356" s="1270"/>
      <c r="T356" s="1270"/>
      <c r="U356" s="1270"/>
      <c r="V356" s="1270"/>
    </row>
    <row r="357" spans="3:22" hidden="1">
      <c r="C357" s="1270"/>
      <c r="D357" s="1270"/>
      <c r="E357" s="1270"/>
      <c r="F357" s="1270"/>
      <c r="G357" s="1270"/>
      <c r="H357" s="1270"/>
      <c r="I357" s="1270"/>
      <c r="J357" s="1270"/>
      <c r="K357" s="1270"/>
      <c r="L357" s="1270"/>
      <c r="M357" s="1270"/>
      <c r="N357" s="1270"/>
      <c r="O357" s="1270"/>
      <c r="P357" s="1270"/>
      <c r="Q357" s="1270"/>
      <c r="R357" s="1270"/>
      <c r="S357" s="1270"/>
      <c r="T357" s="1270"/>
      <c r="U357" s="1270"/>
      <c r="V357" s="1270"/>
    </row>
    <row r="358" spans="3:22" hidden="1">
      <c r="C358" s="1270"/>
      <c r="D358" s="1270"/>
      <c r="E358" s="1270"/>
      <c r="F358" s="1270"/>
      <c r="G358" s="1270"/>
      <c r="H358" s="1270"/>
      <c r="I358" s="1270"/>
      <c r="J358" s="1270"/>
      <c r="K358" s="1270"/>
      <c r="L358" s="1270"/>
      <c r="M358" s="1270"/>
      <c r="N358" s="1270"/>
      <c r="O358" s="1270"/>
      <c r="P358" s="1270"/>
      <c r="Q358" s="1270"/>
      <c r="R358" s="1270"/>
      <c r="S358" s="1270"/>
      <c r="T358" s="1270"/>
      <c r="U358" s="1270"/>
      <c r="V358" s="1270"/>
    </row>
    <row r="359" spans="3:22" hidden="1">
      <c r="C359" s="1270"/>
      <c r="D359" s="1270"/>
      <c r="E359" s="1270"/>
      <c r="F359" s="1270"/>
      <c r="G359" s="1270"/>
      <c r="H359" s="1270"/>
      <c r="I359" s="1270"/>
      <c r="J359" s="1270"/>
      <c r="K359" s="1270"/>
      <c r="L359" s="1270"/>
      <c r="M359" s="1270"/>
      <c r="N359" s="1270"/>
      <c r="O359" s="1270"/>
      <c r="P359" s="1270"/>
      <c r="Q359" s="1270"/>
      <c r="R359" s="1270"/>
      <c r="S359" s="1270"/>
      <c r="T359" s="1270"/>
      <c r="U359" s="1270"/>
      <c r="V359" s="1270"/>
    </row>
    <row r="360" spans="3:22" hidden="1">
      <c r="C360" s="1270"/>
      <c r="D360" s="1270"/>
      <c r="E360" s="1270"/>
      <c r="F360" s="1270"/>
      <c r="G360" s="1270"/>
      <c r="H360" s="1270"/>
      <c r="I360" s="1270"/>
      <c r="J360" s="1270"/>
      <c r="K360" s="1270"/>
      <c r="L360" s="1270"/>
      <c r="M360" s="1270"/>
      <c r="N360" s="1270"/>
      <c r="O360" s="1270"/>
      <c r="P360" s="1270"/>
      <c r="Q360" s="1270"/>
      <c r="R360" s="1270"/>
      <c r="S360" s="1270"/>
      <c r="T360" s="1270"/>
      <c r="U360" s="1270"/>
      <c r="V360" s="1270"/>
    </row>
    <row r="361" spans="3:22" hidden="1">
      <c r="C361" s="1270"/>
      <c r="D361" s="1270"/>
      <c r="E361" s="1270"/>
      <c r="F361" s="1270"/>
      <c r="G361" s="1270"/>
      <c r="H361" s="1270"/>
      <c r="I361" s="1270"/>
      <c r="J361" s="1270"/>
      <c r="K361" s="1270"/>
      <c r="L361" s="1270"/>
      <c r="M361" s="1270"/>
      <c r="N361" s="1270"/>
      <c r="O361" s="1270"/>
      <c r="P361" s="1270"/>
      <c r="Q361" s="1270"/>
      <c r="R361" s="1270"/>
      <c r="S361" s="1270"/>
      <c r="T361" s="1270"/>
      <c r="U361" s="1270"/>
      <c r="V361" s="1270"/>
    </row>
    <row r="362" spans="3:22" hidden="1">
      <c r="C362" s="1270"/>
      <c r="D362" s="1270"/>
      <c r="E362" s="1270"/>
      <c r="F362" s="1270"/>
      <c r="G362" s="1270"/>
      <c r="H362" s="1270"/>
      <c r="I362" s="1270"/>
      <c r="J362" s="1270"/>
      <c r="K362" s="1270"/>
      <c r="L362" s="1270"/>
      <c r="M362" s="1270"/>
      <c r="N362" s="1270"/>
      <c r="O362" s="1270"/>
      <c r="P362" s="1270"/>
      <c r="Q362" s="1270"/>
      <c r="R362" s="1270"/>
      <c r="S362" s="1270"/>
      <c r="T362" s="1270"/>
      <c r="U362" s="1270"/>
      <c r="V362" s="1270"/>
    </row>
    <row r="363" spans="3:22" hidden="1">
      <c r="C363" s="1270"/>
      <c r="D363" s="1270"/>
      <c r="E363" s="1270"/>
      <c r="F363" s="1270"/>
      <c r="G363" s="1270"/>
      <c r="H363" s="1270"/>
      <c r="I363" s="1270"/>
      <c r="J363" s="1270"/>
      <c r="K363" s="1270"/>
      <c r="L363" s="1270"/>
      <c r="M363" s="1270"/>
      <c r="N363" s="1270"/>
      <c r="O363" s="1270"/>
      <c r="P363" s="1270"/>
      <c r="Q363" s="1270"/>
      <c r="R363" s="1270"/>
      <c r="S363" s="1270"/>
      <c r="T363" s="1270"/>
      <c r="U363" s="1270"/>
      <c r="V363" s="1270"/>
    </row>
    <row r="364" spans="3:22" hidden="1">
      <c r="C364" s="1270"/>
      <c r="D364" s="1270"/>
      <c r="E364" s="1270"/>
      <c r="F364" s="1270"/>
      <c r="G364" s="1270"/>
      <c r="H364" s="1270"/>
      <c r="I364" s="1270"/>
      <c r="J364" s="1270"/>
      <c r="K364" s="1270"/>
      <c r="L364" s="1270"/>
      <c r="M364" s="1270"/>
      <c r="N364" s="1270"/>
      <c r="O364" s="1270"/>
      <c r="P364" s="1270"/>
      <c r="Q364" s="1270"/>
      <c r="R364" s="1270"/>
      <c r="S364" s="1270"/>
      <c r="T364" s="1270"/>
      <c r="U364" s="1270"/>
      <c r="V364" s="1270"/>
    </row>
    <row r="365" spans="3:22" hidden="1">
      <c r="C365" s="1270"/>
      <c r="D365" s="1270"/>
      <c r="E365" s="1270"/>
      <c r="F365" s="1270"/>
      <c r="G365" s="1270"/>
      <c r="H365" s="1270"/>
      <c r="I365" s="1270"/>
      <c r="J365" s="1270"/>
      <c r="K365" s="1270"/>
      <c r="L365" s="1270"/>
      <c r="M365" s="1270"/>
      <c r="N365" s="1270"/>
      <c r="O365" s="1270"/>
      <c r="P365" s="1270"/>
      <c r="Q365" s="1270"/>
      <c r="R365" s="1270"/>
      <c r="S365" s="1270"/>
      <c r="T365" s="1270"/>
      <c r="U365" s="1270"/>
      <c r="V365" s="1270"/>
    </row>
    <row r="366" spans="3:22" hidden="1">
      <c r="C366" s="1270"/>
      <c r="D366" s="1270"/>
      <c r="E366" s="1270"/>
      <c r="F366" s="1270"/>
      <c r="G366" s="1270"/>
      <c r="H366" s="1270"/>
      <c r="I366" s="1270"/>
      <c r="J366" s="1270"/>
      <c r="K366" s="1270"/>
      <c r="L366" s="1270"/>
      <c r="M366" s="1270"/>
      <c r="N366" s="1270"/>
      <c r="O366" s="1270"/>
      <c r="P366" s="1270"/>
      <c r="Q366" s="1270"/>
      <c r="R366" s="1270"/>
      <c r="S366" s="1270"/>
      <c r="T366" s="1270"/>
      <c r="U366" s="1270"/>
      <c r="V366" s="1270"/>
    </row>
    <row r="367" spans="3:22" hidden="1">
      <c r="C367" s="1270"/>
      <c r="D367" s="1270"/>
      <c r="E367" s="1270"/>
      <c r="F367" s="1270"/>
      <c r="G367" s="1270"/>
      <c r="H367" s="1270"/>
      <c r="I367" s="1270"/>
      <c r="J367" s="1270"/>
      <c r="K367" s="1270"/>
      <c r="L367" s="1270"/>
      <c r="M367" s="1270"/>
      <c r="N367" s="1270"/>
      <c r="O367" s="1270"/>
      <c r="P367" s="1270"/>
      <c r="Q367" s="1270"/>
      <c r="R367" s="1270"/>
      <c r="S367" s="1270"/>
      <c r="T367" s="1270"/>
      <c r="U367" s="1270"/>
      <c r="V367" s="1270"/>
    </row>
    <row r="368" spans="3:22" hidden="1">
      <c r="C368" s="1270"/>
      <c r="D368" s="1270"/>
      <c r="E368" s="1270"/>
      <c r="F368" s="1270"/>
      <c r="G368" s="1270"/>
      <c r="H368" s="1270"/>
      <c r="I368" s="1270"/>
      <c r="J368" s="1270"/>
      <c r="K368" s="1270"/>
      <c r="L368" s="1270"/>
      <c r="M368" s="1270"/>
      <c r="N368" s="1270"/>
      <c r="O368" s="1270"/>
      <c r="P368" s="1270"/>
      <c r="Q368" s="1270"/>
      <c r="R368" s="1270"/>
      <c r="S368" s="1270"/>
      <c r="T368" s="1270"/>
      <c r="U368" s="1270"/>
      <c r="V368" s="1270"/>
    </row>
    <row r="369" spans="3:22" hidden="1">
      <c r="C369" s="1270"/>
      <c r="D369" s="1270"/>
      <c r="E369" s="1270"/>
      <c r="F369" s="1270"/>
      <c r="G369" s="1270"/>
      <c r="H369" s="1270"/>
      <c r="I369" s="1270"/>
      <c r="J369" s="1270"/>
      <c r="K369" s="1270"/>
      <c r="L369" s="1270"/>
      <c r="M369" s="1270"/>
      <c r="N369" s="1270"/>
      <c r="O369" s="1270"/>
      <c r="P369" s="1270"/>
      <c r="Q369" s="1270"/>
      <c r="R369" s="1270"/>
      <c r="S369" s="1270"/>
      <c r="T369" s="1270"/>
      <c r="U369" s="1270"/>
      <c r="V369" s="1270"/>
    </row>
    <row r="370" spans="3:22" hidden="1">
      <c r="C370" s="1270"/>
      <c r="D370" s="1270"/>
      <c r="E370" s="1270"/>
      <c r="F370" s="1270"/>
      <c r="G370" s="1270"/>
      <c r="H370" s="1270"/>
      <c r="I370" s="1270"/>
      <c r="J370" s="1270"/>
      <c r="K370" s="1270"/>
      <c r="L370" s="1270"/>
      <c r="M370" s="1270"/>
      <c r="N370" s="1270"/>
      <c r="O370" s="1270"/>
      <c r="P370" s="1270"/>
      <c r="Q370" s="1270"/>
      <c r="R370" s="1270"/>
      <c r="S370" s="1270"/>
      <c r="T370" s="1270"/>
      <c r="U370" s="1270"/>
      <c r="V370" s="1270"/>
    </row>
    <row r="371" spans="3:22" hidden="1">
      <c r="C371" s="1270"/>
      <c r="D371" s="1270"/>
      <c r="E371" s="1270"/>
      <c r="F371" s="1270"/>
      <c r="G371" s="1270"/>
      <c r="H371" s="1270"/>
      <c r="I371" s="1270"/>
      <c r="J371" s="1270"/>
      <c r="K371" s="1270"/>
      <c r="L371" s="1270"/>
      <c r="M371" s="1270"/>
      <c r="N371" s="1270"/>
      <c r="O371" s="1270"/>
      <c r="P371" s="1270"/>
      <c r="Q371" s="1270"/>
      <c r="R371" s="1270"/>
      <c r="S371" s="1270"/>
      <c r="T371" s="1270"/>
      <c r="U371" s="1270"/>
      <c r="V371" s="1270"/>
    </row>
    <row r="372" spans="3:22" hidden="1">
      <c r="C372" s="1270"/>
      <c r="D372" s="1270"/>
      <c r="E372" s="1270"/>
      <c r="F372" s="1270"/>
      <c r="G372" s="1270"/>
      <c r="H372" s="1270"/>
      <c r="I372" s="1270"/>
      <c r="J372" s="1270"/>
      <c r="K372" s="1270"/>
      <c r="L372" s="1270"/>
      <c r="M372" s="1270"/>
      <c r="N372" s="1270"/>
      <c r="O372" s="1270"/>
      <c r="P372" s="1270"/>
      <c r="Q372" s="1270"/>
      <c r="R372" s="1270"/>
      <c r="S372" s="1270"/>
      <c r="T372" s="1270"/>
      <c r="U372" s="1270"/>
      <c r="V372" s="1270"/>
    </row>
    <row r="373" spans="3:22" hidden="1">
      <c r="C373" s="1270"/>
      <c r="D373" s="1270"/>
      <c r="E373" s="1270"/>
      <c r="F373" s="1270"/>
      <c r="G373" s="1270"/>
      <c r="H373" s="1270"/>
      <c r="I373" s="1270"/>
      <c r="J373" s="1270"/>
      <c r="K373" s="1270"/>
      <c r="L373" s="1270"/>
      <c r="M373" s="1270"/>
      <c r="N373" s="1270"/>
      <c r="O373" s="1270"/>
      <c r="P373" s="1270"/>
      <c r="Q373" s="1270"/>
      <c r="R373" s="1270"/>
      <c r="S373" s="1270"/>
      <c r="T373" s="1270"/>
      <c r="U373" s="1270"/>
      <c r="V373" s="1270"/>
    </row>
    <row r="374" spans="3:22" hidden="1">
      <c r="C374" s="1270"/>
      <c r="D374" s="1270"/>
      <c r="E374" s="1270"/>
      <c r="F374" s="1270"/>
      <c r="G374" s="1270"/>
      <c r="H374" s="1270"/>
      <c r="I374" s="1270"/>
      <c r="J374" s="1270"/>
      <c r="K374" s="1270"/>
      <c r="L374" s="1270"/>
      <c r="M374" s="1270"/>
      <c r="N374" s="1270"/>
      <c r="O374" s="1270"/>
      <c r="P374" s="1270"/>
      <c r="Q374" s="1270"/>
      <c r="R374" s="1270"/>
      <c r="S374" s="1270"/>
      <c r="T374" s="1270"/>
      <c r="U374" s="1270"/>
      <c r="V374" s="1270"/>
    </row>
    <row r="375" spans="3:22" hidden="1">
      <c r="C375" s="1270"/>
      <c r="D375" s="1270"/>
      <c r="E375" s="1270"/>
      <c r="F375" s="1270"/>
      <c r="G375" s="1270"/>
      <c r="H375" s="1270"/>
      <c r="I375" s="1270"/>
      <c r="J375" s="1270"/>
      <c r="K375" s="1270"/>
      <c r="L375" s="1270"/>
      <c r="M375" s="1270"/>
      <c r="N375" s="1270"/>
      <c r="O375" s="1270"/>
      <c r="P375" s="1270"/>
      <c r="Q375" s="1270"/>
      <c r="R375" s="1270"/>
      <c r="S375" s="1270"/>
      <c r="T375" s="1270"/>
      <c r="U375" s="1270"/>
      <c r="V375" s="1270"/>
    </row>
    <row r="376" spans="3:22" hidden="1">
      <c r="C376" s="1270"/>
      <c r="D376" s="1270"/>
      <c r="E376" s="1270"/>
      <c r="F376" s="1270"/>
      <c r="G376" s="1270"/>
      <c r="H376" s="1270"/>
      <c r="I376" s="1270"/>
      <c r="J376" s="1270"/>
      <c r="K376" s="1270"/>
      <c r="L376" s="1270"/>
      <c r="M376" s="1270"/>
      <c r="N376" s="1270"/>
      <c r="O376" s="1270"/>
      <c r="P376" s="1270"/>
      <c r="Q376" s="1270"/>
      <c r="R376" s="1270"/>
      <c r="S376" s="1270"/>
      <c r="T376" s="1270"/>
      <c r="U376" s="1270"/>
      <c r="V376" s="1270"/>
    </row>
    <row r="377" spans="3:22" hidden="1">
      <c r="C377" s="1270"/>
      <c r="D377" s="1270"/>
      <c r="E377" s="1270"/>
      <c r="F377" s="1270"/>
      <c r="G377" s="1270"/>
      <c r="H377" s="1270"/>
      <c r="I377" s="1270"/>
      <c r="J377" s="1270"/>
      <c r="K377" s="1270"/>
      <c r="L377" s="1270"/>
      <c r="M377" s="1270"/>
      <c r="N377" s="1270"/>
      <c r="O377" s="1270"/>
      <c r="P377" s="1270"/>
      <c r="Q377" s="1270"/>
      <c r="R377" s="1270"/>
      <c r="S377" s="1270"/>
      <c r="T377" s="1270"/>
      <c r="U377" s="1270"/>
      <c r="V377" s="1270"/>
    </row>
    <row r="378" spans="3:22" hidden="1">
      <c r="C378" s="1270"/>
      <c r="D378" s="1270"/>
      <c r="E378" s="1270"/>
      <c r="F378" s="1270"/>
      <c r="G378" s="1270"/>
      <c r="H378" s="1270"/>
      <c r="I378" s="1270"/>
      <c r="J378" s="1270"/>
      <c r="K378" s="1270"/>
      <c r="L378" s="1270"/>
      <c r="M378" s="1270"/>
      <c r="N378" s="1270"/>
      <c r="O378" s="1270"/>
      <c r="P378" s="1270"/>
      <c r="Q378" s="1270"/>
      <c r="R378" s="1270"/>
      <c r="S378" s="1270"/>
      <c r="T378" s="1270"/>
      <c r="U378" s="1270"/>
      <c r="V378" s="1270"/>
    </row>
    <row r="379" spans="3:22" hidden="1">
      <c r="C379" s="1270"/>
      <c r="D379" s="1270"/>
      <c r="E379" s="1270"/>
      <c r="F379" s="1270"/>
      <c r="G379" s="1270"/>
      <c r="H379" s="1270"/>
      <c r="I379" s="1270"/>
      <c r="J379" s="1270"/>
      <c r="K379" s="1270"/>
      <c r="L379" s="1270"/>
      <c r="M379" s="1270"/>
      <c r="N379" s="1270"/>
      <c r="O379" s="1270"/>
      <c r="P379" s="1270"/>
      <c r="Q379" s="1270"/>
      <c r="R379" s="1270"/>
      <c r="S379" s="1270"/>
      <c r="T379" s="1270"/>
      <c r="U379" s="1270"/>
      <c r="V379" s="1270"/>
    </row>
    <row r="380" spans="3:22" hidden="1">
      <c r="C380" s="1270"/>
      <c r="D380" s="1270"/>
      <c r="E380" s="1270"/>
      <c r="F380" s="1270"/>
      <c r="G380" s="1270"/>
      <c r="H380" s="1270"/>
      <c r="I380" s="1270"/>
      <c r="J380" s="1270"/>
      <c r="K380" s="1270"/>
      <c r="L380" s="1270"/>
      <c r="M380" s="1270"/>
      <c r="N380" s="1270"/>
      <c r="O380" s="1270"/>
      <c r="P380" s="1270"/>
      <c r="Q380" s="1270"/>
      <c r="R380" s="1270"/>
      <c r="S380" s="1270"/>
      <c r="T380" s="1270"/>
      <c r="U380" s="1270"/>
      <c r="V380" s="1270"/>
    </row>
    <row r="381" spans="3:22" hidden="1">
      <c r="C381" s="1270"/>
      <c r="D381" s="1270"/>
      <c r="E381" s="1270"/>
      <c r="F381" s="1270"/>
      <c r="G381" s="1270"/>
      <c r="H381" s="1270"/>
      <c r="I381" s="1270"/>
      <c r="J381" s="1270"/>
      <c r="K381" s="1270"/>
      <c r="L381" s="1270"/>
      <c r="M381" s="1270"/>
      <c r="N381" s="1270"/>
      <c r="O381" s="1270"/>
      <c r="P381" s="1270"/>
      <c r="Q381" s="1270"/>
      <c r="R381" s="1270"/>
      <c r="S381" s="1270"/>
      <c r="T381" s="1270"/>
      <c r="U381" s="1270"/>
      <c r="V381" s="1270"/>
    </row>
    <row r="382" spans="3:22" hidden="1">
      <c r="C382" s="1270"/>
      <c r="D382" s="1270"/>
      <c r="E382" s="1270"/>
      <c r="F382" s="1270"/>
      <c r="G382" s="1270"/>
      <c r="H382" s="1270"/>
      <c r="I382" s="1270"/>
      <c r="J382" s="1270"/>
      <c r="K382" s="1270"/>
      <c r="L382" s="1270"/>
      <c r="M382" s="1270"/>
      <c r="N382" s="1270"/>
      <c r="O382" s="1270"/>
      <c r="P382" s="1270"/>
      <c r="Q382" s="1270"/>
      <c r="R382" s="1270"/>
      <c r="S382" s="1270"/>
      <c r="T382" s="1270"/>
      <c r="U382" s="1270"/>
      <c r="V382" s="1270"/>
    </row>
    <row r="383" spans="3:22" hidden="1">
      <c r="C383" s="1270"/>
      <c r="D383" s="1270"/>
      <c r="E383" s="1270"/>
      <c r="F383" s="1270"/>
      <c r="G383" s="1270"/>
      <c r="H383" s="1270"/>
      <c r="I383" s="1270"/>
      <c r="J383" s="1270"/>
      <c r="K383" s="1270"/>
      <c r="L383" s="1270"/>
      <c r="M383" s="1270"/>
      <c r="N383" s="1270"/>
      <c r="O383" s="1270"/>
      <c r="P383" s="1270"/>
      <c r="Q383" s="1270"/>
      <c r="R383" s="1270"/>
      <c r="S383" s="1270"/>
      <c r="T383" s="1270"/>
      <c r="U383" s="1270"/>
      <c r="V383" s="1270"/>
    </row>
    <row r="384" spans="3:22" hidden="1">
      <c r="C384" s="1270"/>
      <c r="D384" s="1270"/>
      <c r="E384" s="1270"/>
      <c r="F384" s="1270"/>
      <c r="G384" s="1270"/>
      <c r="H384" s="1270"/>
      <c r="I384" s="1270"/>
      <c r="J384" s="1270"/>
      <c r="K384" s="1270"/>
      <c r="L384" s="1270"/>
      <c r="M384" s="1270"/>
      <c r="N384" s="1270"/>
      <c r="O384" s="1270"/>
      <c r="P384" s="1270"/>
      <c r="Q384" s="1270"/>
      <c r="R384" s="1270"/>
      <c r="S384" s="1270"/>
      <c r="T384" s="1270"/>
      <c r="U384" s="1270"/>
      <c r="V384" s="1270"/>
    </row>
    <row r="385" spans="3:22" hidden="1">
      <c r="C385" s="1270"/>
      <c r="D385" s="1270"/>
      <c r="E385" s="1270"/>
      <c r="F385" s="1270"/>
      <c r="G385" s="1270"/>
      <c r="H385" s="1270"/>
      <c r="I385" s="1270"/>
      <c r="J385" s="1270"/>
      <c r="K385" s="1270"/>
      <c r="L385" s="1270"/>
      <c r="M385" s="1270"/>
      <c r="N385" s="1270"/>
      <c r="O385" s="1270"/>
      <c r="P385" s="1270"/>
      <c r="Q385" s="1270"/>
      <c r="R385" s="1270"/>
      <c r="S385" s="1270"/>
      <c r="T385" s="1270"/>
      <c r="U385" s="1270"/>
      <c r="V385" s="1270"/>
    </row>
    <row r="386" spans="3:22" hidden="1">
      <c r="C386" s="1270"/>
      <c r="D386" s="1270"/>
      <c r="E386" s="1270"/>
      <c r="F386" s="1270"/>
      <c r="G386" s="1270"/>
      <c r="H386" s="1270"/>
      <c r="I386" s="1270"/>
      <c r="J386" s="1270"/>
      <c r="K386" s="1270"/>
      <c r="L386" s="1270"/>
      <c r="M386" s="1270"/>
      <c r="N386" s="1270"/>
      <c r="O386" s="1270"/>
      <c r="P386" s="1270"/>
      <c r="Q386" s="1270"/>
      <c r="R386" s="1270"/>
      <c r="S386" s="1270"/>
      <c r="T386" s="1270"/>
      <c r="U386" s="1270"/>
      <c r="V386" s="1270"/>
    </row>
    <row r="387" spans="3:22" hidden="1">
      <c r="C387" s="1270"/>
      <c r="D387" s="1270"/>
      <c r="E387" s="1270"/>
      <c r="F387" s="1270"/>
      <c r="G387" s="1270"/>
      <c r="H387" s="1270"/>
      <c r="I387" s="1270"/>
      <c r="J387" s="1270"/>
      <c r="K387" s="1270"/>
      <c r="L387" s="1270"/>
      <c r="M387" s="1270"/>
      <c r="N387" s="1270"/>
      <c r="O387" s="1270"/>
      <c r="P387" s="1270"/>
      <c r="Q387" s="1270"/>
      <c r="R387" s="1270"/>
      <c r="S387" s="1270"/>
      <c r="T387" s="1270"/>
      <c r="U387" s="1270"/>
      <c r="V387" s="1270"/>
    </row>
    <row r="388" spans="3:22" hidden="1">
      <c r="C388" s="1270"/>
      <c r="D388" s="1270"/>
      <c r="E388" s="1270"/>
      <c r="F388" s="1270"/>
      <c r="G388" s="1270"/>
      <c r="H388" s="1270"/>
      <c r="I388" s="1270"/>
      <c r="J388" s="1270"/>
      <c r="K388" s="1270"/>
      <c r="L388" s="1270"/>
      <c r="M388" s="1270"/>
      <c r="N388" s="1270"/>
      <c r="O388" s="1270"/>
      <c r="P388" s="1270"/>
      <c r="Q388" s="1270"/>
      <c r="R388" s="1270"/>
      <c r="S388" s="1270"/>
      <c r="T388" s="1270"/>
      <c r="U388" s="1270"/>
      <c r="V388" s="1270"/>
    </row>
    <row r="389" spans="3:22" hidden="1">
      <c r="C389" s="1270"/>
      <c r="D389" s="1270"/>
      <c r="E389" s="1270"/>
      <c r="F389" s="1270"/>
      <c r="G389" s="1270"/>
      <c r="H389" s="1270"/>
      <c r="I389" s="1270"/>
      <c r="J389" s="1270"/>
      <c r="K389" s="1270"/>
      <c r="L389" s="1270"/>
      <c r="M389" s="1270"/>
      <c r="N389" s="1270"/>
      <c r="O389" s="1270"/>
      <c r="P389" s="1270"/>
      <c r="Q389" s="1270"/>
      <c r="R389" s="1270"/>
      <c r="S389" s="1270"/>
      <c r="T389" s="1270"/>
      <c r="U389" s="1270"/>
      <c r="V389" s="1270"/>
    </row>
    <row r="390" spans="3:22" hidden="1">
      <c r="C390" s="1270"/>
      <c r="D390" s="1270"/>
      <c r="E390" s="1270"/>
      <c r="F390" s="1270"/>
      <c r="G390" s="1270"/>
      <c r="H390" s="1270"/>
      <c r="I390" s="1270"/>
      <c r="J390" s="1270"/>
      <c r="K390" s="1270"/>
      <c r="L390" s="1270"/>
      <c r="M390" s="1270"/>
      <c r="N390" s="1270"/>
      <c r="O390" s="1270"/>
      <c r="P390" s="1270"/>
      <c r="Q390" s="1270"/>
      <c r="R390" s="1270"/>
      <c r="S390" s="1270"/>
      <c r="T390" s="1270"/>
      <c r="U390" s="1270"/>
      <c r="V390" s="1270"/>
    </row>
    <row r="391" spans="3:22" hidden="1">
      <c r="C391" s="1270"/>
      <c r="D391" s="1270"/>
      <c r="E391" s="1270"/>
      <c r="F391" s="1270"/>
      <c r="G391" s="1270"/>
      <c r="H391" s="1270"/>
      <c r="I391" s="1270"/>
      <c r="J391" s="1270"/>
      <c r="K391" s="1270"/>
      <c r="L391" s="1270"/>
      <c r="M391" s="1270"/>
      <c r="N391" s="1270"/>
      <c r="O391" s="1270"/>
      <c r="P391" s="1270"/>
      <c r="Q391" s="1270"/>
      <c r="R391" s="1270"/>
      <c r="S391" s="1270"/>
      <c r="T391" s="1270"/>
      <c r="U391" s="1270"/>
      <c r="V391" s="1270"/>
    </row>
    <row r="392" spans="3:22" hidden="1">
      <c r="C392" s="1270"/>
      <c r="D392" s="1270"/>
      <c r="E392" s="1270"/>
      <c r="F392" s="1270"/>
      <c r="G392" s="1270"/>
      <c r="H392" s="1270"/>
      <c r="I392" s="1270"/>
      <c r="J392" s="1270"/>
      <c r="K392" s="1270"/>
      <c r="L392" s="1270"/>
      <c r="M392" s="1270"/>
      <c r="N392" s="1270"/>
      <c r="O392" s="1270"/>
      <c r="P392" s="1270"/>
      <c r="Q392" s="1270"/>
      <c r="R392" s="1270"/>
      <c r="S392" s="1270"/>
      <c r="T392" s="1270"/>
      <c r="U392" s="1270"/>
      <c r="V392" s="1270"/>
    </row>
    <row r="393" spans="3:22" hidden="1">
      <c r="C393" s="1270"/>
      <c r="D393" s="1270"/>
      <c r="E393" s="1270"/>
      <c r="F393" s="1270"/>
      <c r="G393" s="1270"/>
      <c r="H393" s="1270"/>
      <c r="I393" s="1270"/>
      <c r="J393" s="1270"/>
      <c r="K393" s="1270"/>
      <c r="L393" s="1270"/>
      <c r="M393" s="1270"/>
      <c r="N393" s="1270"/>
      <c r="O393" s="1270"/>
      <c r="P393" s="1270"/>
      <c r="Q393" s="1270"/>
      <c r="R393" s="1270"/>
      <c r="S393" s="1270"/>
      <c r="T393" s="1270"/>
      <c r="U393" s="1270"/>
      <c r="V393" s="1270"/>
    </row>
    <row r="394" spans="3:22" hidden="1">
      <c r="C394" s="1270"/>
      <c r="D394" s="1270"/>
      <c r="E394" s="1270"/>
      <c r="F394" s="1270"/>
      <c r="G394" s="1270"/>
      <c r="H394" s="1270"/>
      <c r="I394" s="1270"/>
      <c r="J394" s="1270"/>
      <c r="K394" s="1270"/>
      <c r="L394" s="1270"/>
      <c r="M394" s="1270"/>
      <c r="N394" s="1270"/>
      <c r="O394" s="1270"/>
      <c r="P394" s="1270"/>
      <c r="Q394" s="1270"/>
      <c r="R394" s="1270"/>
      <c r="S394" s="1270"/>
      <c r="T394" s="1270"/>
      <c r="U394" s="1270"/>
      <c r="V394" s="1270"/>
    </row>
    <row r="395" spans="3:22" hidden="1">
      <c r="C395" s="1270"/>
      <c r="D395" s="1270"/>
      <c r="E395" s="1270"/>
      <c r="F395" s="1270"/>
      <c r="G395" s="1270"/>
      <c r="H395" s="1270"/>
      <c r="I395" s="1270"/>
      <c r="J395" s="1270"/>
      <c r="K395" s="1270"/>
      <c r="L395" s="1270"/>
      <c r="M395" s="1270"/>
      <c r="N395" s="1270"/>
      <c r="O395" s="1270"/>
      <c r="P395" s="1270"/>
      <c r="Q395" s="1270"/>
      <c r="R395" s="1270"/>
      <c r="S395" s="1270"/>
      <c r="T395" s="1270"/>
      <c r="U395" s="1270"/>
      <c r="V395" s="1270"/>
    </row>
    <row r="396" spans="3:22" hidden="1">
      <c r="C396" s="1270"/>
      <c r="D396" s="1270"/>
      <c r="E396" s="1270"/>
      <c r="F396" s="1270"/>
      <c r="G396" s="1270"/>
      <c r="H396" s="1270"/>
      <c r="I396" s="1270"/>
      <c r="J396" s="1270"/>
      <c r="K396" s="1270"/>
      <c r="L396" s="1270"/>
      <c r="M396" s="1270"/>
      <c r="N396" s="1270"/>
      <c r="O396" s="1270"/>
      <c r="P396" s="1270"/>
      <c r="Q396" s="1270"/>
      <c r="R396" s="1270"/>
      <c r="S396" s="1270"/>
      <c r="T396" s="1270"/>
      <c r="U396" s="1270"/>
      <c r="V396" s="1270"/>
    </row>
    <row r="397" spans="3:22" hidden="1">
      <c r="C397" s="1270"/>
      <c r="D397" s="1270"/>
      <c r="E397" s="1270"/>
      <c r="F397" s="1270"/>
      <c r="G397" s="1270"/>
      <c r="H397" s="1270"/>
      <c r="I397" s="1270"/>
      <c r="J397" s="1270"/>
      <c r="K397" s="1270"/>
      <c r="L397" s="1270"/>
      <c r="M397" s="1270"/>
      <c r="N397" s="1270"/>
      <c r="O397" s="1270"/>
      <c r="P397" s="1270"/>
      <c r="Q397" s="1270"/>
      <c r="R397" s="1270"/>
      <c r="S397" s="1270"/>
      <c r="T397" s="1270"/>
      <c r="U397" s="1270"/>
      <c r="V397" s="1270"/>
    </row>
    <row r="398" spans="3:22" hidden="1">
      <c r="C398" s="1270"/>
      <c r="D398" s="1270"/>
      <c r="E398" s="1270"/>
      <c r="F398" s="1270"/>
      <c r="G398" s="1270"/>
      <c r="H398" s="1270"/>
      <c r="I398" s="1270"/>
      <c r="J398" s="1270"/>
      <c r="K398" s="1270"/>
      <c r="L398" s="1270"/>
      <c r="M398" s="1270"/>
      <c r="N398" s="1270"/>
      <c r="O398" s="1270"/>
      <c r="P398" s="1270"/>
      <c r="Q398" s="1270"/>
      <c r="R398" s="1270"/>
      <c r="S398" s="1270"/>
      <c r="T398" s="1270"/>
      <c r="U398" s="1270"/>
      <c r="V398" s="1270"/>
    </row>
    <row r="399" spans="3:22" hidden="1">
      <c r="C399" s="1270"/>
      <c r="D399" s="1270"/>
      <c r="E399" s="1270"/>
      <c r="F399" s="1270"/>
      <c r="G399" s="1270"/>
      <c r="H399" s="1270"/>
      <c r="I399" s="1270"/>
      <c r="J399" s="1270"/>
      <c r="K399" s="1270"/>
      <c r="L399" s="1270"/>
      <c r="M399" s="1270"/>
      <c r="N399" s="1270"/>
      <c r="O399" s="1270"/>
      <c r="P399" s="1270"/>
      <c r="Q399" s="1270"/>
      <c r="R399" s="1270"/>
      <c r="S399" s="1270"/>
      <c r="T399" s="1270"/>
      <c r="U399" s="1270"/>
      <c r="V399" s="1270"/>
    </row>
    <row r="400" spans="3:22" hidden="1">
      <c r="C400" s="1270"/>
      <c r="D400" s="1270"/>
      <c r="E400" s="1270"/>
      <c r="F400" s="1270"/>
      <c r="G400" s="1270"/>
      <c r="H400" s="1270"/>
      <c r="I400" s="1270"/>
      <c r="J400" s="1270"/>
      <c r="K400" s="1270"/>
      <c r="L400" s="1270"/>
      <c r="M400" s="1270"/>
      <c r="N400" s="1270"/>
      <c r="O400" s="1270"/>
      <c r="P400" s="1270"/>
      <c r="Q400" s="1270"/>
      <c r="R400" s="1270"/>
      <c r="S400" s="1270"/>
      <c r="T400" s="1270"/>
      <c r="U400" s="1270"/>
      <c r="V400" s="1270"/>
    </row>
    <row r="401" spans="3:22" hidden="1">
      <c r="C401" s="1270"/>
      <c r="D401" s="1270"/>
      <c r="E401" s="1270"/>
      <c r="F401" s="1270"/>
      <c r="G401" s="1270"/>
      <c r="H401" s="1270"/>
      <c r="I401" s="1270"/>
      <c r="J401" s="1270"/>
      <c r="K401" s="1270"/>
      <c r="L401" s="1270"/>
      <c r="M401" s="1270"/>
      <c r="N401" s="1270"/>
      <c r="O401" s="1270"/>
      <c r="P401" s="1270"/>
      <c r="Q401" s="1270"/>
      <c r="R401" s="1270"/>
      <c r="S401" s="1270"/>
      <c r="T401" s="1270"/>
      <c r="U401" s="1270"/>
      <c r="V401" s="1270"/>
    </row>
    <row r="402" spans="3:22" hidden="1">
      <c r="C402" s="1270"/>
      <c r="D402" s="1270"/>
      <c r="E402" s="1270"/>
      <c r="F402" s="1270"/>
      <c r="G402" s="1270"/>
      <c r="H402" s="1270"/>
      <c r="I402" s="1270"/>
      <c r="J402" s="1270"/>
      <c r="K402" s="1270"/>
      <c r="L402" s="1270"/>
      <c r="M402" s="1270"/>
      <c r="N402" s="1270"/>
      <c r="O402" s="1270"/>
      <c r="P402" s="1270"/>
      <c r="Q402" s="1270"/>
      <c r="R402" s="1270"/>
      <c r="S402" s="1270"/>
      <c r="T402" s="1270"/>
      <c r="U402" s="1270"/>
      <c r="V402" s="1270"/>
    </row>
    <row r="403" spans="3:22" hidden="1">
      <c r="C403" s="1270"/>
      <c r="D403" s="1270"/>
      <c r="E403" s="1270"/>
      <c r="F403" s="1270"/>
      <c r="G403" s="1270"/>
      <c r="H403" s="1270"/>
      <c r="I403" s="1270"/>
      <c r="J403" s="1270"/>
      <c r="K403" s="1270"/>
      <c r="L403" s="1270"/>
      <c r="M403" s="1270"/>
      <c r="N403" s="1270"/>
      <c r="O403" s="1270"/>
      <c r="P403" s="1270"/>
      <c r="Q403" s="1270"/>
      <c r="R403" s="1270"/>
      <c r="S403" s="1270"/>
      <c r="T403" s="1270"/>
      <c r="U403" s="1270"/>
      <c r="V403" s="1270"/>
    </row>
    <row r="404" spans="3:22" hidden="1">
      <c r="C404" s="1270"/>
      <c r="D404" s="1270"/>
      <c r="E404" s="1270"/>
      <c r="F404" s="1270"/>
      <c r="G404" s="1270"/>
      <c r="H404" s="1270"/>
      <c r="I404" s="1270"/>
      <c r="J404" s="1270"/>
      <c r="K404" s="1270"/>
      <c r="L404" s="1270"/>
      <c r="M404" s="1270"/>
      <c r="N404" s="1270"/>
      <c r="O404" s="1270"/>
      <c r="P404" s="1270"/>
      <c r="Q404" s="1270"/>
      <c r="R404" s="1270"/>
      <c r="S404" s="1270"/>
      <c r="T404" s="1270"/>
      <c r="U404" s="1270"/>
      <c r="V404" s="1270"/>
    </row>
    <row r="405" spans="3:22" hidden="1">
      <c r="C405" s="1270"/>
      <c r="D405" s="1270"/>
      <c r="E405" s="1270"/>
      <c r="F405" s="1270"/>
      <c r="G405" s="1270"/>
      <c r="H405" s="1270"/>
      <c r="I405" s="1270"/>
      <c r="J405" s="1270"/>
      <c r="K405" s="1270"/>
      <c r="L405" s="1270"/>
      <c r="M405" s="1270"/>
      <c r="N405" s="1270"/>
      <c r="O405" s="1270"/>
      <c r="P405" s="1270"/>
      <c r="Q405" s="1270"/>
      <c r="R405" s="1270"/>
      <c r="S405" s="1270"/>
      <c r="T405" s="1270"/>
      <c r="U405" s="1270"/>
      <c r="V405" s="1270"/>
    </row>
    <row r="406" spans="3:22" hidden="1">
      <c r="C406" s="1270"/>
      <c r="D406" s="1270"/>
      <c r="E406" s="1270"/>
      <c r="F406" s="1270"/>
      <c r="G406" s="1270"/>
      <c r="H406" s="1270"/>
      <c r="I406" s="1270"/>
      <c r="J406" s="1270"/>
      <c r="K406" s="1270"/>
      <c r="L406" s="1270"/>
      <c r="M406" s="1270"/>
      <c r="N406" s="1270"/>
      <c r="O406" s="1270"/>
      <c r="P406" s="1270"/>
      <c r="Q406" s="1270"/>
      <c r="R406" s="1270"/>
      <c r="S406" s="1270"/>
      <c r="T406" s="1270"/>
      <c r="U406" s="1270"/>
      <c r="V406" s="1270"/>
    </row>
    <row r="407" spans="3:22" hidden="1">
      <c r="C407" s="1270"/>
      <c r="D407" s="1270"/>
      <c r="E407" s="1270"/>
      <c r="F407" s="1270"/>
      <c r="G407" s="1270"/>
      <c r="H407" s="1270"/>
      <c r="I407" s="1270"/>
      <c r="J407" s="1270"/>
      <c r="K407" s="1270"/>
      <c r="L407" s="1270"/>
      <c r="M407" s="1270"/>
      <c r="N407" s="1270"/>
      <c r="O407" s="1270"/>
      <c r="P407" s="1270"/>
      <c r="Q407" s="1270"/>
      <c r="R407" s="1270"/>
      <c r="S407" s="1270"/>
      <c r="T407" s="1270"/>
      <c r="U407" s="1270"/>
      <c r="V407" s="1270"/>
    </row>
    <row r="408" spans="3:22" hidden="1">
      <c r="C408" s="1270"/>
      <c r="D408" s="1270"/>
      <c r="E408" s="1270"/>
      <c r="F408" s="1270"/>
      <c r="G408" s="1270"/>
      <c r="H408" s="1270"/>
      <c r="I408" s="1270"/>
      <c r="J408" s="1270"/>
      <c r="K408" s="1270"/>
      <c r="L408" s="1270"/>
      <c r="M408" s="1270"/>
      <c r="N408" s="1270"/>
      <c r="O408" s="1270"/>
      <c r="P408" s="1270"/>
      <c r="Q408" s="1270"/>
      <c r="R408" s="1270"/>
      <c r="S408" s="1270"/>
      <c r="T408" s="1270"/>
      <c r="U408" s="1270"/>
      <c r="V408" s="1270"/>
    </row>
    <row r="409" spans="3:22" hidden="1">
      <c r="C409" s="1270"/>
      <c r="D409" s="1270"/>
      <c r="E409" s="1270"/>
      <c r="F409" s="1270"/>
      <c r="G409" s="1270"/>
      <c r="H409" s="1270"/>
      <c r="I409" s="1270"/>
      <c r="J409" s="1270"/>
      <c r="K409" s="1270"/>
      <c r="L409" s="1270"/>
      <c r="M409" s="1270"/>
      <c r="N409" s="1270"/>
      <c r="O409" s="1270"/>
      <c r="P409" s="1270"/>
      <c r="Q409" s="1270"/>
      <c r="R409" s="1270"/>
      <c r="S409" s="1270"/>
      <c r="T409" s="1270"/>
      <c r="U409" s="1270"/>
      <c r="V409" s="1270"/>
    </row>
    <row r="410" spans="3:22" hidden="1">
      <c r="C410" s="1270"/>
      <c r="D410" s="1270"/>
      <c r="E410" s="1270"/>
      <c r="F410" s="1270"/>
      <c r="G410" s="1270"/>
      <c r="H410" s="1270"/>
      <c r="I410" s="1270"/>
      <c r="J410" s="1270"/>
      <c r="K410" s="1270"/>
      <c r="L410" s="1270"/>
      <c r="M410" s="1270"/>
      <c r="N410" s="1270"/>
      <c r="O410" s="1270"/>
      <c r="P410" s="1270"/>
      <c r="Q410" s="1270"/>
      <c r="R410" s="1270"/>
      <c r="S410" s="1270"/>
      <c r="T410" s="1270"/>
      <c r="U410" s="1270"/>
      <c r="V410" s="1270"/>
    </row>
    <row r="411" spans="3:22" hidden="1">
      <c r="C411" s="1270"/>
      <c r="D411" s="1270"/>
      <c r="E411" s="1270"/>
      <c r="F411" s="1270"/>
      <c r="G411" s="1270"/>
      <c r="H411" s="1270"/>
      <c r="I411" s="1270"/>
      <c r="J411" s="1270"/>
      <c r="K411" s="1270"/>
      <c r="L411" s="1270"/>
      <c r="M411" s="1270"/>
      <c r="N411" s="1270"/>
      <c r="O411" s="1270"/>
      <c r="P411" s="1270"/>
      <c r="Q411" s="1270"/>
      <c r="R411" s="1270"/>
      <c r="S411" s="1270"/>
      <c r="T411" s="1270"/>
      <c r="U411" s="1270"/>
      <c r="V411" s="1270"/>
    </row>
    <row r="412" spans="3:22" hidden="1">
      <c r="C412" s="1270"/>
      <c r="D412" s="1270"/>
      <c r="E412" s="1270"/>
      <c r="F412" s="1270"/>
      <c r="G412" s="1270"/>
      <c r="H412" s="1270"/>
      <c r="I412" s="1270"/>
      <c r="J412" s="1270"/>
      <c r="K412" s="1270"/>
      <c r="L412" s="1270"/>
      <c r="M412" s="1270"/>
      <c r="N412" s="1270"/>
      <c r="O412" s="1270"/>
      <c r="P412" s="1270"/>
      <c r="Q412" s="1270"/>
      <c r="R412" s="1270"/>
      <c r="S412" s="1270"/>
      <c r="T412" s="1270"/>
      <c r="U412" s="1270"/>
      <c r="V412" s="1270"/>
    </row>
    <row r="413" spans="3:22" hidden="1">
      <c r="C413" s="1270"/>
      <c r="D413" s="1270"/>
      <c r="E413" s="1270"/>
      <c r="F413" s="1270"/>
      <c r="G413" s="1270"/>
      <c r="H413" s="1270"/>
      <c r="I413" s="1270"/>
      <c r="J413" s="1270"/>
      <c r="K413" s="1270"/>
      <c r="L413" s="1270"/>
      <c r="M413" s="1270"/>
      <c r="N413" s="1270"/>
      <c r="O413" s="1270"/>
      <c r="P413" s="1270"/>
      <c r="Q413" s="1270"/>
      <c r="R413" s="1270"/>
      <c r="S413" s="1270"/>
      <c r="T413" s="1270"/>
      <c r="U413" s="1270"/>
      <c r="V413" s="1270"/>
    </row>
    <row r="414" spans="3:22" hidden="1">
      <c r="C414" s="1270"/>
      <c r="D414" s="1270"/>
      <c r="E414" s="1270"/>
      <c r="F414" s="1270"/>
      <c r="G414" s="1270"/>
      <c r="H414" s="1270"/>
      <c r="I414" s="1270"/>
      <c r="J414" s="1270"/>
      <c r="K414" s="1270"/>
      <c r="L414" s="1270"/>
      <c r="M414" s="1270"/>
      <c r="N414" s="1270"/>
      <c r="O414" s="1270"/>
      <c r="P414" s="1270"/>
      <c r="Q414" s="1270"/>
      <c r="R414" s="1270"/>
      <c r="S414" s="1270"/>
      <c r="T414" s="1270"/>
      <c r="U414" s="1270"/>
      <c r="V414" s="1270"/>
    </row>
    <row r="415" spans="3:22" hidden="1">
      <c r="C415" s="1270"/>
      <c r="D415" s="1270"/>
      <c r="E415" s="1270"/>
      <c r="F415" s="1270"/>
      <c r="G415" s="1270"/>
      <c r="H415" s="1270"/>
      <c r="I415" s="1270"/>
      <c r="J415" s="1270"/>
      <c r="K415" s="1270"/>
      <c r="L415" s="1270"/>
      <c r="M415" s="1270"/>
      <c r="N415" s="1270"/>
      <c r="O415" s="1270"/>
      <c r="P415" s="1270"/>
      <c r="Q415" s="1270"/>
      <c r="R415" s="1270"/>
      <c r="S415" s="1270"/>
      <c r="T415" s="1270"/>
      <c r="U415" s="1270"/>
      <c r="V415" s="1270"/>
    </row>
    <row r="416" spans="3:22" hidden="1">
      <c r="C416" s="1270"/>
      <c r="D416" s="1270"/>
      <c r="E416" s="1270"/>
      <c r="F416" s="1270"/>
      <c r="G416" s="1270"/>
      <c r="H416" s="1270"/>
      <c r="I416" s="1270"/>
      <c r="J416" s="1270"/>
      <c r="K416" s="1270"/>
      <c r="L416" s="1270"/>
      <c r="M416" s="1270"/>
      <c r="N416" s="1270"/>
      <c r="O416" s="1270"/>
      <c r="P416" s="1270"/>
      <c r="Q416" s="1270"/>
      <c r="R416" s="1270"/>
      <c r="S416" s="1270"/>
      <c r="T416" s="1270"/>
      <c r="U416" s="1270"/>
      <c r="V416" s="1270"/>
    </row>
    <row r="417" spans="3:22" hidden="1">
      <c r="C417" s="1270"/>
      <c r="D417" s="1270"/>
      <c r="E417" s="1270"/>
      <c r="F417" s="1270"/>
      <c r="G417" s="1270"/>
      <c r="H417" s="1270"/>
      <c r="I417" s="1270"/>
      <c r="J417" s="1270"/>
      <c r="K417" s="1270"/>
      <c r="L417" s="1270"/>
      <c r="M417" s="1270"/>
      <c r="N417" s="1270"/>
      <c r="O417" s="1270"/>
      <c r="P417" s="1270"/>
      <c r="Q417" s="1270"/>
      <c r="R417" s="1270"/>
      <c r="S417" s="1270"/>
      <c r="T417" s="1270"/>
      <c r="U417" s="1270"/>
      <c r="V417" s="1270"/>
    </row>
    <row r="418" spans="3:22" hidden="1">
      <c r="C418" s="1270"/>
      <c r="D418" s="1270"/>
      <c r="E418" s="1270"/>
      <c r="F418" s="1270"/>
      <c r="G418" s="1270"/>
      <c r="H418" s="1270"/>
      <c r="I418" s="1270"/>
      <c r="J418" s="1270"/>
      <c r="K418" s="1270"/>
      <c r="L418" s="1270"/>
      <c r="M418" s="1270"/>
      <c r="N418" s="1270"/>
      <c r="O418" s="1270"/>
      <c r="P418" s="1270"/>
      <c r="Q418" s="1270"/>
      <c r="R418" s="1270"/>
      <c r="S418" s="1270"/>
      <c r="T418" s="1270"/>
      <c r="U418" s="1270"/>
      <c r="V418" s="1270"/>
    </row>
    <row r="419" spans="3:22" hidden="1">
      <c r="C419" s="1270"/>
      <c r="D419" s="1270"/>
      <c r="E419" s="1270"/>
      <c r="F419" s="1270"/>
      <c r="G419" s="1270"/>
      <c r="H419" s="1270"/>
      <c r="I419" s="1270"/>
      <c r="J419" s="1270"/>
      <c r="K419" s="1270"/>
      <c r="L419" s="1270"/>
      <c r="M419" s="1270"/>
      <c r="N419" s="1270"/>
      <c r="O419" s="1270"/>
      <c r="P419" s="1270"/>
      <c r="Q419" s="1270"/>
      <c r="R419" s="1270"/>
      <c r="S419" s="1270"/>
      <c r="T419" s="1270"/>
      <c r="U419" s="1270"/>
      <c r="V419" s="1270"/>
    </row>
    <row r="420" spans="3:22" hidden="1">
      <c r="C420" s="1270"/>
      <c r="D420" s="1270"/>
      <c r="E420" s="1270"/>
      <c r="F420" s="1270"/>
      <c r="G420" s="1270"/>
      <c r="H420" s="1270"/>
      <c r="I420" s="1270"/>
      <c r="J420" s="1270"/>
      <c r="K420" s="1270"/>
      <c r="L420" s="1270"/>
      <c r="M420" s="1270"/>
      <c r="N420" s="1270"/>
      <c r="O420" s="1270"/>
      <c r="P420" s="1270"/>
      <c r="Q420" s="1270"/>
      <c r="R420" s="1270"/>
      <c r="S420" s="1270"/>
      <c r="T420" s="1270"/>
      <c r="U420" s="1270"/>
      <c r="V420" s="1270"/>
    </row>
    <row r="421" spans="3:22" hidden="1">
      <c r="C421" s="1270"/>
      <c r="D421" s="1270"/>
      <c r="E421" s="1270"/>
      <c r="F421" s="1270"/>
      <c r="G421" s="1270"/>
      <c r="H421" s="1270"/>
      <c r="I421" s="1270"/>
      <c r="J421" s="1270"/>
      <c r="K421" s="1270"/>
      <c r="L421" s="1270"/>
      <c r="M421" s="1270"/>
      <c r="N421" s="1270"/>
      <c r="O421" s="1270"/>
      <c r="P421" s="1270"/>
      <c r="Q421" s="1270"/>
      <c r="R421" s="1270"/>
      <c r="S421" s="1270"/>
      <c r="T421" s="1270"/>
      <c r="U421" s="1270"/>
      <c r="V421" s="1270"/>
    </row>
    <row r="422" spans="3:22" hidden="1">
      <c r="C422" s="1270"/>
      <c r="D422" s="1270"/>
      <c r="E422" s="1270"/>
      <c r="F422" s="1270"/>
      <c r="G422" s="1270"/>
      <c r="H422" s="1270"/>
      <c r="I422" s="1270"/>
      <c r="J422" s="1270"/>
      <c r="K422" s="1270"/>
      <c r="L422" s="1270"/>
      <c r="M422" s="1270"/>
      <c r="N422" s="1270"/>
      <c r="O422" s="1270"/>
      <c r="P422" s="1270"/>
      <c r="Q422" s="1270"/>
      <c r="R422" s="1270"/>
      <c r="S422" s="1270"/>
      <c r="T422" s="1270"/>
      <c r="U422" s="1270"/>
      <c r="V422" s="1270"/>
    </row>
    <row r="423" spans="3:22" hidden="1">
      <c r="C423" s="1270"/>
      <c r="D423" s="1270"/>
      <c r="E423" s="1270"/>
      <c r="F423" s="1270"/>
      <c r="G423" s="1270"/>
      <c r="H423" s="1270"/>
      <c r="I423" s="1270"/>
      <c r="J423" s="1270"/>
      <c r="K423" s="1270"/>
      <c r="L423" s="1270"/>
      <c r="M423" s="1270"/>
      <c r="N423" s="1270"/>
      <c r="O423" s="1270"/>
      <c r="P423" s="1270"/>
      <c r="Q423" s="1270"/>
      <c r="R423" s="1270"/>
      <c r="S423" s="1270"/>
      <c r="T423" s="1270"/>
      <c r="U423" s="1270"/>
      <c r="V423" s="1270"/>
    </row>
    <row r="424" spans="3:22" hidden="1">
      <c r="C424" s="1270"/>
      <c r="D424" s="1270"/>
      <c r="E424" s="1270"/>
      <c r="F424" s="1270"/>
      <c r="G424" s="1270"/>
      <c r="H424" s="1270"/>
      <c r="I424" s="1270"/>
      <c r="J424" s="1270"/>
      <c r="K424" s="1270"/>
      <c r="L424" s="1270"/>
      <c r="M424" s="1270"/>
      <c r="N424" s="1270"/>
      <c r="O424" s="1270"/>
      <c r="P424" s="1270"/>
      <c r="Q424" s="1270"/>
      <c r="R424" s="1270"/>
      <c r="S424" s="1270"/>
      <c r="T424" s="1270"/>
      <c r="U424" s="1270"/>
      <c r="V424" s="1270"/>
    </row>
    <row r="425" spans="3:22" hidden="1">
      <c r="C425" s="1270"/>
      <c r="D425" s="1270"/>
      <c r="E425" s="1270"/>
      <c r="F425" s="1270"/>
      <c r="G425" s="1270"/>
      <c r="H425" s="1270"/>
      <c r="I425" s="1270"/>
      <c r="J425" s="1270"/>
      <c r="K425" s="1270"/>
      <c r="L425" s="1270"/>
      <c r="M425" s="1270"/>
      <c r="N425" s="1270"/>
      <c r="O425" s="1270"/>
      <c r="P425" s="1270"/>
      <c r="Q425" s="1270"/>
      <c r="R425" s="1270"/>
      <c r="S425" s="1270"/>
      <c r="T425" s="1270"/>
      <c r="U425" s="1270"/>
      <c r="V425" s="1270"/>
    </row>
    <row r="426" spans="3:22" hidden="1">
      <c r="C426" s="1270"/>
      <c r="D426" s="1270"/>
      <c r="E426" s="1270"/>
      <c r="F426" s="1270"/>
      <c r="G426" s="1270"/>
      <c r="H426" s="1270"/>
      <c r="I426" s="1270"/>
      <c r="J426" s="1270"/>
      <c r="K426" s="1270"/>
      <c r="L426" s="1270"/>
      <c r="M426" s="1270"/>
      <c r="N426" s="1270"/>
      <c r="O426" s="1270"/>
      <c r="P426" s="1270"/>
      <c r="Q426" s="1270"/>
      <c r="R426" s="1270"/>
      <c r="S426" s="1270"/>
      <c r="T426" s="1270"/>
      <c r="U426" s="1270"/>
      <c r="V426" s="1270"/>
    </row>
    <row r="427" spans="3:22" hidden="1">
      <c r="C427" s="1270"/>
      <c r="D427" s="1270"/>
      <c r="E427" s="1270"/>
      <c r="F427" s="1270"/>
      <c r="G427" s="1270"/>
      <c r="H427" s="1270"/>
      <c r="I427" s="1270"/>
      <c r="J427" s="1270"/>
      <c r="K427" s="1270"/>
      <c r="L427" s="1270"/>
      <c r="M427" s="1270"/>
      <c r="N427" s="1270"/>
      <c r="O427" s="1270"/>
      <c r="P427" s="1270"/>
      <c r="Q427" s="1270"/>
      <c r="R427" s="1270"/>
      <c r="S427" s="1270"/>
      <c r="T427" s="1270"/>
      <c r="U427" s="1270"/>
      <c r="V427" s="1270"/>
    </row>
    <row r="428" spans="3:22" hidden="1">
      <c r="C428" s="1270"/>
      <c r="D428" s="1270"/>
      <c r="E428" s="1270"/>
      <c r="F428" s="1270"/>
      <c r="G428" s="1270"/>
      <c r="H428" s="1270"/>
      <c r="I428" s="1270"/>
      <c r="J428" s="1270"/>
      <c r="K428" s="1270"/>
      <c r="L428" s="1270"/>
      <c r="M428" s="1270"/>
      <c r="N428" s="1270"/>
      <c r="O428" s="1270"/>
      <c r="P428" s="1270"/>
      <c r="Q428" s="1270"/>
      <c r="R428" s="1270"/>
      <c r="S428" s="1270"/>
      <c r="T428" s="1270"/>
      <c r="U428" s="1270"/>
      <c r="V428" s="1270"/>
    </row>
    <row r="429" spans="3:22" hidden="1">
      <c r="C429" s="1270"/>
      <c r="D429" s="1270"/>
      <c r="E429" s="1270"/>
      <c r="F429" s="1270"/>
      <c r="G429" s="1270"/>
      <c r="H429" s="1270"/>
      <c r="I429" s="1270"/>
      <c r="J429" s="1270"/>
      <c r="K429" s="1270"/>
      <c r="L429" s="1270"/>
      <c r="M429" s="1270"/>
      <c r="N429" s="1270"/>
      <c r="O429" s="1270"/>
      <c r="P429" s="1270"/>
      <c r="Q429" s="1270"/>
      <c r="R429" s="1270"/>
      <c r="S429" s="1270"/>
      <c r="T429" s="1270"/>
      <c r="U429" s="1270"/>
      <c r="V429" s="1270"/>
    </row>
    <row r="430" spans="3:22" hidden="1">
      <c r="C430" s="1270"/>
      <c r="D430" s="1270"/>
      <c r="E430" s="1270"/>
      <c r="F430" s="1270"/>
      <c r="G430" s="1270"/>
      <c r="H430" s="1270"/>
      <c r="I430" s="1270"/>
      <c r="J430" s="1270"/>
      <c r="K430" s="1270"/>
      <c r="L430" s="1270"/>
      <c r="M430" s="1270"/>
      <c r="N430" s="1270"/>
      <c r="O430" s="1270"/>
      <c r="P430" s="1270"/>
      <c r="Q430" s="1270"/>
      <c r="R430" s="1270"/>
      <c r="S430" s="1270"/>
      <c r="T430" s="1270"/>
      <c r="U430" s="1270"/>
      <c r="V430" s="1270"/>
    </row>
    <row r="431" spans="3:22" hidden="1">
      <c r="C431" s="1270"/>
      <c r="D431" s="1270"/>
      <c r="E431" s="1270"/>
      <c r="F431" s="1270"/>
      <c r="G431" s="1270"/>
      <c r="H431" s="1270"/>
      <c r="I431" s="1270"/>
      <c r="J431" s="1270"/>
      <c r="K431" s="1270"/>
      <c r="L431" s="1270"/>
      <c r="M431" s="1270"/>
      <c r="N431" s="1270"/>
      <c r="O431" s="1270"/>
      <c r="P431" s="1270"/>
      <c r="Q431" s="1270"/>
      <c r="R431" s="1270"/>
      <c r="S431" s="1270"/>
      <c r="T431" s="1270"/>
      <c r="U431" s="1270"/>
      <c r="V431" s="1270"/>
    </row>
    <row r="432" spans="3:22" hidden="1">
      <c r="C432" s="1270"/>
      <c r="D432" s="1270"/>
      <c r="E432" s="1270"/>
      <c r="F432" s="1270"/>
      <c r="G432" s="1270"/>
      <c r="H432" s="1270"/>
      <c r="I432" s="1270"/>
      <c r="J432" s="1270"/>
      <c r="K432" s="1270"/>
      <c r="L432" s="1270"/>
      <c r="M432" s="1270"/>
      <c r="N432" s="1270"/>
      <c r="O432" s="1270"/>
      <c r="P432" s="1270"/>
      <c r="Q432" s="1270"/>
      <c r="R432" s="1270"/>
      <c r="S432" s="1270"/>
      <c r="T432" s="1270"/>
      <c r="U432" s="1270"/>
      <c r="V432" s="1270"/>
    </row>
    <row r="433" spans="3:22" hidden="1">
      <c r="C433" s="1270"/>
      <c r="D433" s="1270"/>
      <c r="E433" s="1270"/>
      <c r="F433" s="1270"/>
      <c r="G433" s="1270"/>
      <c r="H433" s="1270"/>
      <c r="I433" s="1270"/>
      <c r="J433" s="1270"/>
      <c r="K433" s="1270"/>
      <c r="L433" s="1270"/>
      <c r="M433" s="1270"/>
      <c r="N433" s="1270"/>
      <c r="O433" s="1270"/>
      <c r="P433" s="1270"/>
      <c r="Q433" s="1270"/>
      <c r="R433" s="1270"/>
      <c r="S433" s="1270"/>
      <c r="T433" s="1270"/>
      <c r="U433" s="1270"/>
      <c r="V433" s="1270"/>
    </row>
    <row r="434" spans="3:22" hidden="1">
      <c r="C434" s="1270"/>
      <c r="D434" s="1270"/>
      <c r="E434" s="1270"/>
      <c r="F434" s="1270"/>
      <c r="G434" s="1270"/>
      <c r="H434" s="1270"/>
      <c r="I434" s="1270"/>
      <c r="J434" s="1270"/>
      <c r="K434" s="1270"/>
      <c r="L434" s="1270"/>
      <c r="M434" s="1270"/>
      <c r="N434" s="1270"/>
      <c r="O434" s="1270"/>
      <c r="P434" s="1270"/>
      <c r="Q434" s="1270"/>
      <c r="R434" s="1270"/>
      <c r="S434" s="1270"/>
      <c r="T434" s="1270"/>
      <c r="U434" s="1270"/>
      <c r="V434" s="1270"/>
    </row>
    <row r="435" spans="3:22" hidden="1">
      <c r="C435" s="1270"/>
      <c r="D435" s="1270"/>
      <c r="E435" s="1270"/>
      <c r="F435" s="1270"/>
      <c r="G435" s="1270"/>
      <c r="H435" s="1270"/>
      <c r="I435" s="1270"/>
      <c r="J435" s="1270"/>
      <c r="K435" s="1270"/>
      <c r="L435" s="1270"/>
      <c r="M435" s="1270"/>
      <c r="N435" s="1270"/>
      <c r="O435" s="1270"/>
      <c r="P435" s="1270"/>
      <c r="Q435" s="1270"/>
      <c r="R435" s="1270"/>
      <c r="S435" s="1270"/>
      <c r="T435" s="1270"/>
      <c r="U435" s="1270"/>
      <c r="V435" s="1270"/>
    </row>
    <row r="436" spans="3:22" hidden="1">
      <c r="C436" s="1270"/>
      <c r="D436" s="1270"/>
      <c r="E436" s="1270"/>
      <c r="F436" s="1270"/>
      <c r="G436" s="1270"/>
      <c r="H436" s="1270"/>
      <c r="I436" s="1270"/>
      <c r="J436" s="1270"/>
      <c r="K436" s="1270"/>
      <c r="L436" s="1270"/>
      <c r="M436" s="1270"/>
      <c r="N436" s="1270"/>
      <c r="O436" s="1270"/>
      <c r="P436" s="1270"/>
      <c r="Q436" s="1270"/>
      <c r="R436" s="1270"/>
      <c r="S436" s="1270"/>
      <c r="T436" s="1270"/>
      <c r="U436" s="1270"/>
      <c r="V436" s="1270"/>
    </row>
    <row r="437" spans="3:22" hidden="1">
      <c r="C437" s="1270"/>
      <c r="D437" s="1270"/>
      <c r="E437" s="1270"/>
      <c r="F437" s="1270"/>
      <c r="G437" s="1270"/>
      <c r="H437" s="1270"/>
      <c r="I437" s="1270"/>
      <c r="J437" s="1270"/>
      <c r="K437" s="1270"/>
      <c r="L437" s="1270"/>
      <c r="M437" s="1270"/>
      <c r="N437" s="1270"/>
      <c r="O437" s="1270"/>
      <c r="P437" s="1270"/>
      <c r="Q437" s="1270"/>
      <c r="R437" s="1270"/>
      <c r="S437" s="1270"/>
      <c r="T437" s="1270"/>
      <c r="U437" s="1270"/>
      <c r="V437" s="1270"/>
    </row>
    <row r="438" spans="3:22" hidden="1">
      <c r="C438" s="1270"/>
      <c r="D438" s="1270"/>
      <c r="E438" s="1270"/>
      <c r="F438" s="1270"/>
      <c r="G438" s="1270"/>
      <c r="H438" s="1270"/>
      <c r="I438" s="1270"/>
      <c r="J438" s="1270"/>
      <c r="K438" s="1270"/>
      <c r="L438" s="1270"/>
      <c r="M438" s="1270"/>
      <c r="N438" s="1270"/>
      <c r="O438" s="1270"/>
      <c r="P438" s="1270"/>
      <c r="Q438" s="1270"/>
      <c r="R438" s="1270"/>
      <c r="S438" s="1270"/>
      <c r="T438" s="1270"/>
      <c r="U438" s="1270"/>
      <c r="V438" s="1270"/>
    </row>
    <row r="439" spans="3:22" hidden="1">
      <c r="C439" s="1270"/>
      <c r="D439" s="1270"/>
      <c r="E439" s="1270"/>
      <c r="F439" s="1270"/>
      <c r="G439" s="1270"/>
      <c r="H439" s="1270"/>
      <c r="I439" s="1270"/>
      <c r="J439" s="1270"/>
      <c r="K439" s="1270"/>
      <c r="L439" s="1270"/>
      <c r="M439" s="1270"/>
      <c r="N439" s="1270"/>
      <c r="O439" s="1270"/>
      <c r="P439" s="1270"/>
      <c r="Q439" s="1270"/>
      <c r="R439" s="1270"/>
      <c r="S439" s="1270"/>
      <c r="T439" s="1270"/>
      <c r="U439" s="1270"/>
      <c r="V439" s="1270"/>
    </row>
    <row r="440" spans="3:22" hidden="1">
      <c r="C440" s="1270"/>
      <c r="D440" s="1270"/>
      <c r="E440" s="1270"/>
      <c r="F440" s="1270"/>
      <c r="G440" s="1270"/>
      <c r="H440" s="1270"/>
      <c r="I440" s="1270"/>
      <c r="J440" s="1270"/>
      <c r="K440" s="1270"/>
      <c r="L440" s="1270"/>
      <c r="M440" s="1270"/>
      <c r="N440" s="1270"/>
      <c r="O440" s="1270"/>
      <c r="P440" s="1270"/>
      <c r="Q440" s="1270"/>
      <c r="R440" s="1270"/>
      <c r="S440" s="1270"/>
      <c r="T440" s="1270"/>
      <c r="U440" s="1270"/>
      <c r="V440" s="1270"/>
    </row>
    <row r="441" spans="3:22" hidden="1">
      <c r="C441" s="1270"/>
      <c r="D441" s="1270"/>
      <c r="E441" s="1270"/>
      <c r="F441" s="1270"/>
      <c r="G441" s="1270"/>
      <c r="H441" s="1270"/>
      <c r="I441" s="1270"/>
      <c r="J441" s="1270"/>
      <c r="K441" s="1270"/>
      <c r="L441" s="1270"/>
      <c r="M441" s="1270"/>
      <c r="N441" s="1270"/>
      <c r="O441" s="1270"/>
      <c r="P441" s="1270"/>
      <c r="Q441" s="1270"/>
      <c r="R441" s="1270"/>
      <c r="S441" s="1270"/>
      <c r="T441" s="1270"/>
      <c r="U441" s="1270"/>
      <c r="V441" s="1270"/>
    </row>
    <row r="442" spans="3:22" hidden="1">
      <c r="C442" s="1270"/>
      <c r="D442" s="1270"/>
      <c r="E442" s="1270"/>
      <c r="F442" s="1270"/>
      <c r="G442" s="1270"/>
      <c r="H442" s="1270"/>
      <c r="I442" s="1270"/>
      <c r="J442" s="1270"/>
      <c r="K442" s="1270"/>
      <c r="L442" s="1270"/>
      <c r="M442" s="1270"/>
      <c r="N442" s="1270"/>
      <c r="O442" s="1270"/>
      <c r="P442" s="1270"/>
      <c r="Q442" s="1270"/>
      <c r="R442" s="1270"/>
      <c r="S442" s="1270"/>
      <c r="T442" s="1270"/>
      <c r="U442" s="1270"/>
      <c r="V442" s="1270"/>
    </row>
    <row r="443" spans="3:22" hidden="1">
      <c r="C443" s="1270"/>
      <c r="D443" s="1270"/>
      <c r="E443" s="1270"/>
      <c r="F443" s="1270"/>
      <c r="G443" s="1270"/>
      <c r="H443" s="1270"/>
      <c r="I443" s="1270"/>
      <c r="J443" s="1270"/>
      <c r="K443" s="1270"/>
      <c r="L443" s="1270"/>
      <c r="M443" s="1270"/>
      <c r="N443" s="1270"/>
      <c r="O443" s="1270"/>
      <c r="P443" s="1270"/>
      <c r="Q443" s="1270"/>
      <c r="R443" s="1270"/>
      <c r="S443" s="1270"/>
      <c r="T443" s="1270"/>
      <c r="U443" s="1270"/>
      <c r="V443" s="1270"/>
    </row>
    <row r="444" spans="3:22" hidden="1">
      <c r="C444" s="1270"/>
      <c r="D444" s="1270"/>
      <c r="E444" s="1270"/>
      <c r="F444" s="1270"/>
      <c r="G444" s="1270"/>
      <c r="H444" s="1270"/>
      <c r="I444" s="1270"/>
      <c r="J444" s="1270"/>
      <c r="K444" s="1270"/>
      <c r="L444" s="1270"/>
      <c r="M444" s="1270"/>
      <c r="N444" s="1270"/>
      <c r="O444" s="1270"/>
      <c r="P444" s="1270"/>
      <c r="Q444" s="1270"/>
      <c r="R444" s="1270"/>
      <c r="S444" s="1270"/>
      <c r="T444" s="1270"/>
      <c r="U444" s="1270"/>
      <c r="V444" s="1270"/>
    </row>
    <row r="445" spans="3:22" hidden="1">
      <c r="C445" s="1270"/>
      <c r="D445" s="1270"/>
      <c r="E445" s="1270"/>
      <c r="F445" s="1270"/>
      <c r="G445" s="1270"/>
      <c r="H445" s="1270"/>
      <c r="I445" s="1270"/>
      <c r="J445" s="1270"/>
      <c r="K445" s="1270"/>
      <c r="L445" s="1270"/>
      <c r="M445" s="1270"/>
      <c r="N445" s="1270"/>
      <c r="O445" s="1270"/>
      <c r="P445" s="1270"/>
      <c r="Q445" s="1270"/>
      <c r="R445" s="1270"/>
      <c r="S445" s="1270"/>
      <c r="T445" s="1270"/>
      <c r="U445" s="1270"/>
      <c r="V445" s="1270"/>
    </row>
    <row r="446" spans="3:22" hidden="1">
      <c r="C446" s="1270"/>
      <c r="D446" s="1270"/>
      <c r="E446" s="1270"/>
      <c r="F446" s="1270"/>
      <c r="G446" s="1270"/>
      <c r="H446" s="1270"/>
      <c r="I446" s="1270"/>
      <c r="J446" s="1270"/>
      <c r="K446" s="1270"/>
      <c r="L446" s="1270"/>
      <c r="M446" s="1270"/>
      <c r="N446" s="1270"/>
      <c r="O446" s="1270"/>
      <c r="P446" s="1270"/>
      <c r="Q446" s="1270"/>
      <c r="R446" s="1270"/>
      <c r="S446" s="1270"/>
      <c r="T446" s="1270"/>
      <c r="U446" s="1270"/>
      <c r="V446" s="1270"/>
    </row>
    <row r="447" spans="3:22" hidden="1">
      <c r="C447" s="1270"/>
      <c r="D447" s="1270"/>
      <c r="E447" s="1270"/>
      <c r="F447" s="1270"/>
      <c r="G447" s="1270"/>
      <c r="H447" s="1270"/>
      <c r="I447" s="1270"/>
      <c r="J447" s="1270"/>
      <c r="K447" s="1270"/>
      <c r="L447" s="1270"/>
      <c r="M447" s="1270"/>
      <c r="N447" s="1270"/>
      <c r="O447" s="1270"/>
      <c r="P447" s="1270"/>
      <c r="Q447" s="1270"/>
      <c r="R447" s="1270"/>
      <c r="S447" s="1270"/>
      <c r="T447" s="1270"/>
      <c r="U447" s="1270"/>
      <c r="V447" s="1270"/>
    </row>
    <row r="448" spans="3:22" hidden="1">
      <c r="C448" s="1270"/>
      <c r="D448" s="1270"/>
      <c r="E448" s="1270"/>
      <c r="F448" s="1270"/>
      <c r="G448" s="1270"/>
      <c r="H448" s="1270"/>
      <c r="I448" s="1270"/>
      <c r="J448" s="1270"/>
      <c r="K448" s="1270"/>
      <c r="L448" s="1270"/>
      <c r="M448" s="1270"/>
      <c r="N448" s="1270"/>
      <c r="O448" s="1270"/>
      <c r="P448" s="1270"/>
      <c r="Q448" s="1270"/>
      <c r="R448" s="1270"/>
      <c r="S448" s="1270"/>
      <c r="T448" s="1270"/>
      <c r="U448" s="1270"/>
      <c r="V448" s="1270"/>
    </row>
    <row r="449" spans="3:22" hidden="1">
      <c r="C449" s="1270"/>
      <c r="D449" s="1270"/>
      <c r="E449" s="1270"/>
      <c r="F449" s="1270"/>
      <c r="G449" s="1270"/>
      <c r="H449" s="1270"/>
      <c r="I449" s="1270"/>
      <c r="J449" s="1270"/>
      <c r="K449" s="1270"/>
      <c r="L449" s="1270"/>
      <c r="M449" s="1270"/>
      <c r="N449" s="1270"/>
      <c r="O449" s="1270"/>
      <c r="P449" s="1270"/>
      <c r="Q449" s="1270"/>
      <c r="R449" s="1270"/>
      <c r="S449" s="1270"/>
      <c r="T449" s="1270"/>
      <c r="U449" s="1270"/>
      <c r="V449" s="1270"/>
    </row>
    <row r="450" spans="3:22" hidden="1">
      <c r="C450" s="1270"/>
      <c r="D450" s="1270"/>
      <c r="E450" s="1270"/>
      <c r="F450" s="1270"/>
      <c r="G450" s="1270"/>
      <c r="H450" s="1270"/>
      <c r="I450" s="1270"/>
      <c r="J450" s="1270"/>
      <c r="K450" s="1270"/>
      <c r="L450" s="1270"/>
      <c r="M450" s="1270"/>
      <c r="N450" s="1270"/>
      <c r="O450" s="1270"/>
      <c r="P450" s="1270"/>
      <c r="Q450" s="1270"/>
      <c r="R450" s="1270"/>
      <c r="S450" s="1270"/>
      <c r="T450" s="1270"/>
      <c r="U450" s="1270"/>
      <c r="V450" s="1270"/>
    </row>
    <row r="451" spans="3:22" hidden="1">
      <c r="C451" s="1270"/>
      <c r="D451" s="1270"/>
      <c r="E451" s="1270"/>
      <c r="F451" s="1270"/>
      <c r="G451" s="1270"/>
      <c r="H451" s="1270"/>
      <c r="I451" s="1270"/>
      <c r="J451" s="1270"/>
      <c r="K451" s="1270"/>
      <c r="L451" s="1270"/>
      <c r="M451" s="1270"/>
      <c r="N451" s="1270"/>
      <c r="O451" s="1270"/>
      <c r="P451" s="1270"/>
      <c r="Q451" s="1270"/>
      <c r="R451" s="1270"/>
      <c r="S451" s="1270"/>
      <c r="T451" s="1270"/>
      <c r="U451" s="1270"/>
      <c r="V451" s="1270"/>
    </row>
    <row r="452" spans="3:22" hidden="1">
      <c r="C452" s="1270"/>
      <c r="D452" s="1270"/>
      <c r="E452" s="1270"/>
      <c r="F452" s="1270"/>
      <c r="G452" s="1270"/>
      <c r="H452" s="1270"/>
      <c r="I452" s="1270"/>
      <c r="J452" s="1270"/>
      <c r="K452" s="1270"/>
      <c r="L452" s="1270"/>
      <c r="M452" s="1270"/>
      <c r="N452" s="1270"/>
      <c r="O452" s="1270"/>
      <c r="P452" s="1270"/>
      <c r="Q452" s="1270"/>
      <c r="R452" s="1270"/>
      <c r="S452" s="1270"/>
      <c r="T452" s="1270"/>
      <c r="U452" s="1270"/>
      <c r="V452" s="1270"/>
    </row>
    <row r="453" spans="3:22" hidden="1">
      <c r="C453" s="1270"/>
      <c r="D453" s="1270"/>
      <c r="E453" s="1270"/>
      <c r="F453" s="1270"/>
      <c r="G453" s="1270"/>
      <c r="H453" s="1270"/>
      <c r="I453" s="1270"/>
      <c r="J453" s="1270"/>
      <c r="K453" s="1270"/>
      <c r="L453" s="1270"/>
      <c r="M453" s="1270"/>
      <c r="N453" s="1270"/>
      <c r="O453" s="1270"/>
      <c r="P453" s="1270"/>
      <c r="Q453" s="1270"/>
      <c r="R453" s="1270"/>
      <c r="S453" s="1270"/>
      <c r="T453" s="1270"/>
      <c r="U453" s="1270"/>
      <c r="V453" s="1270"/>
    </row>
    <row r="454" spans="3:22" hidden="1">
      <c r="C454" s="1270"/>
      <c r="D454" s="1270"/>
      <c r="E454" s="1270"/>
      <c r="F454" s="1270"/>
      <c r="G454" s="1270"/>
      <c r="H454" s="1270"/>
      <c r="I454" s="1270"/>
      <c r="J454" s="1270"/>
      <c r="K454" s="1270"/>
      <c r="L454" s="1270"/>
      <c r="M454" s="1270"/>
      <c r="N454" s="1270"/>
      <c r="O454" s="1270"/>
      <c r="P454" s="1270"/>
      <c r="Q454" s="1270"/>
      <c r="R454" s="1270"/>
      <c r="S454" s="1270"/>
      <c r="T454" s="1270"/>
      <c r="U454" s="1270"/>
      <c r="V454" s="1270"/>
    </row>
    <row r="455" spans="3:22" hidden="1">
      <c r="C455" s="1270"/>
      <c r="D455" s="1270"/>
      <c r="E455" s="1270"/>
      <c r="F455" s="1270"/>
      <c r="G455" s="1270"/>
      <c r="H455" s="1270"/>
      <c r="I455" s="1270"/>
      <c r="J455" s="1270"/>
      <c r="K455" s="1270"/>
      <c r="L455" s="1270"/>
      <c r="M455" s="1270"/>
      <c r="N455" s="1270"/>
      <c r="O455" s="1270"/>
      <c r="P455" s="1270"/>
      <c r="Q455" s="1270"/>
      <c r="R455" s="1270"/>
      <c r="S455" s="1270"/>
      <c r="T455" s="1270"/>
      <c r="U455" s="1270"/>
      <c r="V455" s="1270"/>
    </row>
    <row r="456" spans="3:22" hidden="1">
      <c r="C456" s="1270"/>
      <c r="D456" s="1270"/>
      <c r="E456" s="1270"/>
      <c r="F456" s="1270"/>
      <c r="G456" s="1270"/>
      <c r="H456" s="1270"/>
      <c r="I456" s="1270"/>
      <c r="J456" s="1270"/>
      <c r="K456" s="1270"/>
      <c r="L456" s="1270"/>
      <c r="M456" s="1270"/>
      <c r="N456" s="1270"/>
      <c r="O456" s="1270"/>
      <c r="P456" s="1270"/>
      <c r="Q456" s="1270"/>
      <c r="R456" s="1270"/>
      <c r="S456" s="1270"/>
      <c r="T456" s="1270"/>
      <c r="U456" s="1270"/>
      <c r="V456" s="1270"/>
    </row>
    <row r="457" spans="3:22" hidden="1">
      <c r="C457" s="1270"/>
      <c r="D457" s="1270"/>
      <c r="E457" s="1270"/>
      <c r="F457" s="1270"/>
      <c r="G457" s="1270"/>
      <c r="H457" s="1270"/>
      <c r="I457" s="1270"/>
      <c r="J457" s="1270"/>
      <c r="K457" s="1270"/>
      <c r="L457" s="1270"/>
      <c r="M457" s="1270"/>
      <c r="N457" s="1270"/>
      <c r="O457" s="1270"/>
      <c r="P457" s="1270"/>
      <c r="Q457" s="1270"/>
      <c r="R457" s="1270"/>
      <c r="S457" s="1270"/>
      <c r="T457" s="1270"/>
      <c r="U457" s="1270"/>
      <c r="V457" s="1270"/>
    </row>
    <row r="458" spans="3:22" hidden="1">
      <c r="C458" s="1270"/>
      <c r="D458" s="1270"/>
      <c r="E458" s="1270"/>
      <c r="F458" s="1270"/>
      <c r="G458" s="1270"/>
      <c r="H458" s="1270"/>
      <c r="I458" s="1270"/>
      <c r="J458" s="1270"/>
      <c r="K458" s="1270"/>
      <c r="L458" s="1270"/>
      <c r="M458" s="1270"/>
      <c r="N458" s="1270"/>
      <c r="O458" s="1270"/>
      <c r="P458" s="1270"/>
      <c r="Q458" s="1270"/>
      <c r="R458" s="1270"/>
      <c r="S458" s="1270"/>
      <c r="T458" s="1270"/>
      <c r="U458" s="1270"/>
      <c r="V458" s="1270"/>
    </row>
    <row r="459" spans="3:22" hidden="1">
      <c r="C459" s="1270"/>
      <c r="D459" s="1270"/>
      <c r="E459" s="1270"/>
      <c r="F459" s="1270"/>
      <c r="G459" s="1270"/>
      <c r="H459" s="1270"/>
      <c r="I459" s="1270"/>
      <c r="J459" s="1270"/>
      <c r="K459" s="1270"/>
      <c r="L459" s="1270"/>
      <c r="M459" s="1270"/>
      <c r="N459" s="1270"/>
      <c r="O459" s="1270"/>
      <c r="P459" s="1270"/>
      <c r="Q459" s="1270"/>
      <c r="R459" s="1270"/>
      <c r="S459" s="1270"/>
      <c r="T459" s="1270"/>
      <c r="U459" s="1270"/>
      <c r="V459" s="1270"/>
    </row>
    <row r="460" spans="3:22" hidden="1">
      <c r="C460" s="1270"/>
      <c r="D460" s="1270"/>
      <c r="E460" s="1270"/>
      <c r="F460" s="1270"/>
      <c r="G460" s="1270"/>
      <c r="H460" s="1270"/>
      <c r="I460" s="1270"/>
      <c r="J460" s="1270"/>
      <c r="K460" s="1270"/>
      <c r="L460" s="1270"/>
      <c r="M460" s="1270"/>
      <c r="N460" s="1270"/>
      <c r="O460" s="1270"/>
      <c r="P460" s="1270"/>
      <c r="Q460" s="1270"/>
      <c r="R460" s="1270"/>
      <c r="S460" s="1270"/>
      <c r="T460" s="1270"/>
      <c r="U460" s="1270"/>
      <c r="V460" s="1270"/>
    </row>
    <row r="461" spans="3:22" hidden="1">
      <c r="C461" s="1270"/>
      <c r="D461" s="1270"/>
      <c r="E461" s="1270"/>
      <c r="F461" s="1270"/>
      <c r="G461" s="1270"/>
      <c r="H461" s="1270"/>
      <c r="I461" s="1270"/>
      <c r="J461" s="1270"/>
      <c r="K461" s="1270"/>
      <c r="L461" s="1270"/>
      <c r="M461" s="1270"/>
      <c r="N461" s="1270"/>
      <c r="O461" s="1270"/>
      <c r="P461" s="1270"/>
      <c r="Q461" s="1270"/>
      <c r="R461" s="1270"/>
      <c r="S461" s="1270"/>
      <c r="T461" s="1270"/>
      <c r="U461" s="1270"/>
      <c r="V461" s="1270"/>
    </row>
    <row r="462" spans="3:22" hidden="1">
      <c r="C462" s="1270"/>
      <c r="D462" s="1270"/>
      <c r="E462" s="1270"/>
      <c r="F462" s="1270"/>
      <c r="G462" s="1270"/>
      <c r="H462" s="1270"/>
      <c r="I462" s="1270"/>
      <c r="J462" s="1270"/>
      <c r="K462" s="1270"/>
      <c r="L462" s="1270"/>
      <c r="M462" s="1270"/>
      <c r="N462" s="1270"/>
      <c r="O462" s="1270"/>
      <c r="P462" s="1270"/>
      <c r="Q462" s="1270"/>
      <c r="R462" s="1270"/>
      <c r="S462" s="1270"/>
      <c r="T462" s="1270"/>
      <c r="U462" s="1270"/>
      <c r="V462" s="1270"/>
    </row>
    <row r="463" spans="3:22" hidden="1">
      <c r="C463" s="1270"/>
      <c r="D463" s="1270"/>
      <c r="E463" s="1270"/>
      <c r="F463" s="1270"/>
      <c r="G463" s="1270"/>
      <c r="H463" s="1270"/>
      <c r="I463" s="1270"/>
      <c r="J463" s="1270"/>
      <c r="K463" s="1270"/>
      <c r="L463" s="1270"/>
      <c r="M463" s="1270"/>
      <c r="N463" s="1270"/>
      <c r="O463" s="1270"/>
      <c r="P463" s="1270"/>
      <c r="Q463" s="1270"/>
      <c r="R463" s="1270"/>
      <c r="S463" s="1270"/>
      <c r="T463" s="1270"/>
      <c r="U463" s="1270"/>
      <c r="V463" s="1270"/>
    </row>
    <row r="464" spans="3:22" hidden="1">
      <c r="C464" s="1270"/>
      <c r="D464" s="1270"/>
      <c r="E464" s="1270"/>
      <c r="F464" s="1270"/>
      <c r="G464" s="1270"/>
      <c r="H464" s="1270"/>
      <c r="I464" s="1270"/>
      <c r="J464" s="1270"/>
      <c r="K464" s="1270"/>
      <c r="L464" s="1270"/>
      <c r="M464" s="1270"/>
      <c r="N464" s="1270"/>
      <c r="O464" s="1270"/>
      <c r="P464" s="1270"/>
      <c r="Q464" s="1270"/>
      <c r="R464" s="1270"/>
      <c r="S464" s="1270"/>
      <c r="T464" s="1270"/>
      <c r="U464" s="1270"/>
      <c r="V464" s="1270"/>
    </row>
    <row r="465" spans="3:22" hidden="1">
      <c r="C465" s="1270"/>
      <c r="D465" s="1270"/>
      <c r="E465" s="1270"/>
      <c r="F465" s="1270"/>
      <c r="G465" s="1270"/>
      <c r="H465" s="1270"/>
      <c r="I465" s="1270"/>
      <c r="J465" s="1270"/>
      <c r="K465" s="1270"/>
      <c r="L465" s="1270"/>
      <c r="M465" s="1270"/>
      <c r="N465" s="1270"/>
      <c r="O465" s="1270"/>
      <c r="P465" s="1270"/>
      <c r="Q465" s="1270"/>
      <c r="R465" s="1270"/>
      <c r="S465" s="1270"/>
      <c r="T465" s="1270"/>
      <c r="U465" s="1270"/>
      <c r="V465" s="1270"/>
    </row>
    <row r="466" spans="3:22" hidden="1">
      <c r="C466" s="1270"/>
      <c r="D466" s="1270"/>
      <c r="E466" s="1270"/>
      <c r="F466" s="1270"/>
      <c r="G466" s="1270"/>
      <c r="H466" s="1270"/>
      <c r="I466" s="1270"/>
      <c r="J466" s="1270"/>
      <c r="K466" s="1270"/>
      <c r="L466" s="1270"/>
      <c r="M466" s="1270"/>
      <c r="N466" s="1270"/>
      <c r="O466" s="1270"/>
      <c r="P466" s="1270"/>
      <c r="Q466" s="1270"/>
      <c r="R466" s="1270"/>
      <c r="S466" s="1270"/>
      <c r="T466" s="1270"/>
      <c r="U466" s="1270"/>
      <c r="V466" s="1270"/>
    </row>
    <row r="467" spans="3:22" hidden="1">
      <c r="C467" s="1270"/>
      <c r="D467" s="1270"/>
      <c r="E467" s="1270"/>
      <c r="F467" s="1270"/>
      <c r="G467" s="1270"/>
      <c r="H467" s="1270"/>
      <c r="I467" s="1270"/>
      <c r="J467" s="1270"/>
      <c r="K467" s="1270"/>
      <c r="L467" s="1270"/>
      <c r="M467" s="1270"/>
      <c r="N467" s="1270"/>
      <c r="O467" s="1270"/>
      <c r="P467" s="1270"/>
      <c r="Q467" s="1270"/>
      <c r="R467" s="1270"/>
      <c r="S467" s="1270"/>
      <c r="T467" s="1270"/>
      <c r="U467" s="1270"/>
      <c r="V467" s="1270"/>
    </row>
    <row r="468" spans="3:22" hidden="1">
      <c r="C468" s="1270"/>
      <c r="D468" s="1270"/>
      <c r="E468" s="1270"/>
      <c r="F468" s="1270"/>
      <c r="G468" s="1270"/>
      <c r="H468" s="1270"/>
      <c r="I468" s="1270"/>
      <c r="J468" s="1270"/>
      <c r="K468" s="1270"/>
      <c r="L468" s="1270"/>
      <c r="M468" s="1270"/>
      <c r="N468" s="1270"/>
      <c r="O468" s="1270"/>
      <c r="P468" s="1270"/>
      <c r="Q468" s="1270"/>
      <c r="R468" s="1270"/>
      <c r="S468" s="1270"/>
      <c r="T468" s="1270"/>
      <c r="U468" s="1270"/>
      <c r="V468" s="1270"/>
    </row>
    <row r="469" spans="3:22" hidden="1">
      <c r="C469" s="1270"/>
      <c r="D469" s="1270"/>
      <c r="E469" s="1270"/>
      <c r="F469" s="1270"/>
      <c r="G469" s="1270"/>
      <c r="H469" s="1270"/>
      <c r="I469" s="1270"/>
      <c r="J469" s="1270"/>
      <c r="K469" s="1270"/>
      <c r="L469" s="1270"/>
      <c r="M469" s="1270"/>
      <c r="N469" s="1270"/>
      <c r="O469" s="1270"/>
      <c r="P469" s="1270"/>
      <c r="Q469" s="1270"/>
      <c r="R469" s="1270"/>
      <c r="S469" s="1270"/>
      <c r="T469" s="1270"/>
      <c r="U469" s="1270"/>
      <c r="V469" s="1270"/>
    </row>
    <row r="470" spans="3:22" hidden="1">
      <c r="C470" s="1270"/>
      <c r="D470" s="1270"/>
      <c r="E470" s="1270"/>
      <c r="F470" s="1270"/>
      <c r="G470" s="1270"/>
      <c r="H470" s="1270"/>
      <c r="I470" s="1270"/>
      <c r="J470" s="1270"/>
      <c r="K470" s="1270"/>
      <c r="L470" s="1270"/>
      <c r="M470" s="1270"/>
      <c r="N470" s="1270"/>
      <c r="O470" s="1270"/>
      <c r="P470" s="1270"/>
      <c r="Q470" s="1270"/>
      <c r="R470" s="1270"/>
      <c r="S470" s="1270"/>
      <c r="T470" s="1270"/>
      <c r="U470" s="1270"/>
      <c r="V470" s="1270"/>
    </row>
    <row r="471" spans="3:22" hidden="1">
      <c r="C471" s="1270"/>
      <c r="D471" s="1270"/>
      <c r="E471" s="1270"/>
      <c r="F471" s="1270"/>
      <c r="G471" s="1270"/>
      <c r="H471" s="1270"/>
      <c r="I471" s="1270"/>
      <c r="J471" s="1270"/>
      <c r="K471" s="1270"/>
      <c r="L471" s="1270"/>
      <c r="M471" s="1270"/>
      <c r="N471" s="1270"/>
      <c r="O471" s="1270"/>
      <c r="P471" s="1270"/>
      <c r="Q471" s="1270"/>
      <c r="R471" s="1270"/>
      <c r="S471" s="1270"/>
      <c r="T471" s="1270"/>
      <c r="U471" s="1270"/>
      <c r="V471" s="1270"/>
    </row>
    <row r="472" spans="3:22" hidden="1">
      <c r="C472" s="1270"/>
      <c r="D472" s="1270"/>
      <c r="E472" s="1270"/>
      <c r="F472" s="1270"/>
      <c r="G472" s="1270"/>
      <c r="H472" s="1270"/>
      <c r="I472" s="1270"/>
      <c r="J472" s="1270"/>
      <c r="K472" s="1270"/>
      <c r="L472" s="1270"/>
      <c r="M472" s="1270"/>
      <c r="N472" s="1270"/>
      <c r="O472" s="1270"/>
      <c r="P472" s="1270"/>
      <c r="Q472" s="1270"/>
      <c r="R472" s="1270"/>
      <c r="S472" s="1270"/>
      <c r="T472" s="1270"/>
      <c r="U472" s="1270"/>
      <c r="V472" s="1270"/>
    </row>
    <row r="473" spans="3:22" hidden="1">
      <c r="C473" s="1270"/>
      <c r="D473" s="1270"/>
      <c r="E473" s="1270"/>
      <c r="F473" s="1270"/>
      <c r="G473" s="1270"/>
      <c r="H473" s="1270"/>
      <c r="I473" s="1270"/>
      <c r="J473" s="1270"/>
      <c r="K473" s="1270"/>
      <c r="L473" s="1270"/>
      <c r="M473" s="1270"/>
      <c r="N473" s="1270"/>
      <c r="O473" s="1270"/>
      <c r="P473" s="1270"/>
      <c r="Q473" s="1270"/>
      <c r="R473" s="1270"/>
      <c r="S473" s="1270"/>
      <c r="T473" s="1270"/>
      <c r="U473" s="1270"/>
      <c r="V473" s="1270"/>
    </row>
    <row r="474" spans="3:22" hidden="1">
      <c r="C474" s="1270"/>
      <c r="D474" s="1270"/>
      <c r="E474" s="1270"/>
      <c r="F474" s="1270"/>
      <c r="G474" s="1270"/>
      <c r="H474" s="1270"/>
      <c r="I474" s="1270"/>
      <c r="J474" s="1270"/>
      <c r="K474" s="1270"/>
      <c r="L474" s="1270"/>
      <c r="M474" s="1270"/>
      <c r="N474" s="1270"/>
      <c r="O474" s="1270"/>
      <c r="P474" s="1270"/>
      <c r="Q474" s="1270"/>
      <c r="R474" s="1270"/>
      <c r="S474" s="1270"/>
      <c r="T474" s="1270"/>
      <c r="U474" s="1270"/>
      <c r="V474" s="1270"/>
    </row>
    <row r="475" spans="3:22" hidden="1">
      <c r="C475" s="1270"/>
      <c r="D475" s="1270"/>
      <c r="E475" s="1270"/>
      <c r="F475" s="1270"/>
      <c r="G475" s="1270"/>
      <c r="H475" s="1270"/>
      <c r="I475" s="1270"/>
      <c r="J475" s="1270"/>
      <c r="K475" s="1270"/>
      <c r="L475" s="1270"/>
      <c r="M475" s="1270"/>
      <c r="N475" s="1270"/>
      <c r="O475" s="1270"/>
      <c r="P475" s="1270"/>
      <c r="Q475" s="1270"/>
      <c r="R475" s="1270"/>
      <c r="S475" s="1270"/>
      <c r="T475" s="1270"/>
      <c r="U475" s="1270"/>
      <c r="V475" s="1270"/>
    </row>
    <row r="476" spans="3:22" hidden="1">
      <c r="C476" s="1270"/>
      <c r="D476" s="1270"/>
      <c r="E476" s="1270"/>
      <c r="F476" s="1270"/>
      <c r="G476" s="1270"/>
      <c r="H476" s="1270"/>
      <c r="I476" s="1270"/>
      <c r="J476" s="1270"/>
      <c r="K476" s="1270"/>
      <c r="L476" s="1270"/>
      <c r="M476" s="1270"/>
      <c r="N476" s="1270"/>
      <c r="O476" s="1270"/>
      <c r="P476" s="1270"/>
      <c r="Q476" s="1270"/>
      <c r="R476" s="1270"/>
      <c r="S476" s="1270"/>
      <c r="T476" s="1270"/>
      <c r="U476" s="1270"/>
      <c r="V476" s="1270"/>
    </row>
    <row r="477" spans="3:22" hidden="1">
      <c r="C477" s="1270"/>
      <c r="D477" s="1270"/>
      <c r="E477" s="1270"/>
      <c r="F477" s="1270"/>
      <c r="G477" s="1270"/>
      <c r="H477" s="1270"/>
      <c r="I477" s="1270"/>
      <c r="J477" s="1270"/>
      <c r="K477" s="1270"/>
      <c r="L477" s="1270"/>
      <c r="M477" s="1270"/>
      <c r="N477" s="1270"/>
      <c r="O477" s="1270"/>
      <c r="P477" s="1270"/>
      <c r="Q477" s="1270"/>
      <c r="R477" s="1270"/>
      <c r="S477" s="1270"/>
      <c r="T477" s="1270"/>
      <c r="U477" s="1270"/>
      <c r="V477" s="1270"/>
    </row>
    <row r="478" spans="3:22" hidden="1">
      <c r="C478" s="1270"/>
      <c r="D478" s="1270"/>
      <c r="E478" s="1270"/>
      <c r="F478" s="1270"/>
      <c r="G478" s="1270"/>
      <c r="H478" s="1270"/>
      <c r="I478" s="1270"/>
      <c r="J478" s="1270"/>
      <c r="K478" s="1270"/>
      <c r="L478" s="1270"/>
      <c r="M478" s="1270"/>
      <c r="N478" s="1270"/>
      <c r="O478" s="1270"/>
      <c r="P478" s="1270"/>
      <c r="Q478" s="1270"/>
      <c r="R478" s="1270"/>
      <c r="S478" s="1270"/>
      <c r="T478" s="1270"/>
      <c r="U478" s="1270"/>
      <c r="V478" s="1270"/>
    </row>
    <row r="479" spans="3:22" hidden="1">
      <c r="C479" s="1270"/>
      <c r="D479" s="1270"/>
      <c r="E479" s="1270"/>
      <c r="F479" s="1270"/>
      <c r="G479" s="1270"/>
      <c r="H479" s="1270"/>
      <c r="I479" s="1270"/>
      <c r="J479" s="1270"/>
      <c r="K479" s="1270"/>
      <c r="L479" s="1270"/>
      <c r="M479" s="1270"/>
      <c r="N479" s="1270"/>
      <c r="O479" s="1270"/>
      <c r="P479" s="1270"/>
      <c r="Q479" s="1270"/>
      <c r="R479" s="1270"/>
      <c r="S479" s="1270"/>
      <c r="T479" s="1270"/>
      <c r="U479" s="1270"/>
      <c r="V479" s="1270"/>
    </row>
    <row r="480" spans="3:22" hidden="1">
      <c r="C480" s="1270"/>
      <c r="D480" s="1270"/>
      <c r="E480" s="1270"/>
      <c r="F480" s="1270"/>
      <c r="G480" s="1270"/>
      <c r="H480" s="1270"/>
      <c r="I480" s="1270"/>
      <c r="J480" s="1270"/>
      <c r="K480" s="1270"/>
      <c r="L480" s="1270"/>
      <c r="M480" s="1270"/>
      <c r="N480" s="1270"/>
      <c r="O480" s="1270"/>
      <c r="P480" s="1270"/>
      <c r="Q480" s="1270"/>
      <c r="R480" s="1270"/>
      <c r="S480" s="1270"/>
      <c r="T480" s="1270"/>
      <c r="U480" s="1270"/>
      <c r="V480" s="1270"/>
    </row>
    <row r="481" spans="3:22" hidden="1">
      <c r="C481" s="1270"/>
      <c r="D481" s="1270"/>
      <c r="E481" s="1270"/>
      <c r="F481" s="1270"/>
      <c r="G481" s="1270"/>
      <c r="H481" s="1270"/>
      <c r="I481" s="1270"/>
      <c r="J481" s="1270"/>
      <c r="K481" s="1270"/>
      <c r="L481" s="1270"/>
      <c r="M481" s="1270"/>
      <c r="N481" s="1270"/>
      <c r="O481" s="1270"/>
      <c r="P481" s="1270"/>
      <c r="Q481" s="1270"/>
      <c r="R481" s="1270"/>
      <c r="S481" s="1270"/>
      <c r="T481" s="1270"/>
      <c r="U481" s="1270"/>
      <c r="V481" s="1270"/>
    </row>
    <row r="482" spans="3:22" hidden="1">
      <c r="C482" s="1270"/>
      <c r="D482" s="1270"/>
      <c r="E482" s="1270"/>
      <c r="F482" s="1270"/>
      <c r="G482" s="1270"/>
      <c r="H482" s="1270"/>
      <c r="I482" s="1270"/>
      <c r="J482" s="1270"/>
      <c r="K482" s="1270"/>
      <c r="L482" s="1270"/>
      <c r="M482" s="1270"/>
      <c r="N482" s="1270"/>
      <c r="O482" s="1270"/>
      <c r="P482" s="1270"/>
      <c r="Q482" s="1270"/>
      <c r="R482" s="1270"/>
      <c r="S482" s="1270"/>
      <c r="T482" s="1270"/>
      <c r="U482" s="1270"/>
      <c r="V482" s="1270"/>
    </row>
    <row r="483" spans="3:22" hidden="1">
      <c r="C483" s="1270"/>
      <c r="D483" s="1270"/>
      <c r="E483" s="1270"/>
      <c r="F483" s="1270"/>
      <c r="G483" s="1270"/>
      <c r="H483" s="1270"/>
      <c r="I483" s="1270"/>
      <c r="J483" s="1270"/>
      <c r="K483" s="1270"/>
      <c r="L483" s="1270"/>
      <c r="M483" s="1270"/>
      <c r="N483" s="1270"/>
      <c r="O483" s="1270"/>
      <c r="P483" s="1270"/>
      <c r="Q483" s="1270"/>
      <c r="R483" s="1270"/>
      <c r="S483" s="1270"/>
      <c r="T483" s="1270"/>
      <c r="U483" s="1270"/>
      <c r="V483" s="1270"/>
    </row>
    <row r="484" spans="3:22" hidden="1">
      <c r="C484" s="1270"/>
      <c r="D484" s="1270"/>
      <c r="E484" s="1270"/>
      <c r="F484" s="1270"/>
      <c r="G484" s="1270"/>
      <c r="H484" s="1270"/>
      <c r="I484" s="1270"/>
      <c r="J484" s="1270"/>
      <c r="K484" s="1270"/>
      <c r="L484" s="1270"/>
      <c r="M484" s="1270"/>
      <c r="N484" s="1270"/>
      <c r="O484" s="1270"/>
      <c r="P484" s="1270"/>
      <c r="Q484" s="1270"/>
      <c r="R484" s="1270"/>
      <c r="S484" s="1270"/>
      <c r="T484" s="1270"/>
      <c r="U484" s="1270"/>
      <c r="V484" s="1270"/>
    </row>
    <row r="485" spans="3:22" hidden="1">
      <c r="C485" s="1270"/>
      <c r="D485" s="1270"/>
      <c r="E485" s="1270"/>
      <c r="F485" s="1270"/>
      <c r="G485" s="1270"/>
      <c r="H485" s="1270"/>
      <c r="I485" s="1270"/>
      <c r="J485" s="1270"/>
      <c r="K485" s="1270"/>
      <c r="L485" s="1270"/>
      <c r="M485" s="1270"/>
      <c r="N485" s="1270"/>
      <c r="O485" s="1270"/>
      <c r="P485" s="1270"/>
      <c r="Q485" s="1270"/>
      <c r="R485" s="1270"/>
      <c r="S485" s="1270"/>
      <c r="T485" s="1270"/>
      <c r="U485" s="1270"/>
      <c r="V485" s="1270"/>
    </row>
    <row r="486" spans="3:22" hidden="1">
      <c r="C486" s="1270"/>
      <c r="D486" s="1270"/>
      <c r="E486" s="1270"/>
      <c r="F486" s="1270"/>
      <c r="G486" s="1270"/>
      <c r="H486" s="1270"/>
      <c r="I486" s="1270"/>
      <c r="J486" s="1270"/>
      <c r="K486" s="1270"/>
      <c r="L486" s="1270"/>
      <c r="M486" s="1270"/>
      <c r="N486" s="1270"/>
      <c r="O486" s="1270"/>
      <c r="P486" s="1270"/>
      <c r="Q486" s="1270"/>
      <c r="R486" s="1270"/>
      <c r="S486" s="1270"/>
      <c r="T486" s="1270"/>
      <c r="U486" s="1270"/>
      <c r="V486" s="1270"/>
    </row>
    <row r="487" spans="3:22" hidden="1">
      <c r="C487" s="1270"/>
      <c r="D487" s="1270"/>
      <c r="E487" s="1270"/>
      <c r="F487" s="1270"/>
      <c r="G487" s="1270"/>
      <c r="H487" s="1270"/>
      <c r="I487" s="1270"/>
      <c r="J487" s="1270"/>
      <c r="K487" s="1270"/>
      <c r="L487" s="1270"/>
      <c r="M487" s="1270"/>
      <c r="N487" s="1270"/>
      <c r="O487" s="1270"/>
      <c r="P487" s="1270"/>
      <c r="Q487" s="1270"/>
      <c r="R487" s="1270"/>
      <c r="S487" s="1270"/>
      <c r="T487" s="1270"/>
      <c r="U487" s="1270"/>
      <c r="V487" s="1270"/>
    </row>
    <row r="488" spans="3:22" hidden="1">
      <c r="C488" s="1270"/>
      <c r="D488" s="1270"/>
      <c r="E488" s="1270"/>
      <c r="F488" s="1270"/>
      <c r="G488" s="1270"/>
      <c r="H488" s="1270"/>
      <c r="I488" s="1270"/>
      <c r="J488" s="1270"/>
      <c r="K488" s="1270"/>
      <c r="L488" s="1270"/>
      <c r="M488" s="1270"/>
      <c r="N488" s="1270"/>
      <c r="O488" s="1270"/>
      <c r="P488" s="1270"/>
      <c r="Q488" s="1270"/>
      <c r="R488" s="1270"/>
      <c r="S488" s="1270"/>
      <c r="T488" s="1270"/>
      <c r="U488" s="1270"/>
      <c r="V488" s="1270"/>
    </row>
    <row r="489" spans="3:22" hidden="1">
      <c r="C489" s="1270"/>
      <c r="D489" s="1270"/>
      <c r="E489" s="1270"/>
      <c r="F489" s="1270"/>
      <c r="G489" s="1270"/>
      <c r="H489" s="1270"/>
      <c r="I489" s="1270"/>
      <c r="J489" s="1270"/>
      <c r="K489" s="1270"/>
      <c r="L489" s="1270"/>
      <c r="M489" s="1270"/>
      <c r="N489" s="1270"/>
      <c r="O489" s="1270"/>
      <c r="P489" s="1270"/>
      <c r="Q489" s="1270"/>
      <c r="R489" s="1270"/>
      <c r="S489" s="1270"/>
      <c r="T489" s="1270"/>
      <c r="U489" s="1270"/>
      <c r="V489" s="1270"/>
    </row>
    <row r="490" spans="3:22" hidden="1">
      <c r="C490" s="1270"/>
      <c r="D490" s="1270"/>
      <c r="E490" s="1270"/>
      <c r="F490" s="1270"/>
      <c r="G490" s="1270"/>
      <c r="H490" s="1270"/>
      <c r="I490" s="1270"/>
      <c r="J490" s="1270"/>
      <c r="K490" s="1270"/>
      <c r="L490" s="1270"/>
      <c r="M490" s="1270"/>
      <c r="N490" s="1270"/>
      <c r="O490" s="1270"/>
      <c r="P490" s="1270"/>
      <c r="Q490" s="1270"/>
      <c r="R490" s="1270"/>
      <c r="S490" s="1270"/>
      <c r="T490" s="1270"/>
      <c r="U490" s="1270"/>
      <c r="V490" s="1270"/>
    </row>
    <row r="491" spans="3:22" hidden="1">
      <c r="C491" s="1270"/>
      <c r="D491" s="1270"/>
      <c r="E491" s="1270"/>
      <c r="F491" s="1270"/>
      <c r="G491" s="1270"/>
      <c r="H491" s="1270"/>
      <c r="I491" s="1270"/>
      <c r="J491" s="1270"/>
      <c r="K491" s="1270"/>
      <c r="L491" s="1270"/>
      <c r="M491" s="1270"/>
      <c r="N491" s="1270"/>
      <c r="O491" s="1270"/>
      <c r="P491" s="1270"/>
      <c r="Q491" s="1270"/>
      <c r="R491" s="1270"/>
      <c r="S491" s="1270"/>
      <c r="T491" s="1270"/>
      <c r="U491" s="1270"/>
      <c r="V491" s="1270"/>
    </row>
    <row r="492" spans="3:22" hidden="1">
      <c r="C492" s="1270"/>
      <c r="D492" s="1270"/>
      <c r="E492" s="1270"/>
      <c r="F492" s="1270"/>
      <c r="G492" s="1270"/>
      <c r="H492" s="1270"/>
      <c r="I492" s="1270"/>
      <c r="J492" s="1270"/>
      <c r="K492" s="1270"/>
      <c r="L492" s="1270"/>
      <c r="M492" s="1270"/>
      <c r="N492" s="1270"/>
      <c r="O492" s="1270"/>
      <c r="P492" s="1270"/>
      <c r="Q492" s="1270"/>
      <c r="R492" s="1270"/>
      <c r="S492" s="1270"/>
      <c r="T492" s="1270"/>
      <c r="U492" s="1270"/>
      <c r="V492" s="1270"/>
    </row>
    <row r="493" spans="3:22" hidden="1">
      <c r="C493" s="1270"/>
      <c r="D493" s="1270"/>
      <c r="E493" s="1270"/>
      <c r="F493" s="1270"/>
      <c r="G493" s="1270"/>
      <c r="H493" s="1270"/>
      <c r="I493" s="1270"/>
      <c r="J493" s="1270"/>
      <c r="K493" s="1270"/>
      <c r="L493" s="1270"/>
      <c r="M493" s="1270"/>
      <c r="N493" s="1270"/>
      <c r="O493" s="1270"/>
      <c r="P493" s="1270"/>
      <c r="Q493" s="1270"/>
      <c r="R493" s="1270"/>
      <c r="S493" s="1270"/>
      <c r="T493" s="1270"/>
      <c r="U493" s="1270"/>
      <c r="V493" s="1270"/>
    </row>
    <row r="494" spans="3:22" hidden="1">
      <c r="C494" s="1270"/>
      <c r="D494" s="1270"/>
      <c r="E494" s="1270"/>
      <c r="F494" s="1270"/>
      <c r="G494" s="1270"/>
      <c r="H494" s="1270"/>
      <c r="I494" s="1270"/>
      <c r="J494" s="1270"/>
      <c r="K494" s="1270"/>
      <c r="L494" s="1270"/>
      <c r="M494" s="1270"/>
      <c r="N494" s="1270"/>
      <c r="O494" s="1270"/>
      <c r="P494" s="1270"/>
      <c r="Q494" s="1270"/>
      <c r="R494" s="1270"/>
      <c r="S494" s="1270"/>
      <c r="T494" s="1270"/>
      <c r="U494" s="1270"/>
      <c r="V494" s="1270"/>
    </row>
    <row r="495" spans="3:22" hidden="1">
      <c r="C495" s="1270"/>
      <c r="D495" s="1270"/>
      <c r="E495" s="1270"/>
      <c r="F495" s="1270"/>
      <c r="G495" s="1270"/>
      <c r="H495" s="1270"/>
      <c r="I495" s="1270"/>
      <c r="J495" s="1270"/>
      <c r="K495" s="1270"/>
      <c r="L495" s="1270"/>
      <c r="M495" s="1270"/>
      <c r="N495" s="1270"/>
      <c r="O495" s="1270"/>
      <c r="P495" s="1270"/>
      <c r="Q495" s="1270"/>
      <c r="R495" s="1270"/>
      <c r="S495" s="1270"/>
      <c r="T495" s="1270"/>
      <c r="U495" s="1270"/>
      <c r="V495" s="1270"/>
    </row>
    <row r="496" spans="3:22" hidden="1">
      <c r="C496" s="1270"/>
      <c r="D496" s="1270"/>
      <c r="E496" s="1270"/>
      <c r="F496" s="1270"/>
      <c r="G496" s="1270"/>
      <c r="H496" s="1270"/>
      <c r="I496" s="1270"/>
      <c r="J496" s="1270"/>
      <c r="K496" s="1270"/>
      <c r="L496" s="1270"/>
      <c r="M496" s="1270"/>
      <c r="N496" s="1270"/>
      <c r="O496" s="1270"/>
      <c r="P496" s="1270"/>
      <c r="Q496" s="1270"/>
      <c r="R496" s="1270"/>
      <c r="S496" s="1270"/>
      <c r="T496" s="1270"/>
      <c r="U496" s="1270"/>
      <c r="V496" s="1270"/>
    </row>
    <row r="497" spans="3:22" hidden="1">
      <c r="C497" s="1270"/>
      <c r="D497" s="1270"/>
      <c r="E497" s="1270"/>
      <c r="F497" s="1270"/>
      <c r="G497" s="1270"/>
      <c r="H497" s="1270"/>
      <c r="I497" s="1270"/>
      <c r="J497" s="1270"/>
      <c r="K497" s="1270"/>
      <c r="L497" s="1270"/>
      <c r="M497" s="1270"/>
      <c r="N497" s="1270"/>
      <c r="O497" s="1270"/>
      <c r="P497" s="1270"/>
      <c r="Q497" s="1270"/>
      <c r="R497" s="1270"/>
      <c r="S497" s="1270"/>
      <c r="T497" s="1270"/>
      <c r="U497" s="1270"/>
      <c r="V497" s="1270"/>
    </row>
    <row r="498" spans="3:22" hidden="1">
      <c r="C498" s="1270"/>
      <c r="D498" s="1270"/>
      <c r="E498" s="1270"/>
      <c r="F498" s="1270"/>
      <c r="G498" s="1270"/>
      <c r="H498" s="1270"/>
      <c r="I498" s="1270"/>
      <c r="J498" s="1270"/>
      <c r="K498" s="1270"/>
      <c r="L498" s="1270"/>
      <c r="M498" s="1270"/>
      <c r="N498" s="1270"/>
      <c r="O498" s="1270"/>
      <c r="P498" s="1270"/>
      <c r="Q498" s="1270"/>
      <c r="R498" s="1270"/>
      <c r="S498" s="1270"/>
      <c r="T498" s="1270"/>
      <c r="U498" s="1270"/>
      <c r="V498" s="1270"/>
    </row>
    <row r="499" spans="3:22" hidden="1">
      <c r="C499" s="1270"/>
      <c r="D499" s="1270"/>
      <c r="E499" s="1270"/>
      <c r="F499" s="1270"/>
      <c r="G499" s="1270"/>
      <c r="H499" s="1270"/>
      <c r="I499" s="1270"/>
      <c r="J499" s="1270"/>
      <c r="K499" s="1270"/>
      <c r="L499" s="1270"/>
      <c r="M499" s="1270"/>
      <c r="N499" s="1270"/>
      <c r="O499" s="1270"/>
      <c r="P499" s="1270"/>
      <c r="Q499" s="1270"/>
      <c r="R499" s="1270"/>
      <c r="S499" s="1270"/>
      <c r="T499" s="1270"/>
      <c r="U499" s="1270"/>
      <c r="V499" s="1270"/>
    </row>
    <row r="500" spans="3:22" hidden="1">
      <c r="C500" s="1270"/>
      <c r="D500" s="1270"/>
      <c r="E500" s="1270"/>
      <c r="F500" s="1270"/>
      <c r="G500" s="1270"/>
      <c r="H500" s="1270"/>
      <c r="I500" s="1270"/>
      <c r="J500" s="1270"/>
      <c r="K500" s="1270"/>
      <c r="L500" s="1270"/>
      <c r="M500" s="1270"/>
      <c r="N500" s="1270"/>
      <c r="O500" s="1270"/>
      <c r="P500" s="1270"/>
      <c r="Q500" s="1270"/>
      <c r="R500" s="1270"/>
      <c r="S500" s="1270"/>
      <c r="T500" s="1270"/>
      <c r="U500" s="1270"/>
      <c r="V500" s="1270"/>
    </row>
    <row r="501" spans="3:22" hidden="1">
      <c r="C501" s="1270"/>
      <c r="D501" s="1270"/>
      <c r="E501" s="1270"/>
      <c r="F501" s="1270"/>
      <c r="G501" s="1270"/>
      <c r="H501" s="1270"/>
      <c r="I501" s="1270"/>
      <c r="J501" s="1270"/>
      <c r="K501" s="1270"/>
      <c r="L501" s="1270"/>
      <c r="M501" s="1270"/>
      <c r="N501" s="1270"/>
      <c r="O501" s="1270"/>
      <c r="P501" s="1270"/>
      <c r="Q501" s="1270"/>
      <c r="R501" s="1270"/>
      <c r="S501" s="1270"/>
      <c r="T501" s="1270"/>
      <c r="U501" s="1270"/>
      <c r="V501" s="1270"/>
    </row>
    <row r="502" spans="3:22" hidden="1">
      <c r="C502" s="1270"/>
      <c r="D502" s="1270"/>
      <c r="E502" s="1270"/>
      <c r="F502" s="1270"/>
      <c r="G502" s="1270"/>
      <c r="H502" s="1270"/>
      <c r="I502" s="1270"/>
      <c r="J502" s="1270"/>
      <c r="K502" s="1270"/>
      <c r="L502" s="1270"/>
      <c r="M502" s="1270"/>
      <c r="N502" s="1270"/>
      <c r="O502" s="1270"/>
      <c r="P502" s="1270"/>
      <c r="Q502" s="1270"/>
      <c r="R502" s="1270"/>
      <c r="S502" s="1270"/>
      <c r="T502" s="1270"/>
      <c r="U502" s="1270"/>
      <c r="V502" s="1270"/>
    </row>
    <row r="503" spans="3:22" hidden="1">
      <c r="C503" s="1270"/>
      <c r="D503" s="1270"/>
      <c r="E503" s="1270"/>
      <c r="F503" s="1270"/>
      <c r="G503" s="1270"/>
      <c r="H503" s="1270"/>
      <c r="I503" s="1270"/>
      <c r="J503" s="1270"/>
      <c r="K503" s="1270"/>
      <c r="L503" s="1270"/>
      <c r="M503" s="1270"/>
      <c r="N503" s="1270"/>
      <c r="O503" s="1270"/>
      <c r="P503" s="1270"/>
      <c r="Q503" s="1270"/>
      <c r="R503" s="1270"/>
      <c r="S503" s="1270"/>
      <c r="T503" s="1270"/>
      <c r="U503" s="1270"/>
      <c r="V503" s="1270"/>
    </row>
    <row r="504" spans="3:22" hidden="1">
      <c r="C504" s="1270"/>
      <c r="D504" s="1270"/>
      <c r="E504" s="1270"/>
      <c r="F504" s="1270"/>
      <c r="G504" s="1270"/>
      <c r="H504" s="1270"/>
      <c r="I504" s="1270"/>
      <c r="J504" s="1270"/>
      <c r="K504" s="1270"/>
      <c r="L504" s="1270"/>
      <c r="M504" s="1270"/>
      <c r="N504" s="1270"/>
      <c r="O504" s="1270"/>
      <c r="P504" s="1270"/>
      <c r="Q504" s="1270"/>
      <c r="R504" s="1270"/>
      <c r="S504" s="1270"/>
      <c r="T504" s="1270"/>
      <c r="U504" s="1270"/>
      <c r="V504" s="1270"/>
    </row>
    <row r="505" spans="3:22" hidden="1">
      <c r="C505" s="1270"/>
      <c r="D505" s="1270"/>
      <c r="E505" s="1270"/>
      <c r="F505" s="1270"/>
      <c r="G505" s="1270"/>
      <c r="H505" s="1270"/>
      <c r="I505" s="1270"/>
      <c r="J505" s="1270"/>
      <c r="K505" s="1270"/>
      <c r="L505" s="1270"/>
      <c r="M505" s="1270"/>
      <c r="N505" s="1270"/>
      <c r="O505" s="1270"/>
      <c r="P505" s="1270"/>
      <c r="Q505" s="1270"/>
      <c r="R505" s="1270"/>
      <c r="S505" s="1270"/>
      <c r="T505" s="1270"/>
      <c r="U505" s="1270"/>
      <c r="V505" s="1270"/>
    </row>
    <row r="506" spans="3:22" hidden="1">
      <c r="C506" s="1270"/>
      <c r="D506" s="1270"/>
      <c r="E506" s="1270"/>
      <c r="F506" s="1270"/>
      <c r="G506" s="1270"/>
      <c r="H506" s="1270"/>
      <c r="I506" s="1270"/>
      <c r="J506" s="1270"/>
      <c r="K506" s="1270"/>
      <c r="L506" s="1270"/>
      <c r="M506" s="1270"/>
      <c r="N506" s="1270"/>
      <c r="O506" s="1270"/>
      <c r="P506" s="1270"/>
      <c r="Q506" s="1270"/>
      <c r="R506" s="1270"/>
      <c r="S506" s="1270"/>
      <c r="T506" s="1270"/>
      <c r="U506" s="1270"/>
      <c r="V506" s="1270"/>
    </row>
    <row r="507" spans="3:22" hidden="1">
      <c r="C507" s="1270"/>
      <c r="D507" s="1270"/>
      <c r="E507" s="1270"/>
      <c r="F507" s="1270"/>
      <c r="G507" s="1270"/>
      <c r="H507" s="1270"/>
      <c r="I507" s="1270"/>
      <c r="J507" s="1270"/>
      <c r="K507" s="1270"/>
      <c r="L507" s="1270"/>
      <c r="M507" s="1270"/>
      <c r="N507" s="1270"/>
      <c r="O507" s="1270"/>
      <c r="P507" s="1270"/>
      <c r="Q507" s="1270"/>
      <c r="R507" s="1270"/>
      <c r="S507" s="1270"/>
      <c r="T507" s="1270"/>
      <c r="U507" s="1270"/>
      <c r="V507" s="1270"/>
    </row>
    <row r="508" spans="3:22" hidden="1">
      <c r="C508" s="1270"/>
      <c r="D508" s="1270"/>
      <c r="E508" s="1270"/>
      <c r="F508" s="1270"/>
      <c r="G508" s="1270"/>
      <c r="H508" s="1270"/>
      <c r="I508" s="1270"/>
      <c r="J508" s="1270"/>
      <c r="K508" s="1270"/>
      <c r="L508" s="1270"/>
      <c r="M508" s="1270"/>
      <c r="N508" s="1270"/>
      <c r="O508" s="1270"/>
      <c r="P508" s="1270"/>
      <c r="Q508" s="1270"/>
      <c r="R508" s="1270"/>
      <c r="S508" s="1270"/>
      <c r="T508" s="1270"/>
      <c r="U508" s="1270"/>
      <c r="V508" s="1270"/>
    </row>
    <row r="509" spans="3:22" hidden="1">
      <c r="C509" s="1270"/>
      <c r="D509" s="1270"/>
      <c r="E509" s="1270"/>
      <c r="F509" s="1270"/>
      <c r="G509" s="1270"/>
      <c r="H509" s="1270"/>
      <c r="I509" s="1270"/>
      <c r="J509" s="1270"/>
      <c r="K509" s="1270"/>
      <c r="L509" s="1270"/>
      <c r="M509" s="1270"/>
      <c r="N509" s="1270"/>
      <c r="O509" s="1270"/>
      <c r="P509" s="1270"/>
      <c r="Q509" s="1270"/>
      <c r="R509" s="1270"/>
      <c r="S509" s="1270"/>
      <c r="T509" s="1270"/>
      <c r="U509" s="1270"/>
      <c r="V509" s="1270"/>
    </row>
    <row r="510" spans="3:22" hidden="1">
      <c r="C510" s="1270"/>
      <c r="D510" s="1270"/>
      <c r="E510" s="1270"/>
      <c r="F510" s="1270"/>
      <c r="G510" s="1270"/>
      <c r="H510" s="1270"/>
      <c r="I510" s="1270"/>
      <c r="J510" s="1270"/>
      <c r="K510" s="1270"/>
      <c r="L510" s="1270"/>
      <c r="M510" s="1270"/>
      <c r="N510" s="1270"/>
      <c r="O510" s="1270"/>
      <c r="P510" s="1270"/>
      <c r="Q510" s="1270"/>
      <c r="R510" s="1270"/>
      <c r="S510" s="1270"/>
      <c r="T510" s="1270"/>
      <c r="U510" s="1270"/>
      <c r="V510" s="1270"/>
    </row>
    <row r="511" spans="3:22" hidden="1">
      <c r="C511" s="1270"/>
      <c r="D511" s="1270"/>
      <c r="E511" s="1270"/>
      <c r="F511" s="1270"/>
      <c r="G511" s="1270"/>
      <c r="H511" s="1270"/>
      <c r="I511" s="1270"/>
      <c r="J511" s="1270"/>
      <c r="K511" s="1270"/>
      <c r="L511" s="1270"/>
      <c r="M511" s="1270"/>
      <c r="N511" s="1270"/>
      <c r="O511" s="1270"/>
      <c r="P511" s="1270"/>
      <c r="Q511" s="1270"/>
      <c r="R511" s="1270"/>
      <c r="S511" s="1270"/>
      <c r="T511" s="1270"/>
      <c r="U511" s="1270"/>
      <c r="V511" s="1270"/>
    </row>
    <row r="512" spans="3:22" hidden="1">
      <c r="C512" s="1270"/>
      <c r="D512" s="1270"/>
      <c r="E512" s="1270"/>
      <c r="F512" s="1270"/>
      <c r="G512" s="1270"/>
      <c r="H512" s="1270"/>
      <c r="I512" s="1270"/>
      <c r="J512" s="1270"/>
      <c r="K512" s="1270"/>
      <c r="L512" s="1270"/>
      <c r="M512" s="1270"/>
      <c r="N512" s="1270"/>
      <c r="O512" s="1270"/>
      <c r="P512" s="1270"/>
      <c r="Q512" s="1270"/>
      <c r="R512" s="1270"/>
      <c r="S512" s="1270"/>
      <c r="T512" s="1270"/>
      <c r="U512" s="1270"/>
      <c r="V512" s="1270"/>
    </row>
    <row r="513" spans="3:22" hidden="1">
      <c r="C513" s="1270"/>
      <c r="D513" s="1270"/>
      <c r="E513" s="1270"/>
      <c r="F513" s="1270"/>
      <c r="G513" s="1270"/>
      <c r="H513" s="1270"/>
      <c r="I513" s="1270"/>
      <c r="J513" s="1270"/>
      <c r="K513" s="1270"/>
      <c r="L513" s="1270"/>
      <c r="M513" s="1270"/>
      <c r="N513" s="1270"/>
      <c r="O513" s="1270"/>
      <c r="P513" s="1270"/>
      <c r="Q513" s="1270"/>
      <c r="R513" s="1270"/>
      <c r="S513" s="1270"/>
      <c r="T513" s="1270"/>
      <c r="U513" s="1270"/>
      <c r="V513" s="1270"/>
    </row>
    <row r="514" spans="3:22" hidden="1">
      <c r="C514" s="1270"/>
      <c r="D514" s="1270"/>
      <c r="E514" s="1270"/>
      <c r="F514" s="1270"/>
      <c r="G514" s="1270"/>
      <c r="H514" s="1270"/>
      <c r="I514" s="1270"/>
      <c r="J514" s="1270"/>
      <c r="K514" s="1270"/>
      <c r="L514" s="1270"/>
      <c r="M514" s="1270"/>
      <c r="N514" s="1270"/>
      <c r="O514" s="1270"/>
      <c r="P514" s="1270"/>
      <c r="Q514" s="1270"/>
      <c r="R514" s="1270"/>
      <c r="S514" s="1270"/>
      <c r="T514" s="1270"/>
      <c r="U514" s="1270"/>
      <c r="V514" s="1270"/>
    </row>
    <row r="515" spans="3:22" hidden="1">
      <c r="C515" s="1270"/>
      <c r="D515" s="1270"/>
      <c r="E515" s="1270"/>
      <c r="F515" s="1270"/>
      <c r="G515" s="1270"/>
      <c r="H515" s="1270"/>
      <c r="I515" s="1270"/>
      <c r="J515" s="1270"/>
      <c r="K515" s="1270"/>
      <c r="L515" s="1270"/>
      <c r="M515" s="1270"/>
      <c r="N515" s="1270"/>
      <c r="O515" s="1270"/>
      <c r="P515" s="1270"/>
      <c r="Q515" s="1270"/>
      <c r="R515" s="1270"/>
      <c r="S515" s="1270"/>
      <c r="T515" s="1270"/>
      <c r="U515" s="1270"/>
      <c r="V515" s="1270"/>
    </row>
    <row r="516" spans="3:22" hidden="1">
      <c r="C516" s="1270"/>
      <c r="D516" s="1270"/>
      <c r="E516" s="1270"/>
      <c r="F516" s="1270"/>
      <c r="G516" s="1270"/>
      <c r="H516" s="1270"/>
      <c r="I516" s="1270"/>
      <c r="J516" s="1270"/>
      <c r="K516" s="1270"/>
      <c r="L516" s="1270"/>
      <c r="M516" s="1270"/>
      <c r="N516" s="1270"/>
      <c r="O516" s="1270"/>
      <c r="P516" s="1270"/>
      <c r="Q516" s="1270"/>
      <c r="R516" s="1270"/>
      <c r="S516" s="1270"/>
      <c r="T516" s="1270"/>
      <c r="U516" s="1270"/>
      <c r="V516" s="1270"/>
    </row>
    <row r="517" spans="3:22" hidden="1">
      <c r="C517" s="1270"/>
      <c r="D517" s="1270"/>
      <c r="E517" s="1270"/>
      <c r="F517" s="1270"/>
      <c r="G517" s="1270"/>
      <c r="H517" s="1270"/>
      <c r="I517" s="1270"/>
      <c r="J517" s="1270"/>
      <c r="K517" s="1270"/>
      <c r="L517" s="1270"/>
      <c r="M517" s="1270"/>
      <c r="N517" s="1270"/>
      <c r="O517" s="1270"/>
      <c r="P517" s="1270"/>
      <c r="Q517" s="1270"/>
      <c r="R517" s="1270"/>
      <c r="S517" s="1270"/>
      <c r="T517" s="1270"/>
      <c r="U517" s="1270"/>
      <c r="V517" s="1270"/>
    </row>
    <row r="518" spans="3:22" hidden="1">
      <c r="C518" s="1270"/>
      <c r="D518" s="1270"/>
      <c r="E518" s="1270"/>
      <c r="F518" s="1270"/>
      <c r="G518" s="1270"/>
      <c r="H518" s="1270"/>
      <c r="I518" s="1270"/>
      <c r="J518" s="1270"/>
      <c r="K518" s="1270"/>
      <c r="L518" s="1270"/>
      <c r="M518" s="1270"/>
      <c r="N518" s="1270"/>
      <c r="O518" s="1270"/>
      <c r="P518" s="1270"/>
      <c r="Q518" s="1270"/>
      <c r="R518" s="1270"/>
      <c r="S518" s="1270"/>
      <c r="T518" s="1270"/>
      <c r="U518" s="1270"/>
      <c r="V518" s="1270"/>
    </row>
    <row r="519" spans="3:22" hidden="1">
      <c r="C519" s="1270"/>
      <c r="D519" s="1270"/>
      <c r="E519" s="1270"/>
      <c r="F519" s="1270"/>
      <c r="G519" s="1270"/>
      <c r="H519" s="1270"/>
      <c r="I519" s="1270"/>
      <c r="J519" s="1270"/>
      <c r="K519" s="1270"/>
      <c r="L519" s="1270"/>
      <c r="M519" s="1270"/>
      <c r="N519" s="1270"/>
      <c r="O519" s="1270"/>
      <c r="P519" s="1270"/>
      <c r="Q519" s="1270"/>
      <c r="R519" s="1270"/>
      <c r="S519" s="1270"/>
      <c r="T519" s="1270"/>
      <c r="U519" s="1270"/>
      <c r="V519" s="1270"/>
    </row>
    <row r="520" spans="3:22" hidden="1">
      <c r="C520" s="1270"/>
      <c r="D520" s="1270"/>
      <c r="E520" s="1270"/>
      <c r="F520" s="1270"/>
      <c r="G520" s="1270"/>
      <c r="H520" s="1270"/>
      <c r="I520" s="1270"/>
      <c r="J520" s="1270"/>
      <c r="K520" s="1270"/>
      <c r="L520" s="1270"/>
      <c r="M520" s="1270"/>
      <c r="N520" s="1270"/>
      <c r="O520" s="1270"/>
      <c r="P520" s="1270"/>
      <c r="Q520" s="1270"/>
      <c r="R520" s="1270"/>
      <c r="S520" s="1270"/>
      <c r="T520" s="1270"/>
      <c r="U520" s="1270"/>
      <c r="V520" s="1270"/>
    </row>
    <row r="521" spans="3:22" hidden="1">
      <c r="C521" s="1270"/>
      <c r="D521" s="1270"/>
      <c r="E521" s="1270"/>
      <c r="F521" s="1270"/>
      <c r="G521" s="1270"/>
      <c r="H521" s="1270"/>
      <c r="I521" s="1270"/>
      <c r="J521" s="1270"/>
      <c r="K521" s="1270"/>
      <c r="L521" s="1270"/>
      <c r="M521" s="1270"/>
      <c r="N521" s="1270"/>
      <c r="O521" s="1270"/>
      <c r="P521" s="1270"/>
      <c r="Q521" s="1270"/>
      <c r="R521" s="1270"/>
      <c r="S521" s="1270"/>
      <c r="T521" s="1270"/>
      <c r="U521" s="1270"/>
      <c r="V521" s="1270"/>
    </row>
    <row r="522" spans="3:22" hidden="1">
      <c r="C522" s="1270"/>
      <c r="D522" s="1270"/>
      <c r="E522" s="1270"/>
      <c r="F522" s="1270"/>
      <c r="G522" s="1270"/>
      <c r="H522" s="1270"/>
      <c r="I522" s="1270"/>
      <c r="J522" s="1270"/>
      <c r="K522" s="1270"/>
      <c r="L522" s="1270"/>
      <c r="M522" s="1270"/>
      <c r="N522" s="1270"/>
      <c r="O522" s="1270"/>
      <c r="P522" s="1270"/>
      <c r="Q522" s="1270"/>
      <c r="R522" s="1270"/>
      <c r="S522" s="1270"/>
      <c r="T522" s="1270"/>
      <c r="U522" s="1270"/>
      <c r="V522" s="1270"/>
    </row>
    <row r="523" spans="3:22" hidden="1">
      <c r="C523" s="1270"/>
      <c r="D523" s="1270"/>
      <c r="E523" s="1270"/>
      <c r="F523" s="1270"/>
      <c r="G523" s="1270"/>
      <c r="H523" s="1270"/>
      <c r="I523" s="1270"/>
      <c r="J523" s="1270"/>
      <c r="K523" s="1270"/>
      <c r="L523" s="1270"/>
      <c r="M523" s="1270"/>
      <c r="N523" s="1270"/>
      <c r="O523" s="1270"/>
      <c r="P523" s="1270"/>
      <c r="Q523" s="1270"/>
      <c r="R523" s="1270"/>
      <c r="S523" s="1270"/>
      <c r="T523" s="1270"/>
      <c r="U523" s="1270"/>
      <c r="V523" s="1270"/>
    </row>
    <row r="524" spans="3:22" hidden="1">
      <c r="C524" s="1270"/>
      <c r="D524" s="1270"/>
      <c r="E524" s="1270"/>
      <c r="F524" s="1270"/>
      <c r="G524" s="1270"/>
      <c r="H524" s="1270"/>
      <c r="I524" s="1270"/>
      <c r="J524" s="1270"/>
      <c r="K524" s="1270"/>
      <c r="L524" s="1270"/>
      <c r="M524" s="1270"/>
      <c r="N524" s="1270"/>
      <c r="O524" s="1270"/>
      <c r="P524" s="1270"/>
      <c r="Q524" s="1270"/>
      <c r="R524" s="1270"/>
      <c r="S524" s="1270"/>
      <c r="T524" s="1270"/>
      <c r="U524" s="1270"/>
      <c r="V524" s="1270"/>
    </row>
    <row r="525" spans="3:22" hidden="1">
      <c r="C525" s="1270"/>
      <c r="D525" s="1270"/>
      <c r="E525" s="1270"/>
      <c r="F525" s="1270"/>
      <c r="G525" s="1270"/>
      <c r="H525" s="1270"/>
      <c r="I525" s="1270"/>
      <c r="J525" s="1270"/>
      <c r="K525" s="1270"/>
      <c r="L525" s="1270"/>
      <c r="M525" s="1270"/>
      <c r="N525" s="1270"/>
      <c r="O525" s="1270"/>
      <c r="P525" s="1270"/>
      <c r="Q525" s="1270"/>
      <c r="R525" s="1270"/>
      <c r="S525" s="1270"/>
      <c r="T525" s="1270"/>
      <c r="U525" s="1270"/>
      <c r="V525" s="1270"/>
    </row>
    <row r="526" spans="3:22" hidden="1">
      <c r="C526" s="1270"/>
      <c r="D526" s="1270"/>
      <c r="E526" s="1270"/>
      <c r="F526" s="1270"/>
      <c r="G526" s="1270"/>
      <c r="H526" s="1270"/>
      <c r="I526" s="1270"/>
      <c r="J526" s="1270"/>
      <c r="K526" s="1270"/>
      <c r="L526" s="1270"/>
      <c r="M526" s="1270"/>
      <c r="N526" s="1270"/>
      <c r="O526" s="1270"/>
      <c r="P526" s="1270"/>
      <c r="Q526" s="1270"/>
      <c r="R526" s="1270"/>
      <c r="S526" s="1270"/>
      <c r="T526" s="1270"/>
      <c r="U526" s="1270"/>
      <c r="V526" s="1270"/>
    </row>
    <row r="527" spans="3:22" hidden="1">
      <c r="C527" s="1270"/>
      <c r="D527" s="1270"/>
      <c r="E527" s="1270"/>
      <c r="F527" s="1270"/>
      <c r="G527" s="1270"/>
      <c r="H527" s="1270"/>
      <c r="I527" s="1270"/>
      <c r="J527" s="1270"/>
      <c r="K527" s="1270"/>
      <c r="L527" s="1270"/>
      <c r="M527" s="1270"/>
      <c r="N527" s="1270"/>
      <c r="O527" s="1270"/>
      <c r="P527" s="1270"/>
      <c r="Q527" s="1270"/>
      <c r="R527" s="1270"/>
      <c r="S527" s="1270"/>
      <c r="T527" s="1270"/>
      <c r="U527" s="1270"/>
      <c r="V527" s="1270"/>
    </row>
    <row r="528" spans="3:22" hidden="1">
      <c r="C528" s="1270"/>
      <c r="D528" s="1270"/>
      <c r="E528" s="1270"/>
      <c r="F528" s="1270"/>
      <c r="G528" s="1270"/>
      <c r="H528" s="1270"/>
      <c r="I528" s="1270"/>
      <c r="J528" s="1270"/>
      <c r="K528" s="1270"/>
      <c r="L528" s="1270"/>
      <c r="M528" s="1270"/>
      <c r="N528" s="1270"/>
      <c r="O528" s="1270"/>
      <c r="P528" s="1270"/>
      <c r="Q528" s="1270"/>
      <c r="R528" s="1270"/>
      <c r="S528" s="1270"/>
      <c r="T528" s="1270"/>
      <c r="U528" s="1270"/>
      <c r="V528" s="1270"/>
    </row>
    <row r="529" spans="3:22" hidden="1">
      <c r="C529" s="1270"/>
      <c r="D529" s="1270"/>
      <c r="E529" s="1270"/>
      <c r="F529" s="1270"/>
      <c r="G529" s="1270"/>
      <c r="H529" s="1270"/>
      <c r="I529" s="1270"/>
      <c r="J529" s="1270"/>
      <c r="K529" s="1270"/>
      <c r="L529" s="1270"/>
      <c r="M529" s="1270"/>
      <c r="N529" s="1270"/>
      <c r="O529" s="1270"/>
      <c r="P529" s="1270"/>
      <c r="Q529" s="1270"/>
      <c r="R529" s="1270"/>
      <c r="S529" s="1270"/>
      <c r="T529" s="1270"/>
      <c r="U529" s="1270"/>
      <c r="V529" s="1270"/>
    </row>
    <row r="530" spans="3:22" hidden="1">
      <c r="C530" s="1270"/>
      <c r="D530" s="1270"/>
      <c r="E530" s="1270"/>
      <c r="F530" s="1270"/>
      <c r="G530" s="1270"/>
      <c r="H530" s="1270"/>
      <c r="I530" s="1270"/>
      <c r="J530" s="1270"/>
      <c r="K530" s="1270"/>
      <c r="L530" s="1270"/>
      <c r="M530" s="1270"/>
      <c r="N530" s="1270"/>
      <c r="O530" s="1270"/>
      <c r="P530" s="1270"/>
      <c r="Q530" s="1270"/>
      <c r="R530" s="1270"/>
      <c r="S530" s="1270"/>
      <c r="T530" s="1270"/>
      <c r="U530" s="1270"/>
      <c r="V530" s="1270"/>
    </row>
    <row r="531" spans="3:22" hidden="1">
      <c r="C531" s="1270"/>
      <c r="D531" s="1270"/>
      <c r="E531" s="1270"/>
      <c r="F531" s="1270"/>
      <c r="G531" s="1270"/>
      <c r="H531" s="1270"/>
      <c r="I531" s="1270"/>
      <c r="J531" s="1270"/>
      <c r="K531" s="1270"/>
      <c r="L531" s="1270"/>
      <c r="M531" s="1270"/>
      <c r="N531" s="1270"/>
      <c r="O531" s="1270"/>
      <c r="P531" s="1270"/>
      <c r="Q531" s="1270"/>
      <c r="R531" s="1270"/>
      <c r="S531" s="1270"/>
      <c r="T531" s="1270"/>
      <c r="U531" s="1270"/>
      <c r="V531" s="1270"/>
    </row>
    <row r="532" spans="3:22" hidden="1">
      <c r="C532" s="1270"/>
      <c r="D532" s="1270"/>
      <c r="E532" s="1270"/>
      <c r="F532" s="1270"/>
      <c r="G532" s="1270"/>
      <c r="H532" s="1270"/>
      <c r="I532" s="1270"/>
      <c r="J532" s="1270"/>
      <c r="K532" s="1270"/>
      <c r="L532" s="1270"/>
      <c r="M532" s="1270"/>
      <c r="N532" s="1270"/>
      <c r="O532" s="1270"/>
      <c r="P532" s="1270"/>
      <c r="Q532" s="1270"/>
      <c r="R532" s="1270"/>
      <c r="S532" s="1270"/>
      <c r="T532" s="1270"/>
      <c r="U532" s="1270"/>
      <c r="V532" s="1270"/>
    </row>
    <row r="533" spans="3:22" hidden="1">
      <c r="C533" s="1270"/>
      <c r="D533" s="1270"/>
      <c r="E533" s="1270"/>
      <c r="F533" s="1270"/>
      <c r="G533" s="1270"/>
      <c r="H533" s="1270"/>
      <c r="I533" s="1270"/>
      <c r="J533" s="1270"/>
      <c r="K533" s="1270"/>
      <c r="L533" s="1270"/>
      <c r="M533" s="1270"/>
      <c r="N533" s="1270"/>
      <c r="O533" s="1270"/>
      <c r="P533" s="1270"/>
      <c r="Q533" s="1270"/>
      <c r="R533" s="1270"/>
      <c r="S533" s="1270"/>
      <c r="T533" s="1270"/>
      <c r="U533" s="1270"/>
      <c r="V533" s="1270"/>
    </row>
    <row r="534" spans="3:22" hidden="1">
      <c r="C534" s="1270"/>
      <c r="D534" s="1270"/>
      <c r="E534" s="1270"/>
      <c r="F534" s="1270"/>
      <c r="G534" s="1270"/>
      <c r="H534" s="1270"/>
      <c r="I534" s="1270"/>
      <c r="J534" s="1270"/>
      <c r="K534" s="1270"/>
      <c r="L534" s="1270"/>
      <c r="M534" s="1270"/>
      <c r="N534" s="1270"/>
      <c r="O534" s="1270"/>
      <c r="P534" s="1270"/>
      <c r="Q534" s="1270"/>
      <c r="R534" s="1270"/>
      <c r="S534" s="1270"/>
      <c r="T534" s="1270"/>
      <c r="U534" s="1270"/>
      <c r="V534" s="1270"/>
    </row>
    <row r="535" spans="3:22" hidden="1">
      <c r="C535" s="1270"/>
      <c r="D535" s="1270"/>
      <c r="E535" s="1270"/>
      <c r="F535" s="1270"/>
      <c r="G535" s="1270"/>
      <c r="H535" s="1270"/>
      <c r="I535" s="1270"/>
      <c r="J535" s="1270"/>
      <c r="K535" s="1270"/>
      <c r="L535" s="1270"/>
      <c r="M535" s="1270"/>
      <c r="N535" s="1270"/>
      <c r="O535" s="1270"/>
      <c r="P535" s="1270"/>
      <c r="Q535" s="1270"/>
      <c r="R535" s="1270"/>
      <c r="S535" s="1270"/>
      <c r="T535" s="1270"/>
      <c r="U535" s="1270"/>
      <c r="V535" s="1270"/>
    </row>
    <row r="536" spans="3:22" hidden="1">
      <c r="C536" s="1270"/>
      <c r="D536" s="1270"/>
      <c r="E536" s="1270"/>
      <c r="F536" s="1270"/>
      <c r="G536" s="1270"/>
      <c r="H536" s="1270"/>
      <c r="I536" s="1270"/>
      <c r="J536" s="1270"/>
      <c r="K536" s="1270"/>
      <c r="L536" s="1270"/>
      <c r="M536" s="1270"/>
      <c r="N536" s="1270"/>
      <c r="O536" s="1270"/>
      <c r="P536" s="1270"/>
      <c r="Q536" s="1270"/>
      <c r="R536" s="1270"/>
      <c r="S536" s="1270"/>
      <c r="T536" s="1270"/>
      <c r="U536" s="1270"/>
      <c r="V536" s="1270"/>
    </row>
    <row r="537" spans="3:22" hidden="1">
      <c r="C537" s="1270"/>
      <c r="D537" s="1270"/>
      <c r="E537" s="1270"/>
      <c r="F537" s="1270"/>
      <c r="G537" s="1270"/>
      <c r="H537" s="1270"/>
      <c r="I537" s="1270"/>
      <c r="J537" s="1270"/>
      <c r="K537" s="1270"/>
      <c r="L537" s="1270"/>
      <c r="M537" s="1270"/>
      <c r="N537" s="1270"/>
      <c r="O537" s="1270"/>
      <c r="P537" s="1270"/>
      <c r="Q537" s="1270"/>
      <c r="R537" s="1270"/>
      <c r="S537" s="1270"/>
      <c r="T537" s="1270"/>
      <c r="U537" s="1270"/>
      <c r="V537" s="1270"/>
    </row>
    <row r="538" spans="3:22" hidden="1">
      <c r="C538" s="1270"/>
      <c r="D538" s="1270"/>
      <c r="E538" s="1270"/>
      <c r="F538" s="1270"/>
      <c r="G538" s="1270"/>
      <c r="H538" s="1270"/>
      <c r="I538" s="1270"/>
      <c r="J538" s="1270"/>
      <c r="K538" s="1270"/>
      <c r="L538" s="1270"/>
      <c r="M538" s="1270"/>
      <c r="N538" s="1270"/>
      <c r="O538" s="1270"/>
      <c r="P538" s="1270"/>
      <c r="Q538" s="1270"/>
      <c r="R538" s="1270"/>
      <c r="S538" s="1270"/>
      <c r="T538" s="1270"/>
      <c r="U538" s="1270"/>
      <c r="V538" s="1270"/>
    </row>
    <row r="539" spans="3:22" hidden="1">
      <c r="C539" s="1270"/>
      <c r="D539" s="1270"/>
      <c r="E539" s="1270"/>
      <c r="F539" s="1270"/>
      <c r="G539" s="1270"/>
      <c r="H539" s="1270"/>
      <c r="I539" s="1270"/>
      <c r="J539" s="1270"/>
      <c r="K539" s="1270"/>
      <c r="L539" s="1270"/>
      <c r="M539" s="1270"/>
      <c r="N539" s="1270"/>
      <c r="O539" s="1270"/>
      <c r="P539" s="1270"/>
      <c r="Q539" s="1270"/>
      <c r="R539" s="1270"/>
      <c r="S539" s="1270"/>
      <c r="T539" s="1270"/>
      <c r="U539" s="1270"/>
      <c r="V539" s="1270"/>
    </row>
    <row r="540" spans="3:22" hidden="1">
      <c r="C540" s="1270"/>
      <c r="D540" s="1270"/>
      <c r="E540" s="1270"/>
      <c r="F540" s="1270"/>
      <c r="G540" s="1270"/>
      <c r="H540" s="1270"/>
      <c r="I540" s="1270"/>
      <c r="J540" s="1270"/>
      <c r="K540" s="1270"/>
      <c r="L540" s="1270"/>
      <c r="M540" s="1270"/>
      <c r="N540" s="1270"/>
      <c r="O540" s="1270"/>
      <c r="P540" s="1270"/>
      <c r="Q540" s="1270"/>
      <c r="R540" s="1270"/>
      <c r="S540" s="1270"/>
      <c r="T540" s="1270"/>
      <c r="U540" s="1270"/>
      <c r="V540" s="1270"/>
    </row>
    <row r="541" spans="3:22" hidden="1">
      <c r="C541" s="1270"/>
      <c r="D541" s="1270"/>
      <c r="E541" s="1270"/>
      <c r="F541" s="1270"/>
      <c r="G541" s="1270"/>
      <c r="H541" s="1270"/>
      <c r="I541" s="1270"/>
      <c r="J541" s="1270"/>
      <c r="K541" s="1270"/>
      <c r="L541" s="1270"/>
      <c r="M541" s="1270"/>
      <c r="N541" s="1270"/>
      <c r="O541" s="1270"/>
      <c r="P541" s="1270"/>
      <c r="Q541" s="1270"/>
      <c r="R541" s="1270"/>
      <c r="S541" s="1270"/>
      <c r="T541" s="1270"/>
      <c r="U541" s="1270"/>
      <c r="V541" s="1270"/>
    </row>
    <row r="542" spans="3:22" hidden="1">
      <c r="C542" s="1270"/>
      <c r="D542" s="1270"/>
      <c r="E542" s="1270"/>
      <c r="F542" s="1270"/>
      <c r="G542" s="1270"/>
      <c r="H542" s="1270"/>
      <c r="I542" s="1270"/>
      <c r="J542" s="1270"/>
      <c r="K542" s="1270"/>
      <c r="L542" s="1270"/>
      <c r="M542" s="1270"/>
      <c r="N542" s="1270"/>
      <c r="O542" s="1270"/>
      <c r="P542" s="1270"/>
      <c r="Q542" s="1270"/>
      <c r="R542" s="1270"/>
      <c r="S542" s="1270"/>
      <c r="T542" s="1270"/>
      <c r="U542" s="1270"/>
      <c r="V542" s="1270"/>
    </row>
    <row r="543" spans="3:22" hidden="1">
      <c r="C543" s="1270"/>
      <c r="D543" s="1270"/>
      <c r="E543" s="1270"/>
      <c r="F543" s="1270"/>
      <c r="G543" s="1270"/>
      <c r="H543" s="1270"/>
      <c r="I543" s="1270"/>
      <c r="J543" s="1270"/>
      <c r="K543" s="1270"/>
      <c r="L543" s="1270"/>
      <c r="M543" s="1270"/>
      <c r="N543" s="1270"/>
      <c r="O543" s="1270"/>
      <c r="P543" s="1270"/>
      <c r="Q543" s="1270"/>
      <c r="R543" s="1270"/>
      <c r="S543" s="1270"/>
      <c r="T543" s="1270"/>
      <c r="U543" s="1270"/>
      <c r="V543" s="1270"/>
    </row>
    <row r="544" spans="3:22" hidden="1">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row>
    <row r="545" spans="3:22" hidden="1">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row>
    <row r="546" spans="3:22" hidden="1">
      <c r="C546" s="1270"/>
      <c r="D546" s="1270"/>
      <c r="E546" s="1270"/>
      <c r="F546" s="1270"/>
      <c r="G546" s="1270"/>
      <c r="H546" s="1270"/>
      <c r="I546" s="1270"/>
      <c r="J546" s="1270"/>
      <c r="K546" s="1270"/>
      <c r="L546" s="1270"/>
      <c r="M546" s="1270"/>
      <c r="N546" s="1270"/>
      <c r="O546" s="1270"/>
      <c r="P546" s="1270"/>
      <c r="Q546" s="1270"/>
      <c r="R546" s="1270"/>
      <c r="S546" s="1270"/>
      <c r="T546" s="1270"/>
      <c r="U546" s="1270"/>
      <c r="V546" s="1270"/>
    </row>
  </sheetData>
  <sheetProtection selectLockedCells="1"/>
  <customSheetViews>
    <customSheetView guid="{DDA22D69-94B5-45BC-9EE2-6055A845129B}" hiddenRows="1" hiddenColumns="1" state="hidden">
      <selection activeCell="L61" sqref="L61"/>
      <pageMargins left="0.7" right="0.7" top="0.75" bottom="0.75" header="0.3" footer="0.3"/>
      <pageSetup orientation="portrait" r:id="rId1"/>
    </customSheetView>
    <customSheetView guid="{1B7577DB-E3C4-4E68-B7CF-8F86FF7C5A82}" hiddenRows="1" hiddenColumns="1" state="hidden">
      <selection activeCell="L61" sqref="L61"/>
      <pageMargins left="0.7" right="0.7" top="0.75" bottom="0.75" header="0.3" footer="0.3"/>
      <pageSetup orientation="portrait" r:id="rId2"/>
    </customSheetView>
    <customSheetView guid="{E7B1C62B-1F1D-4A62-BD87-EE62D3A36B6C}" hiddenRows="1" hiddenColumns="1" state="hidden">
      <selection activeCell="L61" sqref="L61"/>
      <pageMargins left="0.7" right="0.7" top="0.75" bottom="0.75" header="0.3" footer="0.3"/>
      <pageSetup orientation="portrait" r:id="rId3"/>
    </customSheetView>
  </customSheetViews>
  <mergeCells count="193">
    <mergeCell ref="T31:U31"/>
    <mergeCell ref="T19:U19"/>
    <mergeCell ref="T17:U18"/>
    <mergeCell ref="Q10:R10"/>
    <mergeCell ref="Q11:R11"/>
    <mergeCell ref="T25:U29"/>
    <mergeCell ref="T21:U24"/>
    <mergeCell ref="G9:J9"/>
    <mergeCell ref="T9:U10"/>
    <mergeCell ref="L10:P11"/>
    <mergeCell ref="G11:J11"/>
    <mergeCell ref="G12:J12"/>
    <mergeCell ref="G13:J13"/>
    <mergeCell ref="G10:J10"/>
    <mergeCell ref="G14:J14"/>
    <mergeCell ref="C16:R16"/>
    <mergeCell ref="C18:C20"/>
    <mergeCell ref="D18:E20"/>
    <mergeCell ref="F18:G20"/>
    <mergeCell ref="H18:I20"/>
    <mergeCell ref="C17:L17"/>
    <mergeCell ref="J18:L20"/>
    <mergeCell ref="D21:E21"/>
    <mergeCell ref="F21:G21"/>
    <mergeCell ref="C2:R3"/>
    <mergeCell ref="T2:U5"/>
    <mergeCell ref="C4:R5"/>
    <mergeCell ref="G7:J7"/>
    <mergeCell ref="L7:P7"/>
    <mergeCell ref="Q7:R7"/>
    <mergeCell ref="T7:U8"/>
    <mergeCell ref="G8:J8"/>
    <mergeCell ref="L8:P8"/>
    <mergeCell ref="Q8:R8"/>
    <mergeCell ref="H28:I28"/>
    <mergeCell ref="H21:I21"/>
    <mergeCell ref="J21:L21"/>
    <mergeCell ref="D22:E22"/>
    <mergeCell ref="F22:G22"/>
    <mergeCell ref="H22:I22"/>
    <mergeCell ref="J22:L22"/>
    <mergeCell ref="D23:E23"/>
    <mergeCell ref="F23:G23"/>
    <mergeCell ref="H23:I23"/>
    <mergeCell ref="J23:L23"/>
    <mergeCell ref="F32:G34"/>
    <mergeCell ref="H32:I34"/>
    <mergeCell ref="J32:L34"/>
    <mergeCell ref="M32:N34"/>
    <mergeCell ref="O32:P34"/>
    <mergeCell ref="Q32:R34"/>
    <mergeCell ref="D24:E24"/>
    <mergeCell ref="F24:G24"/>
    <mergeCell ref="H24:I24"/>
    <mergeCell ref="J24:L24"/>
    <mergeCell ref="D25:E25"/>
    <mergeCell ref="F25:G25"/>
    <mergeCell ref="H25:I25"/>
    <mergeCell ref="J25:L25"/>
    <mergeCell ref="F26:G26"/>
    <mergeCell ref="F27:G27"/>
    <mergeCell ref="H26:I26"/>
    <mergeCell ref="H27:I27"/>
    <mergeCell ref="D26:E26"/>
    <mergeCell ref="D27:E27"/>
    <mergeCell ref="J26:L26"/>
    <mergeCell ref="J27:L27"/>
    <mergeCell ref="D28:E28"/>
    <mergeCell ref="F28:G28"/>
    <mergeCell ref="Q41:R41"/>
    <mergeCell ref="H41:I41"/>
    <mergeCell ref="H42:I42"/>
    <mergeCell ref="J41:L41"/>
    <mergeCell ref="D29:E29"/>
    <mergeCell ref="F29:G29"/>
    <mergeCell ref="H29:I29"/>
    <mergeCell ref="J29:L29"/>
    <mergeCell ref="J28:L28"/>
    <mergeCell ref="I30:L30"/>
    <mergeCell ref="D38:E38"/>
    <mergeCell ref="F38:G38"/>
    <mergeCell ref="H38:I38"/>
    <mergeCell ref="J38:L38"/>
    <mergeCell ref="J37:L37"/>
    <mergeCell ref="D36:E36"/>
    <mergeCell ref="F36:G36"/>
    <mergeCell ref="H36:I36"/>
    <mergeCell ref="J36:L36"/>
    <mergeCell ref="M36:N36"/>
    <mergeCell ref="O36:P36"/>
    <mergeCell ref="C31:R31"/>
    <mergeCell ref="C32:C34"/>
    <mergeCell ref="D32:E34"/>
    <mergeCell ref="Q35:R35"/>
    <mergeCell ref="D35:E35"/>
    <mergeCell ref="F35:G35"/>
    <mergeCell ref="H35:I35"/>
    <mergeCell ref="J35:L35"/>
    <mergeCell ref="M35:N35"/>
    <mergeCell ref="O35:P35"/>
    <mergeCell ref="Q37:R37"/>
    <mergeCell ref="M38:N38"/>
    <mergeCell ref="O38:P38"/>
    <mergeCell ref="Q38:R38"/>
    <mergeCell ref="M37:N37"/>
    <mergeCell ref="O37:P37"/>
    <mergeCell ref="Q36:R36"/>
    <mergeCell ref="D37:E37"/>
    <mergeCell ref="F37:G37"/>
    <mergeCell ref="H37:I37"/>
    <mergeCell ref="J42:L42"/>
    <mergeCell ref="Q42:R42"/>
    <mergeCell ref="D39:E39"/>
    <mergeCell ref="F39:G39"/>
    <mergeCell ref="H39:I39"/>
    <mergeCell ref="J39:L39"/>
    <mergeCell ref="M39:N39"/>
    <mergeCell ref="O39:P39"/>
    <mergeCell ref="Q39:R39"/>
    <mergeCell ref="M41:N41"/>
    <mergeCell ref="D40:E40"/>
    <mergeCell ref="F40:G40"/>
    <mergeCell ref="H40:I40"/>
    <mergeCell ref="J40:L40"/>
    <mergeCell ref="M40:N40"/>
    <mergeCell ref="O40:P40"/>
    <mergeCell ref="D41:E41"/>
    <mergeCell ref="D42:E42"/>
    <mergeCell ref="F41:G41"/>
    <mergeCell ref="F42:G42"/>
    <mergeCell ref="O41:P41"/>
    <mergeCell ref="M42:N42"/>
    <mergeCell ref="O42:P42"/>
    <mergeCell ref="Q40:R40"/>
    <mergeCell ref="J73:K73"/>
    <mergeCell ref="H61:J61"/>
    <mergeCell ref="D66:I66"/>
    <mergeCell ref="J66:K66"/>
    <mergeCell ref="D106:G106"/>
    <mergeCell ref="D107:K107"/>
    <mergeCell ref="J116:K116"/>
    <mergeCell ref="J82:K83"/>
    <mergeCell ref="D86:K86"/>
    <mergeCell ref="D88:K88"/>
    <mergeCell ref="D90:K90"/>
    <mergeCell ref="D92:K92"/>
    <mergeCell ref="D98:K105"/>
    <mergeCell ref="D74:H76"/>
    <mergeCell ref="J74:K76"/>
    <mergeCell ref="D77:H81"/>
    <mergeCell ref="J77:K77"/>
    <mergeCell ref="J78:K78"/>
    <mergeCell ref="J79:K81"/>
    <mergeCell ref="J67:K67"/>
    <mergeCell ref="J68:K68"/>
    <mergeCell ref="J69:K69"/>
    <mergeCell ref="J70:L71"/>
    <mergeCell ref="J72:K72"/>
    <mergeCell ref="H58:J58"/>
    <mergeCell ref="K58:L58"/>
    <mergeCell ref="H52:J52"/>
    <mergeCell ref="K52:L52"/>
    <mergeCell ref="H53:J53"/>
    <mergeCell ref="K53:L53"/>
    <mergeCell ref="H54:J54"/>
    <mergeCell ref="K54:L54"/>
    <mergeCell ref="H55:J55"/>
    <mergeCell ref="H56:J56"/>
    <mergeCell ref="K55:L55"/>
    <mergeCell ref="K56:L56"/>
    <mergeCell ref="D43:E43"/>
    <mergeCell ref="F43:G43"/>
    <mergeCell ref="H43:I43"/>
    <mergeCell ref="J43:L43"/>
    <mergeCell ref="M43:N43"/>
    <mergeCell ref="O43:P43"/>
    <mergeCell ref="Q43:R43"/>
    <mergeCell ref="H57:J57"/>
    <mergeCell ref="K57:L57"/>
    <mergeCell ref="H50:J50"/>
    <mergeCell ref="K50:L50"/>
    <mergeCell ref="H51:J51"/>
    <mergeCell ref="K51:L51"/>
    <mergeCell ref="H48:L48"/>
    <mergeCell ref="H49:J49"/>
    <mergeCell ref="K49:L49"/>
    <mergeCell ref="D44:E44"/>
    <mergeCell ref="F44:G44"/>
    <mergeCell ref="H44:I44"/>
    <mergeCell ref="J44:L44"/>
    <mergeCell ref="M44:N44"/>
    <mergeCell ref="O44:P44"/>
    <mergeCell ref="Q44:R44"/>
  </mergeCells>
  <pageMargins left="0.7" right="0.7" top="0.75" bottom="0.75" header="0.3" footer="0.3"/>
  <pageSetup orientation="portrait" r:id="rId4"/>
  <ignoredErrors>
    <ignoredError sqref="Q11" unlockedFormula="1"/>
  </ignoredErrors>
  <drawing r:id="rId5"/>
  <legacyDrawing r:id="rId6"/>
  <mc:AlternateContent xmlns:mc="http://schemas.openxmlformats.org/markup-compatibility/2006">
    <mc:Choice Requires="x14">
      <controls>
        <mc:AlternateContent xmlns:mc="http://schemas.openxmlformats.org/markup-compatibility/2006">
          <mc:Choice Requires="x14">
            <control shapeId="115713" r:id="rId7" name="Drop Down 1">
              <controlPr defaultSize="0" autoLine="0" autoPict="0">
                <anchor moveWithCells="1">
                  <from>
                    <xdr:col>4</xdr:col>
                    <xdr:colOff>123825</xdr:colOff>
                    <xdr:row>5</xdr:row>
                    <xdr:rowOff>57150</xdr:rowOff>
                  </from>
                  <to>
                    <xdr:col>5</xdr:col>
                    <xdr:colOff>419100</xdr:colOff>
                    <xdr:row>6</xdr:row>
                    <xdr:rowOff>285750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V99"/>
  <sheetViews>
    <sheetView topLeftCell="A25" workbookViewId="0">
      <selection activeCell="E9" sqref="E9"/>
    </sheetView>
  </sheetViews>
  <sheetFormatPr defaultColWidth="0" defaultRowHeight="15" zeroHeight="1"/>
  <cols>
    <col min="1" max="1" width="6.85546875" customWidth="1"/>
    <col min="2" max="3" width="9.140625" customWidth="1"/>
    <col min="4" max="4" width="16.28515625" customWidth="1"/>
    <col min="5" max="5" width="88.28515625" customWidth="1"/>
    <col min="6" max="6" width="45.28515625" customWidth="1"/>
    <col min="7" max="10" width="9.140625" customWidth="1"/>
  </cols>
  <sheetData>
    <row r="1" spans="1:48" ht="33"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row>
    <row r="2" spans="1:48">
      <c r="A2" s="1"/>
      <c r="B2" s="570"/>
      <c r="C2" s="570"/>
      <c r="D2" s="570"/>
      <c r="E2" s="570"/>
      <c r="F2" s="570"/>
      <c r="G2" s="570"/>
      <c r="H2" s="570"/>
      <c r="I2" s="570"/>
      <c r="J2" s="1"/>
      <c r="K2" s="570"/>
      <c r="L2" s="570"/>
      <c r="M2" s="570"/>
      <c r="N2" s="570"/>
      <c r="O2" s="570"/>
      <c r="P2" s="570"/>
      <c r="Q2" s="570"/>
      <c r="R2" s="570"/>
    </row>
    <row r="3" spans="1:48">
      <c r="A3" s="1"/>
      <c r="B3" s="570"/>
      <c r="C3" s="570"/>
      <c r="D3" s="570"/>
      <c r="E3" s="570"/>
      <c r="F3" s="570"/>
      <c r="G3" s="570"/>
      <c r="H3" s="570"/>
      <c r="I3" s="570"/>
      <c r="J3" s="1"/>
      <c r="K3" s="570"/>
      <c r="L3" s="570"/>
      <c r="M3" s="570"/>
      <c r="N3" s="570"/>
      <c r="O3" s="570"/>
      <c r="P3" s="570"/>
      <c r="Q3" s="570"/>
      <c r="R3" s="570"/>
    </row>
    <row r="4" spans="1:48" ht="24.95" customHeight="1">
      <c r="A4" s="1"/>
      <c r="B4" s="570"/>
      <c r="C4" s="6292" t="s">
        <v>694</v>
      </c>
      <c r="D4" s="6293"/>
      <c r="E4" s="571" t="s">
        <v>695</v>
      </c>
      <c r="F4" s="6289" t="s">
        <v>763</v>
      </c>
      <c r="G4" s="570"/>
      <c r="H4" s="570"/>
      <c r="I4" s="570"/>
      <c r="J4" s="1"/>
      <c r="K4" s="570"/>
      <c r="L4" s="570"/>
      <c r="M4" s="570"/>
      <c r="N4" s="570"/>
      <c r="O4" s="570"/>
      <c r="P4" s="570"/>
      <c r="Q4" s="570"/>
      <c r="R4" s="570"/>
    </row>
    <row r="5" spans="1:48" ht="24.95" customHeight="1">
      <c r="A5" s="1"/>
      <c r="B5" s="570"/>
      <c r="C5" s="573"/>
      <c r="D5" s="574"/>
      <c r="E5" s="571" t="s">
        <v>696</v>
      </c>
      <c r="F5" s="6290"/>
      <c r="G5" s="570"/>
      <c r="H5" s="570"/>
      <c r="I5" s="570"/>
      <c r="J5" s="1"/>
      <c r="K5" s="570"/>
      <c r="L5" s="570"/>
      <c r="M5" s="570"/>
      <c r="N5" s="570"/>
      <c r="O5" s="570"/>
      <c r="P5" s="570"/>
      <c r="Q5" s="570"/>
      <c r="R5" s="570"/>
    </row>
    <row r="6" spans="1:48" ht="24.95" customHeight="1">
      <c r="A6" s="1"/>
      <c r="B6" s="570"/>
      <c r="C6" s="573"/>
      <c r="D6" s="574"/>
      <c r="E6" s="571" t="s">
        <v>697</v>
      </c>
      <c r="F6" s="6290"/>
      <c r="G6" s="570"/>
      <c r="H6" s="570"/>
      <c r="I6" s="570"/>
      <c r="J6" s="1"/>
      <c r="K6" s="570"/>
      <c r="L6" s="570"/>
      <c r="M6" s="570"/>
      <c r="N6" s="570"/>
      <c r="O6" s="570"/>
      <c r="P6" s="570"/>
      <c r="Q6" s="570"/>
      <c r="R6" s="570"/>
    </row>
    <row r="7" spans="1:48" ht="24.95" customHeight="1">
      <c r="A7" s="1"/>
      <c r="B7" s="570"/>
      <c r="C7" s="573"/>
      <c r="D7" s="574"/>
      <c r="E7" s="571" t="s">
        <v>698</v>
      </c>
      <c r="F7" s="6290"/>
      <c r="G7" s="570"/>
      <c r="H7" s="570"/>
      <c r="I7" s="570"/>
      <c r="J7" s="1"/>
      <c r="K7" s="570"/>
      <c r="L7" s="570"/>
      <c r="M7" s="570"/>
      <c r="N7" s="570"/>
      <c r="O7" s="570"/>
      <c r="P7" s="570"/>
      <c r="Q7" s="570"/>
      <c r="R7" s="570"/>
    </row>
    <row r="8" spans="1:48" ht="24.95" customHeight="1">
      <c r="A8" s="1"/>
      <c r="B8" s="570"/>
      <c r="C8" s="573"/>
      <c r="D8" s="574"/>
      <c r="E8" s="571" t="s">
        <v>699</v>
      </c>
      <c r="F8" s="6290"/>
      <c r="G8" s="570"/>
      <c r="H8" s="570"/>
      <c r="I8" s="570"/>
      <c r="J8" s="1"/>
      <c r="K8" s="570"/>
      <c r="L8" s="570"/>
      <c r="M8" s="570"/>
      <c r="N8" s="570"/>
      <c r="O8" s="570"/>
      <c r="P8" s="570"/>
      <c r="Q8" s="570"/>
      <c r="R8" s="570"/>
    </row>
    <row r="9" spans="1:48" ht="24.95" customHeight="1">
      <c r="A9" s="1"/>
      <c r="B9" s="570"/>
      <c r="C9" s="573"/>
      <c r="D9" s="574"/>
      <c r="E9" s="571" t="s">
        <v>700</v>
      </c>
      <c r="F9" s="6290"/>
      <c r="G9" s="570"/>
      <c r="H9" s="570"/>
      <c r="I9" s="570"/>
      <c r="J9" s="1"/>
      <c r="K9" s="570"/>
      <c r="L9" s="570"/>
      <c r="M9" s="570"/>
      <c r="N9" s="570"/>
      <c r="O9" s="570"/>
      <c r="P9" s="570"/>
      <c r="Q9" s="570"/>
      <c r="R9" s="570"/>
    </row>
    <row r="10" spans="1:48" ht="24.95" customHeight="1">
      <c r="A10" s="1"/>
      <c r="B10" s="570"/>
      <c r="C10" s="573"/>
      <c r="D10" s="574"/>
      <c r="E10" s="571" t="s">
        <v>701</v>
      </c>
      <c r="F10" s="6290"/>
      <c r="G10" s="570"/>
      <c r="H10" s="570"/>
      <c r="I10" s="570"/>
      <c r="J10" s="1"/>
      <c r="K10" s="570"/>
      <c r="L10" s="570"/>
      <c r="M10" s="570"/>
      <c r="N10" s="570"/>
      <c r="O10" s="570"/>
      <c r="P10" s="570"/>
      <c r="Q10" s="570"/>
      <c r="R10" s="570"/>
    </row>
    <row r="11" spans="1:48" ht="24.95" customHeight="1">
      <c r="A11" s="1"/>
      <c r="B11" s="570"/>
      <c r="C11" s="573"/>
      <c r="D11" s="574"/>
      <c r="E11" s="571" t="s">
        <v>702</v>
      </c>
      <c r="F11" s="6290"/>
      <c r="G11" s="570"/>
      <c r="H11" s="570"/>
      <c r="I11" s="570"/>
      <c r="J11" s="1"/>
      <c r="K11" s="570"/>
      <c r="L11" s="570"/>
      <c r="M11" s="570"/>
      <c r="N11" s="570"/>
      <c r="O11" s="570"/>
      <c r="P11" s="570"/>
      <c r="Q11" s="570"/>
      <c r="R11" s="570"/>
    </row>
    <row r="12" spans="1:48" ht="24.95" customHeight="1">
      <c r="A12" s="1"/>
      <c r="B12" s="570"/>
      <c r="C12" s="573"/>
      <c r="D12" s="574"/>
      <c r="E12" s="571" t="s">
        <v>703</v>
      </c>
      <c r="F12" s="6290"/>
      <c r="G12" s="570"/>
      <c r="H12" s="570"/>
      <c r="I12" s="570"/>
      <c r="J12" s="1"/>
      <c r="K12" s="570"/>
      <c r="L12" s="570"/>
      <c r="M12" s="570"/>
      <c r="N12" s="570"/>
      <c r="O12" s="570"/>
      <c r="P12" s="570"/>
      <c r="Q12" s="570"/>
      <c r="R12" s="570"/>
    </row>
    <row r="13" spans="1:48" ht="24.95" customHeight="1">
      <c r="A13" s="1"/>
      <c r="B13" s="570"/>
      <c r="C13" s="573"/>
      <c r="D13" s="574"/>
      <c r="E13" s="571" t="s">
        <v>704</v>
      </c>
      <c r="F13" s="6290"/>
      <c r="G13" s="570"/>
      <c r="H13" s="570"/>
      <c r="I13" s="570"/>
      <c r="J13" s="1"/>
      <c r="K13" s="570"/>
      <c r="L13" s="570"/>
      <c r="M13" s="570"/>
      <c r="N13" s="570"/>
      <c r="O13" s="570"/>
      <c r="P13" s="570"/>
      <c r="Q13" s="570"/>
      <c r="R13" s="570"/>
    </row>
    <row r="14" spans="1:48" ht="24.95" customHeight="1">
      <c r="A14" s="1"/>
      <c r="B14" s="570"/>
      <c r="C14" s="573"/>
      <c r="D14" s="574"/>
      <c r="E14" s="571" t="s">
        <v>705</v>
      </c>
      <c r="F14" s="6290"/>
      <c r="G14" s="570"/>
      <c r="H14" s="570"/>
      <c r="I14" s="570"/>
      <c r="J14" s="1"/>
      <c r="K14" s="570"/>
      <c r="L14" s="570"/>
      <c r="M14" s="570"/>
      <c r="N14" s="570"/>
      <c r="O14" s="570"/>
      <c r="P14" s="570"/>
      <c r="Q14" s="570"/>
      <c r="R14" s="570"/>
    </row>
    <row r="15" spans="1:48" ht="24.95" customHeight="1">
      <c r="A15" s="1"/>
      <c r="B15" s="570"/>
      <c r="C15" s="573"/>
      <c r="D15" s="574"/>
      <c r="E15" s="571" t="s">
        <v>706</v>
      </c>
      <c r="F15" s="6290"/>
      <c r="G15" s="570"/>
      <c r="H15" s="570"/>
      <c r="I15" s="570"/>
      <c r="J15" s="1"/>
      <c r="K15" s="570"/>
      <c r="L15" s="570"/>
      <c r="M15" s="570"/>
      <c r="N15" s="570"/>
      <c r="O15" s="570"/>
      <c r="P15" s="570"/>
      <c r="Q15" s="570"/>
      <c r="R15" s="570"/>
    </row>
    <row r="16" spans="1:48" ht="24.95" customHeight="1">
      <c r="A16" s="1"/>
      <c r="B16" s="570"/>
      <c r="C16" s="573"/>
      <c r="D16" s="574"/>
      <c r="E16" s="571" t="s">
        <v>707</v>
      </c>
      <c r="F16" s="6290"/>
      <c r="G16" s="570"/>
      <c r="H16" s="570"/>
      <c r="I16" s="570"/>
      <c r="J16" s="1"/>
      <c r="K16" s="570"/>
      <c r="L16" s="570"/>
      <c r="M16" s="570"/>
      <c r="N16" s="570"/>
      <c r="O16" s="570"/>
      <c r="P16" s="570"/>
      <c r="Q16" s="570"/>
      <c r="R16" s="570"/>
    </row>
    <row r="17" spans="1:18" ht="24.95" customHeight="1">
      <c r="A17" s="1"/>
      <c r="B17" s="570"/>
      <c r="C17" s="573"/>
      <c r="D17" s="574"/>
      <c r="E17" s="571" t="s">
        <v>708</v>
      </c>
      <c r="F17" s="6290"/>
      <c r="G17" s="570"/>
      <c r="H17" s="570"/>
      <c r="I17" s="570"/>
      <c r="J17" s="1"/>
      <c r="K17" s="570"/>
      <c r="L17" s="570"/>
      <c r="M17" s="570"/>
      <c r="N17" s="570"/>
      <c r="O17" s="570"/>
      <c r="P17" s="570"/>
      <c r="Q17" s="570"/>
      <c r="R17" s="570"/>
    </row>
    <row r="18" spans="1:18" ht="24.95" customHeight="1">
      <c r="A18" s="1"/>
      <c r="B18" s="570"/>
      <c r="C18" s="573"/>
      <c r="D18" s="574"/>
      <c r="E18" s="571" t="s">
        <v>709</v>
      </c>
      <c r="F18" s="6290"/>
      <c r="G18" s="570"/>
      <c r="H18" s="570"/>
      <c r="I18" s="570"/>
      <c r="J18" s="1"/>
      <c r="K18" s="570"/>
      <c r="L18" s="570"/>
      <c r="M18" s="570"/>
      <c r="N18" s="570"/>
      <c r="O18" s="570"/>
      <c r="P18" s="570"/>
      <c r="Q18" s="570"/>
      <c r="R18" s="570"/>
    </row>
    <row r="19" spans="1:18" ht="24.95" customHeight="1">
      <c r="A19" s="1"/>
      <c r="B19" s="570"/>
      <c r="C19" s="573"/>
      <c r="D19" s="574"/>
      <c r="E19" s="571" t="s">
        <v>710</v>
      </c>
      <c r="F19" s="6290"/>
      <c r="G19" s="570"/>
      <c r="H19" s="570"/>
      <c r="I19" s="570"/>
      <c r="J19" s="1"/>
      <c r="K19" s="570"/>
      <c r="L19" s="570"/>
      <c r="M19" s="570"/>
      <c r="N19" s="570"/>
      <c r="O19" s="570"/>
      <c r="P19" s="570"/>
      <c r="Q19" s="570"/>
      <c r="R19" s="570"/>
    </row>
    <row r="20" spans="1:18" ht="24.95" customHeight="1">
      <c r="A20" s="1"/>
      <c r="B20" s="570"/>
      <c r="C20" s="573"/>
      <c r="D20" s="574"/>
      <c r="E20" s="571" t="s">
        <v>711</v>
      </c>
      <c r="F20" s="6290"/>
      <c r="G20" s="570"/>
      <c r="H20" s="570"/>
      <c r="I20" s="570"/>
      <c r="J20" s="1"/>
      <c r="K20" s="570"/>
      <c r="L20" s="570"/>
      <c r="M20" s="570"/>
      <c r="N20" s="570"/>
      <c r="O20" s="570"/>
      <c r="P20" s="570"/>
      <c r="Q20" s="570"/>
      <c r="R20" s="570"/>
    </row>
    <row r="21" spans="1:18" ht="24.95" customHeight="1">
      <c r="A21" s="1"/>
      <c r="B21" s="570"/>
      <c r="C21" s="573"/>
      <c r="D21" s="574"/>
      <c r="E21" s="571" t="s">
        <v>712</v>
      </c>
      <c r="F21" s="6290"/>
      <c r="G21" s="570"/>
      <c r="H21" s="570"/>
      <c r="I21" s="570"/>
      <c r="J21" s="1"/>
      <c r="K21" s="570"/>
      <c r="L21" s="570"/>
      <c r="M21" s="570"/>
      <c r="N21" s="570"/>
      <c r="O21" s="570"/>
      <c r="P21" s="570"/>
      <c r="Q21" s="570"/>
      <c r="R21" s="570"/>
    </row>
    <row r="22" spans="1:18" ht="24.95" customHeight="1">
      <c r="A22" s="1"/>
      <c r="B22" s="570"/>
      <c r="C22" s="575"/>
      <c r="D22" s="576"/>
      <c r="E22" s="571" t="s">
        <v>713</v>
      </c>
      <c r="F22" s="6291"/>
      <c r="G22" s="570"/>
      <c r="H22" s="570"/>
      <c r="I22" s="570"/>
      <c r="J22" s="1"/>
      <c r="K22" s="570"/>
      <c r="L22" s="570"/>
      <c r="M22" s="570"/>
      <c r="N22" s="570"/>
      <c r="O22" s="570"/>
      <c r="P22" s="570"/>
      <c r="Q22" s="570"/>
      <c r="R22" s="570"/>
    </row>
    <row r="23" spans="1:18">
      <c r="A23" s="1"/>
      <c r="B23" s="570"/>
      <c r="C23" s="570"/>
      <c r="D23" s="570"/>
      <c r="E23" s="570"/>
      <c r="F23" s="570"/>
      <c r="G23" s="570"/>
      <c r="H23" s="570"/>
      <c r="I23" s="570"/>
      <c r="J23" s="1"/>
      <c r="K23" s="570"/>
      <c r="L23" s="570"/>
      <c r="M23" s="570"/>
      <c r="N23" s="570"/>
      <c r="O23" s="570"/>
      <c r="P23" s="570"/>
      <c r="Q23" s="570"/>
      <c r="R23" s="570"/>
    </row>
    <row r="24" spans="1:18">
      <c r="A24" s="1"/>
      <c r="B24" s="570"/>
      <c r="C24" s="570"/>
      <c r="D24" s="570"/>
      <c r="E24" s="570"/>
      <c r="F24" s="570"/>
      <c r="G24" s="570"/>
      <c r="H24" s="570"/>
      <c r="I24" s="570"/>
      <c r="J24" s="1"/>
      <c r="K24" s="570"/>
      <c r="L24" s="570"/>
      <c r="M24" s="570"/>
      <c r="N24" s="570"/>
      <c r="O24" s="570"/>
      <c r="P24" s="570"/>
      <c r="Q24" s="570"/>
      <c r="R24" s="570"/>
    </row>
    <row r="25" spans="1:18" ht="30" customHeight="1">
      <c r="A25" s="1"/>
      <c r="B25" s="570"/>
      <c r="C25" s="6287" t="s">
        <v>422</v>
      </c>
      <c r="D25" s="6288"/>
      <c r="E25" s="572" t="s">
        <v>714</v>
      </c>
      <c r="F25" s="572" t="s">
        <v>715</v>
      </c>
      <c r="G25" s="570"/>
      <c r="H25" s="570"/>
      <c r="I25" s="570"/>
      <c r="J25" s="1"/>
      <c r="K25" s="570"/>
      <c r="L25" s="570"/>
      <c r="M25" s="570"/>
      <c r="N25" s="570"/>
      <c r="O25" s="570"/>
      <c r="P25" s="570"/>
      <c r="Q25" s="570"/>
      <c r="R25" s="570"/>
    </row>
    <row r="26" spans="1:18" ht="30" customHeight="1">
      <c r="A26" s="1"/>
      <c r="B26" s="570"/>
      <c r="C26" s="6287" t="s">
        <v>716</v>
      </c>
      <c r="D26" s="6288"/>
      <c r="E26" s="572" t="s">
        <v>717</v>
      </c>
      <c r="F26" s="572" t="s">
        <v>715</v>
      </c>
      <c r="G26" s="570"/>
      <c r="H26" s="570"/>
      <c r="I26" s="570"/>
      <c r="J26" s="1"/>
      <c r="K26" s="570"/>
      <c r="L26" s="570"/>
      <c r="M26" s="570"/>
      <c r="N26" s="570"/>
      <c r="O26" s="570"/>
      <c r="P26" s="570"/>
      <c r="Q26" s="570"/>
      <c r="R26" s="570"/>
    </row>
    <row r="27" spans="1:18" ht="30" customHeight="1">
      <c r="A27" s="1"/>
      <c r="B27" s="570"/>
      <c r="C27" s="6287" t="s">
        <v>585</v>
      </c>
      <c r="D27" s="6288"/>
      <c r="E27" s="572" t="s">
        <v>718</v>
      </c>
      <c r="F27" s="572" t="s">
        <v>719</v>
      </c>
      <c r="G27" s="570"/>
      <c r="H27" s="570"/>
      <c r="I27" s="570"/>
      <c r="J27" s="1"/>
      <c r="K27" s="570"/>
      <c r="L27" s="570"/>
      <c r="M27" s="570"/>
      <c r="N27" s="570"/>
      <c r="O27" s="570"/>
      <c r="P27" s="570"/>
      <c r="Q27" s="570"/>
      <c r="R27" s="570"/>
    </row>
    <row r="28" spans="1:18" ht="30" customHeight="1">
      <c r="A28" s="1"/>
      <c r="B28" s="570"/>
      <c r="C28" s="6287" t="s">
        <v>720</v>
      </c>
      <c r="D28" s="6288"/>
      <c r="E28" s="572" t="s">
        <v>721</v>
      </c>
      <c r="F28" s="572" t="s">
        <v>722</v>
      </c>
      <c r="G28" s="570"/>
      <c r="H28" s="570"/>
      <c r="I28" s="570"/>
      <c r="J28" s="1"/>
      <c r="K28" s="570"/>
      <c r="L28" s="570"/>
      <c r="M28" s="570"/>
      <c r="N28" s="570"/>
      <c r="O28" s="570"/>
      <c r="P28" s="570"/>
      <c r="Q28" s="570"/>
      <c r="R28" s="570"/>
    </row>
    <row r="29" spans="1:18" ht="30" customHeight="1">
      <c r="A29" s="1"/>
      <c r="B29" s="570"/>
      <c r="C29" s="6287" t="s">
        <v>723</v>
      </c>
      <c r="D29" s="6288"/>
      <c r="E29" s="572" t="s">
        <v>724</v>
      </c>
      <c r="F29" s="572" t="s">
        <v>725</v>
      </c>
      <c r="G29" s="570"/>
      <c r="H29" s="570"/>
      <c r="I29" s="570"/>
      <c r="J29" s="1"/>
      <c r="K29" s="570"/>
      <c r="L29" s="570"/>
      <c r="M29" s="570"/>
      <c r="N29" s="570"/>
      <c r="O29" s="570"/>
      <c r="P29" s="570"/>
      <c r="Q29" s="570"/>
      <c r="R29" s="570"/>
    </row>
    <row r="30" spans="1:18" ht="30" customHeight="1">
      <c r="A30" s="1"/>
      <c r="B30" s="570"/>
      <c r="C30" s="6285" t="s">
        <v>726</v>
      </c>
      <c r="D30" s="6286"/>
      <c r="E30" s="6294" t="s">
        <v>727</v>
      </c>
      <c r="F30" s="572" t="s">
        <v>728</v>
      </c>
      <c r="G30" s="570"/>
      <c r="H30" s="570"/>
      <c r="I30" s="570"/>
      <c r="J30" s="1"/>
      <c r="K30" s="570"/>
      <c r="L30" s="570"/>
      <c r="M30" s="570"/>
      <c r="N30" s="570"/>
      <c r="O30" s="570"/>
      <c r="P30" s="570"/>
      <c r="Q30" s="570"/>
      <c r="R30" s="570"/>
    </row>
    <row r="31" spans="1:18" ht="30" customHeight="1">
      <c r="A31" s="1"/>
      <c r="B31" s="570"/>
      <c r="C31" s="6285"/>
      <c r="D31" s="6286"/>
      <c r="E31" s="6294"/>
      <c r="F31" s="572"/>
      <c r="G31" s="570"/>
      <c r="H31" s="570"/>
      <c r="I31" s="570"/>
      <c r="J31" s="1"/>
      <c r="K31" s="570"/>
      <c r="L31" s="570"/>
      <c r="M31" s="570"/>
      <c r="N31" s="570"/>
      <c r="O31" s="570"/>
      <c r="P31" s="570"/>
      <c r="Q31" s="570"/>
      <c r="R31" s="570"/>
    </row>
    <row r="32" spans="1:18" ht="30" customHeight="1">
      <c r="A32" s="1"/>
      <c r="B32" s="570"/>
      <c r="C32" s="6285"/>
      <c r="D32" s="6286"/>
      <c r="E32" s="6294"/>
      <c r="F32" s="572" t="s">
        <v>729</v>
      </c>
      <c r="G32" s="570"/>
      <c r="H32" s="570"/>
      <c r="I32" s="570"/>
      <c r="J32" s="1"/>
      <c r="K32" s="570"/>
      <c r="L32" s="570"/>
      <c r="M32" s="570"/>
      <c r="N32" s="570"/>
      <c r="O32" s="570"/>
      <c r="P32" s="570"/>
      <c r="Q32" s="570"/>
      <c r="R32" s="570"/>
    </row>
    <row r="33" spans="1:18" ht="30" customHeight="1">
      <c r="A33" s="1"/>
      <c r="B33" s="570"/>
      <c r="C33" s="6285"/>
      <c r="D33" s="6286"/>
      <c r="E33" s="6294"/>
      <c r="F33" s="572" t="s">
        <v>730</v>
      </c>
      <c r="G33" s="570"/>
      <c r="H33" s="570"/>
      <c r="I33" s="570"/>
      <c r="J33" s="1"/>
      <c r="K33" s="570"/>
      <c r="L33" s="570"/>
      <c r="M33" s="570"/>
      <c r="N33" s="570"/>
      <c r="O33" s="570"/>
      <c r="P33" s="570"/>
      <c r="Q33" s="570"/>
      <c r="R33" s="570"/>
    </row>
    <row r="34" spans="1:18" ht="30" customHeight="1">
      <c r="A34" s="1"/>
      <c r="B34" s="570"/>
      <c r="C34" s="6285"/>
      <c r="D34" s="6286"/>
      <c r="E34" s="6294"/>
      <c r="F34" s="572" t="s">
        <v>731</v>
      </c>
      <c r="G34" s="570"/>
      <c r="H34" s="570"/>
      <c r="I34" s="570"/>
      <c r="J34" s="1"/>
      <c r="K34" s="570"/>
      <c r="L34" s="570"/>
      <c r="M34" s="570"/>
      <c r="N34" s="570"/>
      <c r="O34" s="570"/>
      <c r="P34" s="570"/>
      <c r="Q34" s="570"/>
      <c r="R34" s="570"/>
    </row>
    <row r="35" spans="1:18" ht="30" customHeight="1">
      <c r="A35" s="1"/>
      <c r="B35" s="570"/>
      <c r="C35" s="6285"/>
      <c r="D35" s="6286"/>
      <c r="E35" s="6294"/>
      <c r="F35" s="572"/>
      <c r="G35" s="570"/>
      <c r="H35" s="570"/>
      <c r="I35" s="570"/>
      <c r="J35" s="1"/>
      <c r="K35" s="570"/>
      <c r="L35" s="570"/>
      <c r="M35" s="570"/>
      <c r="N35" s="570"/>
      <c r="O35" s="570"/>
      <c r="P35" s="570"/>
      <c r="Q35" s="570"/>
      <c r="R35" s="570"/>
    </row>
    <row r="36" spans="1:18" ht="30" customHeight="1">
      <c r="A36" s="1"/>
      <c r="B36" s="570"/>
      <c r="C36" s="6287" t="s">
        <v>424</v>
      </c>
      <c r="D36" s="6288"/>
      <c r="E36" s="572" t="s">
        <v>732</v>
      </c>
      <c r="F36" s="572" t="s">
        <v>733</v>
      </c>
      <c r="G36" s="570"/>
      <c r="H36" s="570"/>
      <c r="I36" s="570"/>
      <c r="J36" s="1"/>
      <c r="K36" s="570"/>
      <c r="L36" s="570"/>
      <c r="M36" s="570"/>
      <c r="N36" s="570"/>
      <c r="O36" s="570"/>
      <c r="P36" s="570"/>
      <c r="Q36" s="570"/>
      <c r="R36" s="570"/>
    </row>
    <row r="37" spans="1:18" ht="30" customHeight="1">
      <c r="A37" s="1"/>
      <c r="B37" s="570"/>
      <c r="C37" s="6287" t="s">
        <v>674</v>
      </c>
      <c r="D37" s="6288"/>
      <c r="E37" s="572" t="s">
        <v>734</v>
      </c>
      <c r="F37" s="572" t="s">
        <v>735</v>
      </c>
      <c r="G37" s="570"/>
      <c r="H37" s="570"/>
      <c r="I37" s="570"/>
      <c r="J37" s="1"/>
      <c r="K37" s="570"/>
      <c r="L37" s="570"/>
      <c r="M37" s="570"/>
      <c r="N37" s="570"/>
      <c r="O37" s="570"/>
      <c r="P37" s="570"/>
      <c r="Q37" s="570"/>
      <c r="R37" s="570"/>
    </row>
    <row r="38" spans="1:18" ht="30" customHeight="1">
      <c r="A38" s="1"/>
      <c r="B38" s="570"/>
      <c r="C38" s="6285" t="s">
        <v>465</v>
      </c>
      <c r="D38" s="6286"/>
      <c r="E38" s="6294" t="s">
        <v>736</v>
      </c>
      <c r="F38" s="572" t="s">
        <v>737</v>
      </c>
      <c r="G38" s="570"/>
      <c r="H38" s="570"/>
      <c r="I38" s="570"/>
      <c r="J38" s="1"/>
      <c r="K38" s="570"/>
      <c r="L38" s="570"/>
      <c r="M38" s="570"/>
      <c r="N38" s="570"/>
      <c r="O38" s="570"/>
      <c r="P38" s="570"/>
      <c r="Q38" s="570"/>
      <c r="R38" s="570"/>
    </row>
    <row r="39" spans="1:18" ht="30" customHeight="1">
      <c r="A39" s="1"/>
      <c r="B39" s="570"/>
      <c r="C39" s="6285"/>
      <c r="D39" s="6286"/>
      <c r="E39" s="6294"/>
      <c r="F39" s="572"/>
      <c r="G39" s="570"/>
      <c r="H39" s="570"/>
      <c r="I39" s="570"/>
      <c r="J39" s="1"/>
      <c r="K39" s="570"/>
      <c r="L39" s="570"/>
      <c r="M39" s="570"/>
      <c r="N39" s="570"/>
      <c r="O39" s="570"/>
      <c r="P39" s="570"/>
      <c r="Q39" s="570"/>
      <c r="R39" s="570"/>
    </row>
    <row r="40" spans="1:18" ht="30" customHeight="1">
      <c r="A40" s="1"/>
      <c r="B40" s="570"/>
      <c r="C40" s="6285"/>
      <c r="D40" s="6286"/>
      <c r="E40" s="6294"/>
      <c r="F40" s="572" t="s">
        <v>738</v>
      </c>
      <c r="G40" s="570"/>
      <c r="H40" s="570"/>
      <c r="I40" s="570"/>
      <c r="J40" s="1"/>
      <c r="K40" s="570"/>
      <c r="L40" s="570"/>
      <c r="M40" s="570"/>
      <c r="N40" s="570"/>
      <c r="O40" s="570"/>
      <c r="P40" s="570"/>
      <c r="Q40" s="570"/>
      <c r="R40" s="570"/>
    </row>
    <row r="41" spans="1:18" ht="30" customHeight="1">
      <c r="A41" s="1"/>
      <c r="B41" s="570"/>
      <c r="C41" s="6285"/>
      <c r="D41" s="6286"/>
      <c r="E41" s="6294"/>
      <c r="F41" s="572" t="s">
        <v>739</v>
      </c>
      <c r="G41" s="570"/>
      <c r="H41" s="570"/>
      <c r="I41" s="570"/>
      <c r="J41" s="1"/>
      <c r="K41" s="570"/>
      <c r="L41" s="570"/>
      <c r="M41" s="570"/>
      <c r="N41" s="570"/>
      <c r="O41" s="570"/>
      <c r="P41" s="570"/>
      <c r="Q41" s="570"/>
      <c r="R41" s="570"/>
    </row>
    <row r="42" spans="1:18" ht="30" customHeight="1">
      <c r="A42" s="1"/>
      <c r="B42" s="570"/>
      <c r="C42" s="6285"/>
      <c r="D42" s="6286"/>
      <c r="E42" s="6294"/>
      <c r="F42" s="572"/>
      <c r="G42" s="570"/>
      <c r="H42" s="570"/>
      <c r="I42" s="570"/>
      <c r="J42" s="1"/>
      <c r="K42" s="570"/>
      <c r="L42" s="570"/>
      <c r="M42" s="570"/>
      <c r="N42" s="570"/>
      <c r="O42" s="570"/>
      <c r="P42" s="570"/>
      <c r="Q42" s="570"/>
      <c r="R42" s="570"/>
    </row>
    <row r="43" spans="1:18" ht="30" customHeight="1">
      <c r="A43" s="1"/>
      <c r="B43" s="570"/>
      <c r="C43" s="6285" t="s">
        <v>432</v>
      </c>
      <c r="D43" s="6286"/>
      <c r="E43" s="572" t="s">
        <v>740</v>
      </c>
      <c r="F43" s="572" t="s">
        <v>742</v>
      </c>
      <c r="G43" s="570"/>
      <c r="H43" s="570"/>
      <c r="I43" s="570"/>
      <c r="J43" s="1"/>
      <c r="K43" s="570"/>
      <c r="L43" s="570"/>
      <c r="M43" s="570"/>
      <c r="N43" s="570"/>
      <c r="O43" s="570"/>
      <c r="P43" s="570"/>
      <c r="Q43" s="570"/>
      <c r="R43" s="570"/>
    </row>
    <row r="44" spans="1:18" ht="30" customHeight="1">
      <c r="A44" s="1"/>
      <c r="B44" s="570"/>
      <c r="C44" s="6285"/>
      <c r="D44" s="6286"/>
      <c r="E44" s="572" t="s">
        <v>741</v>
      </c>
      <c r="F44" s="572"/>
      <c r="G44" s="570"/>
      <c r="H44" s="570"/>
      <c r="I44" s="570"/>
      <c r="J44" s="1"/>
      <c r="K44" s="570"/>
      <c r="L44" s="570"/>
      <c r="M44" s="570"/>
      <c r="N44" s="570"/>
      <c r="O44" s="570"/>
      <c r="P44" s="570"/>
      <c r="Q44" s="570"/>
      <c r="R44" s="570"/>
    </row>
    <row r="45" spans="1:18" ht="30" customHeight="1">
      <c r="A45" s="1"/>
      <c r="B45" s="570"/>
      <c r="C45" s="6285"/>
      <c r="D45" s="6286"/>
      <c r="E45" s="572"/>
      <c r="F45" s="572" t="s">
        <v>743</v>
      </c>
      <c r="G45" s="570"/>
      <c r="H45" s="570"/>
      <c r="I45" s="570"/>
      <c r="J45" s="1"/>
      <c r="K45" s="570"/>
      <c r="L45" s="570"/>
      <c r="M45" s="570"/>
      <c r="N45" s="570"/>
      <c r="O45" s="570"/>
      <c r="P45" s="570"/>
      <c r="Q45" s="570"/>
      <c r="R45" s="570"/>
    </row>
    <row r="46" spans="1:18" ht="30" customHeight="1">
      <c r="A46" s="1"/>
      <c r="B46" s="570"/>
      <c r="C46" s="6285" t="s">
        <v>426</v>
      </c>
      <c r="D46" s="6286"/>
      <c r="E46" s="572" t="s">
        <v>744</v>
      </c>
      <c r="F46" s="572" t="s">
        <v>747</v>
      </c>
      <c r="G46" s="570"/>
      <c r="H46" s="570"/>
      <c r="I46" s="570"/>
      <c r="J46" s="1"/>
      <c r="K46" s="570"/>
      <c r="L46" s="570"/>
      <c r="M46" s="570"/>
      <c r="N46" s="570"/>
      <c r="O46" s="570"/>
      <c r="P46" s="570"/>
      <c r="Q46" s="570"/>
      <c r="R46" s="570"/>
    </row>
    <row r="47" spans="1:18" ht="30" customHeight="1">
      <c r="A47" s="1"/>
      <c r="B47" s="570"/>
      <c r="C47" s="6285"/>
      <c r="D47" s="6286"/>
      <c r="E47" s="572"/>
      <c r="F47" s="572"/>
      <c r="G47" s="570"/>
      <c r="H47" s="570"/>
      <c r="I47" s="570"/>
      <c r="J47" s="1"/>
      <c r="K47" s="570"/>
      <c r="L47" s="570"/>
      <c r="M47" s="570"/>
      <c r="N47" s="570"/>
      <c r="O47" s="570"/>
      <c r="P47" s="570"/>
      <c r="Q47" s="570"/>
      <c r="R47" s="570"/>
    </row>
    <row r="48" spans="1:18" ht="30" customHeight="1">
      <c r="A48" s="1"/>
      <c r="B48" s="570"/>
      <c r="C48" s="6285"/>
      <c r="D48" s="6286"/>
      <c r="E48" s="572" t="s">
        <v>745</v>
      </c>
      <c r="F48" s="572" t="s">
        <v>748</v>
      </c>
      <c r="G48" s="570"/>
      <c r="H48" s="570"/>
      <c r="I48" s="570"/>
      <c r="J48" s="1"/>
      <c r="K48" s="570"/>
      <c r="L48" s="570"/>
      <c r="M48" s="570"/>
      <c r="N48" s="570"/>
      <c r="O48" s="570"/>
      <c r="P48" s="570"/>
      <c r="Q48" s="570"/>
      <c r="R48" s="570"/>
    </row>
    <row r="49" spans="1:18" ht="30" customHeight="1">
      <c r="A49" s="1"/>
      <c r="B49" s="570"/>
      <c r="C49" s="6285"/>
      <c r="D49" s="6286"/>
      <c r="E49" s="572" t="s">
        <v>746</v>
      </c>
      <c r="F49" s="572"/>
      <c r="G49" s="570"/>
      <c r="H49" s="570"/>
      <c r="I49" s="570"/>
      <c r="J49" s="1"/>
      <c r="K49" s="570"/>
      <c r="L49" s="570"/>
      <c r="M49" s="570"/>
      <c r="N49" s="570"/>
      <c r="O49" s="570"/>
      <c r="P49" s="570"/>
      <c r="Q49" s="570"/>
      <c r="R49" s="570"/>
    </row>
    <row r="50" spans="1:18" ht="30" customHeight="1">
      <c r="A50" s="1"/>
      <c r="B50" s="570"/>
      <c r="C50" s="6285"/>
      <c r="D50" s="6286"/>
      <c r="E50" s="572"/>
      <c r="F50" s="572"/>
      <c r="G50" s="570"/>
      <c r="H50" s="570"/>
      <c r="I50" s="570"/>
      <c r="J50" s="1"/>
      <c r="K50" s="570"/>
      <c r="L50" s="570"/>
      <c r="M50" s="570"/>
      <c r="N50" s="570"/>
      <c r="O50" s="570"/>
      <c r="P50" s="570"/>
      <c r="Q50" s="570"/>
      <c r="R50" s="570"/>
    </row>
    <row r="51" spans="1:18" ht="30" customHeight="1">
      <c r="A51" s="1"/>
      <c r="B51" s="570"/>
      <c r="C51" s="6285" t="s">
        <v>429</v>
      </c>
      <c r="D51" s="6286"/>
      <c r="E51" s="572" t="s">
        <v>749</v>
      </c>
      <c r="F51" s="572" t="s">
        <v>753</v>
      </c>
      <c r="G51" s="570"/>
      <c r="H51" s="570"/>
      <c r="I51" s="570"/>
      <c r="J51" s="1"/>
      <c r="K51" s="570"/>
      <c r="L51" s="570"/>
      <c r="M51" s="570"/>
      <c r="N51" s="570"/>
      <c r="O51" s="570"/>
      <c r="P51" s="570"/>
      <c r="Q51" s="570"/>
      <c r="R51" s="570"/>
    </row>
    <row r="52" spans="1:18" ht="30" customHeight="1">
      <c r="A52" s="1"/>
      <c r="B52" s="570"/>
      <c r="C52" s="6285"/>
      <c r="D52" s="6286"/>
      <c r="E52" s="572"/>
      <c r="F52" s="572" t="s">
        <v>754</v>
      </c>
      <c r="G52" s="570"/>
      <c r="H52" s="570"/>
      <c r="I52" s="570"/>
      <c r="J52" s="1"/>
      <c r="K52" s="570"/>
      <c r="L52" s="570"/>
      <c r="M52" s="570"/>
      <c r="N52" s="570"/>
      <c r="O52" s="570"/>
      <c r="P52" s="570"/>
      <c r="Q52" s="570"/>
      <c r="R52" s="570"/>
    </row>
    <row r="53" spans="1:18" ht="30" customHeight="1">
      <c r="A53" s="1"/>
      <c r="B53" s="570"/>
      <c r="C53" s="6285"/>
      <c r="D53" s="6286"/>
      <c r="E53" s="572" t="s">
        <v>750</v>
      </c>
      <c r="F53" s="572" t="s">
        <v>755</v>
      </c>
      <c r="G53" s="570"/>
      <c r="H53" s="570"/>
      <c r="I53" s="570"/>
      <c r="J53" s="1"/>
      <c r="K53" s="570"/>
      <c r="L53" s="570"/>
      <c r="M53" s="570"/>
      <c r="N53" s="570"/>
      <c r="O53" s="570"/>
      <c r="P53" s="570"/>
      <c r="Q53" s="570"/>
      <c r="R53" s="570"/>
    </row>
    <row r="54" spans="1:18" ht="30" customHeight="1">
      <c r="A54" s="1"/>
      <c r="B54" s="570"/>
      <c r="C54" s="6285"/>
      <c r="D54" s="6286"/>
      <c r="E54" s="572" t="s">
        <v>751</v>
      </c>
      <c r="F54" s="572"/>
      <c r="G54" s="570"/>
      <c r="H54" s="570"/>
      <c r="I54" s="570"/>
      <c r="J54" s="1"/>
      <c r="K54" s="570"/>
      <c r="L54" s="570"/>
      <c r="M54" s="570"/>
      <c r="N54" s="570"/>
      <c r="O54" s="570"/>
      <c r="P54" s="570"/>
      <c r="Q54" s="570"/>
      <c r="R54" s="570"/>
    </row>
    <row r="55" spans="1:18" ht="30" customHeight="1">
      <c r="A55" s="1"/>
      <c r="B55" s="570"/>
      <c r="C55" s="6285"/>
      <c r="D55" s="6286"/>
      <c r="E55" s="572" t="s">
        <v>752</v>
      </c>
      <c r="F55" s="572"/>
      <c r="G55" s="570"/>
      <c r="H55" s="570"/>
      <c r="I55" s="570"/>
      <c r="J55" s="1"/>
      <c r="K55" s="570"/>
      <c r="L55" s="570"/>
      <c r="M55" s="570"/>
      <c r="N55" s="570"/>
      <c r="O55" s="570"/>
      <c r="P55" s="570"/>
      <c r="Q55" s="570"/>
      <c r="R55" s="570"/>
    </row>
    <row r="56" spans="1:18" ht="30" customHeight="1">
      <c r="A56" s="1"/>
      <c r="B56" s="570"/>
      <c r="C56" s="6285"/>
      <c r="D56" s="6286"/>
      <c r="E56" s="572"/>
      <c r="F56" s="572"/>
      <c r="G56" s="570"/>
      <c r="H56" s="570"/>
      <c r="I56" s="570"/>
      <c r="J56" s="1"/>
      <c r="K56" s="570"/>
      <c r="L56" s="570"/>
      <c r="M56" s="570"/>
      <c r="N56" s="570"/>
      <c r="O56" s="570"/>
      <c r="P56" s="570"/>
      <c r="Q56" s="570"/>
      <c r="R56" s="570"/>
    </row>
    <row r="57" spans="1:18" ht="30" customHeight="1">
      <c r="A57" s="1"/>
      <c r="B57" s="570"/>
      <c r="C57" s="6285" t="s">
        <v>435</v>
      </c>
      <c r="D57" s="6286"/>
      <c r="E57" s="572" t="s">
        <v>756</v>
      </c>
      <c r="F57" s="572"/>
      <c r="G57" s="570"/>
      <c r="H57" s="570"/>
      <c r="I57" s="570"/>
      <c r="J57" s="1"/>
      <c r="K57" s="570"/>
      <c r="L57" s="570"/>
      <c r="M57" s="570"/>
      <c r="N57" s="570"/>
      <c r="O57" s="570"/>
      <c r="P57" s="570"/>
      <c r="Q57" s="570"/>
      <c r="R57" s="570"/>
    </row>
    <row r="58" spans="1:18" ht="30" customHeight="1">
      <c r="A58" s="1"/>
      <c r="B58" s="570"/>
      <c r="C58" s="6285"/>
      <c r="D58" s="6286"/>
      <c r="E58" s="572"/>
      <c r="F58" s="572"/>
      <c r="G58" s="570"/>
      <c r="H58" s="570"/>
      <c r="I58" s="570"/>
      <c r="J58" s="1"/>
      <c r="K58" s="570"/>
      <c r="L58" s="570"/>
      <c r="M58" s="570"/>
      <c r="N58" s="570"/>
      <c r="O58" s="570"/>
      <c r="P58" s="570"/>
      <c r="Q58" s="570"/>
      <c r="R58" s="570"/>
    </row>
    <row r="59" spans="1:18" ht="30" customHeight="1">
      <c r="A59" s="1"/>
      <c r="B59" s="570"/>
      <c r="C59" s="6285"/>
      <c r="D59" s="6286"/>
      <c r="E59" s="572" t="s">
        <v>757</v>
      </c>
      <c r="F59" s="572" t="s">
        <v>747</v>
      </c>
      <c r="G59" s="570"/>
      <c r="H59" s="570"/>
      <c r="I59" s="570"/>
      <c r="J59" s="1"/>
      <c r="K59" s="570"/>
      <c r="L59" s="570"/>
      <c r="M59" s="570"/>
      <c r="N59" s="570"/>
      <c r="O59" s="570"/>
      <c r="P59" s="570"/>
      <c r="Q59" s="570"/>
      <c r="R59" s="570"/>
    </row>
    <row r="60" spans="1:18" ht="30" customHeight="1">
      <c r="A60" s="1"/>
      <c r="B60" s="570"/>
      <c r="C60" s="6285"/>
      <c r="D60" s="6286"/>
      <c r="E60" s="572" t="s">
        <v>758</v>
      </c>
      <c r="F60" s="572"/>
      <c r="G60" s="570"/>
      <c r="H60" s="570"/>
      <c r="I60" s="570"/>
      <c r="J60" s="1"/>
      <c r="K60" s="570"/>
      <c r="L60" s="570"/>
      <c r="M60" s="570"/>
      <c r="N60" s="570"/>
      <c r="O60" s="570"/>
      <c r="P60" s="570"/>
      <c r="Q60" s="570"/>
      <c r="R60" s="570"/>
    </row>
    <row r="61" spans="1:18" ht="30" customHeight="1">
      <c r="A61" s="1"/>
      <c r="B61" s="570"/>
      <c r="C61" s="6285"/>
      <c r="D61" s="6286"/>
      <c r="E61" s="572"/>
      <c r="F61" s="572" t="s">
        <v>748</v>
      </c>
      <c r="G61" s="570"/>
      <c r="H61" s="570"/>
      <c r="I61" s="570"/>
      <c r="J61" s="1"/>
      <c r="K61" s="570"/>
      <c r="L61" s="570"/>
      <c r="M61" s="570"/>
      <c r="N61" s="570"/>
      <c r="O61" s="570"/>
      <c r="P61" s="570"/>
      <c r="Q61" s="570"/>
      <c r="R61" s="570"/>
    </row>
    <row r="62" spans="1:18" ht="30" customHeight="1">
      <c r="A62" s="1"/>
      <c r="B62" s="570"/>
      <c r="C62" s="6285"/>
      <c r="D62" s="6286"/>
      <c r="E62" s="572"/>
      <c r="F62" s="572"/>
      <c r="G62" s="570"/>
      <c r="H62" s="570"/>
      <c r="I62" s="570"/>
      <c r="J62" s="1"/>
      <c r="K62" s="570"/>
      <c r="L62" s="570"/>
      <c r="M62" s="570"/>
      <c r="N62" s="570"/>
      <c r="O62" s="570"/>
      <c r="P62" s="570"/>
      <c r="Q62" s="570"/>
      <c r="R62" s="570"/>
    </row>
    <row r="63" spans="1:18" ht="30" customHeight="1">
      <c r="A63" s="1"/>
      <c r="B63" s="570"/>
      <c r="C63" s="6287" t="s">
        <v>759</v>
      </c>
      <c r="D63" s="6288"/>
      <c r="E63" s="572" t="s">
        <v>760</v>
      </c>
      <c r="F63" s="572" t="s">
        <v>761</v>
      </c>
      <c r="G63" s="570"/>
      <c r="H63" s="570"/>
      <c r="I63" s="570"/>
      <c r="J63" s="1"/>
      <c r="K63" s="570"/>
      <c r="L63" s="570"/>
      <c r="M63" s="570"/>
      <c r="N63" s="570"/>
      <c r="O63" s="570"/>
      <c r="P63" s="570"/>
      <c r="Q63" s="570"/>
      <c r="R63" s="570"/>
    </row>
    <row r="64" spans="1:18" ht="30" customHeight="1">
      <c r="A64" s="1"/>
      <c r="B64" s="570"/>
      <c r="C64" s="6287" t="s">
        <v>440</v>
      </c>
      <c r="D64" s="6288"/>
      <c r="E64" s="572" t="s">
        <v>762</v>
      </c>
      <c r="F64" s="572" t="s">
        <v>761</v>
      </c>
      <c r="G64" s="570"/>
      <c r="H64" s="570"/>
      <c r="I64" s="570"/>
      <c r="J64" s="1"/>
      <c r="K64" s="570"/>
      <c r="L64" s="570"/>
      <c r="M64" s="570"/>
      <c r="N64" s="570"/>
      <c r="O64" s="570"/>
      <c r="P64" s="570"/>
      <c r="Q64" s="570"/>
      <c r="R64" s="570"/>
    </row>
    <row r="65" spans="1:18">
      <c r="A65" s="1"/>
      <c r="B65" s="570"/>
      <c r="C65" s="570"/>
      <c r="D65" s="570"/>
      <c r="E65" s="570"/>
      <c r="F65" s="570"/>
      <c r="G65" s="570"/>
      <c r="H65" s="570"/>
      <c r="I65" s="570"/>
      <c r="J65" s="1"/>
      <c r="K65" s="570"/>
      <c r="L65" s="570"/>
      <c r="M65" s="570"/>
      <c r="N65" s="570"/>
      <c r="O65" s="570"/>
      <c r="P65" s="570"/>
      <c r="Q65" s="570"/>
      <c r="R65" s="570"/>
    </row>
    <row r="66" spans="1:18">
      <c r="A66" s="1"/>
      <c r="B66" s="570"/>
      <c r="C66" s="570"/>
      <c r="D66" s="570"/>
      <c r="E66" s="570"/>
      <c r="F66" s="570"/>
      <c r="G66" s="570"/>
      <c r="H66" s="570"/>
      <c r="I66" s="570"/>
      <c r="J66" s="1"/>
      <c r="K66" s="570"/>
      <c r="L66" s="570"/>
      <c r="M66" s="570"/>
      <c r="N66" s="570"/>
      <c r="O66" s="570"/>
      <c r="P66" s="570"/>
      <c r="Q66" s="570"/>
      <c r="R66" s="570"/>
    </row>
    <row r="67" spans="1:18">
      <c r="A67" s="1"/>
      <c r="B67" s="570"/>
      <c r="C67" s="570"/>
      <c r="D67" s="570"/>
      <c r="E67" s="570"/>
      <c r="F67" s="570"/>
      <c r="G67" s="570"/>
      <c r="H67" s="570"/>
      <c r="I67" s="570"/>
      <c r="J67" s="1"/>
      <c r="K67" s="570"/>
      <c r="L67" s="570"/>
      <c r="M67" s="570"/>
      <c r="N67" s="570"/>
      <c r="O67" s="570"/>
      <c r="P67" s="570"/>
      <c r="Q67" s="570"/>
      <c r="R67" s="570"/>
    </row>
    <row r="68" spans="1:18">
      <c r="A68" s="1"/>
      <c r="B68" s="570"/>
      <c r="C68" s="570"/>
      <c r="D68" s="570"/>
      <c r="E68" s="570"/>
      <c r="F68" s="570"/>
      <c r="G68" s="570"/>
      <c r="H68" s="570"/>
      <c r="I68" s="570"/>
      <c r="J68" s="1"/>
      <c r="K68" s="570"/>
      <c r="L68" s="570"/>
      <c r="M68" s="570"/>
      <c r="N68" s="570"/>
      <c r="O68" s="570"/>
      <c r="P68" s="570"/>
      <c r="Q68" s="570"/>
      <c r="R68" s="570"/>
    </row>
    <row r="69" spans="1:18">
      <c r="A69" s="1"/>
      <c r="B69" s="570"/>
      <c r="C69" s="570"/>
      <c r="D69" s="570"/>
      <c r="E69" s="570"/>
      <c r="F69" s="570"/>
      <c r="G69" s="570"/>
      <c r="H69" s="570"/>
      <c r="I69" s="570"/>
      <c r="J69" s="1"/>
      <c r="K69" s="570"/>
      <c r="L69" s="570"/>
      <c r="M69" s="570"/>
      <c r="N69" s="570"/>
      <c r="O69" s="570"/>
      <c r="P69" s="570"/>
      <c r="Q69" s="570"/>
      <c r="R69" s="570"/>
    </row>
    <row r="70" spans="1:18">
      <c r="A70" s="1"/>
      <c r="B70" s="570"/>
      <c r="C70" s="570"/>
      <c r="D70" s="570"/>
      <c r="E70" s="570"/>
      <c r="F70" s="570"/>
      <c r="G70" s="570"/>
      <c r="H70" s="570"/>
      <c r="I70" s="570"/>
      <c r="J70" s="1"/>
      <c r="K70" s="570"/>
      <c r="L70" s="570"/>
      <c r="M70" s="570"/>
      <c r="N70" s="570"/>
      <c r="O70" s="570"/>
      <c r="P70" s="570"/>
      <c r="Q70" s="570"/>
      <c r="R70" s="570"/>
    </row>
    <row r="71" spans="1:18">
      <c r="A71" s="1"/>
      <c r="B71" s="570"/>
      <c r="C71" s="570"/>
      <c r="D71" s="570"/>
      <c r="E71" s="570"/>
      <c r="F71" s="570"/>
      <c r="G71" s="570"/>
      <c r="H71" s="570"/>
      <c r="I71" s="570"/>
      <c r="J71" s="1"/>
      <c r="K71" s="570"/>
      <c r="L71" s="570"/>
      <c r="M71" s="570"/>
      <c r="N71" s="570"/>
      <c r="O71" s="570"/>
      <c r="P71" s="570"/>
      <c r="Q71" s="570"/>
      <c r="R71" s="570"/>
    </row>
    <row r="72" spans="1:18">
      <c r="A72" s="1"/>
      <c r="B72" s="570"/>
      <c r="C72" s="570"/>
      <c r="D72" s="570"/>
      <c r="E72" s="570"/>
      <c r="F72" s="570"/>
      <c r="G72" s="570"/>
      <c r="H72" s="570"/>
      <c r="I72" s="570"/>
      <c r="J72" s="1"/>
      <c r="K72" s="570"/>
      <c r="L72" s="570"/>
      <c r="M72" s="570"/>
      <c r="N72" s="570"/>
      <c r="O72" s="570"/>
      <c r="P72" s="570"/>
      <c r="Q72" s="570"/>
      <c r="R72" s="570"/>
    </row>
    <row r="73" spans="1:18">
      <c r="A73" s="1"/>
      <c r="B73" s="570"/>
      <c r="C73" s="570"/>
      <c r="D73" s="570"/>
      <c r="E73" s="570"/>
      <c r="F73" s="570"/>
      <c r="G73" s="570"/>
      <c r="H73" s="570"/>
      <c r="I73" s="570"/>
      <c r="J73" s="1"/>
      <c r="K73" s="570"/>
      <c r="L73" s="570"/>
      <c r="M73" s="570"/>
      <c r="N73" s="570"/>
      <c r="O73" s="570"/>
      <c r="P73" s="570"/>
      <c r="Q73" s="570"/>
      <c r="R73" s="570"/>
    </row>
    <row r="74" spans="1:18">
      <c r="A74" s="1"/>
      <c r="B74" s="570"/>
      <c r="C74" s="570"/>
      <c r="D74" s="570"/>
      <c r="E74" s="570"/>
      <c r="F74" s="570"/>
      <c r="G74" s="570"/>
      <c r="H74" s="570"/>
      <c r="I74" s="570"/>
      <c r="J74" s="1"/>
      <c r="K74" s="570"/>
      <c r="L74" s="570"/>
      <c r="M74" s="570"/>
      <c r="N74" s="570"/>
      <c r="O74" s="570"/>
      <c r="P74" s="570"/>
      <c r="Q74" s="570"/>
      <c r="R74" s="570"/>
    </row>
    <row r="75" spans="1:18">
      <c r="A75" s="1"/>
      <c r="B75" s="570"/>
      <c r="C75" s="570"/>
      <c r="D75" s="570"/>
      <c r="E75" s="570"/>
      <c r="F75" s="570"/>
      <c r="G75" s="570"/>
      <c r="H75" s="570"/>
      <c r="I75" s="570"/>
      <c r="J75" s="1"/>
      <c r="K75" s="570"/>
      <c r="L75" s="570"/>
      <c r="M75" s="570"/>
      <c r="N75" s="570"/>
      <c r="O75" s="570"/>
      <c r="P75" s="570"/>
      <c r="Q75" s="570"/>
      <c r="R75" s="570"/>
    </row>
    <row r="76" spans="1:18">
      <c r="A76" s="1"/>
      <c r="B76" s="570"/>
      <c r="C76" s="570"/>
      <c r="D76" s="570"/>
      <c r="E76" s="570"/>
      <c r="F76" s="570"/>
      <c r="G76" s="570"/>
      <c r="H76" s="570"/>
      <c r="I76" s="570"/>
      <c r="J76" s="1"/>
      <c r="K76" s="570"/>
      <c r="L76" s="570"/>
      <c r="M76" s="570"/>
      <c r="N76" s="570"/>
      <c r="O76" s="570"/>
      <c r="P76" s="570"/>
      <c r="Q76" s="570"/>
      <c r="R76" s="570"/>
    </row>
    <row r="77" spans="1:18">
      <c r="A77" s="1"/>
      <c r="B77" s="570"/>
      <c r="C77" s="570"/>
      <c r="D77" s="570"/>
      <c r="E77" s="570"/>
      <c r="F77" s="570"/>
      <c r="G77" s="570"/>
      <c r="H77" s="570"/>
      <c r="I77" s="570"/>
      <c r="J77" s="1"/>
      <c r="K77" s="570"/>
      <c r="L77" s="570"/>
      <c r="M77" s="570"/>
      <c r="N77" s="570"/>
      <c r="O77" s="570"/>
      <c r="P77" s="570"/>
      <c r="Q77" s="570"/>
      <c r="R77" s="570"/>
    </row>
    <row r="78" spans="1:18">
      <c r="A78" s="1"/>
      <c r="B78" s="570"/>
      <c r="C78" s="570"/>
      <c r="D78" s="570"/>
      <c r="E78" s="570"/>
      <c r="F78" s="570"/>
      <c r="G78" s="570"/>
      <c r="H78" s="570"/>
      <c r="I78" s="570"/>
      <c r="J78" s="1"/>
      <c r="K78" s="570"/>
      <c r="L78" s="570"/>
      <c r="M78" s="570"/>
      <c r="N78" s="570"/>
      <c r="O78" s="570"/>
      <c r="P78" s="570"/>
      <c r="Q78" s="570"/>
      <c r="R78" s="570"/>
    </row>
    <row r="79" spans="1:18">
      <c r="A79" s="1"/>
      <c r="B79" s="570"/>
      <c r="C79" s="570"/>
      <c r="D79" s="570"/>
      <c r="E79" s="570"/>
      <c r="F79" s="570"/>
      <c r="G79" s="570"/>
      <c r="H79" s="570"/>
      <c r="I79" s="570"/>
      <c r="J79" s="1"/>
      <c r="K79" s="570"/>
      <c r="L79" s="570"/>
      <c r="M79" s="570"/>
      <c r="N79" s="570"/>
      <c r="O79" s="570"/>
      <c r="P79" s="570"/>
      <c r="Q79" s="570"/>
      <c r="R79" s="570"/>
    </row>
    <row r="80" spans="1:18">
      <c r="A80" s="1"/>
      <c r="B80" s="570"/>
      <c r="C80" s="570"/>
      <c r="D80" s="570"/>
      <c r="E80" s="570"/>
      <c r="F80" s="570"/>
      <c r="G80" s="570"/>
      <c r="H80" s="570"/>
      <c r="I80" s="570"/>
      <c r="J80" s="1"/>
      <c r="K80" s="570"/>
      <c r="L80" s="570"/>
      <c r="M80" s="570"/>
      <c r="N80" s="570"/>
      <c r="O80" s="570"/>
      <c r="P80" s="570"/>
      <c r="Q80" s="570"/>
      <c r="R80" s="570"/>
    </row>
    <row r="81" spans="1:18">
      <c r="A81" s="1"/>
      <c r="B81" s="570"/>
      <c r="C81" s="570"/>
      <c r="D81" s="570"/>
      <c r="E81" s="570"/>
      <c r="F81" s="570"/>
      <c r="G81" s="570"/>
      <c r="H81" s="570"/>
      <c r="I81" s="570"/>
      <c r="J81" s="1"/>
      <c r="K81" s="570"/>
      <c r="L81" s="570"/>
      <c r="M81" s="570"/>
      <c r="N81" s="570"/>
      <c r="O81" s="570"/>
      <c r="P81" s="570"/>
      <c r="Q81" s="570"/>
      <c r="R81" s="570"/>
    </row>
    <row r="82" spans="1:18">
      <c r="A82" s="1"/>
      <c r="B82" s="570"/>
      <c r="C82" s="570"/>
      <c r="D82" s="570"/>
      <c r="E82" s="570"/>
      <c r="F82" s="570"/>
      <c r="G82" s="570"/>
      <c r="H82" s="570"/>
      <c r="I82" s="570"/>
      <c r="J82" s="1"/>
      <c r="K82" s="570"/>
      <c r="L82" s="570"/>
      <c r="M82" s="570"/>
      <c r="N82" s="570"/>
      <c r="O82" s="570"/>
      <c r="P82" s="570"/>
      <c r="Q82" s="570"/>
      <c r="R82" s="570"/>
    </row>
    <row r="83" spans="1:18">
      <c r="A83" s="1"/>
      <c r="B83" s="570"/>
      <c r="C83" s="570"/>
      <c r="D83" s="570"/>
      <c r="E83" s="570"/>
      <c r="F83" s="570"/>
      <c r="G83" s="570"/>
      <c r="H83" s="570"/>
      <c r="I83" s="570"/>
      <c r="J83" s="1"/>
      <c r="K83" s="570"/>
      <c r="L83" s="570"/>
      <c r="M83" s="570"/>
      <c r="N83" s="570"/>
      <c r="O83" s="570"/>
      <c r="P83" s="570"/>
      <c r="Q83" s="570"/>
      <c r="R83" s="570"/>
    </row>
    <row r="84" spans="1:18">
      <c r="A84" s="1"/>
      <c r="B84" s="570"/>
      <c r="C84" s="570"/>
      <c r="D84" s="570"/>
      <c r="E84" s="570"/>
      <c r="F84" s="570"/>
      <c r="G84" s="570"/>
      <c r="H84" s="570"/>
      <c r="I84" s="570"/>
      <c r="J84" s="1"/>
      <c r="K84" s="570"/>
      <c r="L84" s="570"/>
      <c r="M84" s="570"/>
      <c r="N84" s="570"/>
      <c r="O84" s="570"/>
      <c r="P84" s="570"/>
      <c r="Q84" s="570"/>
      <c r="R84" s="570"/>
    </row>
    <row r="85" spans="1:18">
      <c r="A85" s="1"/>
      <c r="B85" s="1"/>
      <c r="C85" s="1"/>
      <c r="D85" s="1"/>
      <c r="E85" s="1"/>
      <c r="F85" s="1"/>
      <c r="G85" s="1"/>
      <c r="H85" s="1"/>
      <c r="I85" s="1"/>
      <c r="J85" s="1"/>
      <c r="K85" s="570"/>
      <c r="L85" s="570"/>
      <c r="M85" s="570"/>
      <c r="N85" s="570"/>
      <c r="O85" s="570"/>
      <c r="P85" s="570"/>
      <c r="Q85" s="570"/>
      <c r="R85" s="570"/>
    </row>
    <row r="86" spans="1:18" hidden="1">
      <c r="A86" s="1"/>
      <c r="B86" s="570"/>
      <c r="C86" s="570"/>
      <c r="D86" s="570"/>
      <c r="E86" s="570"/>
      <c r="F86" s="570"/>
      <c r="G86" s="570"/>
      <c r="H86" s="570"/>
      <c r="I86" s="570"/>
      <c r="J86" s="570"/>
      <c r="K86" s="570"/>
      <c r="L86" s="570"/>
      <c r="M86" s="570"/>
      <c r="N86" s="570"/>
      <c r="O86" s="570"/>
      <c r="P86" s="570"/>
      <c r="Q86" s="570"/>
      <c r="R86" s="570"/>
    </row>
    <row r="87" spans="1:18" hidden="1">
      <c r="A87" s="1"/>
      <c r="B87" s="570"/>
      <c r="C87" s="570"/>
      <c r="D87" s="570"/>
      <c r="E87" s="570"/>
      <c r="F87" s="570"/>
      <c r="G87" s="570"/>
      <c r="H87" s="570"/>
      <c r="I87" s="570"/>
      <c r="J87" s="570"/>
      <c r="K87" s="570"/>
      <c r="L87" s="570"/>
      <c r="M87" s="570"/>
      <c r="N87" s="570"/>
      <c r="O87" s="570"/>
      <c r="P87" s="570"/>
      <c r="Q87" s="570"/>
      <c r="R87" s="570"/>
    </row>
    <row r="88" spans="1:18" hidden="1">
      <c r="A88" s="1"/>
      <c r="B88" s="570"/>
      <c r="C88" s="570"/>
      <c r="D88" s="570"/>
      <c r="E88" s="570"/>
      <c r="F88" s="570"/>
      <c r="G88" s="570"/>
      <c r="H88" s="570"/>
      <c r="I88" s="570"/>
      <c r="J88" s="570"/>
      <c r="K88" s="570"/>
      <c r="L88" s="570"/>
      <c r="M88" s="570"/>
      <c r="N88" s="570"/>
      <c r="O88" s="570"/>
      <c r="P88" s="570"/>
      <c r="Q88" s="570"/>
      <c r="R88" s="570"/>
    </row>
    <row r="89" spans="1:18" hidden="1">
      <c r="A89" s="1"/>
      <c r="B89" s="570"/>
      <c r="C89" s="570"/>
      <c r="D89" s="570"/>
      <c r="E89" s="570"/>
      <c r="F89" s="570"/>
      <c r="G89" s="570"/>
      <c r="H89" s="570"/>
      <c r="I89" s="570"/>
      <c r="J89" s="570"/>
      <c r="K89" s="570"/>
      <c r="L89" s="570"/>
      <c r="M89" s="570"/>
      <c r="N89" s="570"/>
      <c r="O89" s="570"/>
      <c r="P89" s="570"/>
      <c r="Q89" s="570"/>
      <c r="R89" s="570"/>
    </row>
    <row r="90" spans="1:18" hidden="1">
      <c r="A90" s="1"/>
      <c r="B90" s="570"/>
      <c r="C90" s="570"/>
      <c r="D90" s="570"/>
      <c r="E90" s="570"/>
      <c r="F90" s="570"/>
      <c r="G90" s="570"/>
      <c r="H90" s="570"/>
      <c r="I90" s="570"/>
      <c r="J90" s="570"/>
      <c r="K90" s="570"/>
      <c r="L90" s="570"/>
      <c r="M90" s="570"/>
      <c r="N90" s="570"/>
      <c r="O90" s="570"/>
      <c r="P90" s="570"/>
      <c r="Q90" s="570"/>
      <c r="R90" s="570"/>
    </row>
    <row r="91" spans="1:18" hidden="1">
      <c r="A91" s="1"/>
      <c r="B91" s="570"/>
      <c r="C91" s="570"/>
      <c r="D91" s="570"/>
      <c r="E91" s="570"/>
      <c r="F91" s="570"/>
      <c r="G91" s="570"/>
      <c r="H91" s="570"/>
      <c r="I91" s="570"/>
      <c r="J91" s="570"/>
      <c r="K91" s="570"/>
      <c r="L91" s="570"/>
      <c r="M91" s="570"/>
      <c r="N91" s="570"/>
      <c r="O91" s="570"/>
      <c r="P91" s="570"/>
      <c r="Q91" s="570"/>
      <c r="R91" s="570"/>
    </row>
    <row r="92" spans="1:18" hidden="1">
      <c r="A92" s="1"/>
      <c r="B92" s="570"/>
      <c r="C92" s="570"/>
      <c r="D92" s="570"/>
      <c r="E92" s="570"/>
      <c r="F92" s="570"/>
      <c r="G92" s="570"/>
      <c r="H92" s="570"/>
      <c r="I92" s="570"/>
      <c r="J92" s="570"/>
      <c r="K92" s="570"/>
      <c r="L92" s="570"/>
      <c r="M92" s="570"/>
      <c r="N92" s="570"/>
      <c r="O92" s="570"/>
      <c r="P92" s="570"/>
      <c r="Q92" s="570"/>
      <c r="R92" s="570"/>
    </row>
    <row r="93" spans="1:18" hidden="1">
      <c r="A93" s="1"/>
      <c r="B93" s="570"/>
      <c r="C93" s="570"/>
      <c r="D93" s="570"/>
      <c r="E93" s="570"/>
      <c r="F93" s="570"/>
      <c r="G93" s="570"/>
      <c r="H93" s="570"/>
      <c r="I93" s="570"/>
      <c r="J93" s="570"/>
      <c r="K93" s="570"/>
      <c r="L93" s="570"/>
      <c r="M93" s="570"/>
      <c r="N93" s="570"/>
      <c r="O93" s="570"/>
      <c r="P93" s="570"/>
      <c r="Q93" s="570"/>
      <c r="R93" s="570"/>
    </row>
    <row r="94" spans="1:18" hidden="1">
      <c r="A94" s="1"/>
      <c r="B94" s="570"/>
      <c r="C94" s="570"/>
      <c r="D94" s="570"/>
      <c r="E94" s="570"/>
      <c r="F94" s="570"/>
      <c r="G94" s="570"/>
      <c r="H94" s="570"/>
      <c r="I94" s="570"/>
      <c r="J94" s="570"/>
      <c r="K94" s="570"/>
      <c r="L94" s="570"/>
      <c r="M94" s="570"/>
      <c r="N94" s="570"/>
      <c r="O94" s="570"/>
      <c r="P94" s="570"/>
      <c r="Q94" s="570"/>
      <c r="R94" s="570"/>
    </row>
    <row r="95" spans="1:18" hidden="1">
      <c r="A95" s="1"/>
      <c r="B95" s="570"/>
      <c r="C95" s="570"/>
      <c r="D95" s="570"/>
      <c r="E95" s="570"/>
      <c r="F95" s="570"/>
      <c r="G95" s="570"/>
      <c r="H95" s="570"/>
      <c r="I95" s="570"/>
      <c r="J95" s="570"/>
      <c r="K95" s="570"/>
      <c r="L95" s="570"/>
      <c r="M95" s="570"/>
      <c r="N95" s="570"/>
      <c r="O95" s="570"/>
      <c r="P95" s="570"/>
      <c r="Q95" s="570"/>
      <c r="R95" s="570"/>
    </row>
    <row r="96" spans="1:18" hidden="1">
      <c r="A96" s="1"/>
      <c r="B96" s="570"/>
      <c r="C96" s="570"/>
      <c r="D96" s="570"/>
      <c r="E96" s="570"/>
      <c r="F96" s="570"/>
      <c r="G96" s="570"/>
      <c r="H96" s="570"/>
      <c r="I96" s="570"/>
      <c r="J96" s="570"/>
      <c r="K96" s="570"/>
      <c r="L96" s="570"/>
      <c r="M96" s="570"/>
      <c r="N96" s="570"/>
      <c r="O96" s="570"/>
      <c r="P96" s="570"/>
      <c r="Q96" s="570"/>
      <c r="R96" s="570"/>
    </row>
    <row r="97" spans="1:18" hidden="1">
      <c r="A97" s="1"/>
      <c r="B97" s="570"/>
      <c r="C97" s="570"/>
      <c r="D97" s="570"/>
      <c r="E97" s="570"/>
      <c r="F97" s="570"/>
      <c r="G97" s="570"/>
      <c r="H97" s="570"/>
      <c r="I97" s="570"/>
      <c r="J97" s="570"/>
      <c r="K97" s="570"/>
      <c r="L97" s="570"/>
      <c r="M97" s="570"/>
      <c r="N97" s="570"/>
      <c r="O97" s="570"/>
      <c r="P97" s="570"/>
      <c r="Q97" s="570"/>
      <c r="R97" s="570"/>
    </row>
    <row r="98" spans="1:18" hidden="1">
      <c r="A98" s="1"/>
      <c r="B98" s="570"/>
      <c r="C98" s="570"/>
      <c r="D98" s="570"/>
      <c r="E98" s="570"/>
      <c r="F98" s="570"/>
      <c r="G98" s="570"/>
      <c r="H98" s="570"/>
      <c r="I98" s="570"/>
      <c r="J98" s="570"/>
      <c r="K98" s="570"/>
      <c r="L98" s="570"/>
      <c r="M98" s="570"/>
      <c r="N98" s="570"/>
      <c r="O98" s="570"/>
      <c r="P98" s="570"/>
      <c r="Q98" s="570"/>
      <c r="R98" s="570"/>
    </row>
    <row r="99" spans="1:18" hidden="1">
      <c r="A99" s="1"/>
      <c r="B99" s="570"/>
      <c r="C99" s="570"/>
      <c r="D99" s="570"/>
      <c r="E99" s="570"/>
      <c r="F99" s="570"/>
      <c r="G99" s="570"/>
      <c r="H99" s="570"/>
      <c r="I99" s="570"/>
      <c r="J99" s="570"/>
      <c r="K99" s="570"/>
      <c r="L99" s="570"/>
      <c r="M99" s="570"/>
      <c r="N99" s="570"/>
      <c r="O99" s="570"/>
      <c r="P99" s="570"/>
      <c r="Q99" s="570"/>
      <c r="R99" s="570"/>
    </row>
  </sheetData>
  <sheetProtection password="D781" sheet="1" objects="1" scenarios="1"/>
  <customSheetViews>
    <customSheetView guid="{DDA22D69-94B5-45BC-9EE2-6055A845129B}" hiddenRows="1" hiddenColumns="1" state="hidden" topLeftCell="A25">
      <selection activeCell="E9" sqref="E9"/>
      <pageMargins left="0.7" right="0.7" top="0.75" bottom="0.75" header="0.3" footer="0.3"/>
      <pageSetup orientation="portrait" r:id="rId1"/>
    </customSheetView>
    <customSheetView guid="{1B7577DB-E3C4-4E68-B7CF-8F86FF7C5A82}" hiddenRows="1" hiddenColumns="1" state="hidden" topLeftCell="A25">
      <selection activeCell="E9" sqref="E9"/>
      <pageMargins left="0.7" right="0.7" top="0.75" bottom="0.75" header="0.3" footer="0.3"/>
      <pageSetup orientation="portrait" r:id="rId2"/>
    </customSheetView>
    <customSheetView guid="{2BE9587E-F957-49DF-9716-3F2B35B49DC1}" hiddenRows="1" hiddenColumns="1" state="hidden" topLeftCell="A25">
      <selection activeCell="E9" sqref="E9"/>
      <pageMargins left="0.7" right="0.7" top="0.75" bottom="0.75" header="0.3" footer="0.3"/>
      <pageSetup orientation="portrait" r:id="rId3"/>
    </customSheetView>
    <customSheetView guid="{60E5615C-64A2-4675-848A-970A515EAF91}" hiddenRows="1" hiddenColumns="1" state="hidden" topLeftCell="A25">
      <selection activeCell="E9" sqref="E9"/>
      <pageMargins left="0.7" right="0.7" top="0.75" bottom="0.75" header="0.3" footer="0.3"/>
      <pageSetup orientation="portrait" r:id="rId4"/>
    </customSheetView>
    <customSheetView guid="{E7B1C62B-1F1D-4A62-BD87-EE62D3A36B6C}" hiddenRows="1" hiddenColumns="1" state="hidden" topLeftCell="A25">
      <selection activeCell="E9" sqref="E9"/>
      <pageMargins left="0.7" right="0.7" top="0.75" bottom="0.75" header="0.3" footer="0.3"/>
      <pageSetup orientation="portrait" r:id="rId5"/>
    </customSheetView>
  </customSheetViews>
  <mergeCells count="19">
    <mergeCell ref="F4:F22"/>
    <mergeCell ref="C4:D4"/>
    <mergeCell ref="E30:E35"/>
    <mergeCell ref="E38:E42"/>
    <mergeCell ref="C38:D42"/>
    <mergeCell ref="C51:D56"/>
    <mergeCell ref="C57:D62"/>
    <mergeCell ref="C63:D63"/>
    <mergeCell ref="C64:D64"/>
    <mergeCell ref="C25:D25"/>
    <mergeCell ref="C26:D26"/>
    <mergeCell ref="C27:D27"/>
    <mergeCell ref="C28:D28"/>
    <mergeCell ref="C29:D29"/>
    <mergeCell ref="C30:D35"/>
    <mergeCell ref="C43:D45"/>
    <mergeCell ref="C46:D50"/>
    <mergeCell ref="C36:D36"/>
    <mergeCell ref="C37:D37"/>
  </mergeCells>
  <pageMargins left="0.7" right="0.7" top="0.75" bottom="0.75" header="0.3" footer="0.3"/>
  <pageSetup orientation="portrait"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S200"/>
  <sheetViews>
    <sheetView workbookViewId="0">
      <selection activeCell="P17" sqref="P17"/>
    </sheetView>
  </sheetViews>
  <sheetFormatPr defaultRowHeight="15"/>
  <cols>
    <col min="1" max="1" width="2.85546875" customWidth="1"/>
    <col min="9" max="9" width="17.5703125" customWidth="1"/>
    <col min="10" max="10" width="2" customWidth="1"/>
    <col min="18" max="18" width="15.28515625" customWidth="1"/>
    <col min="19" max="19" width="2" customWidth="1"/>
  </cols>
  <sheetData>
    <row r="1" spans="1:19" ht="11.25" customHeight="1" thickBot="1">
      <c r="A1" s="1721"/>
      <c r="B1" s="1721"/>
      <c r="C1" s="1721"/>
      <c r="D1" s="1721"/>
      <c r="E1" s="1721"/>
      <c r="F1" s="1721"/>
      <c r="G1" s="1721"/>
      <c r="H1" s="1721"/>
      <c r="I1" s="1721"/>
      <c r="J1" s="1721"/>
      <c r="K1" s="1721"/>
      <c r="L1" s="1721"/>
      <c r="M1" s="1721"/>
      <c r="N1" s="1721"/>
      <c r="O1" s="1721"/>
      <c r="P1" s="1721"/>
      <c r="Q1" s="1721"/>
      <c r="R1" s="831"/>
      <c r="S1" s="831"/>
    </row>
    <row r="2" spans="1:19" ht="32.25" customHeight="1" thickBot="1">
      <c r="A2" s="1721"/>
      <c r="B2" s="6295" t="s">
        <v>1283</v>
      </c>
      <c r="C2" s="6296"/>
      <c r="D2" s="6296"/>
      <c r="E2" s="6296"/>
      <c r="F2" s="6296"/>
      <c r="G2" s="6296"/>
      <c r="H2" s="6296"/>
      <c r="I2" s="6297"/>
      <c r="J2" s="1721"/>
      <c r="K2" s="6295" t="s">
        <v>1284</v>
      </c>
      <c r="L2" s="6296"/>
      <c r="M2" s="6296"/>
      <c r="N2" s="6296"/>
      <c r="O2" s="6296"/>
      <c r="P2" s="6296"/>
      <c r="Q2" s="6296"/>
      <c r="R2" s="6297"/>
      <c r="S2" s="831"/>
    </row>
    <row r="3" spans="1:19" ht="24.95" customHeight="1">
      <c r="A3" s="1721"/>
      <c r="B3" s="1722"/>
      <c r="C3" s="1722"/>
      <c r="D3" s="1722"/>
      <c r="E3" s="1722"/>
      <c r="F3" s="1722"/>
      <c r="G3" s="1722"/>
      <c r="H3" s="1722"/>
      <c r="I3" s="1723"/>
      <c r="J3" s="1721"/>
      <c r="K3" s="1726"/>
      <c r="L3" s="1727"/>
      <c r="M3" s="1727"/>
      <c r="N3" s="1727"/>
      <c r="O3" s="1727"/>
      <c r="P3" s="1727"/>
      <c r="Q3" s="1728"/>
      <c r="R3" s="1731"/>
      <c r="S3" s="831"/>
    </row>
    <row r="4" spans="1:19" ht="24.95" customHeight="1">
      <c r="A4" s="1721"/>
      <c r="B4" s="1722"/>
      <c r="C4" s="1722"/>
      <c r="D4" s="1722"/>
      <c r="E4" s="1722"/>
      <c r="F4" s="1722"/>
      <c r="G4" s="1722"/>
      <c r="H4" s="1722"/>
      <c r="I4" s="1724"/>
      <c r="J4" s="1721"/>
      <c r="K4" s="1729"/>
      <c r="L4" s="1722"/>
      <c r="M4" s="1722"/>
      <c r="N4" s="1722"/>
      <c r="O4" s="1722"/>
      <c r="P4" s="1722"/>
      <c r="Q4" s="1730"/>
      <c r="R4" s="1732"/>
      <c r="S4" s="831"/>
    </row>
    <row r="5" spans="1:19" ht="24.95" customHeight="1">
      <c r="A5" s="1721"/>
      <c r="B5" s="1722"/>
      <c r="C5" s="1722"/>
      <c r="D5" s="1722"/>
      <c r="E5" s="1722"/>
      <c r="F5" s="1722"/>
      <c r="G5" s="1722"/>
      <c r="H5" s="1722"/>
      <c r="I5" s="1724"/>
      <c r="J5" s="1721"/>
      <c r="K5" s="1729"/>
      <c r="L5" s="1722"/>
      <c r="M5" s="1722"/>
      <c r="N5" s="1722"/>
      <c r="O5" s="1722"/>
      <c r="P5" s="1722"/>
      <c r="Q5" s="1730"/>
      <c r="R5" s="1732"/>
      <c r="S5" s="831"/>
    </row>
    <row r="6" spans="1:19" ht="24.95" customHeight="1">
      <c r="A6" s="1721"/>
      <c r="B6" s="1722"/>
      <c r="C6" s="1722"/>
      <c r="D6" s="1722"/>
      <c r="E6" s="1722"/>
      <c r="F6" s="1722"/>
      <c r="G6" s="1722"/>
      <c r="H6" s="1722"/>
      <c r="I6" s="1724"/>
      <c r="J6" s="1721"/>
      <c r="K6" s="1729"/>
      <c r="L6" s="1722"/>
      <c r="M6" s="1722"/>
      <c r="N6" s="1722"/>
      <c r="O6" s="1722"/>
      <c r="P6" s="1722"/>
      <c r="Q6" s="1730"/>
      <c r="R6" s="1732"/>
      <c r="S6" s="831"/>
    </row>
    <row r="7" spans="1:19" ht="24.95" customHeight="1">
      <c r="A7" s="1721"/>
      <c r="B7" s="1722"/>
      <c r="C7" s="1722"/>
      <c r="D7" s="1722"/>
      <c r="E7" s="1722"/>
      <c r="F7" s="1722"/>
      <c r="G7" s="1722"/>
      <c r="H7" s="1722"/>
      <c r="I7" s="1724"/>
      <c r="J7" s="1721"/>
      <c r="K7" s="1729"/>
      <c r="L7" s="1722"/>
      <c r="M7" s="1722"/>
      <c r="N7" s="1722"/>
      <c r="O7" s="1722"/>
      <c r="P7" s="1722"/>
      <c r="Q7" s="1730"/>
      <c r="R7" s="1732"/>
      <c r="S7" s="831"/>
    </row>
    <row r="8" spans="1:19" ht="24.95" customHeight="1">
      <c r="A8" s="1721"/>
      <c r="B8" s="1722"/>
      <c r="C8" s="1722"/>
      <c r="D8" s="1722"/>
      <c r="E8" s="1722"/>
      <c r="F8" s="1722"/>
      <c r="G8" s="1722"/>
      <c r="H8" s="1722"/>
      <c r="I8" s="1724"/>
      <c r="J8" s="1721"/>
      <c r="K8" s="1729"/>
      <c r="L8" s="1722"/>
      <c r="M8" s="1722"/>
      <c r="N8" s="1722"/>
      <c r="O8" s="1722"/>
      <c r="P8" s="1722"/>
      <c r="Q8" s="1730"/>
      <c r="R8" s="1732"/>
      <c r="S8" s="831"/>
    </row>
    <row r="9" spans="1:19" ht="24.95" customHeight="1">
      <c r="A9" s="1721"/>
      <c r="B9" s="1722"/>
      <c r="C9" s="1722"/>
      <c r="D9" s="1722"/>
      <c r="E9" s="1722"/>
      <c r="F9" s="1722"/>
      <c r="G9" s="1722"/>
      <c r="H9" s="1722"/>
      <c r="I9" s="1724"/>
      <c r="J9" s="1721"/>
      <c r="K9" s="1729"/>
      <c r="L9" s="1722"/>
      <c r="M9" s="1722"/>
      <c r="N9" s="1722"/>
      <c r="O9" s="1722"/>
      <c r="P9" s="1722"/>
      <c r="Q9" s="1730"/>
      <c r="R9" s="1732"/>
      <c r="S9" s="831"/>
    </row>
    <row r="10" spans="1:19" ht="24.95" customHeight="1">
      <c r="A10" s="1721"/>
      <c r="B10" s="1722"/>
      <c r="C10" s="1722"/>
      <c r="D10" s="1722"/>
      <c r="E10" s="1722"/>
      <c r="F10" s="1722"/>
      <c r="G10" s="1722"/>
      <c r="H10" s="1722"/>
      <c r="I10" s="1724"/>
      <c r="J10" s="1721"/>
      <c r="K10" s="1729"/>
      <c r="L10" s="1722"/>
      <c r="M10" s="1722"/>
      <c r="N10" s="1722"/>
      <c r="O10" s="1722"/>
      <c r="P10" s="1722"/>
      <c r="Q10" s="1730"/>
      <c r="R10" s="1732"/>
      <c r="S10" s="831"/>
    </row>
    <row r="11" spans="1:19" ht="24.95" customHeight="1">
      <c r="A11" s="1721"/>
      <c r="B11" s="1722"/>
      <c r="C11" s="1722"/>
      <c r="D11" s="1722"/>
      <c r="E11" s="1722"/>
      <c r="F11" s="1722"/>
      <c r="G11" s="1722"/>
      <c r="H11" s="1722"/>
      <c r="I11" s="1724"/>
      <c r="J11" s="1721"/>
      <c r="K11" s="1729"/>
      <c r="L11" s="1722"/>
      <c r="M11" s="1722"/>
      <c r="N11" s="1722"/>
      <c r="O11" s="1722"/>
      <c r="P11" s="1722"/>
      <c r="Q11" s="1730"/>
      <c r="R11" s="1732"/>
      <c r="S11" s="831"/>
    </row>
    <row r="12" spans="1:19" ht="24.95" customHeight="1">
      <c r="A12" s="1721"/>
      <c r="B12" s="6298" t="s">
        <v>199</v>
      </c>
      <c r="C12" s="6298"/>
      <c r="D12" s="6298"/>
      <c r="E12" s="6298"/>
      <c r="F12" s="6298"/>
      <c r="G12" s="6298"/>
      <c r="H12" s="6299"/>
      <c r="I12" s="1737">
        <f>SUM(I3:I11)</f>
        <v>0</v>
      </c>
      <c r="J12" s="1721"/>
      <c r="K12" s="1729"/>
      <c r="L12" s="1722"/>
      <c r="M12" s="1722"/>
      <c r="N12" s="1722"/>
      <c r="O12" s="1722"/>
      <c r="P12" s="1722"/>
      <c r="Q12" s="1730"/>
      <c r="R12" s="1732"/>
      <c r="S12" s="831"/>
    </row>
    <row r="13" spans="1:19" ht="24.95" customHeight="1">
      <c r="A13" s="1721"/>
      <c r="B13" s="1722"/>
      <c r="C13" s="1722"/>
      <c r="D13" s="1722"/>
      <c r="E13" s="1722"/>
      <c r="F13" s="1722"/>
      <c r="G13" s="1722"/>
      <c r="H13" s="1722"/>
      <c r="I13" s="1724"/>
      <c r="J13" s="1721"/>
      <c r="K13" s="1729"/>
      <c r="L13" s="1722"/>
      <c r="M13" s="1722"/>
      <c r="N13" s="1722"/>
      <c r="O13" s="1722"/>
      <c r="P13" s="1722"/>
      <c r="Q13" s="1730"/>
      <c r="R13" s="1732"/>
      <c r="S13" s="831"/>
    </row>
    <row r="14" spans="1:19" ht="24.95" customHeight="1" thickBot="1">
      <c r="A14" s="1721"/>
      <c r="B14" s="1733"/>
      <c r="C14" s="1733"/>
      <c r="D14" s="1733"/>
      <c r="E14" s="1733"/>
      <c r="F14" s="1733"/>
      <c r="G14" s="1733"/>
      <c r="H14" s="1733"/>
      <c r="I14" s="1725"/>
      <c r="J14" s="1738"/>
      <c r="K14" s="1734"/>
      <c r="L14" s="1733"/>
      <c r="M14" s="1733"/>
      <c r="N14" s="1733"/>
      <c r="O14" s="1733"/>
      <c r="P14" s="1733"/>
      <c r="Q14" s="1735"/>
      <c r="R14" s="1736"/>
      <c r="S14" s="831"/>
    </row>
    <row r="15" spans="1:19" ht="33" customHeight="1" thickBot="1">
      <c r="A15" s="1721"/>
      <c r="B15" s="6300"/>
      <c r="C15" s="6301"/>
      <c r="D15" s="6301"/>
      <c r="E15" s="6301"/>
      <c r="F15" s="6301"/>
      <c r="G15" s="6301"/>
      <c r="H15" s="6301"/>
      <c r="I15" s="6302"/>
      <c r="J15" s="1721"/>
      <c r="K15" s="6303"/>
      <c r="L15" s="6304"/>
      <c r="M15" s="6304"/>
      <c r="N15" s="6304"/>
      <c r="O15" s="6304"/>
      <c r="P15" s="6304"/>
      <c r="Q15" s="6304"/>
      <c r="R15" s="6305"/>
      <c r="S15" s="831"/>
    </row>
    <row r="16" spans="1:19" ht="24.95" customHeight="1">
      <c r="A16" s="1721"/>
      <c r="B16" s="1722"/>
      <c r="C16" s="1722"/>
      <c r="D16" s="1722"/>
      <c r="E16" s="1722"/>
      <c r="F16" s="1722"/>
      <c r="G16" s="1722"/>
      <c r="H16" s="1722"/>
      <c r="I16" s="1722"/>
      <c r="J16" s="1721"/>
      <c r="K16" s="1722"/>
      <c r="L16" s="1722"/>
      <c r="M16" s="1722"/>
      <c r="N16" s="1722"/>
      <c r="O16" s="1722"/>
      <c r="P16" s="1722"/>
      <c r="Q16" s="1722"/>
      <c r="R16" s="1226"/>
      <c r="S16" s="831"/>
    </row>
    <row r="17" spans="1:19" ht="24.95" customHeight="1">
      <c r="A17" s="1721"/>
      <c r="B17" s="1722"/>
      <c r="C17" s="1722"/>
      <c r="D17" s="1722"/>
      <c r="E17" s="1722"/>
      <c r="F17" s="1722"/>
      <c r="G17" s="1722"/>
      <c r="H17" s="1722"/>
      <c r="I17" s="1722"/>
      <c r="J17" s="1721"/>
      <c r="K17" s="1722"/>
      <c r="L17" s="1722"/>
      <c r="M17" s="1722"/>
      <c r="N17" s="1722"/>
      <c r="O17" s="1722"/>
      <c r="P17" s="1722"/>
      <c r="Q17" s="1722"/>
      <c r="R17" s="1226"/>
      <c r="S17" s="831"/>
    </row>
    <row r="18" spans="1:19" ht="24.95" customHeight="1">
      <c r="A18" s="1721"/>
      <c r="B18" s="1722"/>
      <c r="C18" s="1722"/>
      <c r="D18" s="1722"/>
      <c r="E18" s="1722"/>
      <c r="F18" s="1722"/>
      <c r="G18" s="1722"/>
      <c r="H18" s="1722"/>
      <c r="I18" s="1722"/>
      <c r="J18" s="1721"/>
      <c r="K18" s="1722"/>
      <c r="L18" s="1722"/>
      <c r="M18" s="1722"/>
      <c r="N18" s="1722"/>
      <c r="O18" s="1722"/>
      <c r="P18" s="1722"/>
      <c r="Q18" s="1722"/>
      <c r="R18" s="1226"/>
      <c r="S18" s="831"/>
    </row>
    <row r="19" spans="1:19" ht="24.95" customHeight="1">
      <c r="A19" s="1721"/>
      <c r="B19" s="1722"/>
      <c r="C19" s="1722"/>
      <c r="D19" s="1722"/>
      <c r="E19" s="1722"/>
      <c r="F19" s="1722"/>
      <c r="G19" s="1722"/>
      <c r="H19" s="1722"/>
      <c r="I19" s="1722"/>
      <c r="J19" s="1721"/>
      <c r="K19" s="1722"/>
      <c r="L19" s="1722"/>
      <c r="M19" s="1722"/>
      <c r="N19" s="1722"/>
      <c r="O19" s="1722"/>
      <c r="P19" s="1722"/>
      <c r="Q19" s="1722"/>
      <c r="R19" s="1226"/>
      <c r="S19" s="831"/>
    </row>
    <row r="20" spans="1:19" ht="24.95" customHeight="1">
      <c r="A20" s="1721"/>
      <c r="B20" s="1722"/>
      <c r="C20" s="1722"/>
      <c r="D20" s="1722"/>
      <c r="E20" s="1722"/>
      <c r="F20" s="1722"/>
      <c r="G20" s="1722"/>
      <c r="H20" s="1722"/>
      <c r="I20" s="1722"/>
      <c r="J20" s="1721"/>
      <c r="K20" s="1722"/>
      <c r="L20" s="1722"/>
      <c r="M20" s="1722"/>
      <c r="N20" s="1722"/>
      <c r="O20" s="1722"/>
      <c r="P20" s="1722"/>
      <c r="Q20" s="1722"/>
      <c r="R20" s="1226"/>
      <c r="S20" s="831"/>
    </row>
    <row r="21" spans="1:19" ht="24.95" customHeight="1">
      <c r="A21" s="1721"/>
      <c r="B21" s="1722"/>
      <c r="C21" s="1722"/>
      <c r="D21" s="1722"/>
      <c r="E21" s="1722"/>
      <c r="F21" s="1722"/>
      <c r="G21" s="1722"/>
      <c r="H21" s="1722"/>
      <c r="I21" s="1722"/>
      <c r="J21" s="1721"/>
      <c r="K21" s="1722"/>
      <c r="L21" s="1722"/>
      <c r="M21" s="1722"/>
      <c r="N21" s="1722"/>
      <c r="O21" s="1722"/>
      <c r="P21" s="1722"/>
      <c r="Q21" s="1722"/>
      <c r="R21" s="1226"/>
      <c r="S21" s="831"/>
    </row>
    <row r="22" spans="1:19" ht="24.95" customHeight="1">
      <c r="A22" s="1721"/>
      <c r="B22" s="1722"/>
      <c r="C22" s="1722"/>
      <c r="D22" s="1722"/>
      <c r="E22" s="1722"/>
      <c r="F22" s="1722"/>
      <c r="G22" s="1722"/>
      <c r="H22" s="1722"/>
      <c r="I22" s="1722"/>
      <c r="J22" s="1721"/>
      <c r="K22" s="1722"/>
      <c r="L22" s="1722"/>
      <c r="M22" s="1722"/>
      <c r="N22" s="1722"/>
      <c r="O22" s="1722"/>
      <c r="P22" s="1722"/>
      <c r="Q22" s="1722"/>
      <c r="R22" s="1226"/>
      <c r="S22" s="831"/>
    </row>
    <row r="23" spans="1:19" ht="24.95" customHeight="1">
      <c r="A23" s="1721"/>
      <c r="B23" s="1722"/>
      <c r="C23" s="1722"/>
      <c r="D23" s="1722"/>
      <c r="E23" s="1722"/>
      <c r="F23" s="1722"/>
      <c r="G23" s="1722"/>
      <c r="H23" s="1722"/>
      <c r="I23" s="1722"/>
      <c r="J23" s="1721"/>
      <c r="K23" s="1722"/>
      <c r="L23" s="1722"/>
      <c r="M23" s="1722"/>
      <c r="N23" s="1722"/>
      <c r="O23" s="1722"/>
      <c r="P23" s="1722"/>
      <c r="Q23" s="1722"/>
      <c r="R23" s="1226"/>
      <c r="S23" s="831"/>
    </row>
    <row r="24" spans="1:19" ht="24.95" customHeight="1">
      <c r="A24" s="1721"/>
      <c r="B24" s="1722"/>
      <c r="C24" s="1722"/>
      <c r="D24" s="1722"/>
      <c r="E24" s="1722"/>
      <c r="F24" s="1722"/>
      <c r="G24" s="1722"/>
      <c r="H24" s="1722"/>
      <c r="I24" s="1722"/>
      <c r="J24" s="1721"/>
      <c r="K24" s="1722"/>
      <c r="L24" s="1722"/>
      <c r="M24" s="1722"/>
      <c r="N24" s="1722"/>
      <c r="O24" s="1722"/>
      <c r="P24" s="1722"/>
      <c r="Q24" s="1722"/>
      <c r="R24" s="1226"/>
      <c r="S24" s="831"/>
    </row>
    <row r="25" spans="1:19" ht="24.95" customHeight="1">
      <c r="A25" s="1721"/>
      <c r="B25" s="1722"/>
      <c r="C25" s="1722"/>
      <c r="D25" s="1722"/>
      <c r="E25" s="1722"/>
      <c r="F25" s="1722"/>
      <c r="G25" s="1722"/>
      <c r="H25" s="1722"/>
      <c r="I25" s="1722"/>
      <c r="J25" s="1721"/>
      <c r="K25" s="1722"/>
      <c r="L25" s="1722"/>
      <c r="M25" s="1722"/>
      <c r="N25" s="1722"/>
      <c r="O25" s="1722"/>
      <c r="P25" s="1722"/>
      <c r="Q25" s="1722"/>
      <c r="R25" s="1226"/>
      <c r="S25" s="831"/>
    </row>
    <row r="26" spans="1:19" ht="24.95" customHeight="1">
      <c r="A26" s="1721"/>
      <c r="B26" s="1722"/>
      <c r="C26" s="1722"/>
      <c r="D26" s="1722"/>
      <c r="E26" s="1722"/>
      <c r="F26" s="1722"/>
      <c r="G26" s="1722"/>
      <c r="H26" s="1722"/>
      <c r="I26" s="1722"/>
      <c r="J26" s="1721"/>
      <c r="K26" s="1722"/>
      <c r="L26" s="1722"/>
      <c r="M26" s="1722"/>
      <c r="N26" s="1722"/>
      <c r="O26" s="1722"/>
      <c r="P26" s="1722"/>
      <c r="Q26" s="1722"/>
      <c r="R26" s="1226"/>
      <c r="S26" s="831"/>
    </row>
    <row r="27" spans="1:19" ht="24.95" customHeight="1">
      <c r="A27" s="1721"/>
      <c r="B27" s="1722"/>
      <c r="C27" s="1722"/>
      <c r="D27" s="1722"/>
      <c r="E27" s="1722"/>
      <c r="F27" s="1722"/>
      <c r="G27" s="1722"/>
      <c r="H27" s="1722"/>
      <c r="I27" s="1722"/>
      <c r="J27" s="1721"/>
      <c r="K27" s="1722"/>
      <c r="L27" s="1722"/>
      <c r="M27" s="1722"/>
      <c r="N27" s="1722"/>
      <c r="O27" s="1722"/>
      <c r="P27" s="1722"/>
      <c r="Q27" s="1722"/>
      <c r="R27" s="1226"/>
      <c r="S27" s="831"/>
    </row>
    <row r="28" spans="1:19" ht="24.95" customHeight="1">
      <c r="A28" s="1721"/>
      <c r="B28" s="1722"/>
      <c r="C28" s="1722"/>
      <c r="D28" s="1722"/>
      <c r="E28" s="1722"/>
      <c r="F28" s="1722"/>
      <c r="G28" s="1722"/>
      <c r="H28" s="1722"/>
      <c r="I28" s="1722"/>
      <c r="J28" s="1721"/>
      <c r="K28" s="1722"/>
      <c r="L28" s="1722"/>
      <c r="M28" s="1722"/>
      <c r="N28" s="1722"/>
      <c r="O28" s="1722"/>
      <c r="P28" s="1722"/>
      <c r="Q28" s="1722"/>
      <c r="R28" s="1226"/>
      <c r="S28" s="831"/>
    </row>
    <row r="29" spans="1:19" ht="24.95" customHeight="1">
      <c r="A29" s="1720"/>
      <c r="B29" s="1720"/>
      <c r="C29" s="1720"/>
      <c r="D29" s="1720"/>
      <c r="E29" s="1720"/>
      <c r="F29" s="1720"/>
      <c r="G29" s="1720"/>
      <c r="H29" s="1720"/>
      <c r="I29" s="1720"/>
      <c r="J29" s="1720"/>
      <c r="K29" s="1720"/>
      <c r="L29" s="1720"/>
      <c r="M29" s="1720"/>
      <c r="N29" s="1720"/>
      <c r="O29" s="1720"/>
      <c r="P29" s="1720"/>
      <c r="Q29" s="1720"/>
    </row>
    <row r="30" spans="1:19" ht="24.95" customHeight="1">
      <c r="A30" s="1720"/>
      <c r="B30" s="1720"/>
      <c r="C30" s="1720"/>
      <c r="D30" s="1720"/>
      <c r="E30" s="1720"/>
      <c r="F30" s="1720"/>
      <c r="G30" s="1720"/>
      <c r="H30" s="1720"/>
      <c r="I30" s="1720"/>
      <c r="J30" s="1720"/>
      <c r="K30" s="1720"/>
      <c r="L30" s="1720"/>
      <c r="M30" s="1720"/>
      <c r="N30" s="1720"/>
      <c r="O30" s="1720"/>
      <c r="P30" s="1720"/>
      <c r="Q30" s="1720"/>
    </row>
    <row r="31" spans="1:19" ht="24.95" customHeight="1">
      <c r="A31" s="1720"/>
      <c r="B31" s="1720"/>
      <c r="C31" s="1720"/>
      <c r="D31" s="1720"/>
      <c r="E31" s="1720"/>
      <c r="F31" s="1720"/>
      <c r="G31" s="1720"/>
      <c r="H31" s="1720"/>
      <c r="I31" s="1720"/>
      <c r="J31" s="1720"/>
      <c r="K31" s="1720"/>
      <c r="L31" s="1720"/>
      <c r="M31" s="1720"/>
      <c r="N31" s="1720"/>
      <c r="O31" s="1720"/>
      <c r="P31" s="1720"/>
      <c r="Q31" s="1720"/>
    </row>
    <row r="32" spans="1:19" ht="24.95" customHeight="1">
      <c r="A32" s="1720"/>
      <c r="B32" s="1720"/>
      <c r="C32" s="1720"/>
      <c r="D32" s="1720"/>
      <c r="E32" s="1720"/>
      <c r="F32" s="1720"/>
      <c r="G32" s="1720"/>
      <c r="H32" s="1720"/>
      <c r="I32" s="1720"/>
      <c r="J32" s="1720"/>
      <c r="K32" s="1720"/>
      <c r="L32" s="1720"/>
      <c r="M32" s="1720"/>
      <c r="N32" s="1720"/>
      <c r="O32" s="1720"/>
      <c r="P32" s="1720"/>
      <c r="Q32" s="1720"/>
    </row>
    <row r="33" spans="1:17" ht="24.95" customHeight="1">
      <c r="A33" s="1720"/>
      <c r="B33" s="1720"/>
      <c r="C33" s="1720"/>
      <c r="D33" s="1720"/>
      <c r="E33" s="1720"/>
      <c r="F33" s="1720"/>
      <c r="G33" s="1720"/>
      <c r="H33" s="1720"/>
      <c r="I33" s="1720"/>
      <c r="J33" s="1720"/>
      <c r="K33" s="1720"/>
      <c r="L33" s="1720"/>
      <c r="M33" s="1720"/>
      <c r="N33" s="1720"/>
      <c r="O33" s="1720"/>
      <c r="P33" s="1720"/>
      <c r="Q33" s="1720"/>
    </row>
    <row r="34" spans="1:17" ht="24.95" customHeight="1">
      <c r="A34" s="1720"/>
      <c r="B34" s="1720"/>
      <c r="C34" s="1720"/>
      <c r="D34" s="1720"/>
      <c r="E34" s="1720"/>
      <c r="F34" s="1720"/>
      <c r="G34" s="1720"/>
      <c r="H34" s="1720"/>
      <c r="I34" s="1720"/>
      <c r="J34" s="1720"/>
      <c r="K34" s="1720"/>
      <c r="L34" s="1720"/>
      <c r="M34" s="1720"/>
      <c r="N34" s="1720"/>
      <c r="O34" s="1720"/>
      <c r="P34" s="1720"/>
      <c r="Q34" s="1720"/>
    </row>
    <row r="35" spans="1:17" ht="24.95" customHeight="1">
      <c r="A35" s="1720"/>
      <c r="B35" s="1720"/>
      <c r="C35" s="1720"/>
      <c r="D35" s="1720"/>
      <c r="E35" s="1720"/>
      <c r="F35" s="1720"/>
      <c r="G35" s="1720"/>
      <c r="H35" s="1720"/>
      <c r="I35" s="1720"/>
      <c r="J35" s="1720"/>
      <c r="K35" s="1720"/>
      <c r="L35" s="1720"/>
      <c r="M35" s="1720"/>
      <c r="N35" s="1720"/>
      <c r="O35" s="1720"/>
      <c r="P35" s="1720"/>
      <c r="Q35" s="1720"/>
    </row>
    <row r="36" spans="1:17" ht="24.95" customHeight="1">
      <c r="A36" s="1720"/>
      <c r="B36" s="1720"/>
      <c r="C36" s="1720"/>
      <c r="D36" s="1720"/>
      <c r="E36" s="1720"/>
      <c r="F36" s="1720"/>
      <c r="G36" s="1720"/>
      <c r="H36" s="1720"/>
      <c r="I36" s="1720"/>
      <c r="J36" s="1720"/>
      <c r="K36" s="1720"/>
      <c r="L36" s="1720"/>
      <c r="M36" s="1720"/>
      <c r="N36" s="1720"/>
      <c r="O36" s="1720"/>
      <c r="P36" s="1720"/>
      <c r="Q36" s="1720"/>
    </row>
    <row r="37" spans="1:17" ht="24.95" customHeight="1">
      <c r="A37" s="1720"/>
      <c r="B37" s="1720"/>
      <c r="C37" s="1720"/>
      <c r="D37" s="1720"/>
      <c r="E37" s="1720"/>
      <c r="F37" s="1720"/>
      <c r="G37" s="1720"/>
      <c r="H37" s="1720"/>
      <c r="I37" s="1720"/>
      <c r="J37" s="1720"/>
      <c r="K37" s="1720"/>
      <c r="L37" s="1720"/>
      <c r="M37" s="1720"/>
      <c r="N37" s="1720"/>
      <c r="O37" s="1720"/>
      <c r="P37" s="1720"/>
      <c r="Q37" s="1720"/>
    </row>
    <row r="38" spans="1:17" ht="24.95" customHeight="1">
      <c r="A38" s="1720"/>
      <c r="B38" s="1720"/>
      <c r="C38" s="1720"/>
      <c r="D38" s="1720"/>
      <c r="E38" s="1720"/>
      <c r="F38" s="1720"/>
      <c r="G38" s="1720"/>
      <c r="H38" s="1720"/>
      <c r="I38" s="1720"/>
      <c r="J38" s="1720"/>
      <c r="K38" s="1720"/>
      <c r="L38" s="1720"/>
      <c r="M38" s="1720"/>
      <c r="N38" s="1720"/>
      <c r="O38" s="1720"/>
      <c r="P38" s="1720"/>
      <c r="Q38" s="1720"/>
    </row>
    <row r="39" spans="1:17" ht="24.95" customHeight="1">
      <c r="A39" s="1720"/>
      <c r="B39" s="1720"/>
      <c r="C39" s="1720"/>
      <c r="D39" s="1720"/>
      <c r="E39" s="1720"/>
      <c r="F39" s="1720"/>
      <c r="G39" s="1720"/>
      <c r="H39" s="1720"/>
      <c r="I39" s="1720"/>
      <c r="J39" s="1720"/>
      <c r="K39" s="1720"/>
      <c r="L39" s="1720"/>
      <c r="M39" s="1720"/>
      <c r="N39" s="1720"/>
      <c r="O39" s="1720"/>
      <c r="P39" s="1720"/>
      <c r="Q39" s="1720"/>
    </row>
    <row r="40" spans="1:17" ht="24.95" customHeight="1">
      <c r="A40" s="1720"/>
      <c r="B40" s="1720"/>
      <c r="C40" s="1720"/>
      <c r="D40" s="1720"/>
      <c r="E40" s="1720"/>
      <c r="F40" s="1720"/>
      <c r="G40" s="1720"/>
      <c r="H40" s="1720"/>
      <c r="I40" s="1720"/>
      <c r="J40" s="1720"/>
      <c r="K40" s="1720"/>
      <c r="L40" s="1720"/>
      <c r="M40" s="1720"/>
      <c r="N40" s="1720"/>
      <c r="O40" s="1720"/>
      <c r="P40" s="1720"/>
      <c r="Q40" s="1720"/>
    </row>
    <row r="41" spans="1:17" ht="24.95" customHeight="1">
      <c r="A41" s="1720"/>
      <c r="B41" s="1720"/>
      <c r="C41" s="1720"/>
      <c r="D41" s="1720"/>
      <c r="E41" s="1720"/>
      <c r="F41" s="1720"/>
      <c r="G41" s="1720"/>
      <c r="H41" s="1720"/>
      <c r="I41" s="1720"/>
      <c r="J41" s="1720"/>
      <c r="K41" s="1720"/>
      <c r="L41" s="1720"/>
      <c r="M41" s="1720"/>
      <c r="N41" s="1720"/>
      <c r="O41" s="1720"/>
      <c r="P41" s="1720"/>
      <c r="Q41" s="1720"/>
    </row>
    <row r="42" spans="1:17" ht="24.95" customHeight="1">
      <c r="A42" s="1720"/>
      <c r="B42" s="1720"/>
      <c r="C42" s="1720"/>
      <c r="D42" s="1720"/>
      <c r="E42" s="1720"/>
      <c r="F42" s="1720"/>
      <c r="G42" s="1720"/>
      <c r="H42" s="1720"/>
      <c r="I42" s="1720"/>
      <c r="J42" s="1720"/>
      <c r="K42" s="1720"/>
      <c r="L42" s="1720"/>
      <c r="M42" s="1720"/>
      <c r="N42" s="1720"/>
      <c r="O42" s="1720"/>
      <c r="P42" s="1720"/>
      <c r="Q42" s="1720"/>
    </row>
    <row r="43" spans="1:17" ht="24.95" customHeight="1">
      <c r="A43" s="1720"/>
      <c r="B43" s="1720"/>
      <c r="C43" s="1720"/>
      <c r="D43" s="1720"/>
      <c r="E43" s="1720"/>
      <c r="F43" s="1720"/>
      <c r="G43" s="1720"/>
      <c r="H43" s="1720"/>
      <c r="I43" s="1720"/>
      <c r="J43" s="1720"/>
      <c r="K43" s="1720"/>
      <c r="L43" s="1720"/>
      <c r="M43" s="1720"/>
      <c r="N43" s="1720"/>
      <c r="O43" s="1720"/>
      <c r="P43" s="1720"/>
      <c r="Q43" s="1720"/>
    </row>
    <row r="44" spans="1:17" ht="24.95" customHeight="1">
      <c r="A44" s="1720"/>
      <c r="B44" s="1720"/>
      <c r="C44" s="1720"/>
      <c r="D44" s="1720"/>
      <c r="E44" s="1720"/>
      <c r="F44" s="1720"/>
      <c r="G44" s="1720"/>
      <c r="H44" s="1720"/>
      <c r="I44" s="1720"/>
      <c r="J44" s="1720"/>
      <c r="K44" s="1720"/>
      <c r="L44" s="1720"/>
      <c r="M44" s="1720"/>
      <c r="N44" s="1720"/>
      <c r="O44" s="1720"/>
      <c r="P44" s="1720"/>
      <c r="Q44" s="1720"/>
    </row>
    <row r="45" spans="1:17" ht="24.95" customHeight="1">
      <c r="A45" s="1720"/>
      <c r="B45" s="1720"/>
      <c r="C45" s="1720"/>
      <c r="D45" s="1720"/>
      <c r="E45" s="1720"/>
      <c r="F45" s="1720"/>
      <c r="G45" s="1720"/>
      <c r="H45" s="1720"/>
      <c r="I45" s="1720"/>
      <c r="J45" s="1720"/>
      <c r="K45" s="1720"/>
      <c r="L45" s="1720"/>
      <c r="M45" s="1720"/>
      <c r="N45" s="1720"/>
      <c r="O45" s="1720"/>
      <c r="P45" s="1720"/>
      <c r="Q45" s="1720"/>
    </row>
    <row r="46" spans="1:17" ht="24.95" customHeight="1">
      <c r="A46" s="1720"/>
      <c r="B46" s="1720"/>
      <c r="C46" s="1720"/>
      <c r="D46" s="1720"/>
      <c r="E46" s="1720"/>
      <c r="F46" s="1720"/>
      <c r="G46" s="1720"/>
      <c r="H46" s="1720"/>
      <c r="I46" s="1720"/>
      <c r="J46" s="1720"/>
      <c r="K46" s="1720"/>
      <c r="L46" s="1720"/>
      <c r="M46" s="1720"/>
      <c r="N46" s="1720"/>
      <c r="O46" s="1720"/>
      <c r="P46" s="1720"/>
      <c r="Q46" s="1720"/>
    </row>
    <row r="47" spans="1:17" ht="24.95" customHeight="1">
      <c r="A47" s="1720"/>
      <c r="B47" s="1720"/>
      <c r="C47" s="1720"/>
      <c r="D47" s="1720"/>
      <c r="E47" s="1720"/>
      <c r="F47" s="1720"/>
      <c r="G47" s="1720"/>
      <c r="H47" s="1720"/>
      <c r="I47" s="1720"/>
      <c r="J47" s="1720"/>
      <c r="K47" s="1720"/>
      <c r="L47" s="1720"/>
      <c r="M47" s="1720"/>
      <c r="N47" s="1720"/>
      <c r="O47" s="1720"/>
      <c r="P47" s="1720"/>
      <c r="Q47" s="1720"/>
    </row>
    <row r="48" spans="1:17" ht="24.95" customHeight="1">
      <c r="A48" s="1720"/>
      <c r="B48" s="1720"/>
      <c r="C48" s="1720"/>
      <c r="D48" s="1720"/>
      <c r="E48" s="1720"/>
      <c r="F48" s="1720"/>
      <c r="G48" s="1720"/>
      <c r="H48" s="1720"/>
      <c r="I48" s="1720"/>
      <c r="J48" s="1720"/>
      <c r="K48" s="1720"/>
      <c r="L48" s="1720"/>
      <c r="M48" s="1720"/>
      <c r="N48" s="1720"/>
      <c r="O48" s="1720"/>
      <c r="P48" s="1720"/>
      <c r="Q48" s="1720"/>
    </row>
    <row r="49" spans="1:17" ht="24.95" customHeight="1">
      <c r="A49" s="1720"/>
      <c r="B49" s="1720"/>
      <c r="C49" s="1720"/>
      <c r="D49" s="1720"/>
      <c r="E49" s="1720"/>
      <c r="F49" s="1720"/>
      <c r="G49" s="1720"/>
      <c r="H49" s="1720"/>
      <c r="I49" s="1720"/>
      <c r="J49" s="1720"/>
      <c r="K49" s="1720"/>
      <c r="L49" s="1720"/>
      <c r="M49" s="1720"/>
      <c r="N49" s="1720"/>
      <c r="O49" s="1720"/>
      <c r="P49" s="1720"/>
      <c r="Q49" s="1720"/>
    </row>
    <row r="50" spans="1:17" ht="24.95" customHeight="1">
      <c r="A50" s="1720"/>
      <c r="B50" s="1720"/>
      <c r="C50" s="1720"/>
      <c r="D50" s="1720"/>
      <c r="E50" s="1720"/>
      <c r="F50" s="1720"/>
      <c r="G50" s="1720"/>
      <c r="H50" s="1720"/>
      <c r="I50" s="1720"/>
      <c r="J50" s="1720"/>
      <c r="K50" s="1720"/>
      <c r="L50" s="1720"/>
      <c r="M50" s="1720"/>
      <c r="N50" s="1720"/>
      <c r="O50" s="1720"/>
      <c r="P50" s="1720"/>
      <c r="Q50" s="1720"/>
    </row>
    <row r="51" spans="1:17" ht="24.95" customHeight="1">
      <c r="A51" s="1720"/>
      <c r="B51" s="1720"/>
      <c r="C51" s="1720"/>
      <c r="D51" s="1720"/>
      <c r="E51" s="1720"/>
      <c r="F51" s="1720"/>
      <c r="G51" s="1720"/>
      <c r="H51" s="1720"/>
      <c r="I51" s="1720"/>
      <c r="J51" s="1720"/>
      <c r="K51" s="1720"/>
      <c r="L51" s="1720"/>
      <c r="M51" s="1720"/>
      <c r="N51" s="1720"/>
      <c r="O51" s="1720"/>
      <c r="P51" s="1720"/>
      <c r="Q51" s="1720"/>
    </row>
    <row r="52" spans="1:17" ht="24.95" customHeight="1">
      <c r="A52" s="1720"/>
      <c r="B52" s="1720"/>
      <c r="C52" s="1720"/>
      <c r="D52" s="1720"/>
      <c r="E52" s="1720"/>
      <c r="F52" s="1720"/>
      <c r="G52" s="1720"/>
      <c r="H52" s="1720"/>
      <c r="I52" s="1720"/>
      <c r="J52" s="1720"/>
      <c r="K52" s="1720"/>
      <c r="L52" s="1720"/>
      <c r="M52" s="1720"/>
      <c r="N52" s="1720"/>
      <c r="O52" s="1720"/>
      <c r="P52" s="1720"/>
      <c r="Q52" s="1720"/>
    </row>
    <row r="53" spans="1:17" ht="24.95" customHeight="1">
      <c r="A53" s="1720"/>
      <c r="B53" s="1720"/>
      <c r="C53" s="1720"/>
      <c r="D53" s="1720"/>
      <c r="E53" s="1720"/>
      <c r="F53" s="1720"/>
      <c r="G53" s="1720"/>
      <c r="H53" s="1720"/>
      <c r="I53" s="1720"/>
      <c r="J53" s="1720"/>
      <c r="K53" s="1720"/>
      <c r="L53" s="1720"/>
      <c r="M53" s="1720"/>
      <c r="N53" s="1720"/>
      <c r="O53" s="1720"/>
      <c r="P53" s="1720"/>
      <c r="Q53" s="1720"/>
    </row>
    <row r="54" spans="1:17" ht="24.95" customHeight="1">
      <c r="A54" s="1720"/>
      <c r="B54" s="1720"/>
      <c r="C54" s="1720"/>
      <c r="D54" s="1720"/>
      <c r="E54" s="1720"/>
      <c r="F54" s="1720"/>
      <c r="G54" s="1720"/>
      <c r="H54" s="1720"/>
      <c r="I54" s="1720"/>
      <c r="J54" s="1720"/>
      <c r="K54" s="1720"/>
      <c r="L54" s="1720"/>
      <c r="M54" s="1720"/>
      <c r="N54" s="1720"/>
      <c r="O54" s="1720"/>
      <c r="P54" s="1720"/>
      <c r="Q54" s="1720"/>
    </row>
    <row r="55" spans="1:17" ht="24.95" customHeight="1">
      <c r="A55" s="1720"/>
      <c r="B55" s="1720"/>
      <c r="C55" s="1720"/>
      <c r="D55" s="1720"/>
      <c r="E55" s="1720"/>
      <c r="F55" s="1720"/>
      <c r="G55" s="1720"/>
      <c r="H55" s="1720"/>
      <c r="I55" s="1720"/>
      <c r="J55" s="1720"/>
      <c r="K55" s="1720"/>
      <c r="L55" s="1720"/>
      <c r="M55" s="1720"/>
      <c r="N55" s="1720"/>
      <c r="O55" s="1720"/>
      <c r="P55" s="1720"/>
      <c r="Q55" s="1720"/>
    </row>
    <row r="56" spans="1:17" ht="24.95" customHeight="1">
      <c r="A56" s="1720"/>
      <c r="B56" s="1720"/>
      <c r="C56" s="1720"/>
      <c r="D56" s="1720"/>
      <c r="E56" s="1720"/>
      <c r="F56" s="1720"/>
      <c r="G56" s="1720"/>
      <c r="H56" s="1720"/>
      <c r="I56" s="1720"/>
      <c r="J56" s="1720"/>
      <c r="K56" s="1720"/>
      <c r="L56" s="1720"/>
      <c r="M56" s="1720"/>
      <c r="N56" s="1720"/>
      <c r="O56" s="1720"/>
      <c r="P56" s="1720"/>
      <c r="Q56" s="1720"/>
    </row>
    <row r="57" spans="1:17" ht="24.95" customHeight="1">
      <c r="A57" s="1720"/>
      <c r="B57" s="1720"/>
      <c r="C57" s="1720"/>
      <c r="D57" s="1720"/>
      <c r="E57" s="1720"/>
      <c r="F57" s="1720"/>
      <c r="G57" s="1720"/>
      <c r="H57" s="1720"/>
      <c r="I57" s="1720"/>
      <c r="J57" s="1720"/>
      <c r="K57" s="1720"/>
      <c r="L57" s="1720"/>
      <c r="M57" s="1720"/>
      <c r="N57" s="1720"/>
      <c r="O57" s="1720"/>
      <c r="P57" s="1720"/>
      <c r="Q57" s="1720"/>
    </row>
    <row r="58" spans="1:17" ht="24.95" customHeight="1">
      <c r="A58" s="1720"/>
      <c r="B58" s="1720"/>
      <c r="C58" s="1720"/>
      <c r="D58" s="1720"/>
      <c r="E58" s="1720"/>
      <c r="F58" s="1720"/>
      <c r="G58" s="1720"/>
      <c r="H58" s="1720"/>
      <c r="I58" s="1720"/>
      <c r="J58" s="1720"/>
      <c r="K58" s="1720"/>
      <c r="L58" s="1720"/>
      <c r="M58" s="1720"/>
      <c r="N58" s="1720"/>
      <c r="O58" s="1720"/>
      <c r="P58" s="1720"/>
      <c r="Q58" s="1720"/>
    </row>
    <row r="59" spans="1:17" ht="24.95" customHeight="1">
      <c r="A59" s="1720"/>
      <c r="B59" s="1720"/>
      <c r="C59" s="1720"/>
      <c r="D59" s="1720"/>
      <c r="E59" s="1720"/>
      <c r="F59" s="1720"/>
      <c r="G59" s="1720"/>
      <c r="H59" s="1720"/>
      <c r="I59" s="1720"/>
      <c r="J59" s="1720"/>
      <c r="K59" s="1720"/>
      <c r="L59" s="1720"/>
      <c r="M59" s="1720"/>
      <c r="N59" s="1720"/>
      <c r="O59" s="1720"/>
      <c r="P59" s="1720"/>
      <c r="Q59" s="1720"/>
    </row>
    <row r="60" spans="1:17" ht="24.95" customHeight="1">
      <c r="A60" s="1720"/>
      <c r="B60" s="1720"/>
      <c r="C60" s="1720"/>
      <c r="D60" s="1720"/>
      <c r="E60" s="1720"/>
      <c r="F60" s="1720"/>
      <c r="G60" s="1720"/>
      <c r="H60" s="1720"/>
      <c r="I60" s="1720"/>
      <c r="J60" s="1720"/>
      <c r="K60" s="1720"/>
      <c r="L60" s="1720"/>
      <c r="M60" s="1720"/>
      <c r="N60" s="1720"/>
      <c r="O60" s="1720"/>
      <c r="P60" s="1720"/>
      <c r="Q60" s="1720"/>
    </row>
    <row r="61" spans="1:17" ht="24.95" customHeight="1">
      <c r="A61" s="1720"/>
      <c r="B61" s="1720"/>
      <c r="C61" s="1720"/>
      <c r="D61" s="1720"/>
      <c r="E61" s="1720"/>
      <c r="F61" s="1720"/>
      <c r="G61" s="1720"/>
      <c r="H61" s="1720"/>
      <c r="I61" s="1720"/>
      <c r="J61" s="1720"/>
      <c r="K61" s="1720"/>
      <c r="L61" s="1720"/>
      <c r="M61" s="1720"/>
      <c r="N61" s="1720"/>
      <c r="O61" s="1720"/>
      <c r="P61" s="1720"/>
      <c r="Q61" s="1720"/>
    </row>
    <row r="62" spans="1:17" ht="24.95" customHeight="1">
      <c r="A62" s="1720"/>
      <c r="B62" s="1720"/>
      <c r="C62" s="1720"/>
      <c r="D62" s="1720"/>
      <c r="E62" s="1720"/>
      <c r="F62" s="1720"/>
      <c r="G62" s="1720"/>
      <c r="H62" s="1720"/>
      <c r="I62" s="1720"/>
      <c r="J62" s="1720"/>
      <c r="K62" s="1720"/>
      <c r="L62" s="1720"/>
      <c r="M62" s="1720"/>
      <c r="N62" s="1720"/>
      <c r="O62" s="1720"/>
      <c r="P62" s="1720"/>
      <c r="Q62" s="1720"/>
    </row>
    <row r="63" spans="1:17" ht="24.95" customHeight="1">
      <c r="A63" s="1720"/>
      <c r="B63" s="1720"/>
      <c r="C63" s="1720"/>
      <c r="D63" s="1720"/>
      <c r="E63" s="1720"/>
      <c r="F63" s="1720"/>
      <c r="G63" s="1720"/>
      <c r="H63" s="1720"/>
      <c r="I63" s="1720"/>
      <c r="J63" s="1720"/>
      <c r="K63" s="1720"/>
      <c r="L63" s="1720"/>
      <c r="M63" s="1720"/>
      <c r="N63" s="1720"/>
      <c r="O63" s="1720"/>
      <c r="P63" s="1720"/>
      <c r="Q63" s="1720"/>
    </row>
    <row r="64" spans="1:17" ht="24.95" customHeight="1">
      <c r="A64" s="1720"/>
      <c r="B64" s="1720"/>
      <c r="C64" s="1720"/>
      <c r="D64" s="1720"/>
      <c r="E64" s="1720"/>
      <c r="F64" s="1720"/>
      <c r="G64" s="1720"/>
      <c r="H64" s="1720"/>
      <c r="I64" s="1720"/>
      <c r="J64" s="1720"/>
      <c r="K64" s="1720"/>
      <c r="L64" s="1720"/>
      <c r="M64" s="1720"/>
      <c r="N64" s="1720"/>
      <c r="O64" s="1720"/>
      <c r="P64" s="1720"/>
      <c r="Q64" s="1720"/>
    </row>
    <row r="65" spans="1:17" ht="24.95" customHeight="1">
      <c r="A65" s="1720"/>
      <c r="B65" s="1720"/>
      <c r="C65" s="1720"/>
      <c r="D65" s="1720"/>
      <c r="E65" s="1720"/>
      <c r="F65" s="1720"/>
      <c r="G65" s="1720"/>
      <c r="H65" s="1720"/>
      <c r="I65" s="1720"/>
      <c r="J65" s="1720"/>
      <c r="K65" s="1720"/>
      <c r="L65" s="1720"/>
      <c r="M65" s="1720"/>
      <c r="N65" s="1720"/>
      <c r="O65" s="1720"/>
      <c r="P65" s="1720"/>
      <c r="Q65" s="1720"/>
    </row>
    <row r="66" spans="1:17" ht="24.95" customHeight="1">
      <c r="A66" s="1720"/>
      <c r="B66" s="1720"/>
      <c r="C66" s="1720"/>
      <c r="D66" s="1720"/>
      <c r="E66" s="1720"/>
      <c r="F66" s="1720"/>
      <c r="G66" s="1720"/>
      <c r="H66" s="1720"/>
      <c r="I66" s="1720"/>
      <c r="J66" s="1720"/>
      <c r="K66" s="1720"/>
      <c r="L66" s="1720"/>
      <c r="M66" s="1720"/>
      <c r="N66" s="1720"/>
      <c r="O66" s="1720"/>
      <c r="P66" s="1720"/>
      <c r="Q66" s="1720"/>
    </row>
    <row r="67" spans="1:17" ht="24.95" customHeight="1">
      <c r="A67" s="1720"/>
      <c r="B67" s="1720"/>
      <c r="C67" s="1720"/>
      <c r="D67" s="1720"/>
      <c r="E67" s="1720"/>
      <c r="F67" s="1720"/>
      <c r="G67" s="1720"/>
      <c r="H67" s="1720"/>
      <c r="I67" s="1720"/>
      <c r="J67" s="1720"/>
      <c r="K67" s="1720"/>
      <c r="L67" s="1720"/>
      <c r="M67" s="1720"/>
      <c r="N67" s="1720"/>
      <c r="O67" s="1720"/>
      <c r="P67" s="1720"/>
      <c r="Q67" s="1720"/>
    </row>
    <row r="68" spans="1:17" ht="24.95" customHeight="1">
      <c r="A68" s="1720"/>
      <c r="B68" s="1720"/>
      <c r="C68" s="1720"/>
      <c r="D68" s="1720"/>
      <c r="E68" s="1720"/>
      <c r="F68" s="1720"/>
      <c r="G68" s="1720"/>
      <c r="H68" s="1720"/>
      <c r="I68" s="1720"/>
      <c r="J68" s="1720"/>
      <c r="K68" s="1720"/>
      <c r="L68" s="1720"/>
      <c r="M68" s="1720"/>
      <c r="N68" s="1720"/>
      <c r="O68" s="1720"/>
      <c r="P68" s="1720"/>
      <c r="Q68" s="1720"/>
    </row>
    <row r="69" spans="1:17" ht="24.95" customHeight="1">
      <c r="A69" s="1720"/>
      <c r="B69" s="1720"/>
      <c r="C69" s="1720"/>
      <c r="D69" s="1720"/>
      <c r="E69" s="1720"/>
      <c r="F69" s="1720"/>
      <c r="G69" s="1720"/>
      <c r="H69" s="1720"/>
      <c r="I69" s="1720"/>
      <c r="J69" s="1720"/>
      <c r="K69" s="1720"/>
      <c r="L69" s="1720"/>
      <c r="M69" s="1720"/>
      <c r="N69" s="1720"/>
      <c r="O69" s="1720"/>
      <c r="P69" s="1720"/>
      <c r="Q69" s="1720"/>
    </row>
    <row r="70" spans="1:17" ht="24.95" customHeight="1">
      <c r="A70" s="1720"/>
      <c r="B70" s="1720"/>
      <c r="C70" s="1720"/>
      <c r="D70" s="1720"/>
      <c r="E70" s="1720"/>
      <c r="F70" s="1720"/>
      <c r="G70" s="1720"/>
      <c r="H70" s="1720"/>
      <c r="I70" s="1720"/>
      <c r="J70" s="1720"/>
      <c r="K70" s="1720"/>
      <c r="L70" s="1720"/>
      <c r="M70" s="1720"/>
      <c r="N70" s="1720"/>
      <c r="O70" s="1720"/>
      <c r="P70" s="1720"/>
      <c r="Q70" s="1720"/>
    </row>
    <row r="71" spans="1:17" ht="24.95" customHeight="1">
      <c r="A71" s="1720"/>
      <c r="B71" s="1720"/>
      <c r="C71" s="1720"/>
      <c r="D71" s="1720"/>
      <c r="E71" s="1720"/>
      <c r="F71" s="1720"/>
      <c r="G71" s="1720"/>
      <c r="H71" s="1720"/>
      <c r="I71" s="1720"/>
      <c r="J71" s="1720"/>
      <c r="K71" s="1720"/>
      <c r="L71" s="1720"/>
      <c r="M71" s="1720"/>
      <c r="N71" s="1720"/>
      <c r="O71" s="1720"/>
      <c r="P71" s="1720"/>
      <c r="Q71" s="1720"/>
    </row>
    <row r="72" spans="1:17" ht="24.95" customHeight="1">
      <c r="A72" s="1720"/>
      <c r="B72" s="1720"/>
      <c r="C72" s="1720"/>
      <c r="D72" s="1720"/>
      <c r="E72" s="1720"/>
      <c r="F72" s="1720"/>
      <c r="G72" s="1720"/>
      <c r="H72" s="1720"/>
      <c r="I72" s="1720"/>
      <c r="J72" s="1720"/>
      <c r="K72" s="1720"/>
      <c r="L72" s="1720"/>
      <c r="M72" s="1720"/>
      <c r="N72" s="1720"/>
      <c r="O72" s="1720"/>
      <c r="P72" s="1720"/>
      <c r="Q72" s="1720"/>
    </row>
    <row r="73" spans="1:17" ht="24.95" customHeight="1">
      <c r="A73" s="1720"/>
      <c r="B73" s="1720"/>
      <c r="C73" s="1720"/>
      <c r="D73" s="1720"/>
      <c r="E73" s="1720"/>
      <c r="F73" s="1720"/>
      <c r="G73" s="1720"/>
      <c r="H73" s="1720"/>
      <c r="I73" s="1720"/>
      <c r="J73" s="1720"/>
      <c r="K73" s="1720"/>
      <c r="L73" s="1720"/>
      <c r="M73" s="1720"/>
      <c r="N73" s="1720"/>
      <c r="O73" s="1720"/>
      <c r="P73" s="1720"/>
      <c r="Q73" s="1720"/>
    </row>
    <row r="74" spans="1:17" ht="24.95" customHeight="1">
      <c r="A74" s="1720"/>
      <c r="B74" s="1720"/>
      <c r="C74" s="1720"/>
      <c r="D74" s="1720"/>
      <c r="E74" s="1720"/>
      <c r="F74" s="1720"/>
      <c r="G74" s="1720"/>
      <c r="H74" s="1720"/>
      <c r="I74" s="1720"/>
      <c r="J74" s="1720"/>
      <c r="K74" s="1720"/>
      <c r="L74" s="1720"/>
      <c r="M74" s="1720"/>
      <c r="N74" s="1720"/>
      <c r="O74" s="1720"/>
      <c r="P74" s="1720"/>
      <c r="Q74" s="1720"/>
    </row>
    <row r="75" spans="1:17" ht="24.95" customHeight="1">
      <c r="A75" s="1720"/>
      <c r="B75" s="1720"/>
      <c r="C75" s="1720"/>
      <c r="D75" s="1720"/>
      <c r="E75" s="1720"/>
      <c r="F75" s="1720"/>
      <c r="G75" s="1720"/>
      <c r="H75" s="1720"/>
      <c r="I75" s="1720"/>
      <c r="J75" s="1720"/>
      <c r="K75" s="1720"/>
      <c r="L75" s="1720"/>
      <c r="M75" s="1720"/>
      <c r="N75" s="1720"/>
      <c r="O75" s="1720"/>
      <c r="P75" s="1720"/>
      <c r="Q75" s="1720"/>
    </row>
    <row r="76" spans="1:17" ht="24.95" customHeight="1">
      <c r="A76" s="1720"/>
      <c r="B76" s="1720"/>
      <c r="C76" s="1720"/>
      <c r="D76" s="1720"/>
      <c r="E76" s="1720"/>
      <c r="F76" s="1720"/>
      <c r="G76" s="1720"/>
      <c r="H76" s="1720"/>
      <c r="I76" s="1720"/>
      <c r="J76" s="1720"/>
      <c r="K76" s="1720"/>
      <c r="L76" s="1720"/>
      <c r="M76" s="1720"/>
      <c r="N76" s="1720"/>
      <c r="O76" s="1720"/>
      <c r="P76" s="1720"/>
      <c r="Q76" s="1720"/>
    </row>
    <row r="77" spans="1:17" ht="24.95" customHeight="1">
      <c r="A77" s="1720"/>
      <c r="B77" s="1720"/>
      <c r="C77" s="1720"/>
      <c r="D77" s="1720"/>
      <c r="E77" s="1720"/>
      <c r="F77" s="1720"/>
      <c r="G77" s="1720"/>
      <c r="H77" s="1720"/>
      <c r="I77" s="1720"/>
      <c r="J77" s="1720"/>
      <c r="K77" s="1720"/>
      <c r="L77" s="1720"/>
      <c r="M77" s="1720"/>
      <c r="N77" s="1720"/>
      <c r="O77" s="1720"/>
      <c r="P77" s="1720"/>
      <c r="Q77" s="1720"/>
    </row>
    <row r="78" spans="1:17" ht="24.95" customHeight="1">
      <c r="A78" s="1720"/>
      <c r="B78" s="1720"/>
      <c r="C78" s="1720"/>
      <c r="D78" s="1720"/>
      <c r="E78" s="1720"/>
      <c r="F78" s="1720"/>
      <c r="G78" s="1720"/>
      <c r="H78" s="1720"/>
      <c r="I78" s="1720"/>
      <c r="J78" s="1720"/>
      <c r="K78" s="1720"/>
      <c r="L78" s="1720"/>
      <c r="M78" s="1720"/>
      <c r="N78" s="1720"/>
      <c r="O78" s="1720"/>
      <c r="P78" s="1720"/>
      <c r="Q78" s="1720"/>
    </row>
    <row r="79" spans="1:17" ht="24.95" customHeight="1">
      <c r="A79" s="1720"/>
      <c r="B79" s="1720"/>
      <c r="C79" s="1720"/>
      <c r="D79" s="1720"/>
      <c r="E79" s="1720"/>
      <c r="F79" s="1720"/>
      <c r="G79" s="1720"/>
      <c r="H79" s="1720"/>
      <c r="I79" s="1720"/>
      <c r="J79" s="1720"/>
      <c r="K79" s="1720"/>
      <c r="L79" s="1720"/>
      <c r="M79" s="1720"/>
      <c r="N79" s="1720"/>
      <c r="O79" s="1720"/>
      <c r="P79" s="1720"/>
      <c r="Q79" s="1720"/>
    </row>
    <row r="80" spans="1:17" ht="24.95" customHeight="1">
      <c r="A80" s="1720"/>
      <c r="B80" s="1720"/>
      <c r="C80" s="1720"/>
      <c r="D80" s="1720"/>
      <c r="E80" s="1720"/>
      <c r="F80" s="1720"/>
      <c r="G80" s="1720"/>
      <c r="H80" s="1720"/>
      <c r="I80" s="1720"/>
      <c r="J80" s="1720"/>
      <c r="K80" s="1720"/>
      <c r="L80" s="1720"/>
      <c r="M80" s="1720"/>
      <c r="N80" s="1720"/>
      <c r="O80" s="1720"/>
      <c r="P80" s="1720"/>
      <c r="Q80" s="1720"/>
    </row>
    <row r="81" spans="1:17" ht="24.95" customHeight="1">
      <c r="A81" s="1720"/>
      <c r="B81" s="1720"/>
      <c r="C81" s="1720"/>
      <c r="D81" s="1720"/>
      <c r="E81" s="1720"/>
      <c r="F81" s="1720"/>
      <c r="G81" s="1720"/>
      <c r="H81" s="1720"/>
      <c r="I81" s="1720"/>
      <c r="J81" s="1720"/>
      <c r="K81" s="1720"/>
      <c r="L81" s="1720"/>
      <c r="M81" s="1720"/>
      <c r="N81" s="1720"/>
      <c r="O81" s="1720"/>
      <c r="P81" s="1720"/>
      <c r="Q81" s="1720"/>
    </row>
    <row r="82" spans="1:17" ht="24.95" customHeight="1">
      <c r="A82" s="1720"/>
      <c r="B82" s="1720"/>
      <c r="C82" s="1720"/>
      <c r="D82" s="1720"/>
      <c r="E82" s="1720"/>
      <c r="F82" s="1720"/>
      <c r="G82" s="1720"/>
      <c r="H82" s="1720"/>
      <c r="I82" s="1720"/>
      <c r="J82" s="1720"/>
      <c r="K82" s="1720"/>
      <c r="L82" s="1720"/>
      <c r="M82" s="1720"/>
      <c r="N82" s="1720"/>
      <c r="O82" s="1720"/>
      <c r="P82" s="1720"/>
      <c r="Q82" s="1720"/>
    </row>
    <row r="83" spans="1:17" ht="24.95" customHeight="1">
      <c r="A83" s="1720"/>
      <c r="B83" s="1720"/>
      <c r="C83" s="1720"/>
      <c r="D83" s="1720"/>
      <c r="E83" s="1720"/>
      <c r="F83" s="1720"/>
      <c r="G83" s="1720"/>
      <c r="H83" s="1720"/>
      <c r="I83" s="1720"/>
      <c r="J83" s="1720"/>
      <c r="K83" s="1720"/>
      <c r="L83" s="1720"/>
      <c r="M83" s="1720"/>
      <c r="N83" s="1720"/>
      <c r="O83" s="1720"/>
      <c r="P83" s="1720"/>
      <c r="Q83" s="1720"/>
    </row>
    <row r="84" spans="1:17" ht="24.95" customHeight="1">
      <c r="A84" s="1720"/>
      <c r="B84" s="1720"/>
      <c r="C84" s="1720"/>
      <c r="D84" s="1720"/>
      <c r="E84" s="1720"/>
      <c r="F84" s="1720"/>
      <c r="G84" s="1720"/>
      <c r="H84" s="1720"/>
      <c r="I84" s="1720"/>
      <c r="J84" s="1720"/>
      <c r="K84" s="1720"/>
      <c r="L84" s="1720"/>
      <c r="M84" s="1720"/>
      <c r="N84" s="1720"/>
      <c r="O84" s="1720"/>
      <c r="P84" s="1720"/>
      <c r="Q84" s="1720"/>
    </row>
    <row r="85" spans="1:17" ht="24.95" customHeight="1">
      <c r="A85" s="1720"/>
      <c r="B85" s="1720"/>
      <c r="C85" s="1720"/>
      <c r="D85" s="1720"/>
      <c r="E85" s="1720"/>
      <c r="F85" s="1720"/>
      <c r="G85" s="1720"/>
      <c r="H85" s="1720"/>
      <c r="I85" s="1720"/>
      <c r="J85" s="1720"/>
      <c r="K85" s="1720"/>
      <c r="L85" s="1720"/>
      <c r="M85" s="1720"/>
      <c r="N85" s="1720"/>
      <c r="O85" s="1720"/>
      <c r="P85" s="1720"/>
      <c r="Q85" s="1720"/>
    </row>
    <row r="86" spans="1:17" ht="24.95" customHeight="1">
      <c r="A86" s="1720"/>
      <c r="B86" s="1720"/>
      <c r="C86" s="1720"/>
      <c r="D86" s="1720"/>
      <c r="E86" s="1720"/>
      <c r="F86" s="1720"/>
      <c r="G86" s="1720"/>
      <c r="H86" s="1720"/>
      <c r="I86" s="1720"/>
      <c r="J86" s="1720"/>
      <c r="K86" s="1720"/>
      <c r="L86" s="1720"/>
      <c r="M86" s="1720"/>
      <c r="N86" s="1720"/>
      <c r="O86" s="1720"/>
      <c r="P86" s="1720"/>
      <c r="Q86" s="1720"/>
    </row>
    <row r="87" spans="1:17" ht="24.95" customHeight="1">
      <c r="A87" s="1720"/>
      <c r="B87" s="1720"/>
      <c r="C87" s="1720"/>
      <c r="D87" s="1720"/>
      <c r="E87" s="1720"/>
      <c r="F87" s="1720"/>
      <c r="G87" s="1720"/>
      <c r="H87" s="1720"/>
      <c r="I87" s="1720"/>
      <c r="J87" s="1720"/>
      <c r="K87" s="1720"/>
      <c r="L87" s="1720"/>
      <c r="M87" s="1720"/>
      <c r="N87" s="1720"/>
      <c r="O87" s="1720"/>
      <c r="P87" s="1720"/>
      <c r="Q87" s="1720"/>
    </row>
    <row r="88" spans="1:17" ht="24.95" customHeight="1">
      <c r="A88" s="1720"/>
      <c r="B88" s="1720"/>
      <c r="C88" s="1720"/>
      <c r="D88" s="1720"/>
      <c r="E88" s="1720"/>
      <c r="F88" s="1720"/>
      <c r="G88" s="1720"/>
      <c r="H88" s="1720"/>
      <c r="I88" s="1720"/>
      <c r="J88" s="1720"/>
      <c r="K88" s="1720"/>
      <c r="L88" s="1720"/>
      <c r="M88" s="1720"/>
      <c r="N88" s="1720"/>
      <c r="O88" s="1720"/>
      <c r="P88" s="1720"/>
      <c r="Q88" s="1720"/>
    </row>
    <row r="89" spans="1:17" ht="24.95" customHeight="1">
      <c r="A89" s="1720"/>
      <c r="B89" s="1720"/>
      <c r="C89" s="1720"/>
      <c r="D89" s="1720"/>
      <c r="E89" s="1720"/>
      <c r="F89" s="1720"/>
      <c r="G89" s="1720"/>
      <c r="H89" s="1720"/>
      <c r="I89" s="1720"/>
      <c r="J89" s="1720"/>
      <c r="K89" s="1720"/>
      <c r="L89" s="1720"/>
      <c r="M89" s="1720"/>
      <c r="N89" s="1720"/>
      <c r="O89" s="1720"/>
      <c r="P89" s="1720"/>
      <c r="Q89" s="1720"/>
    </row>
    <row r="90" spans="1:17" ht="24.95" customHeight="1">
      <c r="A90" s="1720"/>
      <c r="B90" s="1720"/>
      <c r="C90" s="1720"/>
      <c r="D90" s="1720"/>
      <c r="E90" s="1720"/>
      <c r="F90" s="1720"/>
      <c r="G90" s="1720"/>
      <c r="H90" s="1720"/>
      <c r="I90" s="1720"/>
      <c r="J90" s="1720"/>
      <c r="K90" s="1720"/>
      <c r="L90" s="1720"/>
      <c r="M90" s="1720"/>
      <c r="N90" s="1720"/>
      <c r="O90" s="1720"/>
      <c r="P90" s="1720"/>
      <c r="Q90" s="1720"/>
    </row>
    <row r="91" spans="1:17" ht="24.95" customHeight="1">
      <c r="A91" s="1720"/>
      <c r="B91" s="1720"/>
      <c r="C91" s="1720"/>
      <c r="D91" s="1720"/>
      <c r="E91" s="1720"/>
      <c r="F91" s="1720"/>
      <c r="G91" s="1720"/>
      <c r="H91" s="1720"/>
      <c r="I91" s="1720"/>
      <c r="J91" s="1720"/>
      <c r="K91" s="1720"/>
      <c r="L91" s="1720"/>
      <c r="M91" s="1720"/>
      <c r="N91" s="1720"/>
      <c r="O91" s="1720"/>
      <c r="P91" s="1720"/>
      <c r="Q91" s="1720"/>
    </row>
    <row r="92" spans="1:17" ht="24.95" customHeight="1">
      <c r="A92" s="1720"/>
      <c r="B92" s="1720"/>
      <c r="C92" s="1720"/>
      <c r="D92" s="1720"/>
      <c r="E92" s="1720"/>
      <c r="F92" s="1720"/>
      <c r="G92" s="1720"/>
      <c r="H92" s="1720"/>
      <c r="I92" s="1720"/>
      <c r="J92" s="1720"/>
      <c r="K92" s="1720"/>
      <c r="L92" s="1720"/>
      <c r="M92" s="1720"/>
      <c r="N92" s="1720"/>
      <c r="O92" s="1720"/>
      <c r="P92" s="1720"/>
      <c r="Q92" s="1720"/>
    </row>
    <row r="93" spans="1:17" ht="24.95" customHeight="1">
      <c r="A93" s="1720"/>
      <c r="B93" s="1720"/>
      <c r="C93" s="1720"/>
      <c r="D93" s="1720"/>
      <c r="E93" s="1720"/>
      <c r="F93" s="1720"/>
      <c r="G93" s="1720"/>
      <c r="H93" s="1720"/>
      <c r="I93" s="1720"/>
      <c r="J93" s="1720"/>
      <c r="K93" s="1720"/>
      <c r="L93" s="1720"/>
      <c r="M93" s="1720"/>
      <c r="N93" s="1720"/>
      <c r="O93" s="1720"/>
      <c r="P93" s="1720"/>
      <c r="Q93" s="1720"/>
    </row>
    <row r="94" spans="1:17" ht="24.95" customHeight="1">
      <c r="A94" s="1720"/>
      <c r="B94" s="1720"/>
      <c r="C94" s="1720"/>
      <c r="D94" s="1720"/>
      <c r="E94" s="1720"/>
      <c r="F94" s="1720"/>
      <c r="G94" s="1720"/>
      <c r="H94" s="1720"/>
      <c r="I94" s="1720"/>
      <c r="J94" s="1720"/>
      <c r="K94" s="1720"/>
      <c r="L94" s="1720"/>
      <c r="M94" s="1720"/>
      <c r="N94" s="1720"/>
      <c r="O94" s="1720"/>
      <c r="P94" s="1720"/>
      <c r="Q94" s="1720"/>
    </row>
    <row r="95" spans="1:17" ht="24.95" customHeight="1">
      <c r="A95" s="1720"/>
      <c r="B95" s="1720"/>
      <c r="C95" s="1720"/>
      <c r="D95" s="1720"/>
      <c r="E95" s="1720"/>
      <c r="F95" s="1720"/>
      <c r="G95" s="1720"/>
      <c r="H95" s="1720"/>
      <c r="I95" s="1720"/>
      <c r="J95" s="1720"/>
      <c r="K95" s="1720"/>
      <c r="L95" s="1720"/>
      <c r="M95" s="1720"/>
      <c r="N95" s="1720"/>
      <c r="O95" s="1720"/>
      <c r="P95" s="1720"/>
      <c r="Q95" s="1720"/>
    </row>
    <row r="96" spans="1:17" ht="24.95" customHeight="1">
      <c r="A96" s="1720"/>
      <c r="B96" s="1720"/>
      <c r="C96" s="1720"/>
      <c r="D96" s="1720"/>
      <c r="E96" s="1720"/>
      <c r="F96" s="1720"/>
      <c r="G96" s="1720"/>
      <c r="H96" s="1720"/>
      <c r="I96" s="1720"/>
      <c r="J96" s="1720"/>
      <c r="K96" s="1720"/>
      <c r="L96" s="1720"/>
      <c r="M96" s="1720"/>
      <c r="N96" s="1720"/>
      <c r="O96" s="1720"/>
      <c r="P96" s="1720"/>
      <c r="Q96" s="1720"/>
    </row>
    <row r="97" spans="1:17" ht="24.95" customHeight="1">
      <c r="A97" s="1720"/>
      <c r="B97" s="1720"/>
      <c r="C97" s="1720"/>
      <c r="D97" s="1720"/>
      <c r="E97" s="1720"/>
      <c r="F97" s="1720"/>
      <c r="G97" s="1720"/>
      <c r="H97" s="1720"/>
      <c r="I97" s="1720"/>
      <c r="J97" s="1720"/>
      <c r="K97" s="1720"/>
      <c r="L97" s="1720"/>
      <c r="M97" s="1720"/>
      <c r="N97" s="1720"/>
      <c r="O97" s="1720"/>
      <c r="P97" s="1720"/>
      <c r="Q97" s="1720"/>
    </row>
    <row r="98" spans="1:17" ht="24.95" customHeight="1">
      <c r="A98" s="1720"/>
      <c r="B98" s="1720"/>
      <c r="C98" s="1720"/>
      <c r="D98" s="1720"/>
      <c r="E98" s="1720"/>
      <c r="F98" s="1720"/>
      <c r="G98" s="1720"/>
      <c r="H98" s="1720"/>
      <c r="I98" s="1720"/>
      <c r="J98" s="1720"/>
      <c r="K98" s="1720"/>
      <c r="L98" s="1720"/>
      <c r="M98" s="1720"/>
      <c r="N98" s="1720"/>
      <c r="O98" s="1720"/>
      <c r="P98" s="1720"/>
      <c r="Q98" s="1720"/>
    </row>
    <row r="99" spans="1:17" ht="24.95" customHeight="1">
      <c r="A99" s="1720"/>
      <c r="B99" s="1720"/>
      <c r="C99" s="1720"/>
      <c r="D99" s="1720"/>
      <c r="E99" s="1720"/>
      <c r="F99" s="1720"/>
      <c r="G99" s="1720"/>
      <c r="H99" s="1720"/>
      <c r="I99" s="1720"/>
      <c r="J99" s="1720"/>
      <c r="K99" s="1720"/>
      <c r="L99" s="1720"/>
      <c r="M99" s="1720"/>
      <c r="N99" s="1720"/>
      <c r="O99" s="1720"/>
      <c r="P99" s="1720"/>
      <c r="Q99" s="1720"/>
    </row>
    <row r="100" spans="1:17" ht="24.95" customHeight="1">
      <c r="A100" s="1720"/>
      <c r="B100" s="1720"/>
      <c r="C100" s="1720"/>
      <c r="D100" s="1720"/>
      <c r="E100" s="1720"/>
      <c r="F100" s="1720"/>
      <c r="G100" s="1720"/>
      <c r="H100" s="1720"/>
      <c r="I100" s="1720"/>
      <c r="J100" s="1720"/>
      <c r="K100" s="1720"/>
      <c r="L100" s="1720"/>
      <c r="M100" s="1720"/>
      <c r="N100" s="1720"/>
      <c r="O100" s="1720"/>
      <c r="P100" s="1720"/>
      <c r="Q100" s="1720"/>
    </row>
    <row r="101" spans="1:17" ht="24.95" customHeight="1">
      <c r="A101" s="1720"/>
      <c r="B101" s="1720"/>
      <c r="C101" s="1720"/>
      <c r="D101" s="1720"/>
      <c r="E101" s="1720"/>
      <c r="F101" s="1720"/>
      <c r="G101" s="1720"/>
      <c r="H101" s="1720"/>
      <c r="I101" s="1720"/>
      <c r="J101" s="1720"/>
      <c r="K101" s="1720"/>
      <c r="L101" s="1720"/>
      <c r="M101" s="1720"/>
      <c r="N101" s="1720"/>
      <c r="O101" s="1720"/>
      <c r="P101" s="1720"/>
      <c r="Q101" s="1720"/>
    </row>
    <row r="102" spans="1:17" ht="24.95" customHeight="1">
      <c r="A102" s="1720"/>
      <c r="B102" s="1720"/>
      <c r="C102" s="1720"/>
      <c r="D102" s="1720"/>
      <c r="E102" s="1720"/>
      <c r="F102" s="1720"/>
      <c r="G102" s="1720"/>
      <c r="H102" s="1720"/>
      <c r="I102" s="1720"/>
      <c r="J102" s="1720"/>
      <c r="K102" s="1720"/>
      <c r="L102" s="1720"/>
      <c r="M102" s="1720"/>
      <c r="N102" s="1720"/>
      <c r="O102" s="1720"/>
      <c r="P102" s="1720"/>
      <c r="Q102" s="1720"/>
    </row>
    <row r="103" spans="1:17" ht="24.95" customHeight="1">
      <c r="A103" s="1720"/>
      <c r="B103" s="1720"/>
      <c r="C103" s="1720"/>
      <c r="D103" s="1720"/>
      <c r="E103" s="1720"/>
      <c r="F103" s="1720"/>
      <c r="G103" s="1720"/>
      <c r="H103" s="1720"/>
      <c r="I103" s="1720"/>
      <c r="J103" s="1720"/>
      <c r="K103" s="1720"/>
      <c r="L103" s="1720"/>
      <c r="M103" s="1720"/>
      <c r="N103" s="1720"/>
      <c r="O103" s="1720"/>
      <c r="P103" s="1720"/>
      <c r="Q103" s="1720"/>
    </row>
    <row r="104" spans="1:17" ht="24.95" customHeight="1">
      <c r="A104" s="1720"/>
      <c r="B104" s="1720"/>
      <c r="C104" s="1720"/>
      <c r="D104" s="1720"/>
      <c r="E104" s="1720"/>
      <c r="F104" s="1720"/>
      <c r="G104" s="1720"/>
      <c r="H104" s="1720"/>
      <c r="I104" s="1720"/>
      <c r="J104" s="1720"/>
      <c r="K104" s="1720"/>
      <c r="L104" s="1720"/>
      <c r="M104" s="1720"/>
      <c r="N104" s="1720"/>
      <c r="O104" s="1720"/>
      <c r="P104" s="1720"/>
      <c r="Q104" s="1720"/>
    </row>
    <row r="105" spans="1:17" ht="24.95" customHeight="1">
      <c r="A105" s="1720"/>
      <c r="B105" s="1720"/>
      <c r="C105" s="1720"/>
      <c r="D105" s="1720"/>
      <c r="E105" s="1720"/>
      <c r="F105" s="1720"/>
      <c r="G105" s="1720"/>
      <c r="H105" s="1720"/>
      <c r="I105" s="1720"/>
      <c r="J105" s="1720"/>
      <c r="K105" s="1720"/>
      <c r="L105" s="1720"/>
      <c r="M105" s="1720"/>
      <c r="N105" s="1720"/>
      <c r="O105" s="1720"/>
      <c r="P105" s="1720"/>
      <c r="Q105" s="1720"/>
    </row>
    <row r="106" spans="1:17" ht="24.95" customHeight="1">
      <c r="A106" s="1720"/>
      <c r="B106" s="1720"/>
      <c r="C106" s="1720"/>
      <c r="D106" s="1720"/>
      <c r="E106" s="1720"/>
      <c r="F106" s="1720"/>
      <c r="G106" s="1720"/>
      <c r="H106" s="1720"/>
      <c r="I106" s="1720"/>
      <c r="J106" s="1720"/>
      <c r="K106" s="1720"/>
      <c r="L106" s="1720"/>
      <c r="M106" s="1720"/>
      <c r="N106" s="1720"/>
      <c r="O106" s="1720"/>
      <c r="P106" s="1720"/>
      <c r="Q106" s="1720"/>
    </row>
    <row r="107" spans="1:17" ht="24.95" customHeight="1">
      <c r="A107" s="1720"/>
      <c r="B107" s="1720"/>
      <c r="C107" s="1720"/>
      <c r="D107" s="1720"/>
      <c r="E107" s="1720"/>
      <c r="F107" s="1720"/>
      <c r="G107" s="1720"/>
      <c r="H107" s="1720"/>
      <c r="I107" s="1720"/>
      <c r="J107" s="1720"/>
      <c r="K107" s="1720"/>
      <c r="L107" s="1720"/>
      <c r="M107" s="1720"/>
      <c r="N107" s="1720"/>
      <c r="O107" s="1720"/>
      <c r="P107" s="1720"/>
      <c r="Q107" s="1720"/>
    </row>
    <row r="108" spans="1:17" ht="24.95" customHeight="1">
      <c r="A108" s="1720"/>
      <c r="B108" s="1720"/>
      <c r="C108" s="1720"/>
      <c r="D108" s="1720"/>
      <c r="E108" s="1720"/>
      <c r="F108" s="1720"/>
      <c r="G108" s="1720"/>
      <c r="H108" s="1720"/>
      <c r="I108" s="1720"/>
      <c r="J108" s="1720"/>
      <c r="K108" s="1720"/>
      <c r="L108" s="1720"/>
      <c r="M108" s="1720"/>
      <c r="N108" s="1720"/>
      <c r="O108" s="1720"/>
      <c r="P108" s="1720"/>
      <c r="Q108" s="1720"/>
    </row>
    <row r="109" spans="1:17" ht="24.95" customHeight="1">
      <c r="A109" s="1720"/>
      <c r="B109" s="1720"/>
      <c r="C109" s="1720"/>
      <c r="D109" s="1720"/>
      <c r="E109" s="1720"/>
      <c r="F109" s="1720"/>
      <c r="G109" s="1720"/>
      <c r="H109" s="1720"/>
      <c r="I109" s="1720"/>
      <c r="J109" s="1720"/>
      <c r="K109" s="1720"/>
      <c r="L109" s="1720"/>
      <c r="M109" s="1720"/>
      <c r="N109" s="1720"/>
      <c r="O109" s="1720"/>
      <c r="P109" s="1720"/>
      <c r="Q109" s="1720"/>
    </row>
    <row r="110" spans="1:17" ht="24.95" customHeight="1">
      <c r="A110" s="1720"/>
      <c r="B110" s="1720"/>
      <c r="C110" s="1720"/>
      <c r="D110" s="1720"/>
      <c r="E110" s="1720"/>
      <c r="F110" s="1720"/>
      <c r="G110" s="1720"/>
      <c r="H110" s="1720"/>
      <c r="I110" s="1720"/>
      <c r="J110" s="1720"/>
      <c r="K110" s="1720"/>
      <c r="L110" s="1720"/>
      <c r="M110" s="1720"/>
      <c r="N110" s="1720"/>
      <c r="O110" s="1720"/>
      <c r="P110" s="1720"/>
      <c r="Q110" s="1720"/>
    </row>
    <row r="111" spans="1:17" ht="24.95" customHeight="1">
      <c r="A111" s="1720"/>
      <c r="B111" s="1720"/>
      <c r="C111" s="1720"/>
      <c r="D111" s="1720"/>
      <c r="E111" s="1720"/>
      <c r="F111" s="1720"/>
      <c r="G111" s="1720"/>
      <c r="H111" s="1720"/>
      <c r="I111" s="1720"/>
      <c r="J111" s="1720"/>
      <c r="K111" s="1720"/>
      <c r="L111" s="1720"/>
      <c r="M111" s="1720"/>
      <c r="N111" s="1720"/>
      <c r="O111" s="1720"/>
      <c r="P111" s="1720"/>
      <c r="Q111" s="1720"/>
    </row>
    <row r="112" spans="1:17" ht="24.95" customHeight="1">
      <c r="A112" s="1720"/>
      <c r="B112" s="1720"/>
      <c r="C112" s="1720"/>
      <c r="D112" s="1720"/>
      <c r="E112" s="1720"/>
      <c r="F112" s="1720"/>
      <c r="G112" s="1720"/>
      <c r="H112" s="1720"/>
      <c r="I112" s="1720"/>
      <c r="J112" s="1720"/>
      <c r="K112" s="1720"/>
      <c r="L112" s="1720"/>
      <c r="M112" s="1720"/>
      <c r="N112" s="1720"/>
      <c r="O112" s="1720"/>
      <c r="P112" s="1720"/>
      <c r="Q112" s="1720"/>
    </row>
    <row r="113" spans="1:17" ht="24.95" customHeight="1">
      <c r="A113" s="1720"/>
      <c r="B113" s="1720"/>
      <c r="C113" s="1720"/>
      <c r="D113" s="1720"/>
      <c r="E113" s="1720"/>
      <c r="F113" s="1720"/>
      <c r="G113" s="1720"/>
      <c r="H113" s="1720"/>
      <c r="I113" s="1720"/>
      <c r="J113" s="1720"/>
      <c r="K113" s="1720"/>
      <c r="L113" s="1720"/>
      <c r="M113" s="1720"/>
      <c r="N113" s="1720"/>
      <c r="O113" s="1720"/>
      <c r="P113" s="1720"/>
      <c r="Q113" s="1720"/>
    </row>
    <row r="114" spans="1:17" ht="24.95" customHeight="1">
      <c r="A114" s="1720"/>
      <c r="B114" s="1720"/>
      <c r="C114" s="1720"/>
      <c r="D114" s="1720"/>
      <c r="E114" s="1720"/>
      <c r="F114" s="1720"/>
      <c r="G114" s="1720"/>
      <c r="H114" s="1720"/>
      <c r="I114" s="1720"/>
      <c r="J114" s="1720"/>
      <c r="K114" s="1720"/>
      <c r="L114" s="1720"/>
      <c r="M114" s="1720"/>
      <c r="N114" s="1720"/>
      <c r="O114" s="1720"/>
      <c r="P114" s="1720"/>
      <c r="Q114" s="1720"/>
    </row>
    <row r="115" spans="1:17" ht="24.95" customHeight="1">
      <c r="A115" s="1720"/>
      <c r="B115" s="1720"/>
      <c r="C115" s="1720"/>
      <c r="D115" s="1720"/>
      <c r="E115" s="1720"/>
      <c r="F115" s="1720"/>
      <c r="G115" s="1720"/>
      <c r="H115" s="1720"/>
      <c r="I115" s="1720"/>
      <c r="J115" s="1720"/>
      <c r="K115" s="1720"/>
      <c r="L115" s="1720"/>
      <c r="M115" s="1720"/>
      <c r="N115" s="1720"/>
      <c r="O115" s="1720"/>
      <c r="P115" s="1720"/>
      <c r="Q115" s="1720"/>
    </row>
    <row r="116" spans="1:17" ht="24.95" customHeight="1">
      <c r="A116" s="1720"/>
      <c r="B116" s="1720"/>
      <c r="C116" s="1720"/>
      <c r="D116" s="1720"/>
      <c r="E116" s="1720"/>
      <c r="F116" s="1720"/>
      <c r="G116" s="1720"/>
      <c r="H116" s="1720"/>
      <c r="I116" s="1720"/>
      <c r="J116" s="1720"/>
      <c r="K116" s="1720"/>
      <c r="L116" s="1720"/>
      <c r="M116" s="1720"/>
      <c r="N116" s="1720"/>
      <c r="O116" s="1720"/>
      <c r="P116" s="1720"/>
      <c r="Q116" s="1720"/>
    </row>
    <row r="117" spans="1:17" ht="24.95" customHeight="1">
      <c r="A117" s="1720"/>
      <c r="B117" s="1720"/>
      <c r="C117" s="1720"/>
      <c r="D117" s="1720"/>
      <c r="E117" s="1720"/>
      <c r="F117" s="1720"/>
      <c r="G117" s="1720"/>
      <c r="H117" s="1720"/>
      <c r="I117" s="1720"/>
      <c r="J117" s="1720"/>
      <c r="K117" s="1720"/>
      <c r="L117" s="1720"/>
      <c r="M117" s="1720"/>
      <c r="N117" s="1720"/>
      <c r="O117" s="1720"/>
      <c r="P117" s="1720"/>
      <c r="Q117" s="1720"/>
    </row>
    <row r="118" spans="1:17" ht="24.95" customHeight="1">
      <c r="A118" s="1720"/>
      <c r="B118" s="1720"/>
      <c r="C118" s="1720"/>
      <c r="D118" s="1720"/>
      <c r="E118" s="1720"/>
      <c r="F118" s="1720"/>
      <c r="G118" s="1720"/>
      <c r="H118" s="1720"/>
      <c r="I118" s="1720"/>
      <c r="J118" s="1720"/>
      <c r="K118" s="1720"/>
      <c r="L118" s="1720"/>
      <c r="M118" s="1720"/>
      <c r="N118" s="1720"/>
      <c r="O118" s="1720"/>
      <c r="P118" s="1720"/>
      <c r="Q118" s="1720"/>
    </row>
    <row r="119" spans="1:17" ht="24.95" customHeight="1">
      <c r="A119" s="1720"/>
      <c r="B119" s="1720"/>
      <c r="C119" s="1720"/>
      <c r="D119" s="1720"/>
      <c r="E119" s="1720"/>
      <c r="F119" s="1720"/>
      <c r="G119" s="1720"/>
      <c r="H119" s="1720"/>
      <c r="I119" s="1720"/>
      <c r="J119" s="1720"/>
      <c r="K119" s="1720"/>
      <c r="L119" s="1720"/>
      <c r="M119" s="1720"/>
      <c r="N119" s="1720"/>
      <c r="O119" s="1720"/>
      <c r="P119" s="1720"/>
      <c r="Q119" s="1720"/>
    </row>
    <row r="120" spans="1:17" ht="24.95" customHeight="1">
      <c r="A120" s="1720"/>
      <c r="B120" s="1720"/>
      <c r="C120" s="1720"/>
      <c r="D120" s="1720"/>
      <c r="E120" s="1720"/>
      <c r="F120" s="1720"/>
      <c r="G120" s="1720"/>
      <c r="H120" s="1720"/>
      <c r="I120" s="1720"/>
      <c r="J120" s="1720"/>
      <c r="K120" s="1720"/>
      <c r="L120" s="1720"/>
      <c r="M120" s="1720"/>
      <c r="N120" s="1720"/>
      <c r="O120" s="1720"/>
      <c r="P120" s="1720"/>
      <c r="Q120" s="1720"/>
    </row>
    <row r="121" spans="1:17" ht="24.95" customHeight="1">
      <c r="A121" s="1720"/>
      <c r="B121" s="1720"/>
      <c r="C121" s="1720"/>
      <c r="D121" s="1720"/>
      <c r="E121" s="1720"/>
      <c r="F121" s="1720"/>
      <c r="G121" s="1720"/>
      <c r="H121" s="1720"/>
      <c r="I121" s="1720"/>
      <c r="J121" s="1720"/>
      <c r="K121" s="1720"/>
      <c r="L121" s="1720"/>
      <c r="M121" s="1720"/>
      <c r="N121" s="1720"/>
      <c r="O121" s="1720"/>
      <c r="P121" s="1720"/>
      <c r="Q121" s="1720"/>
    </row>
    <row r="122" spans="1:17" ht="24.95" customHeight="1">
      <c r="A122" s="1720"/>
      <c r="B122" s="1720"/>
      <c r="C122" s="1720"/>
      <c r="D122" s="1720"/>
      <c r="E122" s="1720"/>
      <c r="F122" s="1720"/>
      <c r="G122" s="1720"/>
      <c r="H122" s="1720"/>
      <c r="I122" s="1720"/>
      <c r="J122" s="1720"/>
      <c r="K122" s="1720"/>
      <c r="L122" s="1720"/>
      <c r="M122" s="1720"/>
      <c r="N122" s="1720"/>
      <c r="O122" s="1720"/>
      <c r="P122" s="1720"/>
      <c r="Q122" s="1720"/>
    </row>
    <row r="123" spans="1:17" ht="24.95" customHeight="1">
      <c r="A123" s="1720"/>
      <c r="B123" s="1720"/>
      <c r="C123" s="1720"/>
      <c r="D123" s="1720"/>
      <c r="E123" s="1720"/>
      <c r="F123" s="1720"/>
      <c r="G123" s="1720"/>
      <c r="H123" s="1720"/>
      <c r="I123" s="1720"/>
      <c r="J123" s="1720"/>
      <c r="K123" s="1720"/>
      <c r="L123" s="1720"/>
      <c r="M123" s="1720"/>
      <c r="N123" s="1720"/>
      <c r="O123" s="1720"/>
      <c r="P123" s="1720"/>
      <c r="Q123" s="1720"/>
    </row>
    <row r="124" spans="1:17" ht="24.95" customHeight="1">
      <c r="A124" s="1720"/>
      <c r="B124" s="1720"/>
      <c r="C124" s="1720"/>
      <c r="D124" s="1720"/>
      <c r="E124" s="1720"/>
      <c r="F124" s="1720"/>
      <c r="G124" s="1720"/>
      <c r="H124" s="1720"/>
      <c r="I124" s="1720"/>
      <c r="J124" s="1720"/>
      <c r="K124" s="1720"/>
      <c r="L124" s="1720"/>
      <c r="M124" s="1720"/>
      <c r="N124" s="1720"/>
      <c r="O124" s="1720"/>
      <c r="P124" s="1720"/>
      <c r="Q124" s="1720"/>
    </row>
    <row r="125" spans="1:17" ht="24.95" customHeight="1">
      <c r="A125" s="1720"/>
      <c r="B125" s="1720"/>
      <c r="C125" s="1720"/>
      <c r="D125" s="1720"/>
      <c r="E125" s="1720"/>
      <c r="F125" s="1720"/>
      <c r="G125" s="1720"/>
      <c r="H125" s="1720"/>
      <c r="I125" s="1720"/>
      <c r="J125" s="1720"/>
      <c r="K125" s="1720"/>
      <c r="L125" s="1720"/>
      <c r="M125" s="1720"/>
      <c r="N125" s="1720"/>
      <c r="O125" s="1720"/>
      <c r="P125" s="1720"/>
      <c r="Q125" s="1720"/>
    </row>
    <row r="126" spans="1:17" ht="24.95" customHeight="1">
      <c r="A126" s="1720"/>
      <c r="B126" s="1720"/>
      <c r="C126" s="1720"/>
      <c r="D126" s="1720"/>
      <c r="E126" s="1720"/>
      <c r="F126" s="1720"/>
      <c r="G126" s="1720"/>
      <c r="H126" s="1720"/>
      <c r="I126" s="1720"/>
      <c r="J126" s="1720"/>
      <c r="K126" s="1720"/>
      <c r="L126" s="1720"/>
      <c r="M126" s="1720"/>
      <c r="N126" s="1720"/>
      <c r="O126" s="1720"/>
      <c r="P126" s="1720"/>
      <c r="Q126" s="1720"/>
    </row>
    <row r="127" spans="1:17" ht="24.95" customHeight="1">
      <c r="A127" s="1720"/>
      <c r="B127" s="1720"/>
      <c r="C127" s="1720"/>
      <c r="D127" s="1720"/>
      <c r="E127" s="1720"/>
      <c r="F127" s="1720"/>
      <c r="G127" s="1720"/>
      <c r="H127" s="1720"/>
      <c r="I127" s="1720"/>
      <c r="J127" s="1720"/>
      <c r="K127" s="1720"/>
      <c r="L127" s="1720"/>
      <c r="M127" s="1720"/>
      <c r="N127" s="1720"/>
      <c r="O127" s="1720"/>
      <c r="P127" s="1720"/>
      <c r="Q127" s="1720"/>
    </row>
    <row r="128" spans="1:17" ht="24.95" customHeight="1">
      <c r="A128" s="1720"/>
      <c r="B128" s="1720"/>
      <c r="C128" s="1720"/>
      <c r="D128" s="1720"/>
      <c r="E128" s="1720"/>
      <c r="F128" s="1720"/>
      <c r="G128" s="1720"/>
      <c r="H128" s="1720"/>
      <c r="I128" s="1720"/>
      <c r="J128" s="1720"/>
      <c r="K128" s="1720"/>
      <c r="L128" s="1720"/>
      <c r="M128" s="1720"/>
      <c r="N128" s="1720"/>
      <c r="O128" s="1720"/>
      <c r="P128" s="1720"/>
      <c r="Q128" s="1720"/>
    </row>
    <row r="129" spans="1:17" ht="24.95" customHeight="1">
      <c r="A129" s="1720"/>
      <c r="B129" s="1720"/>
      <c r="C129" s="1720"/>
      <c r="D129" s="1720"/>
      <c r="E129" s="1720"/>
      <c r="F129" s="1720"/>
      <c r="G129" s="1720"/>
      <c r="H129" s="1720"/>
      <c r="I129" s="1720"/>
      <c r="J129" s="1720"/>
      <c r="K129" s="1720"/>
      <c r="L129" s="1720"/>
      <c r="M129" s="1720"/>
      <c r="N129" s="1720"/>
      <c r="O129" s="1720"/>
      <c r="P129" s="1720"/>
      <c r="Q129" s="1720"/>
    </row>
    <row r="130" spans="1:17" ht="24.95" customHeight="1">
      <c r="A130" s="1720"/>
      <c r="B130" s="1720"/>
      <c r="C130" s="1720"/>
      <c r="D130" s="1720"/>
      <c r="E130" s="1720"/>
      <c r="F130" s="1720"/>
      <c r="G130" s="1720"/>
      <c r="H130" s="1720"/>
      <c r="I130" s="1720"/>
      <c r="J130" s="1720"/>
      <c r="K130" s="1720"/>
      <c r="L130" s="1720"/>
      <c r="M130" s="1720"/>
      <c r="N130" s="1720"/>
      <c r="O130" s="1720"/>
      <c r="P130" s="1720"/>
      <c r="Q130" s="1720"/>
    </row>
    <row r="131" spans="1:17" ht="24.95" customHeight="1">
      <c r="A131" s="1720"/>
      <c r="B131" s="1720"/>
      <c r="C131" s="1720"/>
      <c r="D131" s="1720"/>
      <c r="E131" s="1720"/>
      <c r="F131" s="1720"/>
      <c r="G131" s="1720"/>
      <c r="H131" s="1720"/>
      <c r="I131" s="1720"/>
      <c r="J131" s="1720"/>
      <c r="K131" s="1720"/>
      <c r="L131" s="1720"/>
      <c r="M131" s="1720"/>
      <c r="N131" s="1720"/>
      <c r="O131" s="1720"/>
      <c r="P131" s="1720"/>
      <c r="Q131" s="1720"/>
    </row>
    <row r="132" spans="1:17" ht="24.95" customHeight="1">
      <c r="A132" s="1720"/>
      <c r="B132" s="1720"/>
      <c r="C132" s="1720"/>
      <c r="D132" s="1720"/>
      <c r="E132" s="1720"/>
      <c r="F132" s="1720"/>
      <c r="G132" s="1720"/>
      <c r="H132" s="1720"/>
      <c r="I132" s="1720"/>
      <c r="J132" s="1720"/>
      <c r="K132" s="1720"/>
      <c r="L132" s="1720"/>
      <c r="M132" s="1720"/>
      <c r="N132" s="1720"/>
      <c r="O132" s="1720"/>
      <c r="P132" s="1720"/>
      <c r="Q132" s="1720"/>
    </row>
    <row r="133" spans="1:17" ht="24.95" customHeight="1">
      <c r="A133" s="1720"/>
      <c r="B133" s="1720"/>
      <c r="C133" s="1720"/>
      <c r="D133" s="1720"/>
      <c r="E133" s="1720"/>
      <c r="F133" s="1720"/>
      <c r="G133" s="1720"/>
      <c r="H133" s="1720"/>
      <c r="I133" s="1720"/>
      <c r="J133" s="1720"/>
      <c r="K133" s="1720"/>
      <c r="L133" s="1720"/>
      <c r="M133" s="1720"/>
      <c r="N133" s="1720"/>
      <c r="O133" s="1720"/>
      <c r="P133" s="1720"/>
      <c r="Q133" s="1720"/>
    </row>
    <row r="134" spans="1:17" ht="24.95" customHeight="1">
      <c r="A134" s="1720"/>
      <c r="B134" s="1720"/>
      <c r="C134" s="1720"/>
      <c r="D134" s="1720"/>
      <c r="E134" s="1720"/>
      <c r="F134" s="1720"/>
      <c r="G134" s="1720"/>
      <c r="H134" s="1720"/>
      <c r="I134" s="1720"/>
      <c r="J134" s="1720"/>
      <c r="K134" s="1720"/>
      <c r="L134" s="1720"/>
      <c r="M134" s="1720"/>
      <c r="N134" s="1720"/>
      <c r="O134" s="1720"/>
      <c r="P134" s="1720"/>
      <c r="Q134" s="1720"/>
    </row>
    <row r="135" spans="1:17" ht="24.95" customHeight="1">
      <c r="A135" s="1720"/>
      <c r="B135" s="1720"/>
      <c r="C135" s="1720"/>
      <c r="D135" s="1720"/>
      <c r="E135" s="1720"/>
      <c r="F135" s="1720"/>
      <c r="G135" s="1720"/>
      <c r="H135" s="1720"/>
      <c r="I135" s="1720"/>
      <c r="J135" s="1720"/>
      <c r="K135" s="1720"/>
      <c r="L135" s="1720"/>
      <c r="M135" s="1720"/>
      <c r="N135" s="1720"/>
      <c r="O135" s="1720"/>
      <c r="P135" s="1720"/>
      <c r="Q135" s="1720"/>
    </row>
    <row r="136" spans="1:17" ht="24.95" customHeight="1">
      <c r="A136" s="1720"/>
      <c r="B136" s="1720"/>
      <c r="C136" s="1720"/>
      <c r="D136" s="1720"/>
      <c r="E136" s="1720"/>
      <c r="F136" s="1720"/>
      <c r="G136" s="1720"/>
      <c r="H136" s="1720"/>
      <c r="I136" s="1720"/>
      <c r="J136" s="1720"/>
      <c r="K136" s="1720"/>
      <c r="L136" s="1720"/>
      <c r="M136" s="1720"/>
      <c r="N136" s="1720"/>
      <c r="O136" s="1720"/>
      <c r="P136" s="1720"/>
      <c r="Q136" s="1720"/>
    </row>
    <row r="137" spans="1:17" ht="24.95" customHeight="1">
      <c r="A137" s="1720"/>
      <c r="B137" s="1720"/>
      <c r="C137" s="1720"/>
      <c r="D137" s="1720"/>
      <c r="E137" s="1720"/>
      <c r="F137" s="1720"/>
      <c r="G137" s="1720"/>
      <c r="H137" s="1720"/>
      <c r="I137" s="1720"/>
      <c r="J137" s="1720"/>
      <c r="K137" s="1720"/>
      <c r="L137" s="1720"/>
      <c r="M137" s="1720"/>
      <c r="N137" s="1720"/>
      <c r="O137" s="1720"/>
      <c r="P137" s="1720"/>
      <c r="Q137" s="1720"/>
    </row>
    <row r="138" spans="1:17" ht="24.95" customHeight="1">
      <c r="A138" s="1720"/>
      <c r="B138" s="1720"/>
      <c r="C138" s="1720"/>
      <c r="D138" s="1720"/>
      <c r="E138" s="1720"/>
      <c r="F138" s="1720"/>
      <c r="G138" s="1720"/>
      <c r="H138" s="1720"/>
      <c r="I138" s="1720"/>
      <c r="J138" s="1720"/>
      <c r="K138" s="1720"/>
      <c r="L138" s="1720"/>
      <c r="M138" s="1720"/>
      <c r="N138" s="1720"/>
      <c r="O138" s="1720"/>
      <c r="P138" s="1720"/>
      <c r="Q138" s="1720"/>
    </row>
    <row r="139" spans="1:17" ht="24.95" customHeight="1">
      <c r="A139" s="1720"/>
      <c r="B139" s="1720"/>
      <c r="C139" s="1720"/>
      <c r="D139" s="1720"/>
      <c r="E139" s="1720"/>
      <c r="F139" s="1720"/>
      <c r="G139" s="1720"/>
      <c r="H139" s="1720"/>
      <c r="I139" s="1720"/>
      <c r="J139" s="1720"/>
      <c r="K139" s="1720"/>
      <c r="L139" s="1720"/>
      <c r="M139" s="1720"/>
      <c r="N139" s="1720"/>
      <c r="O139" s="1720"/>
      <c r="P139" s="1720"/>
      <c r="Q139" s="1720"/>
    </row>
    <row r="140" spans="1:17" ht="24.95" customHeight="1">
      <c r="A140" s="1720"/>
      <c r="B140" s="1720"/>
      <c r="C140" s="1720"/>
      <c r="D140" s="1720"/>
      <c r="E140" s="1720"/>
      <c r="F140" s="1720"/>
      <c r="G140" s="1720"/>
      <c r="H140" s="1720"/>
      <c r="I140" s="1720"/>
      <c r="J140" s="1720"/>
      <c r="K140" s="1720"/>
      <c r="L140" s="1720"/>
      <c r="M140" s="1720"/>
      <c r="N140" s="1720"/>
      <c r="O140" s="1720"/>
      <c r="P140" s="1720"/>
      <c r="Q140" s="1720"/>
    </row>
    <row r="141" spans="1:17" ht="24.95" customHeight="1">
      <c r="A141" s="1720"/>
      <c r="B141" s="1720"/>
      <c r="C141" s="1720"/>
      <c r="D141" s="1720"/>
      <c r="E141" s="1720"/>
      <c r="F141" s="1720"/>
      <c r="G141" s="1720"/>
      <c r="H141" s="1720"/>
      <c r="I141" s="1720"/>
      <c r="J141" s="1720"/>
      <c r="K141" s="1720"/>
      <c r="L141" s="1720"/>
      <c r="M141" s="1720"/>
      <c r="N141" s="1720"/>
      <c r="O141" s="1720"/>
      <c r="P141" s="1720"/>
      <c r="Q141" s="1720"/>
    </row>
    <row r="142" spans="1:17" ht="24.95" customHeight="1">
      <c r="A142" s="1720"/>
      <c r="B142" s="1720"/>
      <c r="C142" s="1720"/>
      <c r="D142" s="1720"/>
      <c r="E142" s="1720"/>
      <c r="F142" s="1720"/>
      <c r="G142" s="1720"/>
      <c r="H142" s="1720"/>
      <c r="I142" s="1720"/>
      <c r="J142" s="1720"/>
      <c r="K142" s="1720"/>
      <c r="L142" s="1720"/>
      <c r="M142" s="1720"/>
      <c r="N142" s="1720"/>
      <c r="O142" s="1720"/>
      <c r="P142" s="1720"/>
      <c r="Q142" s="1720"/>
    </row>
    <row r="143" spans="1:17" ht="24.95" customHeight="1">
      <c r="A143" s="1720"/>
      <c r="B143" s="1720"/>
      <c r="C143" s="1720"/>
      <c r="D143" s="1720"/>
      <c r="E143" s="1720"/>
      <c r="F143" s="1720"/>
      <c r="G143" s="1720"/>
      <c r="H143" s="1720"/>
      <c r="I143" s="1720"/>
      <c r="J143" s="1720"/>
      <c r="K143" s="1720"/>
      <c r="L143" s="1720"/>
      <c r="M143" s="1720"/>
      <c r="N143" s="1720"/>
      <c r="O143" s="1720"/>
      <c r="P143" s="1720"/>
      <c r="Q143" s="1720"/>
    </row>
    <row r="144" spans="1:17" ht="24.95" customHeight="1">
      <c r="A144" s="1720"/>
      <c r="B144" s="1720"/>
      <c r="C144" s="1720"/>
      <c r="D144" s="1720"/>
      <c r="E144" s="1720"/>
      <c r="F144" s="1720"/>
      <c r="G144" s="1720"/>
      <c r="H144" s="1720"/>
      <c r="I144" s="1720"/>
      <c r="J144" s="1720"/>
      <c r="K144" s="1720"/>
      <c r="L144" s="1720"/>
      <c r="M144" s="1720"/>
      <c r="N144" s="1720"/>
      <c r="O144" s="1720"/>
      <c r="P144" s="1720"/>
      <c r="Q144" s="1720"/>
    </row>
    <row r="145" spans="1:17" ht="24.95" customHeight="1">
      <c r="A145" s="1720"/>
      <c r="B145" s="1720"/>
      <c r="C145" s="1720"/>
      <c r="D145" s="1720"/>
      <c r="E145" s="1720"/>
      <c r="F145" s="1720"/>
      <c r="G145" s="1720"/>
      <c r="H145" s="1720"/>
      <c r="I145" s="1720"/>
      <c r="J145" s="1720"/>
      <c r="K145" s="1720"/>
      <c r="L145" s="1720"/>
      <c r="M145" s="1720"/>
      <c r="N145" s="1720"/>
      <c r="O145" s="1720"/>
      <c r="P145" s="1720"/>
      <c r="Q145" s="1720"/>
    </row>
    <row r="146" spans="1:17" ht="24.95" customHeight="1">
      <c r="A146" s="1720"/>
      <c r="B146" s="1720"/>
      <c r="C146" s="1720"/>
      <c r="D146" s="1720"/>
      <c r="E146" s="1720"/>
      <c r="F146" s="1720"/>
      <c r="G146" s="1720"/>
      <c r="H146" s="1720"/>
      <c r="I146" s="1720"/>
      <c r="J146" s="1720"/>
      <c r="K146" s="1720"/>
      <c r="L146" s="1720"/>
      <c r="M146" s="1720"/>
      <c r="N146" s="1720"/>
      <c r="O146" s="1720"/>
      <c r="P146" s="1720"/>
      <c r="Q146" s="1720"/>
    </row>
    <row r="147" spans="1:17" ht="24.95" customHeight="1">
      <c r="A147" s="1720"/>
      <c r="B147" s="1720"/>
      <c r="C147" s="1720"/>
      <c r="D147" s="1720"/>
      <c r="E147" s="1720"/>
      <c r="F147" s="1720"/>
      <c r="G147" s="1720"/>
      <c r="H147" s="1720"/>
      <c r="I147" s="1720"/>
      <c r="J147" s="1720"/>
      <c r="K147" s="1720"/>
      <c r="L147" s="1720"/>
      <c r="M147" s="1720"/>
      <c r="N147" s="1720"/>
      <c r="O147" s="1720"/>
      <c r="P147" s="1720"/>
      <c r="Q147" s="1720"/>
    </row>
    <row r="148" spans="1:17" ht="24.95" customHeight="1">
      <c r="A148" s="1720"/>
      <c r="B148" s="1720"/>
      <c r="C148" s="1720"/>
      <c r="D148" s="1720"/>
      <c r="E148" s="1720"/>
      <c r="F148" s="1720"/>
      <c r="G148" s="1720"/>
      <c r="H148" s="1720"/>
      <c r="I148" s="1720"/>
      <c r="J148" s="1720"/>
      <c r="K148" s="1720"/>
      <c r="L148" s="1720"/>
      <c r="M148" s="1720"/>
      <c r="N148" s="1720"/>
      <c r="O148" s="1720"/>
      <c r="P148" s="1720"/>
      <c r="Q148" s="1720"/>
    </row>
    <row r="149" spans="1:17" ht="24.95" customHeight="1">
      <c r="A149" s="1720"/>
      <c r="B149" s="1720"/>
      <c r="C149" s="1720"/>
      <c r="D149" s="1720"/>
      <c r="E149" s="1720"/>
      <c r="F149" s="1720"/>
      <c r="G149" s="1720"/>
      <c r="H149" s="1720"/>
      <c r="I149" s="1720"/>
      <c r="J149" s="1720"/>
      <c r="K149" s="1720"/>
      <c r="L149" s="1720"/>
      <c r="M149" s="1720"/>
      <c r="N149" s="1720"/>
      <c r="O149" s="1720"/>
      <c r="P149" s="1720"/>
      <c r="Q149" s="1720"/>
    </row>
    <row r="150" spans="1:17" ht="24.95" customHeight="1">
      <c r="A150" s="1720"/>
      <c r="B150" s="1720"/>
      <c r="C150" s="1720"/>
      <c r="D150" s="1720"/>
      <c r="E150" s="1720"/>
      <c r="F150" s="1720"/>
      <c r="G150" s="1720"/>
      <c r="H150" s="1720"/>
      <c r="I150" s="1720"/>
      <c r="J150" s="1720"/>
      <c r="K150" s="1720"/>
      <c r="L150" s="1720"/>
      <c r="M150" s="1720"/>
      <c r="N150" s="1720"/>
      <c r="O150" s="1720"/>
      <c r="P150" s="1720"/>
      <c r="Q150" s="1720"/>
    </row>
    <row r="151" spans="1:17" ht="24.95" customHeight="1">
      <c r="A151" s="1720"/>
      <c r="B151" s="1720"/>
      <c r="C151" s="1720"/>
      <c r="D151" s="1720"/>
      <c r="E151" s="1720"/>
      <c r="F151" s="1720"/>
      <c r="G151" s="1720"/>
      <c r="H151" s="1720"/>
      <c r="I151" s="1720"/>
      <c r="J151" s="1720"/>
      <c r="K151" s="1720"/>
      <c r="L151" s="1720"/>
      <c r="M151" s="1720"/>
      <c r="N151" s="1720"/>
      <c r="O151" s="1720"/>
      <c r="P151" s="1720"/>
      <c r="Q151" s="1720"/>
    </row>
    <row r="152" spans="1:17" ht="24.95" customHeight="1">
      <c r="A152" s="1720"/>
      <c r="B152" s="1720"/>
      <c r="C152" s="1720"/>
      <c r="D152" s="1720"/>
      <c r="E152" s="1720"/>
      <c r="F152" s="1720"/>
      <c r="G152" s="1720"/>
      <c r="H152" s="1720"/>
      <c r="I152" s="1720"/>
      <c r="J152" s="1720"/>
      <c r="K152" s="1720"/>
      <c r="L152" s="1720"/>
      <c r="M152" s="1720"/>
      <c r="N152" s="1720"/>
      <c r="O152" s="1720"/>
      <c r="P152" s="1720"/>
      <c r="Q152" s="1720"/>
    </row>
    <row r="153" spans="1:17" ht="24.95" customHeight="1">
      <c r="A153" s="1720"/>
      <c r="B153" s="1720"/>
      <c r="C153" s="1720"/>
      <c r="D153" s="1720"/>
      <c r="E153" s="1720"/>
      <c r="F153" s="1720"/>
      <c r="G153" s="1720"/>
      <c r="H153" s="1720"/>
      <c r="I153" s="1720"/>
      <c r="J153" s="1720"/>
      <c r="K153" s="1720"/>
      <c r="L153" s="1720"/>
      <c r="M153" s="1720"/>
      <c r="N153" s="1720"/>
      <c r="O153" s="1720"/>
      <c r="P153" s="1720"/>
      <c r="Q153" s="1720"/>
    </row>
    <row r="154" spans="1:17" ht="24.95" customHeight="1">
      <c r="A154" s="1720"/>
      <c r="B154" s="1720"/>
      <c r="C154" s="1720"/>
      <c r="D154" s="1720"/>
      <c r="E154" s="1720"/>
      <c r="F154" s="1720"/>
      <c r="G154" s="1720"/>
      <c r="H154" s="1720"/>
      <c r="I154" s="1720"/>
      <c r="J154" s="1720"/>
      <c r="K154" s="1720"/>
      <c r="L154" s="1720"/>
      <c r="M154" s="1720"/>
      <c r="N154" s="1720"/>
      <c r="O154" s="1720"/>
      <c r="P154" s="1720"/>
      <c r="Q154" s="1720"/>
    </row>
    <row r="155" spans="1:17" ht="24.95" customHeight="1">
      <c r="A155" s="1720"/>
      <c r="B155" s="1720"/>
      <c r="C155" s="1720"/>
      <c r="D155" s="1720"/>
      <c r="E155" s="1720"/>
      <c r="F155" s="1720"/>
      <c r="G155" s="1720"/>
      <c r="H155" s="1720"/>
      <c r="I155" s="1720"/>
      <c r="J155" s="1720"/>
      <c r="K155" s="1720"/>
      <c r="L155" s="1720"/>
      <c r="M155" s="1720"/>
      <c r="N155" s="1720"/>
      <c r="O155" s="1720"/>
      <c r="P155" s="1720"/>
      <c r="Q155" s="1720"/>
    </row>
    <row r="156" spans="1:17" ht="24.95" customHeight="1">
      <c r="A156" s="1720"/>
      <c r="B156" s="1720"/>
      <c r="C156" s="1720"/>
      <c r="D156" s="1720"/>
      <c r="E156" s="1720"/>
      <c r="F156" s="1720"/>
      <c r="G156" s="1720"/>
      <c r="H156" s="1720"/>
      <c r="I156" s="1720"/>
      <c r="J156" s="1720"/>
      <c r="K156" s="1720"/>
      <c r="L156" s="1720"/>
      <c r="M156" s="1720"/>
      <c r="N156" s="1720"/>
      <c r="O156" s="1720"/>
      <c r="P156" s="1720"/>
      <c r="Q156" s="1720"/>
    </row>
    <row r="157" spans="1:17" ht="24.95" customHeight="1">
      <c r="A157" s="1720"/>
      <c r="B157" s="1720"/>
      <c r="C157" s="1720"/>
      <c r="D157" s="1720"/>
      <c r="E157" s="1720"/>
      <c r="F157" s="1720"/>
      <c r="G157" s="1720"/>
      <c r="H157" s="1720"/>
      <c r="I157" s="1720"/>
      <c r="J157" s="1720"/>
      <c r="K157" s="1720"/>
      <c r="L157" s="1720"/>
      <c r="M157" s="1720"/>
      <c r="N157" s="1720"/>
      <c r="O157" s="1720"/>
      <c r="P157" s="1720"/>
      <c r="Q157" s="1720"/>
    </row>
    <row r="158" spans="1:17" ht="24.95" customHeight="1">
      <c r="A158" s="1720"/>
      <c r="B158" s="1720"/>
      <c r="C158" s="1720"/>
      <c r="D158" s="1720"/>
      <c r="E158" s="1720"/>
      <c r="F158" s="1720"/>
      <c r="G158" s="1720"/>
      <c r="H158" s="1720"/>
      <c r="I158" s="1720"/>
      <c r="J158" s="1720"/>
      <c r="K158" s="1720"/>
      <c r="L158" s="1720"/>
      <c r="M158" s="1720"/>
      <c r="N158" s="1720"/>
      <c r="O158" s="1720"/>
      <c r="P158" s="1720"/>
      <c r="Q158" s="1720"/>
    </row>
    <row r="159" spans="1:17" ht="24.95" customHeight="1">
      <c r="A159" s="1720"/>
      <c r="B159" s="1720"/>
      <c r="C159" s="1720"/>
      <c r="D159" s="1720"/>
      <c r="E159" s="1720"/>
      <c r="F159" s="1720"/>
      <c r="G159" s="1720"/>
      <c r="H159" s="1720"/>
      <c r="I159" s="1720"/>
      <c r="J159" s="1720"/>
      <c r="K159" s="1720"/>
      <c r="L159" s="1720"/>
      <c r="M159" s="1720"/>
      <c r="N159" s="1720"/>
      <c r="O159" s="1720"/>
      <c r="P159" s="1720"/>
      <c r="Q159" s="1720"/>
    </row>
    <row r="160" spans="1:17" ht="24.95" customHeight="1">
      <c r="A160" s="1720"/>
      <c r="B160" s="1720"/>
      <c r="C160" s="1720"/>
      <c r="D160" s="1720"/>
      <c r="E160" s="1720"/>
      <c r="F160" s="1720"/>
      <c r="G160" s="1720"/>
      <c r="H160" s="1720"/>
      <c r="I160" s="1720"/>
      <c r="J160" s="1720"/>
      <c r="K160" s="1720"/>
      <c r="L160" s="1720"/>
      <c r="M160" s="1720"/>
      <c r="N160" s="1720"/>
      <c r="O160" s="1720"/>
      <c r="P160" s="1720"/>
      <c r="Q160" s="1720"/>
    </row>
    <row r="161" spans="1:17" ht="24.95" customHeight="1">
      <c r="A161" s="1720"/>
      <c r="B161" s="1720"/>
      <c r="C161" s="1720"/>
      <c r="D161" s="1720"/>
      <c r="E161" s="1720"/>
      <c r="F161" s="1720"/>
      <c r="G161" s="1720"/>
      <c r="H161" s="1720"/>
      <c r="I161" s="1720"/>
      <c r="J161" s="1720"/>
      <c r="K161" s="1720"/>
      <c r="L161" s="1720"/>
      <c r="M161" s="1720"/>
      <c r="N161" s="1720"/>
      <c r="O161" s="1720"/>
      <c r="P161" s="1720"/>
      <c r="Q161" s="1720"/>
    </row>
    <row r="162" spans="1:17" ht="24.95" customHeight="1">
      <c r="A162" s="1720"/>
      <c r="B162" s="1720"/>
      <c r="C162" s="1720"/>
      <c r="D162" s="1720"/>
      <c r="E162" s="1720"/>
      <c r="F162" s="1720"/>
      <c r="G162" s="1720"/>
      <c r="H162" s="1720"/>
      <c r="I162" s="1720"/>
      <c r="J162" s="1720"/>
      <c r="K162" s="1720"/>
      <c r="L162" s="1720"/>
      <c r="M162" s="1720"/>
      <c r="N162" s="1720"/>
      <c r="O162" s="1720"/>
      <c r="P162" s="1720"/>
      <c r="Q162" s="1720"/>
    </row>
    <row r="163" spans="1:17" ht="24.95" customHeight="1">
      <c r="A163" s="1720"/>
      <c r="B163" s="1720"/>
      <c r="C163" s="1720"/>
      <c r="D163" s="1720"/>
      <c r="E163" s="1720"/>
      <c r="F163" s="1720"/>
      <c r="G163" s="1720"/>
      <c r="H163" s="1720"/>
      <c r="I163" s="1720"/>
      <c r="J163" s="1720"/>
      <c r="K163" s="1720"/>
      <c r="L163" s="1720"/>
      <c r="M163" s="1720"/>
      <c r="N163" s="1720"/>
      <c r="O163" s="1720"/>
      <c r="P163" s="1720"/>
      <c r="Q163" s="1720"/>
    </row>
    <row r="164" spans="1:17" ht="24.95" customHeight="1">
      <c r="A164" s="1720"/>
      <c r="B164" s="1720"/>
      <c r="C164" s="1720"/>
      <c r="D164" s="1720"/>
      <c r="E164" s="1720"/>
      <c r="F164" s="1720"/>
      <c r="G164" s="1720"/>
      <c r="H164" s="1720"/>
      <c r="I164" s="1720"/>
      <c r="J164" s="1720"/>
      <c r="K164" s="1720"/>
      <c r="L164" s="1720"/>
      <c r="M164" s="1720"/>
      <c r="N164" s="1720"/>
      <c r="O164" s="1720"/>
      <c r="P164" s="1720"/>
      <c r="Q164" s="1720"/>
    </row>
    <row r="165" spans="1:17" ht="24.95" customHeight="1">
      <c r="A165" s="1720"/>
      <c r="B165" s="1720"/>
      <c r="C165" s="1720"/>
      <c r="D165" s="1720"/>
      <c r="E165" s="1720"/>
      <c r="F165" s="1720"/>
      <c r="G165" s="1720"/>
      <c r="H165" s="1720"/>
      <c r="I165" s="1720"/>
      <c r="J165" s="1720"/>
      <c r="K165" s="1720"/>
      <c r="L165" s="1720"/>
      <c r="M165" s="1720"/>
      <c r="N165" s="1720"/>
      <c r="O165" s="1720"/>
      <c r="P165" s="1720"/>
      <c r="Q165" s="1720"/>
    </row>
    <row r="166" spans="1:17" ht="24.95" customHeight="1">
      <c r="A166" s="1720"/>
      <c r="B166" s="1720"/>
      <c r="C166" s="1720"/>
      <c r="D166" s="1720"/>
      <c r="E166" s="1720"/>
      <c r="F166" s="1720"/>
      <c r="G166" s="1720"/>
      <c r="H166" s="1720"/>
      <c r="I166" s="1720"/>
      <c r="J166" s="1720"/>
      <c r="K166" s="1720"/>
      <c r="L166" s="1720"/>
      <c r="M166" s="1720"/>
      <c r="N166" s="1720"/>
      <c r="O166" s="1720"/>
      <c r="P166" s="1720"/>
      <c r="Q166" s="1720"/>
    </row>
    <row r="167" spans="1:17" ht="24.95" customHeight="1">
      <c r="A167" s="1720"/>
      <c r="B167" s="1720"/>
      <c r="C167" s="1720"/>
      <c r="D167" s="1720"/>
      <c r="E167" s="1720"/>
      <c r="F167" s="1720"/>
      <c r="G167" s="1720"/>
      <c r="H167" s="1720"/>
      <c r="I167" s="1720"/>
      <c r="J167" s="1720"/>
      <c r="K167" s="1720"/>
      <c r="L167" s="1720"/>
      <c r="M167" s="1720"/>
      <c r="N167" s="1720"/>
      <c r="O167" s="1720"/>
      <c r="P167" s="1720"/>
      <c r="Q167" s="1720"/>
    </row>
    <row r="168" spans="1:17" ht="24.95" customHeight="1">
      <c r="A168" s="1720"/>
      <c r="B168" s="1720"/>
      <c r="C168" s="1720"/>
      <c r="D168" s="1720"/>
      <c r="E168" s="1720"/>
      <c r="F168" s="1720"/>
      <c r="G168" s="1720"/>
      <c r="H168" s="1720"/>
      <c r="I168" s="1720"/>
      <c r="J168" s="1720"/>
      <c r="K168" s="1720"/>
      <c r="L168" s="1720"/>
      <c r="M168" s="1720"/>
      <c r="N168" s="1720"/>
      <c r="O168" s="1720"/>
      <c r="P168" s="1720"/>
      <c r="Q168" s="1720"/>
    </row>
    <row r="169" spans="1:17" ht="24.95" customHeight="1">
      <c r="A169" s="1720"/>
      <c r="B169" s="1720"/>
      <c r="C169" s="1720"/>
      <c r="D169" s="1720"/>
      <c r="E169" s="1720"/>
      <c r="F169" s="1720"/>
      <c r="G169" s="1720"/>
      <c r="H169" s="1720"/>
      <c r="I169" s="1720"/>
      <c r="J169" s="1720"/>
      <c r="K169" s="1720"/>
      <c r="L169" s="1720"/>
      <c r="M169" s="1720"/>
      <c r="N169" s="1720"/>
      <c r="O169" s="1720"/>
      <c r="P169" s="1720"/>
      <c r="Q169" s="1720"/>
    </row>
    <row r="170" spans="1:17" ht="24.95" customHeight="1">
      <c r="A170" s="1720"/>
      <c r="B170" s="1720"/>
      <c r="C170" s="1720"/>
      <c r="D170" s="1720"/>
      <c r="E170" s="1720"/>
      <c r="F170" s="1720"/>
      <c r="G170" s="1720"/>
      <c r="H170" s="1720"/>
      <c r="I170" s="1720"/>
      <c r="J170" s="1720"/>
      <c r="K170" s="1720"/>
      <c r="L170" s="1720"/>
      <c r="M170" s="1720"/>
      <c r="N170" s="1720"/>
      <c r="O170" s="1720"/>
      <c r="P170" s="1720"/>
      <c r="Q170" s="1720"/>
    </row>
    <row r="171" spans="1:17" ht="24.95" customHeight="1">
      <c r="A171" s="1720"/>
      <c r="B171" s="1720"/>
      <c r="C171" s="1720"/>
      <c r="D171" s="1720"/>
      <c r="E171" s="1720"/>
      <c r="F171" s="1720"/>
      <c r="G171" s="1720"/>
      <c r="H171" s="1720"/>
      <c r="I171" s="1720"/>
      <c r="J171" s="1720"/>
      <c r="K171" s="1720"/>
      <c r="L171" s="1720"/>
      <c r="M171" s="1720"/>
      <c r="N171" s="1720"/>
      <c r="O171" s="1720"/>
      <c r="P171" s="1720"/>
      <c r="Q171" s="1720"/>
    </row>
    <row r="172" spans="1:17" ht="24.95" customHeight="1">
      <c r="A172" s="1720"/>
      <c r="B172" s="1720"/>
      <c r="C172" s="1720"/>
      <c r="D172" s="1720"/>
      <c r="E172" s="1720"/>
      <c r="F172" s="1720"/>
      <c r="G172" s="1720"/>
      <c r="H172" s="1720"/>
      <c r="I172" s="1720"/>
      <c r="J172" s="1720"/>
      <c r="K172" s="1720"/>
      <c r="L172" s="1720"/>
      <c r="M172" s="1720"/>
      <c r="N172" s="1720"/>
      <c r="O172" s="1720"/>
      <c r="P172" s="1720"/>
      <c r="Q172" s="1720"/>
    </row>
    <row r="173" spans="1:17" ht="24.95" customHeight="1">
      <c r="A173" s="1720"/>
      <c r="B173" s="1720"/>
      <c r="C173" s="1720"/>
      <c r="D173" s="1720"/>
      <c r="E173" s="1720"/>
      <c r="F173" s="1720"/>
      <c r="G173" s="1720"/>
      <c r="H173" s="1720"/>
      <c r="I173" s="1720"/>
      <c r="J173" s="1720"/>
      <c r="K173" s="1720"/>
      <c r="L173" s="1720"/>
      <c r="M173" s="1720"/>
      <c r="N173" s="1720"/>
      <c r="O173" s="1720"/>
      <c r="P173" s="1720"/>
      <c r="Q173" s="1720"/>
    </row>
    <row r="174" spans="1:17" ht="24.95" customHeight="1">
      <c r="A174" s="1720"/>
      <c r="B174" s="1720"/>
      <c r="C174" s="1720"/>
      <c r="D174" s="1720"/>
      <c r="E174" s="1720"/>
      <c r="F174" s="1720"/>
      <c r="G174" s="1720"/>
      <c r="H174" s="1720"/>
      <c r="I174" s="1720"/>
      <c r="J174" s="1720"/>
      <c r="K174" s="1720"/>
      <c r="L174" s="1720"/>
      <c r="M174" s="1720"/>
      <c r="N174" s="1720"/>
      <c r="O174" s="1720"/>
      <c r="P174" s="1720"/>
      <c r="Q174" s="1720"/>
    </row>
    <row r="175" spans="1:17" ht="24.95" customHeight="1">
      <c r="A175" s="1720"/>
      <c r="B175" s="1720"/>
      <c r="C175" s="1720"/>
      <c r="D175" s="1720"/>
      <c r="E175" s="1720"/>
      <c r="F175" s="1720"/>
      <c r="G175" s="1720"/>
      <c r="H175" s="1720"/>
      <c r="I175" s="1720"/>
      <c r="J175" s="1720"/>
      <c r="K175" s="1720"/>
      <c r="L175" s="1720"/>
      <c r="M175" s="1720"/>
      <c r="N175" s="1720"/>
      <c r="O175" s="1720"/>
      <c r="P175" s="1720"/>
      <c r="Q175" s="1720"/>
    </row>
    <row r="176" spans="1:17" ht="24.95" customHeight="1">
      <c r="A176" s="1720"/>
      <c r="B176" s="1720"/>
      <c r="C176" s="1720"/>
      <c r="D176" s="1720"/>
      <c r="E176" s="1720"/>
      <c r="F176" s="1720"/>
      <c r="G176" s="1720"/>
      <c r="H176" s="1720"/>
      <c r="I176" s="1720"/>
      <c r="J176" s="1720"/>
      <c r="K176" s="1720"/>
      <c r="L176" s="1720"/>
      <c r="M176" s="1720"/>
      <c r="N176" s="1720"/>
      <c r="O176" s="1720"/>
      <c r="P176" s="1720"/>
      <c r="Q176" s="1720"/>
    </row>
    <row r="177" spans="1:17" ht="24.95" customHeight="1">
      <c r="A177" s="1720"/>
      <c r="B177" s="1720"/>
      <c r="C177" s="1720"/>
      <c r="D177" s="1720"/>
      <c r="E177" s="1720"/>
      <c r="F177" s="1720"/>
      <c r="G177" s="1720"/>
      <c r="H177" s="1720"/>
      <c r="I177" s="1720"/>
      <c r="J177" s="1720"/>
      <c r="K177" s="1720"/>
      <c r="L177" s="1720"/>
      <c r="M177" s="1720"/>
      <c r="N177" s="1720"/>
      <c r="O177" s="1720"/>
      <c r="P177" s="1720"/>
      <c r="Q177" s="1720"/>
    </row>
    <row r="178" spans="1:17" ht="24.95" customHeight="1">
      <c r="A178" s="1720"/>
      <c r="B178" s="1720"/>
      <c r="C178" s="1720"/>
      <c r="D178" s="1720"/>
      <c r="E178" s="1720"/>
      <c r="F178" s="1720"/>
      <c r="G178" s="1720"/>
      <c r="H178" s="1720"/>
      <c r="I178" s="1720"/>
      <c r="J178" s="1720"/>
      <c r="K178" s="1720"/>
      <c r="L178" s="1720"/>
      <c r="M178" s="1720"/>
      <c r="N178" s="1720"/>
      <c r="O178" s="1720"/>
      <c r="P178" s="1720"/>
      <c r="Q178" s="1720"/>
    </row>
    <row r="179" spans="1:17" ht="24.95" customHeight="1">
      <c r="A179" s="1720"/>
      <c r="B179" s="1720"/>
      <c r="C179" s="1720"/>
      <c r="D179" s="1720"/>
      <c r="E179" s="1720"/>
      <c r="F179" s="1720"/>
      <c r="G179" s="1720"/>
      <c r="H179" s="1720"/>
      <c r="I179" s="1720"/>
      <c r="J179" s="1720"/>
      <c r="K179" s="1720"/>
      <c r="L179" s="1720"/>
      <c r="M179" s="1720"/>
      <c r="N179" s="1720"/>
      <c r="O179" s="1720"/>
      <c r="P179" s="1720"/>
      <c r="Q179" s="1720"/>
    </row>
    <row r="180" spans="1:17" ht="24.95" customHeight="1">
      <c r="A180" s="1720"/>
      <c r="B180" s="1720"/>
      <c r="C180" s="1720"/>
      <c r="D180" s="1720"/>
      <c r="E180" s="1720"/>
      <c r="F180" s="1720"/>
      <c r="G180" s="1720"/>
      <c r="H180" s="1720"/>
      <c r="I180" s="1720"/>
      <c r="J180" s="1720"/>
      <c r="K180" s="1720"/>
      <c r="L180" s="1720"/>
      <c r="M180" s="1720"/>
      <c r="N180" s="1720"/>
      <c r="O180" s="1720"/>
      <c r="P180" s="1720"/>
      <c r="Q180" s="1720"/>
    </row>
    <row r="181" spans="1:17" ht="24.95" customHeight="1">
      <c r="A181" s="1720"/>
      <c r="B181" s="1720"/>
      <c r="C181" s="1720"/>
      <c r="D181" s="1720"/>
      <c r="E181" s="1720"/>
      <c r="F181" s="1720"/>
      <c r="G181" s="1720"/>
      <c r="H181" s="1720"/>
      <c r="I181" s="1720"/>
      <c r="J181" s="1720"/>
      <c r="K181" s="1720"/>
      <c r="L181" s="1720"/>
      <c r="M181" s="1720"/>
      <c r="N181" s="1720"/>
      <c r="O181" s="1720"/>
      <c r="P181" s="1720"/>
      <c r="Q181" s="1720"/>
    </row>
    <row r="182" spans="1:17" ht="24.95" customHeight="1">
      <c r="A182" s="1720"/>
      <c r="B182" s="1720"/>
      <c r="C182" s="1720"/>
      <c r="D182" s="1720"/>
      <c r="E182" s="1720"/>
      <c r="F182" s="1720"/>
      <c r="G182" s="1720"/>
      <c r="H182" s="1720"/>
      <c r="I182" s="1720"/>
      <c r="J182" s="1720"/>
      <c r="K182" s="1720"/>
      <c r="L182" s="1720"/>
      <c r="M182" s="1720"/>
      <c r="N182" s="1720"/>
      <c r="O182" s="1720"/>
      <c r="P182" s="1720"/>
      <c r="Q182" s="1720"/>
    </row>
    <row r="183" spans="1:17" ht="24.95" customHeight="1">
      <c r="A183" s="1720"/>
      <c r="B183" s="1720"/>
      <c r="C183" s="1720"/>
      <c r="D183" s="1720"/>
      <c r="E183" s="1720"/>
      <c r="F183" s="1720"/>
      <c r="G183" s="1720"/>
      <c r="H183" s="1720"/>
      <c r="I183" s="1720"/>
      <c r="J183" s="1720"/>
      <c r="K183" s="1720"/>
      <c r="L183" s="1720"/>
      <c r="M183" s="1720"/>
      <c r="N183" s="1720"/>
      <c r="O183" s="1720"/>
      <c r="P183" s="1720"/>
      <c r="Q183" s="1720"/>
    </row>
    <row r="184" spans="1:17" ht="24.95" customHeight="1">
      <c r="A184" s="1720"/>
      <c r="B184" s="1720"/>
      <c r="C184" s="1720"/>
      <c r="D184" s="1720"/>
      <c r="E184" s="1720"/>
      <c r="F184" s="1720"/>
      <c r="G184" s="1720"/>
      <c r="H184" s="1720"/>
      <c r="I184" s="1720"/>
      <c r="J184" s="1720"/>
      <c r="K184" s="1720"/>
      <c r="L184" s="1720"/>
      <c r="M184" s="1720"/>
      <c r="N184" s="1720"/>
      <c r="O184" s="1720"/>
      <c r="P184" s="1720"/>
      <c r="Q184" s="1720"/>
    </row>
    <row r="185" spans="1:17" ht="24.95" customHeight="1">
      <c r="A185" s="1720"/>
      <c r="B185" s="1720"/>
      <c r="C185" s="1720"/>
      <c r="D185" s="1720"/>
      <c r="E185" s="1720"/>
      <c r="F185" s="1720"/>
      <c r="G185" s="1720"/>
      <c r="H185" s="1720"/>
      <c r="I185" s="1720"/>
      <c r="J185" s="1720"/>
      <c r="K185" s="1720"/>
      <c r="L185" s="1720"/>
      <c r="M185" s="1720"/>
      <c r="N185" s="1720"/>
      <c r="O185" s="1720"/>
      <c r="P185" s="1720"/>
      <c r="Q185" s="1720"/>
    </row>
    <row r="186" spans="1:17" ht="24.95" customHeight="1">
      <c r="A186" s="1720"/>
      <c r="B186" s="1720"/>
      <c r="C186" s="1720"/>
      <c r="D186" s="1720"/>
      <c r="E186" s="1720"/>
      <c r="F186" s="1720"/>
      <c r="G186" s="1720"/>
      <c r="H186" s="1720"/>
      <c r="I186" s="1720"/>
      <c r="J186" s="1720"/>
      <c r="K186" s="1720"/>
      <c r="L186" s="1720"/>
      <c r="M186" s="1720"/>
      <c r="N186" s="1720"/>
      <c r="O186" s="1720"/>
      <c r="P186" s="1720"/>
      <c r="Q186" s="1720"/>
    </row>
    <row r="187" spans="1:17" ht="24.95" customHeight="1">
      <c r="A187" s="1720"/>
      <c r="B187" s="1720"/>
      <c r="C187" s="1720"/>
      <c r="D187" s="1720"/>
      <c r="E187" s="1720"/>
      <c r="F187" s="1720"/>
      <c r="G187" s="1720"/>
      <c r="H187" s="1720"/>
      <c r="I187" s="1720"/>
      <c r="J187" s="1720"/>
      <c r="K187" s="1720"/>
      <c r="L187" s="1720"/>
      <c r="M187" s="1720"/>
      <c r="N187" s="1720"/>
      <c r="O187" s="1720"/>
      <c r="P187" s="1720"/>
      <c r="Q187" s="1720"/>
    </row>
    <row r="188" spans="1:17" ht="24.95" customHeight="1">
      <c r="A188" s="1720"/>
      <c r="B188" s="1720"/>
      <c r="C188" s="1720"/>
      <c r="D188" s="1720"/>
      <c r="E188" s="1720"/>
      <c r="F188" s="1720"/>
      <c r="G188" s="1720"/>
      <c r="H188" s="1720"/>
      <c r="I188" s="1720"/>
      <c r="J188" s="1720"/>
      <c r="K188" s="1720"/>
      <c r="L188" s="1720"/>
      <c r="M188" s="1720"/>
      <c r="N188" s="1720"/>
      <c r="O188" s="1720"/>
      <c r="P188" s="1720"/>
      <c r="Q188" s="1720"/>
    </row>
    <row r="189" spans="1:17" ht="24.95" customHeight="1">
      <c r="A189" s="1720"/>
      <c r="B189" s="1720"/>
      <c r="C189" s="1720"/>
      <c r="D189" s="1720"/>
      <c r="E189" s="1720"/>
      <c r="F189" s="1720"/>
      <c r="G189" s="1720"/>
      <c r="H189" s="1720"/>
      <c r="I189" s="1720"/>
      <c r="J189" s="1720"/>
      <c r="K189" s="1720"/>
      <c r="L189" s="1720"/>
      <c r="M189" s="1720"/>
      <c r="N189" s="1720"/>
      <c r="O189" s="1720"/>
      <c r="P189" s="1720"/>
      <c r="Q189" s="1720"/>
    </row>
    <row r="190" spans="1:17" ht="24.95" customHeight="1">
      <c r="A190" s="1720"/>
      <c r="B190" s="1720"/>
      <c r="C190" s="1720"/>
      <c r="D190" s="1720"/>
      <c r="E190" s="1720"/>
      <c r="F190" s="1720"/>
      <c r="G190" s="1720"/>
      <c r="H190" s="1720"/>
      <c r="I190" s="1720"/>
      <c r="J190" s="1720"/>
      <c r="K190" s="1720"/>
      <c r="L190" s="1720"/>
      <c r="M190" s="1720"/>
      <c r="N190" s="1720"/>
      <c r="O190" s="1720"/>
      <c r="P190" s="1720"/>
      <c r="Q190" s="1720"/>
    </row>
    <row r="191" spans="1:17" ht="24.95" customHeight="1">
      <c r="A191" s="1720"/>
      <c r="B191" s="1720"/>
      <c r="C191" s="1720"/>
      <c r="D191" s="1720"/>
      <c r="E191" s="1720"/>
      <c r="F191" s="1720"/>
      <c r="G191" s="1720"/>
      <c r="H191" s="1720"/>
      <c r="I191" s="1720"/>
      <c r="J191" s="1720"/>
      <c r="K191" s="1720"/>
      <c r="L191" s="1720"/>
      <c r="M191" s="1720"/>
      <c r="N191" s="1720"/>
      <c r="O191" s="1720"/>
      <c r="P191" s="1720"/>
      <c r="Q191" s="1720"/>
    </row>
    <row r="192" spans="1:17" ht="24.95" customHeight="1">
      <c r="A192" s="1720"/>
      <c r="B192" s="1720"/>
      <c r="C192" s="1720"/>
      <c r="D192" s="1720"/>
      <c r="E192" s="1720"/>
      <c r="F192" s="1720"/>
      <c r="G192" s="1720"/>
      <c r="H192" s="1720"/>
      <c r="I192" s="1720"/>
      <c r="J192" s="1720"/>
      <c r="K192" s="1720"/>
      <c r="L192" s="1720"/>
      <c r="M192" s="1720"/>
      <c r="N192" s="1720"/>
      <c r="O192" s="1720"/>
      <c r="P192" s="1720"/>
      <c r="Q192" s="1720"/>
    </row>
    <row r="193" spans="1:17" ht="24.95" customHeight="1">
      <c r="A193" s="1720"/>
      <c r="B193" s="1720"/>
      <c r="C193" s="1720"/>
      <c r="D193" s="1720"/>
      <c r="E193" s="1720"/>
      <c r="F193" s="1720"/>
      <c r="G193" s="1720"/>
      <c r="H193" s="1720"/>
      <c r="I193" s="1720"/>
      <c r="J193" s="1720"/>
      <c r="K193" s="1720"/>
      <c r="L193" s="1720"/>
      <c r="M193" s="1720"/>
      <c r="N193" s="1720"/>
      <c r="O193" s="1720"/>
      <c r="P193" s="1720"/>
      <c r="Q193" s="1720"/>
    </row>
    <row r="194" spans="1:17" ht="24.95" customHeight="1">
      <c r="A194" s="1720"/>
      <c r="B194" s="1720"/>
      <c r="C194" s="1720"/>
      <c r="D194" s="1720"/>
      <c r="E194" s="1720"/>
      <c r="F194" s="1720"/>
      <c r="G194" s="1720"/>
      <c r="H194" s="1720"/>
      <c r="I194" s="1720"/>
      <c r="J194" s="1720"/>
      <c r="K194" s="1720"/>
      <c r="L194" s="1720"/>
      <c r="M194" s="1720"/>
      <c r="N194" s="1720"/>
      <c r="O194" s="1720"/>
      <c r="P194" s="1720"/>
      <c r="Q194" s="1720"/>
    </row>
    <row r="195" spans="1:17" ht="24.95" customHeight="1">
      <c r="A195" s="1720"/>
      <c r="B195" s="1720"/>
      <c r="C195" s="1720"/>
      <c r="D195" s="1720"/>
      <c r="E195" s="1720"/>
      <c r="F195" s="1720"/>
      <c r="G195" s="1720"/>
      <c r="H195" s="1720"/>
      <c r="I195" s="1720"/>
      <c r="J195" s="1720"/>
      <c r="K195" s="1720"/>
      <c r="L195" s="1720"/>
      <c r="M195" s="1720"/>
      <c r="N195" s="1720"/>
      <c r="O195" s="1720"/>
      <c r="P195" s="1720"/>
      <c r="Q195" s="1720"/>
    </row>
    <row r="196" spans="1:17" ht="24.95" customHeight="1">
      <c r="A196" s="1720"/>
      <c r="B196" s="1720"/>
      <c r="C196" s="1720"/>
      <c r="D196" s="1720"/>
      <c r="E196" s="1720"/>
      <c r="F196" s="1720"/>
      <c r="G196" s="1720"/>
      <c r="H196" s="1720"/>
      <c r="I196" s="1720"/>
      <c r="J196" s="1720"/>
      <c r="K196" s="1720"/>
      <c r="L196" s="1720"/>
      <c r="M196" s="1720"/>
      <c r="N196" s="1720"/>
      <c r="O196" s="1720"/>
      <c r="P196" s="1720"/>
      <c r="Q196" s="1720"/>
    </row>
    <row r="197" spans="1:17" ht="24.95" customHeight="1">
      <c r="A197" s="1720"/>
      <c r="B197" s="1720"/>
      <c r="C197" s="1720"/>
      <c r="D197" s="1720"/>
      <c r="E197" s="1720"/>
      <c r="F197" s="1720"/>
      <c r="G197" s="1720"/>
      <c r="H197" s="1720"/>
      <c r="I197" s="1720"/>
      <c r="J197" s="1720"/>
      <c r="K197" s="1720"/>
      <c r="L197" s="1720"/>
      <c r="M197" s="1720"/>
      <c r="N197" s="1720"/>
      <c r="O197" s="1720"/>
      <c r="P197" s="1720"/>
      <c r="Q197" s="1720"/>
    </row>
    <row r="198" spans="1:17" ht="24.95" customHeight="1">
      <c r="A198" s="1720"/>
      <c r="B198" s="1720"/>
      <c r="C198" s="1720"/>
      <c r="D198" s="1720"/>
      <c r="E198" s="1720"/>
      <c r="F198" s="1720"/>
      <c r="G198" s="1720"/>
      <c r="H198" s="1720"/>
      <c r="I198" s="1720"/>
      <c r="J198" s="1720"/>
      <c r="K198" s="1720"/>
      <c r="L198" s="1720"/>
      <c r="M198" s="1720"/>
      <c r="N198" s="1720"/>
      <c r="O198" s="1720"/>
      <c r="P198" s="1720"/>
      <c r="Q198" s="1720"/>
    </row>
    <row r="199" spans="1:17" ht="24.95" customHeight="1">
      <c r="A199" s="1720"/>
      <c r="B199" s="1720"/>
      <c r="C199" s="1720"/>
      <c r="D199" s="1720"/>
      <c r="E199" s="1720"/>
      <c r="F199" s="1720"/>
      <c r="G199" s="1720"/>
      <c r="H199" s="1720"/>
      <c r="I199" s="1720"/>
      <c r="J199" s="1720"/>
      <c r="K199" s="1720"/>
      <c r="L199" s="1720"/>
      <c r="M199" s="1720"/>
      <c r="N199" s="1720"/>
      <c r="O199" s="1720"/>
      <c r="P199" s="1720"/>
      <c r="Q199" s="1720"/>
    </row>
    <row r="200" spans="1:17" ht="24.95" customHeight="1">
      <c r="A200" s="1720"/>
      <c r="B200" s="1720"/>
      <c r="C200" s="1720"/>
      <c r="D200" s="1720"/>
      <c r="E200" s="1720"/>
      <c r="F200" s="1720"/>
      <c r="G200" s="1720"/>
      <c r="H200" s="1720"/>
      <c r="I200" s="1720"/>
      <c r="J200" s="1720"/>
      <c r="K200" s="1720"/>
      <c r="L200" s="1720"/>
      <c r="M200" s="1720"/>
      <c r="N200" s="1720"/>
      <c r="O200" s="1720"/>
      <c r="P200" s="1720"/>
      <c r="Q200" s="1720"/>
    </row>
  </sheetData>
  <customSheetViews>
    <customSheetView guid="{DDA22D69-94B5-45BC-9EE2-6055A845129B}" state="hidden">
      <selection activeCell="P17" sqref="P17"/>
      <pageMargins left="0.7" right="0.7" top="0.75" bottom="0.75" header="0.3" footer="0.3"/>
    </customSheetView>
    <customSheetView guid="{1B7577DB-E3C4-4E68-B7CF-8F86FF7C5A82}" state="hidden">
      <selection activeCell="P17" sqref="P17"/>
      <pageMargins left="0.7" right="0.7" top="0.75" bottom="0.75" header="0.3" footer="0.3"/>
    </customSheetView>
    <customSheetView guid="{E7B1C62B-1F1D-4A62-BD87-EE62D3A36B6C}" state="hidden">
      <selection activeCell="P17" sqref="P17"/>
      <pageMargins left="0.7" right="0.7" top="0.75" bottom="0.75" header="0.3" footer="0.3"/>
    </customSheetView>
  </customSheetViews>
  <mergeCells count="5">
    <mergeCell ref="B2:I2"/>
    <mergeCell ref="K2:R2"/>
    <mergeCell ref="B12:H12"/>
    <mergeCell ref="B15:I15"/>
    <mergeCell ref="K15:R15"/>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2060"/>
  </sheetPr>
  <dimension ref="A1:IU38"/>
  <sheetViews>
    <sheetView workbookViewId="0">
      <selection activeCell="D14" sqref="D14:F14"/>
    </sheetView>
  </sheetViews>
  <sheetFormatPr defaultColWidth="0" defaultRowHeight="15" zeroHeight="1"/>
  <cols>
    <col min="1" max="1" width="2.5703125" customWidth="1"/>
    <col min="2" max="2" width="3.28515625" customWidth="1"/>
    <col min="3" max="3" width="0.140625" hidden="1" customWidth="1"/>
    <col min="4" max="4" width="7" customWidth="1"/>
    <col min="5" max="5" width="0.42578125" customWidth="1"/>
    <col min="6" max="6" width="12.42578125" customWidth="1"/>
    <col min="7" max="7" width="7.140625" customWidth="1"/>
    <col min="8" max="8" width="5.7109375" customWidth="1"/>
    <col min="9" max="9" width="4.7109375" customWidth="1"/>
    <col min="10" max="10" width="0.5703125" customWidth="1"/>
    <col min="11" max="11" width="4" customWidth="1"/>
    <col min="12" max="12" width="4.7109375" customWidth="1"/>
    <col min="13" max="13" width="6.140625" customWidth="1"/>
    <col min="14" max="14" width="3.5703125" customWidth="1"/>
    <col min="15" max="15" width="4.85546875" customWidth="1"/>
    <col min="16" max="16" width="5" customWidth="1"/>
    <col min="17" max="17" width="8.140625" customWidth="1"/>
    <col min="18" max="18" width="5.5703125" customWidth="1"/>
    <col min="19" max="19" width="4.42578125" customWidth="1"/>
    <col min="20" max="20" width="8.85546875" customWidth="1"/>
    <col min="21" max="21" width="5.28515625" customWidth="1"/>
    <col min="22" max="22" width="0.42578125" customWidth="1"/>
    <col min="23" max="96" width="9.140625" customWidth="1"/>
    <col min="97" max="255" width="9.140625" hidden="1" customWidth="1"/>
    <col min="256" max="16384" width="4.140625" hidden="1"/>
  </cols>
  <sheetData>
    <row r="1" spans="1:101" ht="15.75" thickBot="1">
      <c r="A1" s="345"/>
      <c r="B1" s="345"/>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c r="AE1" s="345"/>
      <c r="AF1" s="345"/>
      <c r="AG1" s="345"/>
      <c r="AH1" s="345"/>
      <c r="AI1" s="345"/>
      <c r="AJ1" s="345"/>
      <c r="AK1" s="345"/>
      <c r="AL1" s="345"/>
      <c r="AM1" s="345"/>
      <c r="AN1" s="345"/>
      <c r="AO1" s="345"/>
      <c r="AP1" s="345"/>
      <c r="AQ1" s="345"/>
      <c r="AR1" s="345"/>
      <c r="AS1" s="345"/>
      <c r="AT1" s="345"/>
      <c r="AU1" s="345"/>
      <c r="AV1" s="345"/>
      <c r="AW1" s="345"/>
      <c r="AX1" s="345"/>
      <c r="AY1" s="345"/>
      <c r="AZ1" s="345"/>
      <c r="BA1" s="345"/>
      <c r="BB1" s="345"/>
      <c r="BC1" s="345"/>
      <c r="BD1" s="345"/>
      <c r="BE1" s="345"/>
      <c r="BF1" s="345"/>
      <c r="BG1" s="345"/>
      <c r="BH1" s="345"/>
      <c r="BI1" s="345"/>
      <c r="BJ1" s="345"/>
      <c r="BK1" s="345"/>
      <c r="BL1" s="345"/>
      <c r="BM1" s="345"/>
      <c r="BN1" s="345"/>
      <c r="BO1" s="345"/>
      <c r="BP1" s="345"/>
      <c r="BQ1" s="345"/>
      <c r="BR1" s="345"/>
      <c r="BS1" s="345"/>
      <c r="BT1" s="345"/>
      <c r="BU1" s="345"/>
      <c r="BV1" s="345"/>
      <c r="BW1" s="345"/>
      <c r="BX1" s="345"/>
      <c r="BY1" s="345"/>
      <c r="BZ1" s="345"/>
      <c r="CA1" s="345"/>
      <c r="CB1" s="345"/>
      <c r="CC1" s="345"/>
      <c r="CD1" s="345"/>
      <c r="CE1" s="345"/>
      <c r="CF1" s="345"/>
      <c r="CG1" s="345"/>
      <c r="CH1" s="345"/>
      <c r="CI1" s="345"/>
      <c r="CJ1" s="345"/>
      <c r="CK1" s="345"/>
      <c r="CL1" s="345"/>
      <c r="CM1" s="345"/>
      <c r="CN1" s="345"/>
      <c r="CO1" s="345"/>
      <c r="CP1" s="345"/>
      <c r="CQ1" s="345"/>
      <c r="CR1" s="345"/>
      <c r="CS1" s="345"/>
      <c r="CT1" s="345"/>
      <c r="CU1" s="345"/>
      <c r="CV1" s="345"/>
      <c r="CW1" s="345"/>
    </row>
    <row r="2" spans="1:101" ht="15.75" thickTop="1">
      <c r="A2" s="345"/>
      <c r="B2" s="2804"/>
      <c r="C2" s="2805"/>
      <c r="D2" s="2805"/>
      <c r="E2" s="2805"/>
      <c r="F2" s="2806"/>
      <c r="G2" s="2806"/>
      <c r="H2" s="2806"/>
      <c r="I2" s="2806"/>
      <c r="J2" s="2806"/>
      <c r="K2" s="2806"/>
      <c r="L2" s="2806"/>
      <c r="M2" s="2806"/>
      <c r="N2" s="2806"/>
      <c r="O2" s="2806"/>
      <c r="P2" s="2806"/>
      <c r="Q2" s="2806"/>
      <c r="R2" s="2806"/>
      <c r="S2" s="2806"/>
      <c r="T2" s="2806"/>
      <c r="U2" s="2806"/>
      <c r="V2" s="2807"/>
      <c r="W2" s="345"/>
      <c r="X2" s="345"/>
      <c r="Y2" s="345"/>
      <c r="Z2" s="345"/>
      <c r="AA2" s="345"/>
      <c r="AB2" s="345"/>
      <c r="AC2" s="345"/>
      <c r="AD2" s="345"/>
      <c r="AE2" s="345"/>
      <c r="AF2" s="345"/>
      <c r="AG2" s="345"/>
      <c r="AH2" s="345"/>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c r="BH2" s="345"/>
      <c r="BI2" s="345"/>
      <c r="BJ2" s="345"/>
      <c r="BK2" s="345"/>
      <c r="BL2" s="345"/>
      <c r="BM2" s="345"/>
      <c r="BN2" s="345"/>
      <c r="BO2" s="345"/>
      <c r="BP2" s="345"/>
      <c r="BQ2" s="345"/>
      <c r="BR2" s="345"/>
      <c r="BS2" s="345"/>
      <c r="BT2" s="345"/>
      <c r="BU2" s="345"/>
      <c r="BV2" s="345"/>
      <c r="BW2" s="345"/>
      <c r="BX2" s="345"/>
      <c r="BY2" s="345"/>
      <c r="BZ2" s="345"/>
      <c r="CA2" s="345"/>
      <c r="CB2" s="345"/>
      <c r="CC2" s="345"/>
      <c r="CD2" s="345"/>
      <c r="CE2" s="345"/>
      <c r="CF2" s="345"/>
      <c r="CG2" s="345"/>
      <c r="CH2" s="345"/>
      <c r="CI2" s="345"/>
      <c r="CJ2" s="345"/>
      <c r="CK2" s="345"/>
      <c r="CL2" s="345"/>
      <c r="CM2" s="345"/>
      <c r="CN2" s="345"/>
      <c r="CO2" s="345"/>
      <c r="CP2" s="345"/>
      <c r="CQ2" s="345"/>
      <c r="CR2" s="345"/>
      <c r="CS2" s="345"/>
      <c r="CT2" s="345"/>
      <c r="CU2" s="345"/>
      <c r="CV2" s="345"/>
      <c r="CW2" s="345"/>
    </row>
    <row r="3" spans="1:101" ht="20.100000000000001" customHeight="1">
      <c r="A3" s="345"/>
      <c r="B3" s="6313" t="s">
        <v>354</v>
      </c>
      <c r="C3" s="6314"/>
      <c r="D3" s="6314"/>
      <c r="E3" s="6314"/>
      <c r="F3" s="6314"/>
      <c r="G3" s="6314"/>
      <c r="H3" s="6314"/>
      <c r="I3" s="6314"/>
      <c r="J3" s="6314"/>
      <c r="K3" s="6314"/>
      <c r="L3" s="6314"/>
      <c r="M3" s="6314"/>
      <c r="N3" s="6314"/>
      <c r="O3" s="6314"/>
      <c r="P3" s="6314"/>
      <c r="Q3" s="6314"/>
      <c r="R3" s="6314"/>
      <c r="S3" s="6314"/>
      <c r="T3" s="6314"/>
      <c r="U3" s="6314"/>
      <c r="V3" s="6315"/>
      <c r="W3" s="377"/>
      <c r="X3" s="345"/>
      <c r="Y3" s="345"/>
      <c r="Z3" s="345"/>
      <c r="AA3" s="345"/>
      <c r="AB3" s="345"/>
      <c r="AC3" s="345"/>
      <c r="AD3" s="345"/>
      <c r="AE3" s="345"/>
      <c r="AF3" s="345"/>
      <c r="AG3" s="345"/>
      <c r="AH3" s="345"/>
      <c r="AI3" s="345"/>
      <c r="AJ3" s="345"/>
      <c r="AK3" s="345"/>
      <c r="AL3" s="345"/>
      <c r="AM3" s="345"/>
      <c r="AN3" s="345"/>
      <c r="AO3" s="345"/>
      <c r="AP3" s="345"/>
      <c r="AQ3" s="345"/>
      <c r="AR3" s="345"/>
      <c r="AS3" s="345"/>
      <c r="AT3" s="345"/>
      <c r="AU3" s="345"/>
      <c r="AV3" s="345"/>
      <c r="AW3" s="345"/>
      <c r="AX3" s="345"/>
      <c r="AY3" s="345"/>
      <c r="AZ3" s="345"/>
      <c r="BA3" s="345"/>
      <c r="BB3" s="345"/>
      <c r="BC3" s="345"/>
      <c r="BD3" s="345"/>
      <c r="BE3" s="345"/>
      <c r="BF3" s="345"/>
      <c r="BG3" s="345"/>
      <c r="BH3" s="345"/>
      <c r="BI3" s="345"/>
      <c r="BJ3" s="345"/>
      <c r="BK3" s="345"/>
      <c r="BL3" s="345"/>
      <c r="BM3" s="345"/>
      <c r="BN3" s="345"/>
      <c r="BO3" s="345"/>
      <c r="BP3" s="345"/>
      <c r="BQ3" s="345"/>
      <c r="BR3" s="345"/>
      <c r="BS3" s="345"/>
      <c r="BT3" s="345"/>
      <c r="BU3" s="345"/>
      <c r="BV3" s="345"/>
      <c r="BW3" s="345"/>
      <c r="BX3" s="345"/>
      <c r="BY3" s="345"/>
      <c r="BZ3" s="345"/>
      <c r="CA3" s="345"/>
      <c r="CB3" s="345"/>
      <c r="CC3" s="345"/>
      <c r="CD3" s="345"/>
      <c r="CE3" s="345"/>
      <c r="CF3" s="345"/>
      <c r="CG3" s="345"/>
      <c r="CH3" s="345"/>
      <c r="CI3" s="345"/>
      <c r="CJ3" s="345"/>
      <c r="CK3" s="345"/>
      <c r="CL3" s="345"/>
      <c r="CM3" s="345"/>
      <c r="CN3" s="345"/>
      <c r="CO3" s="345"/>
      <c r="CP3" s="345"/>
      <c r="CQ3" s="345"/>
      <c r="CR3" s="345"/>
      <c r="CS3" s="345"/>
      <c r="CT3" s="345"/>
      <c r="CU3" s="345"/>
      <c r="CV3" s="345"/>
      <c r="CW3" s="345"/>
    </row>
    <row r="4" spans="1:101" ht="20.100000000000001" customHeight="1">
      <c r="A4" s="345"/>
      <c r="B4" s="6316" t="s">
        <v>355</v>
      </c>
      <c r="C4" s="6317"/>
      <c r="D4" s="6317"/>
      <c r="E4" s="6317"/>
      <c r="F4" s="6317"/>
      <c r="G4" s="6317"/>
      <c r="H4" s="6317"/>
      <c r="I4" s="6317"/>
      <c r="J4" s="6317"/>
      <c r="K4" s="6317"/>
      <c r="L4" s="6317"/>
      <c r="M4" s="6317"/>
      <c r="N4" s="6317"/>
      <c r="O4" s="6317"/>
      <c r="P4" s="6317"/>
      <c r="Q4" s="6317"/>
      <c r="R4" s="6317"/>
      <c r="S4" s="6317"/>
      <c r="T4" s="6317"/>
      <c r="U4" s="6317"/>
      <c r="V4" s="6318"/>
      <c r="W4" s="378"/>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5"/>
      <c r="BD4" s="345"/>
      <c r="BE4" s="345"/>
      <c r="BF4" s="345"/>
      <c r="BG4" s="345"/>
      <c r="BH4" s="345"/>
      <c r="BI4" s="345"/>
      <c r="BJ4" s="345"/>
      <c r="BK4" s="345"/>
      <c r="BL4" s="345"/>
      <c r="BM4" s="345"/>
      <c r="BN4" s="345"/>
      <c r="BO4" s="345"/>
      <c r="BP4" s="345"/>
      <c r="BQ4" s="345"/>
      <c r="BR4" s="345"/>
      <c r="BS4" s="345"/>
      <c r="BT4" s="345"/>
      <c r="BU4" s="345"/>
      <c r="BV4" s="345"/>
      <c r="BW4" s="345"/>
      <c r="BX4" s="345"/>
      <c r="BY4" s="345"/>
      <c r="BZ4" s="345"/>
      <c r="CA4" s="345"/>
      <c r="CB4" s="345"/>
      <c r="CC4" s="345"/>
      <c r="CD4" s="345"/>
      <c r="CE4" s="345"/>
      <c r="CF4" s="345"/>
      <c r="CG4" s="345"/>
      <c r="CH4" s="345"/>
      <c r="CI4" s="345"/>
      <c r="CJ4" s="345"/>
      <c r="CK4" s="345"/>
      <c r="CL4" s="345"/>
      <c r="CM4" s="345"/>
      <c r="CN4" s="345"/>
      <c r="CO4" s="345"/>
      <c r="CP4" s="345"/>
      <c r="CQ4" s="345"/>
      <c r="CR4" s="345"/>
      <c r="CS4" s="345"/>
      <c r="CT4" s="345"/>
      <c r="CU4" s="345"/>
      <c r="CV4" s="345"/>
      <c r="CW4" s="345"/>
    </row>
    <row r="5" spans="1:101" ht="20.100000000000001" customHeight="1">
      <c r="A5" s="345"/>
      <c r="B5" s="1495"/>
      <c r="C5" s="1496"/>
      <c r="D5" s="2687"/>
      <c r="E5" s="1496"/>
      <c r="F5" s="1496"/>
      <c r="G5" s="1496"/>
      <c r="H5" s="1496"/>
      <c r="I5" s="1496"/>
      <c r="J5" s="1496"/>
      <c r="K5" s="1496"/>
      <c r="L5" s="1496"/>
      <c r="M5" s="1496"/>
      <c r="N5" s="1496"/>
      <c r="O5" s="1496"/>
      <c r="P5" s="1496"/>
      <c r="Q5" s="1496"/>
      <c r="R5" s="1496"/>
      <c r="S5" s="1496"/>
      <c r="T5" s="1496"/>
      <c r="U5" s="1496"/>
      <c r="V5" s="1497"/>
      <c r="W5" s="345"/>
      <c r="X5" s="345"/>
      <c r="Y5" s="345"/>
      <c r="Z5" s="345"/>
      <c r="AA5" s="345"/>
      <c r="AB5" s="345"/>
      <c r="AC5" s="345"/>
      <c r="AD5" s="345"/>
      <c r="AE5" s="345"/>
      <c r="AF5" s="345"/>
      <c r="AG5" s="345"/>
      <c r="AH5" s="345"/>
      <c r="AI5" s="345"/>
      <c r="AJ5" s="345"/>
      <c r="AK5" s="345"/>
      <c r="AL5" s="345"/>
      <c r="AM5" s="345"/>
      <c r="AN5" s="345"/>
      <c r="AO5" s="345"/>
      <c r="AP5" s="345"/>
      <c r="AQ5" s="345"/>
      <c r="AR5" s="345"/>
      <c r="AS5" s="345"/>
      <c r="AT5" s="345"/>
      <c r="AU5" s="345"/>
      <c r="AV5" s="345"/>
      <c r="AW5" s="345"/>
      <c r="AX5" s="345"/>
      <c r="AY5" s="345"/>
      <c r="AZ5" s="345"/>
      <c r="BA5" s="345"/>
      <c r="BB5" s="345"/>
      <c r="BC5" s="345"/>
      <c r="BD5" s="345"/>
      <c r="BE5" s="345"/>
      <c r="BF5" s="345"/>
      <c r="BG5" s="345"/>
      <c r="BH5" s="345"/>
      <c r="BI5" s="345"/>
      <c r="BJ5" s="345"/>
      <c r="BK5" s="345"/>
      <c r="BL5" s="345"/>
      <c r="BM5" s="345"/>
      <c r="BN5" s="345"/>
      <c r="BO5" s="345"/>
      <c r="BP5" s="345"/>
      <c r="BQ5" s="345"/>
      <c r="BR5" s="345"/>
      <c r="BS5" s="345"/>
      <c r="BT5" s="345"/>
      <c r="BU5" s="345"/>
      <c r="BV5" s="345"/>
      <c r="BW5" s="345"/>
      <c r="BX5" s="345"/>
      <c r="BY5" s="345"/>
      <c r="BZ5" s="345"/>
      <c r="CA5" s="345"/>
      <c r="CB5" s="345"/>
      <c r="CC5" s="345"/>
      <c r="CD5" s="345"/>
      <c r="CE5" s="345"/>
      <c r="CF5" s="345"/>
      <c r="CG5" s="345"/>
      <c r="CH5" s="345"/>
      <c r="CI5" s="345"/>
      <c r="CJ5" s="345"/>
      <c r="CK5" s="345"/>
      <c r="CL5" s="345"/>
      <c r="CM5" s="345"/>
      <c r="CN5" s="345"/>
      <c r="CO5" s="345"/>
      <c r="CP5" s="345"/>
      <c r="CQ5" s="345"/>
      <c r="CR5" s="345"/>
      <c r="CS5" s="345"/>
      <c r="CT5" s="345"/>
      <c r="CU5" s="345"/>
      <c r="CV5" s="345"/>
      <c r="CW5" s="345"/>
    </row>
    <row r="6" spans="1:101" ht="20.100000000000001" customHeight="1">
      <c r="A6" s="345"/>
      <c r="B6" s="1498"/>
      <c r="C6" s="1499"/>
      <c r="D6" s="1500"/>
      <c r="E6" s="1500"/>
      <c r="F6" s="1500"/>
      <c r="G6" s="1500"/>
      <c r="H6" s="6309" t="s">
        <v>356</v>
      </c>
      <c r="I6" s="6309"/>
      <c r="J6" s="6309"/>
      <c r="K6" s="6309"/>
      <c r="L6" s="6309"/>
      <c r="M6" s="6309"/>
      <c r="N6" s="6309"/>
      <c r="O6" s="6309"/>
      <c r="P6" s="6309"/>
      <c r="Q6" s="6309"/>
      <c r="R6" s="6309"/>
      <c r="S6" s="6309"/>
      <c r="T6" s="6309"/>
      <c r="U6" s="6309"/>
      <c r="V6" s="6310"/>
      <c r="W6" s="345"/>
      <c r="X6" s="548"/>
      <c r="Y6" s="548"/>
      <c r="Z6" s="345"/>
      <c r="AA6" s="345"/>
      <c r="AB6" s="345"/>
      <c r="AC6" s="345"/>
      <c r="AD6" s="345"/>
      <c r="AE6" s="345"/>
      <c r="AF6" s="345"/>
      <c r="AG6" s="345"/>
      <c r="AH6" s="345"/>
      <c r="AI6" s="345"/>
      <c r="AJ6" s="345"/>
      <c r="AK6" s="345"/>
      <c r="AL6" s="345"/>
      <c r="AM6" s="345"/>
      <c r="AN6" s="345"/>
      <c r="AO6" s="345"/>
      <c r="AP6" s="345"/>
      <c r="AQ6" s="345"/>
      <c r="AR6" s="345"/>
      <c r="AS6" s="345"/>
      <c r="AT6" s="345"/>
      <c r="AU6" s="345"/>
      <c r="AV6" s="345"/>
      <c r="AW6" s="345"/>
      <c r="AX6" s="345"/>
      <c r="AY6" s="345"/>
      <c r="AZ6" s="345"/>
      <c r="BA6" s="345"/>
      <c r="BB6" s="345"/>
      <c r="BC6" s="345"/>
      <c r="BD6" s="345"/>
      <c r="BE6" s="345"/>
      <c r="BF6" s="345"/>
      <c r="BG6" s="345"/>
      <c r="BH6" s="345"/>
      <c r="BI6" s="345"/>
      <c r="BJ6" s="345"/>
      <c r="BK6" s="345"/>
      <c r="BL6" s="345"/>
      <c r="BM6" s="345"/>
      <c r="BN6" s="345"/>
      <c r="BO6" s="345"/>
      <c r="BP6" s="345"/>
      <c r="BQ6" s="345"/>
      <c r="BR6" s="345"/>
      <c r="BS6" s="345"/>
      <c r="BT6" s="345"/>
      <c r="BU6" s="345"/>
      <c r="BV6" s="345"/>
      <c r="BW6" s="345"/>
      <c r="BX6" s="345"/>
      <c r="BY6" s="345"/>
      <c r="BZ6" s="345"/>
      <c r="CA6" s="345"/>
      <c r="CB6" s="345"/>
      <c r="CC6" s="345"/>
      <c r="CD6" s="345"/>
      <c r="CE6" s="345"/>
      <c r="CF6" s="345"/>
      <c r="CG6" s="345"/>
      <c r="CH6" s="345"/>
      <c r="CI6" s="345"/>
      <c r="CJ6" s="345"/>
      <c r="CK6" s="345"/>
      <c r="CL6" s="345"/>
      <c r="CM6" s="345"/>
      <c r="CN6" s="345"/>
      <c r="CO6" s="345"/>
      <c r="CP6" s="345"/>
      <c r="CQ6" s="345"/>
      <c r="CR6" s="345"/>
      <c r="CS6" s="345"/>
      <c r="CT6" s="345"/>
      <c r="CU6" s="345"/>
      <c r="CV6" s="345"/>
      <c r="CW6" s="345"/>
    </row>
    <row r="7" spans="1:101" ht="20.100000000000001" customHeight="1">
      <c r="A7" s="345"/>
      <c r="B7" s="1498"/>
      <c r="C7" s="1499"/>
      <c r="D7" s="2686" t="s">
        <v>357</v>
      </c>
      <c r="E7" s="1501"/>
      <c r="F7" s="6311" t="str">
        <f>'FORM-16(Old)'!L7</f>
        <v>Sri. B.Saidi Reddy</v>
      </c>
      <c r="G7" s="6311"/>
      <c r="H7" s="6311"/>
      <c r="I7" s="6311"/>
      <c r="J7" s="6311"/>
      <c r="K7" s="6311"/>
      <c r="L7" s="6311"/>
      <c r="M7" s="6311"/>
      <c r="N7" s="6311"/>
      <c r="O7" s="6311"/>
      <c r="P7" s="1499" t="s">
        <v>358</v>
      </c>
      <c r="Q7" s="2686"/>
      <c r="R7" s="1502" t="s">
        <v>5</v>
      </c>
      <c r="S7" s="6312">
        <f>IF('Old Tax Regime'!S15&gt;0,'Old Tax Regime'!S16,'Old Tax Regime'!AI18)</f>
        <v>230400</v>
      </c>
      <c r="T7" s="6312"/>
      <c r="U7" s="1503"/>
      <c r="V7" s="1519"/>
      <c r="W7" s="345"/>
      <c r="X7" s="379"/>
      <c r="Y7" s="379"/>
      <c r="Z7" s="345"/>
      <c r="AA7" s="345"/>
      <c r="AB7" s="345"/>
      <c r="AC7" s="345"/>
      <c r="AD7" s="345"/>
      <c r="AE7" s="345"/>
      <c r="AF7" s="345"/>
      <c r="AG7" s="345"/>
      <c r="AH7" s="345"/>
      <c r="AI7" s="345"/>
      <c r="AJ7" s="345"/>
      <c r="AK7" s="345"/>
      <c r="AL7" s="345"/>
      <c r="AM7" s="345"/>
      <c r="AN7" s="345"/>
      <c r="AO7" s="345"/>
      <c r="AP7" s="345"/>
      <c r="AQ7" s="345"/>
      <c r="AR7" s="345"/>
      <c r="AS7" s="345"/>
      <c r="AT7" s="345"/>
      <c r="AU7" s="345"/>
      <c r="AV7" s="345"/>
      <c r="AW7" s="345"/>
      <c r="AX7" s="345"/>
      <c r="AY7" s="345"/>
      <c r="AZ7" s="345"/>
      <c r="BA7" s="345"/>
      <c r="BB7" s="345"/>
      <c r="BC7" s="345"/>
      <c r="BD7" s="345"/>
      <c r="BE7" s="345"/>
      <c r="BF7" s="345"/>
      <c r="BG7" s="345"/>
      <c r="BH7" s="345"/>
      <c r="BI7" s="345"/>
      <c r="BJ7" s="345"/>
      <c r="BK7" s="345"/>
      <c r="BL7" s="345"/>
      <c r="BM7" s="345"/>
      <c r="BN7" s="345"/>
      <c r="BO7" s="345"/>
      <c r="BP7" s="345"/>
      <c r="BQ7" s="345"/>
      <c r="BR7" s="345"/>
      <c r="BS7" s="345"/>
      <c r="BT7" s="345"/>
      <c r="BU7" s="345"/>
      <c r="BV7" s="345"/>
      <c r="BW7" s="345"/>
      <c r="BX7" s="345"/>
      <c r="BY7" s="345"/>
      <c r="BZ7" s="345"/>
      <c r="CA7" s="345"/>
      <c r="CB7" s="345"/>
      <c r="CC7" s="345"/>
      <c r="CD7" s="345"/>
      <c r="CE7" s="345"/>
      <c r="CF7" s="345"/>
      <c r="CG7" s="345"/>
      <c r="CH7" s="345"/>
      <c r="CI7" s="345"/>
      <c r="CJ7" s="345"/>
      <c r="CK7" s="345"/>
      <c r="CL7" s="345"/>
      <c r="CM7" s="345"/>
      <c r="CN7" s="345"/>
      <c r="CO7" s="345"/>
      <c r="CP7" s="345"/>
      <c r="CQ7" s="345"/>
      <c r="CR7" s="345"/>
      <c r="CS7" s="345"/>
      <c r="CT7" s="345"/>
      <c r="CU7" s="345"/>
      <c r="CV7" s="345"/>
      <c r="CW7" s="345"/>
    </row>
    <row r="8" spans="1:101" ht="20.100000000000001" customHeight="1">
      <c r="A8" s="345"/>
      <c r="B8" s="1498"/>
      <c r="C8" s="1499"/>
      <c r="D8" s="1504" t="s">
        <v>359</v>
      </c>
      <c r="E8" s="1500"/>
      <c r="F8" s="1500"/>
      <c r="G8" s="1500"/>
      <c r="H8" s="6319" t="str">
        <f>'converts -I'!B2</f>
        <v>Two Lakhs Thirty Thousand Four Hundred    Rupees Only</v>
      </c>
      <c r="I8" s="6319"/>
      <c r="J8" s="6319"/>
      <c r="K8" s="6319"/>
      <c r="L8" s="6319"/>
      <c r="M8" s="6319"/>
      <c r="N8" s="6319"/>
      <c r="O8" s="6319"/>
      <c r="P8" s="6319"/>
      <c r="Q8" s="6319"/>
      <c r="R8" s="6319"/>
      <c r="S8" s="6319"/>
      <c r="T8" s="6319"/>
      <c r="U8" s="6319"/>
      <c r="V8" s="6320"/>
      <c r="W8" s="345"/>
      <c r="X8" s="380"/>
      <c r="Y8" s="381"/>
      <c r="Z8" s="345"/>
      <c r="AA8" s="345"/>
      <c r="AB8" s="345"/>
      <c r="AC8" s="345"/>
      <c r="AD8" s="345"/>
      <c r="AE8" s="345"/>
      <c r="AF8" s="345"/>
      <c r="AG8" s="345"/>
      <c r="AH8" s="345"/>
      <c r="AI8" s="345"/>
      <c r="AJ8" s="345"/>
      <c r="AK8" s="345"/>
      <c r="AL8" s="345"/>
      <c r="AM8" s="345"/>
      <c r="AN8" s="345"/>
      <c r="AO8" s="345"/>
      <c r="AP8" s="345"/>
      <c r="AQ8" s="345"/>
      <c r="AR8" s="345"/>
      <c r="AS8" s="345"/>
      <c r="AT8" s="345"/>
      <c r="AU8" s="345"/>
      <c r="AV8" s="345"/>
      <c r="AW8" s="345"/>
      <c r="AX8" s="345"/>
      <c r="AY8" s="345"/>
      <c r="AZ8" s="345"/>
      <c r="BA8" s="345"/>
      <c r="BB8" s="345"/>
      <c r="BC8" s="345"/>
      <c r="BD8" s="345"/>
      <c r="BE8" s="345"/>
      <c r="BF8" s="345"/>
      <c r="BG8" s="345"/>
      <c r="BH8" s="345"/>
      <c r="BI8" s="345"/>
      <c r="BJ8" s="345"/>
      <c r="BK8" s="345"/>
      <c r="BL8" s="345"/>
      <c r="BM8" s="345"/>
      <c r="BN8" s="345"/>
      <c r="BO8" s="345"/>
      <c r="BP8" s="345"/>
      <c r="BQ8" s="345"/>
      <c r="BR8" s="345"/>
      <c r="BS8" s="345"/>
      <c r="BT8" s="345"/>
      <c r="BU8" s="345"/>
      <c r="BV8" s="345"/>
      <c r="BW8" s="345"/>
      <c r="BX8" s="345"/>
      <c r="BY8" s="345"/>
      <c r="BZ8" s="345"/>
      <c r="CA8" s="345"/>
      <c r="CB8" s="345"/>
      <c r="CC8" s="345"/>
      <c r="CD8" s="345"/>
      <c r="CE8" s="345"/>
      <c r="CF8" s="345"/>
      <c r="CG8" s="345"/>
      <c r="CH8" s="345"/>
      <c r="CI8" s="345"/>
      <c r="CJ8" s="345"/>
      <c r="CK8" s="345"/>
      <c r="CL8" s="345"/>
      <c r="CM8" s="345"/>
      <c r="CN8" s="345"/>
      <c r="CO8" s="345"/>
      <c r="CP8" s="345"/>
      <c r="CQ8" s="345"/>
      <c r="CR8" s="345"/>
      <c r="CS8" s="345"/>
      <c r="CT8" s="345"/>
      <c r="CU8" s="345"/>
      <c r="CV8" s="345"/>
      <c r="CW8" s="345"/>
    </row>
    <row r="9" spans="1:101" ht="20.100000000000001" customHeight="1">
      <c r="A9" s="345"/>
      <c r="B9" s="1498"/>
      <c r="C9" s="1499"/>
      <c r="D9" s="1505" t="s">
        <v>1171</v>
      </c>
      <c r="E9" s="1499"/>
      <c r="F9" s="1499"/>
      <c r="G9" s="6321">
        <f>IF('Old Tax Regime'!S15&gt;0,'Old Tax Regime'!S15,'Old Tax Regime'!AI17)</f>
        <v>19200</v>
      </c>
      <c r="H9" s="6322"/>
      <c r="I9" s="6322"/>
      <c r="J9" s="6322"/>
      <c r="K9" s="6322"/>
      <c r="L9" s="6323" t="s">
        <v>360</v>
      </c>
      <c r="M9" s="6323"/>
      <c r="N9" s="6323"/>
      <c r="O9" s="6323"/>
      <c r="P9" s="6324">
        <v>45748</v>
      </c>
      <c r="Q9" s="6324"/>
      <c r="R9" s="1506" t="s">
        <v>361</v>
      </c>
      <c r="S9" s="6325">
        <v>46082</v>
      </c>
      <c r="T9" s="6325"/>
      <c r="U9" s="1506"/>
      <c r="V9" s="1507"/>
      <c r="W9" s="345"/>
      <c r="X9" s="380"/>
      <c r="Y9" s="382"/>
      <c r="Z9" s="345"/>
      <c r="AA9" s="345"/>
      <c r="AB9" s="345"/>
      <c r="AC9" s="345"/>
      <c r="AD9" s="345"/>
      <c r="AE9" s="345"/>
      <c r="AF9" s="345"/>
      <c r="AG9" s="345"/>
      <c r="AH9" s="345"/>
      <c r="AI9" s="345"/>
      <c r="AJ9" s="345"/>
      <c r="AK9" s="345"/>
      <c r="AL9" s="345"/>
      <c r="AM9" s="345"/>
      <c r="AN9" s="345"/>
      <c r="AO9" s="345"/>
      <c r="AP9" s="345"/>
      <c r="AQ9" s="345"/>
      <c r="AR9" s="345"/>
      <c r="AS9" s="345"/>
      <c r="AT9" s="345"/>
      <c r="AU9" s="345"/>
      <c r="AV9" s="345"/>
      <c r="AW9" s="345"/>
      <c r="AX9" s="345"/>
      <c r="AY9" s="345"/>
      <c r="AZ9" s="345"/>
      <c r="BA9" s="345"/>
      <c r="BB9" s="345"/>
      <c r="BC9" s="345"/>
      <c r="BD9" s="345"/>
      <c r="BE9" s="345"/>
      <c r="BF9" s="345"/>
      <c r="BG9" s="345"/>
      <c r="BH9" s="345"/>
      <c r="BI9" s="345"/>
      <c r="BJ9" s="345"/>
      <c r="BK9" s="345"/>
      <c r="BL9" s="345"/>
      <c r="BM9" s="345"/>
      <c r="BN9" s="345"/>
      <c r="BO9" s="345"/>
      <c r="BP9" s="345"/>
      <c r="BQ9" s="345"/>
      <c r="BR9" s="345"/>
      <c r="BS9" s="345"/>
      <c r="BT9" s="345"/>
      <c r="BU9" s="345"/>
      <c r="BV9" s="345"/>
      <c r="BW9" s="345"/>
      <c r="BX9" s="345"/>
      <c r="BY9" s="345"/>
      <c r="BZ9" s="345"/>
      <c r="CA9" s="345"/>
      <c r="CB9" s="345"/>
      <c r="CC9" s="345"/>
      <c r="CD9" s="345"/>
      <c r="CE9" s="345"/>
      <c r="CF9" s="345"/>
      <c r="CG9" s="345"/>
      <c r="CH9" s="345"/>
      <c r="CI9" s="345"/>
      <c r="CJ9" s="345"/>
      <c r="CK9" s="345"/>
      <c r="CL9" s="345"/>
      <c r="CM9" s="345"/>
      <c r="CN9" s="345"/>
      <c r="CO9" s="345"/>
      <c r="CP9" s="345"/>
      <c r="CQ9" s="345"/>
      <c r="CR9" s="345"/>
      <c r="CS9" s="345"/>
      <c r="CT9" s="345"/>
      <c r="CU9" s="345"/>
      <c r="CV9" s="345"/>
      <c r="CW9" s="345"/>
    </row>
    <row r="10" spans="1:101" ht="20.100000000000001" customHeight="1">
      <c r="A10" s="345"/>
      <c r="B10" s="1498"/>
      <c r="C10" s="1499"/>
      <c r="D10" s="6328" t="s">
        <v>362</v>
      </c>
      <c r="E10" s="6328"/>
      <c r="F10" s="6328"/>
      <c r="G10" s="6328"/>
      <c r="H10" s="6328"/>
      <c r="I10" s="1496"/>
      <c r="J10" s="1496"/>
      <c r="K10" s="1496"/>
      <c r="L10" s="1496"/>
      <c r="M10" s="1508"/>
      <c r="N10" s="1508"/>
      <c r="O10" s="1508"/>
      <c r="P10" s="1508"/>
      <c r="Q10" s="1508"/>
      <c r="R10" s="1508"/>
      <c r="S10" s="1508"/>
      <c r="T10" s="1508"/>
      <c r="U10" s="1508"/>
      <c r="V10" s="1509"/>
      <c r="W10" s="345"/>
      <c r="X10" s="380"/>
      <c r="Y10" s="382"/>
      <c r="Z10" s="345"/>
      <c r="AA10" s="345"/>
      <c r="AB10" s="345"/>
      <c r="AC10" s="345"/>
      <c r="AD10" s="345"/>
      <c r="AE10" s="345"/>
      <c r="AF10" s="345"/>
      <c r="AG10" s="345"/>
      <c r="AH10" s="345"/>
      <c r="AI10" s="345"/>
      <c r="AJ10" s="345"/>
      <c r="AK10" s="345"/>
      <c r="AL10" s="345"/>
      <c r="AM10" s="345"/>
      <c r="AN10" s="345"/>
      <c r="AO10" s="345"/>
      <c r="AP10" s="345"/>
      <c r="AQ10" s="345"/>
      <c r="AR10" s="345"/>
      <c r="AS10" s="345"/>
      <c r="AT10" s="345"/>
      <c r="AU10" s="345"/>
      <c r="AV10" s="345"/>
      <c r="AW10" s="345"/>
      <c r="AX10" s="345"/>
      <c r="AY10" s="345"/>
      <c r="AZ10" s="345"/>
      <c r="BA10" s="345"/>
      <c r="BB10" s="345"/>
      <c r="BC10" s="345"/>
      <c r="BD10" s="345"/>
      <c r="BE10" s="345"/>
      <c r="BF10" s="345"/>
      <c r="BG10" s="345"/>
      <c r="BH10" s="345"/>
      <c r="BI10" s="345"/>
      <c r="BJ10" s="345"/>
      <c r="BK10" s="345"/>
      <c r="BL10" s="345"/>
      <c r="BM10" s="345"/>
      <c r="BN10" s="345"/>
      <c r="BO10" s="345"/>
      <c r="BP10" s="345"/>
      <c r="BQ10" s="345"/>
      <c r="BR10" s="345"/>
      <c r="BS10" s="345"/>
      <c r="BT10" s="345"/>
      <c r="BU10" s="345"/>
      <c r="BV10" s="345"/>
      <c r="BW10" s="345"/>
      <c r="BX10" s="345"/>
      <c r="BY10" s="345"/>
      <c r="BZ10" s="345"/>
      <c r="CA10" s="345"/>
      <c r="CB10" s="345"/>
      <c r="CC10" s="345"/>
      <c r="CD10" s="345"/>
      <c r="CE10" s="345"/>
      <c r="CF10" s="345"/>
      <c r="CG10" s="345"/>
      <c r="CH10" s="345"/>
      <c r="CI10" s="345"/>
      <c r="CJ10" s="345"/>
      <c r="CK10" s="345"/>
      <c r="CL10" s="345"/>
      <c r="CM10" s="345"/>
      <c r="CN10" s="345"/>
      <c r="CO10" s="345"/>
      <c r="CP10" s="345"/>
      <c r="CQ10" s="345"/>
      <c r="CR10" s="345"/>
      <c r="CS10" s="345"/>
      <c r="CT10" s="345"/>
      <c r="CU10" s="345"/>
      <c r="CV10" s="345"/>
      <c r="CW10" s="345"/>
    </row>
    <row r="11" spans="1:101" ht="20.100000000000001" customHeight="1">
      <c r="A11" s="345"/>
      <c r="B11" s="1498"/>
      <c r="C11" s="1499"/>
      <c r="D11" s="1499"/>
      <c r="E11" s="1499"/>
      <c r="F11" s="1499"/>
      <c r="G11" s="1499"/>
      <c r="H11" s="1499"/>
      <c r="I11" s="1508"/>
      <c r="J11" s="1508"/>
      <c r="K11" s="1508"/>
      <c r="L11" s="1508"/>
      <c r="M11" s="1510"/>
      <c r="N11" s="1510"/>
      <c r="O11" s="1510"/>
      <c r="P11" s="1510"/>
      <c r="Q11" s="1510"/>
      <c r="R11" s="1510"/>
      <c r="S11" s="1510"/>
      <c r="T11" s="1510"/>
      <c r="U11" s="1510"/>
      <c r="V11" s="1520"/>
      <c r="W11" s="345"/>
      <c r="X11" s="345"/>
      <c r="Y11" s="345"/>
      <c r="Z11" s="345"/>
      <c r="AA11" s="345"/>
      <c r="AB11" s="345"/>
      <c r="AC11" s="345"/>
      <c r="AD11" s="345"/>
      <c r="AE11" s="345"/>
      <c r="AF11" s="345"/>
      <c r="AG11" s="345"/>
      <c r="AH11" s="345"/>
      <c r="AI11" s="345"/>
      <c r="AJ11" s="345"/>
      <c r="AK11" s="345"/>
      <c r="AL11" s="345"/>
      <c r="AM11" s="345"/>
      <c r="AN11" s="345"/>
      <c r="AO11" s="345"/>
      <c r="AP11" s="345"/>
      <c r="AQ11" s="345"/>
      <c r="AR11" s="345"/>
      <c r="AS11" s="345"/>
      <c r="AT11" s="345"/>
      <c r="AU11" s="345"/>
      <c r="AV11" s="345"/>
      <c r="AW11" s="345"/>
      <c r="AX11" s="345"/>
      <c r="AY11" s="345"/>
      <c r="AZ11" s="345"/>
      <c r="BA11" s="345"/>
      <c r="BB11" s="345"/>
      <c r="BC11" s="345"/>
      <c r="BD11" s="345"/>
      <c r="BE11" s="345"/>
      <c r="BF11" s="345"/>
      <c r="BG11" s="345"/>
      <c r="BH11" s="345"/>
      <c r="BI11" s="345"/>
      <c r="BJ11" s="345"/>
      <c r="BK11" s="345"/>
      <c r="BL11" s="345"/>
      <c r="BM11" s="345"/>
      <c r="BN11" s="345"/>
      <c r="BO11" s="345"/>
      <c r="BP11" s="345"/>
      <c r="BQ11" s="345"/>
      <c r="BR11" s="345"/>
      <c r="BS11" s="345"/>
      <c r="BT11" s="345"/>
      <c r="BU11" s="345"/>
      <c r="BV11" s="345"/>
      <c r="BW11" s="345"/>
      <c r="BX11" s="345"/>
      <c r="BY11" s="345"/>
      <c r="BZ11" s="345"/>
      <c r="CA11" s="345"/>
      <c r="CB11" s="345"/>
      <c r="CC11" s="345"/>
      <c r="CD11" s="345"/>
      <c r="CE11" s="345"/>
      <c r="CF11" s="345"/>
      <c r="CG11" s="345"/>
      <c r="CH11" s="345"/>
      <c r="CI11" s="345"/>
      <c r="CJ11" s="345"/>
      <c r="CK11" s="345"/>
      <c r="CL11" s="345"/>
      <c r="CM11" s="345"/>
      <c r="CN11" s="345"/>
      <c r="CO11" s="345"/>
      <c r="CP11" s="345"/>
      <c r="CQ11" s="345"/>
      <c r="CR11" s="345"/>
      <c r="CS11" s="345"/>
      <c r="CT11" s="345"/>
      <c r="CU11" s="345"/>
      <c r="CV11" s="345"/>
      <c r="CW11" s="345"/>
    </row>
    <row r="12" spans="1:101" ht="20.100000000000001" customHeight="1">
      <c r="A12" s="345"/>
      <c r="B12" s="6335" t="s">
        <v>1590</v>
      </c>
      <c r="C12" s="6336"/>
      <c r="D12" s="6336"/>
      <c r="E12" s="6336"/>
      <c r="F12" s="6336"/>
      <c r="G12" s="6336"/>
      <c r="H12" s="6336"/>
      <c r="I12" s="6336"/>
      <c r="J12" s="6336"/>
      <c r="K12" s="6336"/>
      <c r="L12" s="6336"/>
      <c r="M12" s="6336"/>
      <c r="N12" s="1505"/>
      <c r="O12" s="1505"/>
      <c r="Q12" s="1270"/>
      <c r="R12" s="1270"/>
      <c r="S12" s="1270"/>
      <c r="T12" s="1270"/>
      <c r="U12" s="1270"/>
      <c r="V12" s="2808"/>
      <c r="W12" s="345"/>
      <c r="X12" s="345"/>
      <c r="Y12" s="345"/>
      <c r="Z12" s="345"/>
      <c r="AA12" s="345"/>
      <c r="AB12" s="345"/>
      <c r="AC12" s="345"/>
      <c r="AD12" s="345"/>
      <c r="AE12" s="345"/>
      <c r="AF12" s="345"/>
      <c r="AG12" s="345"/>
      <c r="AH12" s="345"/>
      <c r="AI12" s="345"/>
      <c r="AJ12" s="345"/>
      <c r="AK12" s="345"/>
      <c r="AL12" s="345"/>
      <c r="AM12" s="345"/>
      <c r="AN12" s="345"/>
      <c r="AO12" s="345"/>
      <c r="AP12" s="345"/>
      <c r="AQ12" s="345"/>
      <c r="AR12" s="345"/>
      <c r="AS12" s="345"/>
      <c r="AT12" s="345"/>
      <c r="AU12" s="345"/>
      <c r="AV12" s="345"/>
      <c r="AW12" s="345"/>
      <c r="AX12" s="345"/>
      <c r="AY12" s="345"/>
      <c r="AZ12" s="345"/>
      <c r="BA12" s="345"/>
      <c r="BB12" s="345"/>
      <c r="BC12" s="345"/>
      <c r="BD12" s="345"/>
      <c r="BE12" s="345"/>
      <c r="BF12" s="345"/>
      <c r="BG12" s="345"/>
      <c r="BH12" s="345"/>
      <c r="BI12" s="345"/>
      <c r="BJ12" s="345"/>
      <c r="BK12" s="345"/>
      <c r="BL12" s="345"/>
      <c r="BM12" s="345"/>
      <c r="BN12" s="345"/>
      <c r="BO12" s="345"/>
      <c r="BP12" s="345"/>
      <c r="BQ12" s="345"/>
      <c r="BR12" s="345"/>
      <c r="BS12" s="345"/>
      <c r="BT12" s="345"/>
      <c r="BU12" s="345"/>
      <c r="BV12" s="345"/>
      <c r="BW12" s="345"/>
      <c r="BX12" s="345"/>
      <c r="BY12" s="345"/>
      <c r="BZ12" s="345"/>
      <c r="CA12" s="345"/>
      <c r="CB12" s="345"/>
      <c r="CC12" s="345"/>
      <c r="CD12" s="345"/>
      <c r="CE12" s="345"/>
      <c r="CF12" s="345"/>
      <c r="CG12" s="345"/>
      <c r="CH12" s="345"/>
      <c r="CI12" s="345"/>
      <c r="CJ12" s="345"/>
      <c r="CK12" s="345"/>
      <c r="CL12" s="345"/>
      <c r="CM12" s="345"/>
      <c r="CN12" s="345"/>
      <c r="CO12" s="345"/>
      <c r="CP12" s="345"/>
      <c r="CQ12" s="345"/>
      <c r="CR12" s="345"/>
      <c r="CS12" s="345"/>
      <c r="CT12" s="345"/>
      <c r="CU12" s="345"/>
      <c r="CV12" s="345"/>
      <c r="CW12" s="345"/>
    </row>
    <row r="13" spans="1:101" ht="20.100000000000001" customHeight="1">
      <c r="A13" s="345"/>
      <c r="B13" s="1512"/>
      <c r="C13" s="1505"/>
      <c r="D13" s="1513"/>
      <c r="E13" s="1505"/>
      <c r="F13" s="1505"/>
      <c r="G13" s="1505"/>
      <c r="H13" s="1505"/>
      <c r="I13" s="1505"/>
      <c r="J13" s="1505"/>
      <c r="K13" s="1505"/>
      <c r="L13" s="1505"/>
      <c r="M13" s="1505"/>
      <c r="N13" s="1505"/>
      <c r="O13" s="1505"/>
      <c r="P13" s="2688"/>
      <c r="Q13" s="2688"/>
      <c r="R13" s="2688"/>
      <c r="S13" s="2688"/>
      <c r="T13" s="2688"/>
      <c r="U13" s="2688"/>
      <c r="V13" s="2689"/>
      <c r="W13" s="345"/>
      <c r="X13" s="345"/>
      <c r="Y13" s="345"/>
      <c r="Z13" s="345"/>
      <c r="AA13" s="345"/>
      <c r="AB13" s="345"/>
      <c r="AC13" s="345"/>
      <c r="AD13" s="345"/>
      <c r="AE13" s="345"/>
      <c r="AF13" s="345"/>
      <c r="AG13" s="345"/>
      <c r="AH13" s="345"/>
      <c r="AI13" s="345"/>
      <c r="AJ13" s="345"/>
      <c r="AK13" s="345"/>
      <c r="AL13" s="345"/>
      <c r="AM13" s="345"/>
      <c r="AN13" s="345"/>
      <c r="AO13" s="345"/>
      <c r="AP13" s="345"/>
      <c r="AQ13" s="345"/>
      <c r="AR13" s="345"/>
      <c r="AS13" s="345"/>
      <c r="AT13" s="345"/>
      <c r="AU13" s="345"/>
      <c r="AV13" s="345"/>
      <c r="AW13" s="345"/>
      <c r="AX13" s="345"/>
      <c r="AY13" s="345"/>
      <c r="AZ13" s="345"/>
      <c r="BA13" s="345"/>
      <c r="BB13" s="345"/>
      <c r="BC13" s="345"/>
      <c r="BD13" s="345"/>
      <c r="BE13" s="345"/>
      <c r="BF13" s="345"/>
      <c r="BG13" s="345"/>
      <c r="BH13" s="345"/>
      <c r="BI13" s="345"/>
      <c r="BJ13" s="345"/>
      <c r="BK13" s="345"/>
      <c r="BL13" s="345"/>
      <c r="BM13" s="345"/>
      <c r="BN13" s="345"/>
      <c r="BO13" s="345"/>
      <c r="BP13" s="345"/>
      <c r="BQ13" s="345"/>
      <c r="BR13" s="345"/>
      <c r="BS13" s="345"/>
      <c r="BT13" s="345"/>
      <c r="BU13" s="345"/>
      <c r="BV13" s="345"/>
      <c r="BW13" s="345"/>
      <c r="BX13" s="345"/>
      <c r="BY13" s="345"/>
      <c r="BZ13" s="345"/>
      <c r="CA13" s="345"/>
      <c r="CB13" s="345"/>
      <c r="CC13" s="345"/>
      <c r="CD13" s="345"/>
      <c r="CE13" s="345"/>
      <c r="CF13" s="345"/>
      <c r="CG13" s="345"/>
      <c r="CH13" s="345"/>
      <c r="CI13" s="345"/>
      <c r="CJ13" s="345"/>
      <c r="CK13" s="345"/>
      <c r="CL13" s="345"/>
      <c r="CM13" s="345"/>
      <c r="CN13" s="345"/>
      <c r="CO13" s="345"/>
      <c r="CP13" s="345"/>
      <c r="CQ13" s="345"/>
      <c r="CR13" s="345"/>
      <c r="CS13" s="345"/>
      <c r="CT13" s="345"/>
      <c r="CU13" s="345"/>
      <c r="CV13" s="345"/>
      <c r="CW13" s="345"/>
    </row>
    <row r="14" spans="1:101" ht="20.100000000000001" customHeight="1">
      <c r="A14" s="345"/>
      <c r="B14" s="1512"/>
      <c r="C14" s="1505"/>
      <c r="D14" s="6331" t="s">
        <v>1586</v>
      </c>
      <c r="E14" s="6332"/>
      <c r="F14" s="6333"/>
      <c r="G14" s="6306"/>
      <c r="H14" s="6307"/>
      <c r="I14" s="6307"/>
      <c r="J14" s="6307"/>
      <c r="K14" s="6307"/>
      <c r="L14" s="6307"/>
      <c r="M14" s="6308"/>
      <c r="N14" s="1505"/>
      <c r="O14" s="1505"/>
      <c r="P14" s="1505"/>
      <c r="Q14" s="1505"/>
      <c r="R14" s="1505"/>
      <c r="S14" s="1505"/>
      <c r="T14" s="1505"/>
      <c r="U14" s="1505"/>
      <c r="V14" s="1511"/>
      <c r="W14" s="345"/>
      <c r="X14" s="345"/>
      <c r="Y14" s="345"/>
      <c r="Z14" s="345"/>
      <c r="AA14" s="345"/>
      <c r="AB14" s="345"/>
      <c r="AC14" s="345"/>
      <c r="AD14" s="345"/>
      <c r="AE14" s="345"/>
      <c r="AF14" s="345"/>
      <c r="AG14" s="345"/>
      <c r="AH14" s="345"/>
      <c r="AI14" s="345"/>
      <c r="AJ14" s="345"/>
      <c r="AK14" s="345"/>
      <c r="AL14" s="345"/>
      <c r="AM14" s="345"/>
      <c r="AN14" s="345"/>
      <c r="AO14" s="345"/>
      <c r="AP14" s="345"/>
      <c r="AQ14" s="345"/>
      <c r="AR14" s="345"/>
      <c r="AS14" s="345"/>
      <c r="AT14" s="345"/>
      <c r="AU14" s="345"/>
      <c r="AV14" s="345"/>
      <c r="AW14" s="345"/>
      <c r="AX14" s="345"/>
      <c r="AY14" s="345"/>
      <c r="AZ14" s="345"/>
      <c r="BA14" s="345"/>
      <c r="BB14" s="345"/>
      <c r="BC14" s="345"/>
      <c r="BD14" s="345"/>
      <c r="BE14" s="345"/>
      <c r="BF14" s="345"/>
      <c r="BG14" s="345"/>
      <c r="BH14" s="345"/>
      <c r="BI14" s="345"/>
      <c r="BJ14" s="345"/>
      <c r="BK14" s="345"/>
      <c r="BL14" s="345"/>
      <c r="BM14" s="345"/>
      <c r="BN14" s="345"/>
      <c r="BO14" s="345"/>
      <c r="BP14" s="345"/>
      <c r="BQ14" s="345"/>
      <c r="BR14" s="345"/>
      <c r="BS14" s="345"/>
      <c r="BT14" s="345"/>
      <c r="BU14" s="345"/>
      <c r="BV14" s="345"/>
      <c r="BW14" s="345"/>
      <c r="BX14" s="345"/>
      <c r="BY14" s="345"/>
      <c r="BZ14" s="345"/>
      <c r="CA14" s="345"/>
      <c r="CB14" s="345"/>
      <c r="CC14" s="345"/>
      <c r="CD14" s="345"/>
      <c r="CE14" s="345"/>
      <c r="CF14" s="345"/>
      <c r="CG14" s="345"/>
      <c r="CH14" s="345"/>
      <c r="CI14" s="345"/>
      <c r="CJ14" s="345"/>
      <c r="CK14" s="345"/>
      <c r="CL14" s="345"/>
      <c r="CM14" s="345"/>
      <c r="CN14" s="345"/>
      <c r="CO14" s="345"/>
      <c r="CP14" s="345"/>
      <c r="CQ14" s="345"/>
      <c r="CR14" s="345"/>
      <c r="CS14" s="345"/>
      <c r="CT14" s="345"/>
      <c r="CU14" s="345"/>
      <c r="CV14" s="345"/>
      <c r="CW14" s="345"/>
    </row>
    <row r="15" spans="1:101" ht="20.100000000000001" customHeight="1">
      <c r="A15" s="345"/>
      <c r="B15" s="1512"/>
      <c r="C15" s="1505"/>
      <c r="D15" s="6331" t="s">
        <v>634</v>
      </c>
      <c r="E15" s="6332"/>
      <c r="F15" s="6333"/>
      <c r="G15" s="6306"/>
      <c r="H15" s="6307"/>
      <c r="I15" s="6307"/>
      <c r="J15" s="6307"/>
      <c r="K15" s="6307"/>
      <c r="L15" s="6307"/>
      <c r="M15" s="6308"/>
      <c r="N15" s="1505"/>
      <c r="O15" s="1505"/>
      <c r="P15" s="1505"/>
      <c r="Q15" s="1505"/>
      <c r="R15" s="1505"/>
      <c r="S15" s="1505"/>
      <c r="T15" s="1505"/>
      <c r="U15" s="1505"/>
      <c r="V15" s="1511"/>
      <c r="W15" s="345"/>
      <c r="X15" s="345"/>
      <c r="Y15" s="345"/>
      <c r="Z15" s="345"/>
      <c r="AA15" s="345"/>
      <c r="AB15" s="345"/>
      <c r="AC15" s="345"/>
      <c r="AD15" s="345"/>
      <c r="AE15" s="345"/>
      <c r="AF15" s="345"/>
      <c r="AG15" s="345"/>
      <c r="AH15" s="345"/>
      <c r="AI15" s="345"/>
      <c r="AJ15" s="345"/>
      <c r="AK15" s="345"/>
      <c r="AL15" s="345"/>
      <c r="AM15" s="345"/>
      <c r="AN15" s="345"/>
      <c r="AO15" s="345"/>
      <c r="AP15" s="345"/>
      <c r="AQ15" s="345"/>
      <c r="AR15" s="345"/>
      <c r="AS15" s="345"/>
      <c r="AT15" s="345"/>
      <c r="AU15" s="345"/>
      <c r="AV15" s="345"/>
      <c r="AW15" s="345"/>
      <c r="AX15" s="345"/>
      <c r="AY15" s="345"/>
      <c r="AZ15" s="345"/>
      <c r="BA15" s="345"/>
      <c r="BB15" s="345"/>
      <c r="BC15" s="345"/>
      <c r="BD15" s="345"/>
      <c r="BE15" s="345"/>
      <c r="BF15" s="345"/>
      <c r="BG15" s="345"/>
      <c r="BH15" s="345"/>
      <c r="BI15" s="345"/>
      <c r="BJ15" s="345"/>
      <c r="BK15" s="345"/>
      <c r="BL15" s="345"/>
      <c r="BM15" s="345"/>
      <c r="BN15" s="345"/>
      <c r="BO15" s="345"/>
      <c r="BP15" s="345"/>
      <c r="BQ15" s="345"/>
      <c r="BR15" s="345"/>
      <c r="BS15" s="345"/>
      <c r="BT15" s="345"/>
      <c r="BU15" s="345"/>
      <c r="BV15" s="345"/>
      <c r="BW15" s="345"/>
      <c r="BX15" s="345"/>
      <c r="BY15" s="345"/>
      <c r="BZ15" s="345"/>
      <c r="CA15" s="345"/>
      <c r="CB15" s="345"/>
      <c r="CC15" s="345"/>
      <c r="CD15" s="345"/>
      <c r="CE15" s="345"/>
      <c r="CF15" s="345"/>
      <c r="CG15" s="345"/>
      <c r="CH15" s="345"/>
      <c r="CI15" s="345"/>
      <c r="CJ15" s="345"/>
      <c r="CK15" s="345"/>
      <c r="CL15" s="345"/>
      <c r="CM15" s="345"/>
      <c r="CN15" s="345"/>
      <c r="CO15" s="345"/>
      <c r="CP15" s="345"/>
      <c r="CQ15" s="345"/>
      <c r="CR15" s="345"/>
      <c r="CS15" s="345"/>
      <c r="CT15" s="345"/>
      <c r="CU15" s="345"/>
      <c r="CV15" s="345"/>
      <c r="CW15" s="345"/>
    </row>
    <row r="16" spans="1:101" ht="20.100000000000001" customHeight="1">
      <c r="A16" s="345"/>
      <c r="B16" s="1512"/>
      <c r="C16" s="1505"/>
      <c r="D16" s="6331" t="s">
        <v>650</v>
      </c>
      <c r="E16" s="6332"/>
      <c r="F16" s="6333"/>
      <c r="G16" s="6306"/>
      <c r="H16" s="6307"/>
      <c r="I16" s="6307"/>
      <c r="J16" s="6307"/>
      <c r="K16" s="6307"/>
      <c r="L16" s="6307"/>
      <c r="M16" s="6308"/>
      <c r="N16" s="1505"/>
      <c r="O16" s="1505"/>
      <c r="P16" s="1505"/>
      <c r="Q16" s="1505"/>
      <c r="R16" s="1505"/>
      <c r="S16" s="1505"/>
      <c r="T16" s="1505"/>
      <c r="U16" s="1505"/>
      <c r="V16" s="1511"/>
      <c r="W16" s="345"/>
      <c r="X16" s="345"/>
      <c r="Y16" s="345"/>
      <c r="Z16" s="345"/>
      <c r="AA16" s="345"/>
      <c r="AB16" s="345"/>
      <c r="AC16" s="345"/>
      <c r="AD16" s="345"/>
      <c r="AE16" s="345"/>
      <c r="AF16" s="345"/>
      <c r="AG16" s="345"/>
      <c r="AH16" s="345"/>
      <c r="AI16" s="345"/>
      <c r="AJ16" s="345"/>
      <c r="AK16" s="345"/>
      <c r="AL16" s="345"/>
      <c r="AM16" s="345"/>
      <c r="AN16" s="345"/>
      <c r="AO16" s="345"/>
      <c r="AP16" s="345"/>
      <c r="AQ16" s="345"/>
      <c r="AR16" s="345"/>
      <c r="AS16" s="345"/>
      <c r="AT16" s="345"/>
      <c r="AU16" s="345"/>
      <c r="AV16" s="345"/>
      <c r="AW16" s="345"/>
      <c r="AX16" s="345"/>
      <c r="AY16" s="345"/>
      <c r="AZ16" s="345"/>
      <c r="BA16" s="345"/>
      <c r="BB16" s="345"/>
      <c r="BC16" s="345"/>
      <c r="BD16" s="345"/>
      <c r="BE16" s="345"/>
      <c r="BF16" s="345"/>
      <c r="BG16" s="345"/>
      <c r="BH16" s="345"/>
      <c r="BI16" s="345"/>
      <c r="BJ16" s="345"/>
      <c r="BK16" s="345"/>
      <c r="BL16" s="345"/>
      <c r="BM16" s="345"/>
      <c r="BN16" s="345"/>
      <c r="BO16" s="345"/>
      <c r="BP16" s="345"/>
      <c r="BQ16" s="345"/>
      <c r="BR16" s="345"/>
      <c r="BS16" s="345"/>
      <c r="BT16" s="345"/>
      <c r="BU16" s="345"/>
      <c r="BV16" s="345"/>
      <c r="BW16" s="345"/>
      <c r="BX16" s="345"/>
      <c r="BY16" s="345"/>
      <c r="BZ16" s="345"/>
      <c r="CA16" s="345"/>
      <c r="CB16" s="345"/>
      <c r="CC16" s="345"/>
      <c r="CD16" s="345"/>
      <c r="CE16" s="345"/>
      <c r="CF16" s="345"/>
      <c r="CG16" s="345"/>
      <c r="CH16" s="345"/>
      <c r="CI16" s="345"/>
      <c r="CJ16" s="345"/>
      <c r="CK16" s="345"/>
      <c r="CL16" s="345"/>
      <c r="CM16" s="345"/>
      <c r="CN16" s="345"/>
      <c r="CO16" s="345"/>
      <c r="CP16" s="345"/>
      <c r="CQ16" s="345"/>
      <c r="CR16" s="345"/>
      <c r="CS16" s="345"/>
      <c r="CT16" s="345"/>
      <c r="CU16" s="345"/>
      <c r="CV16" s="345"/>
      <c r="CW16" s="345"/>
    </row>
    <row r="17" spans="1:101" ht="20.100000000000001" customHeight="1">
      <c r="A17" s="345"/>
      <c r="B17" s="1512"/>
      <c r="C17" s="1505"/>
      <c r="D17" s="6331" t="s">
        <v>1587</v>
      </c>
      <c r="E17" s="6332"/>
      <c r="F17" s="6333"/>
      <c r="G17" s="6306"/>
      <c r="H17" s="6307"/>
      <c r="I17" s="6307"/>
      <c r="J17" s="6307"/>
      <c r="K17" s="6307"/>
      <c r="L17" s="6307"/>
      <c r="M17" s="6308"/>
      <c r="N17" s="1505"/>
      <c r="O17" s="1505"/>
      <c r="P17" s="1505"/>
      <c r="Q17" s="1505"/>
      <c r="R17" s="1505"/>
      <c r="S17" s="1505"/>
      <c r="T17" s="1505"/>
      <c r="U17" s="1505"/>
      <c r="V17" s="1511"/>
      <c r="W17" s="345"/>
      <c r="X17" s="345"/>
      <c r="Y17" s="345"/>
      <c r="Z17" s="345"/>
      <c r="AA17" s="345"/>
      <c r="AB17" s="345"/>
      <c r="AC17" s="345"/>
      <c r="AD17" s="345"/>
      <c r="AE17" s="345"/>
      <c r="AF17" s="345"/>
      <c r="AG17" s="345"/>
      <c r="AH17" s="345"/>
      <c r="AI17" s="345"/>
      <c r="AJ17" s="345"/>
      <c r="AK17" s="345"/>
      <c r="AL17" s="345"/>
      <c r="AM17" s="345"/>
      <c r="AN17" s="345"/>
      <c r="AO17" s="345"/>
      <c r="AP17" s="345"/>
      <c r="AQ17" s="345"/>
      <c r="AR17" s="345"/>
      <c r="AS17" s="345"/>
      <c r="AT17" s="345"/>
      <c r="AU17" s="345"/>
      <c r="AV17" s="345"/>
      <c r="AW17" s="345"/>
      <c r="AX17" s="345"/>
      <c r="AY17" s="345"/>
      <c r="AZ17" s="345"/>
      <c r="BA17" s="345"/>
      <c r="BB17" s="345"/>
      <c r="BC17" s="345"/>
      <c r="BD17" s="345"/>
      <c r="BE17" s="345"/>
      <c r="BF17" s="345"/>
      <c r="BG17" s="345"/>
      <c r="BH17" s="345"/>
      <c r="BI17" s="345"/>
      <c r="BJ17" s="345"/>
      <c r="BK17" s="345"/>
      <c r="BL17" s="345"/>
      <c r="BM17" s="345"/>
      <c r="BN17" s="345"/>
      <c r="BO17" s="345"/>
      <c r="BP17" s="345"/>
      <c r="BQ17" s="345"/>
      <c r="BR17" s="345"/>
      <c r="BS17" s="345"/>
      <c r="BT17" s="345"/>
      <c r="BU17" s="345"/>
      <c r="BV17" s="345"/>
      <c r="BW17" s="345"/>
      <c r="BX17" s="345"/>
      <c r="BY17" s="345"/>
      <c r="BZ17" s="345"/>
      <c r="CA17" s="345"/>
      <c r="CB17" s="345"/>
      <c r="CC17" s="345"/>
      <c r="CD17" s="345"/>
      <c r="CE17" s="345"/>
      <c r="CF17" s="345"/>
      <c r="CG17" s="345"/>
      <c r="CH17" s="345"/>
      <c r="CI17" s="345"/>
      <c r="CJ17" s="345"/>
      <c r="CK17" s="345"/>
      <c r="CL17" s="345"/>
      <c r="CM17" s="345"/>
      <c r="CN17" s="345"/>
      <c r="CO17" s="345"/>
      <c r="CP17" s="345"/>
      <c r="CQ17" s="345"/>
      <c r="CR17" s="345"/>
      <c r="CS17" s="345"/>
      <c r="CT17" s="345"/>
      <c r="CU17" s="345"/>
      <c r="CV17" s="345"/>
      <c r="CW17" s="345"/>
    </row>
    <row r="18" spans="1:101" ht="20.100000000000001" customHeight="1">
      <c r="A18" s="345"/>
      <c r="B18" s="1512"/>
      <c r="C18" s="1505"/>
      <c r="D18" s="6331" t="s">
        <v>1588</v>
      </c>
      <c r="E18" s="6332"/>
      <c r="F18" s="6333"/>
      <c r="G18" s="6306"/>
      <c r="H18" s="6307"/>
      <c r="I18" s="6307"/>
      <c r="J18" s="6307"/>
      <c r="K18" s="6307"/>
      <c r="L18" s="6307"/>
      <c r="M18" s="6308"/>
      <c r="N18" s="1505"/>
      <c r="O18" s="1505"/>
      <c r="P18" s="1505"/>
      <c r="Q18" s="1505"/>
      <c r="R18" s="1505"/>
      <c r="S18" s="1505"/>
      <c r="T18" s="1505"/>
      <c r="U18" s="1505"/>
      <c r="V18" s="1511"/>
      <c r="W18" s="345"/>
      <c r="X18" s="345"/>
      <c r="Y18" s="345"/>
      <c r="Z18" s="345"/>
      <c r="AA18" s="345"/>
      <c r="AB18" s="345"/>
      <c r="AC18" s="345"/>
      <c r="AD18" s="345"/>
      <c r="AE18" s="345"/>
      <c r="AF18" s="345"/>
      <c r="AG18" s="345"/>
      <c r="AH18" s="345"/>
      <c r="AI18" s="345"/>
      <c r="AJ18" s="345"/>
      <c r="AK18" s="345"/>
      <c r="AL18" s="345"/>
      <c r="AM18" s="345"/>
      <c r="AN18" s="345"/>
      <c r="AO18" s="345"/>
      <c r="AP18" s="345"/>
      <c r="AQ18" s="345"/>
      <c r="AR18" s="345"/>
      <c r="AS18" s="345"/>
      <c r="AT18" s="345"/>
      <c r="AU18" s="345"/>
      <c r="AV18" s="345"/>
      <c r="AW18" s="345"/>
      <c r="AX18" s="345"/>
      <c r="AY18" s="345"/>
      <c r="AZ18" s="345"/>
      <c r="BA18" s="345"/>
      <c r="BB18" s="345"/>
      <c r="BC18" s="345"/>
      <c r="BD18" s="345"/>
      <c r="BE18" s="345"/>
      <c r="BF18" s="345"/>
      <c r="BG18" s="345"/>
      <c r="BH18" s="345"/>
      <c r="BI18" s="345"/>
      <c r="BJ18" s="345"/>
      <c r="BK18" s="345"/>
      <c r="BL18" s="345"/>
      <c r="BM18" s="345"/>
      <c r="BN18" s="345"/>
      <c r="BO18" s="345"/>
      <c r="BP18" s="345"/>
      <c r="BQ18" s="345"/>
      <c r="BR18" s="345"/>
      <c r="BS18" s="345"/>
      <c r="BT18" s="345"/>
      <c r="BU18" s="345"/>
      <c r="BV18" s="345"/>
      <c r="BW18" s="345"/>
      <c r="BX18" s="345"/>
      <c r="BY18" s="345"/>
      <c r="BZ18" s="345"/>
      <c r="CA18" s="345"/>
      <c r="CB18" s="345"/>
      <c r="CC18" s="345"/>
      <c r="CD18" s="345"/>
      <c r="CE18" s="345"/>
      <c r="CF18" s="345"/>
      <c r="CG18" s="345"/>
      <c r="CH18" s="345"/>
      <c r="CI18" s="345"/>
      <c r="CJ18" s="345"/>
      <c r="CK18" s="345"/>
      <c r="CL18" s="345"/>
      <c r="CM18" s="345"/>
      <c r="CN18" s="345"/>
      <c r="CO18" s="345"/>
      <c r="CP18" s="345"/>
      <c r="CQ18" s="345"/>
      <c r="CR18" s="345"/>
      <c r="CS18" s="345"/>
      <c r="CT18" s="345"/>
      <c r="CU18" s="345"/>
      <c r="CV18" s="345"/>
      <c r="CW18" s="345"/>
    </row>
    <row r="19" spans="1:101" ht="20.100000000000001" customHeight="1">
      <c r="A19" s="345"/>
      <c r="B19" s="1512"/>
      <c r="C19" s="1505"/>
      <c r="D19" s="6331" t="s">
        <v>18</v>
      </c>
      <c r="E19" s="6332"/>
      <c r="F19" s="6333"/>
      <c r="G19" s="6306"/>
      <c r="H19" s="6307"/>
      <c r="I19" s="6307"/>
      <c r="J19" s="6307"/>
      <c r="K19" s="6307"/>
      <c r="L19" s="6307"/>
      <c r="M19" s="6308"/>
      <c r="N19" s="1505"/>
      <c r="O19" s="1505"/>
      <c r="P19" s="1505"/>
      <c r="Q19" s="1505"/>
      <c r="R19" s="1505"/>
      <c r="S19" s="1505"/>
      <c r="T19" s="1505"/>
      <c r="U19" s="1505"/>
      <c r="V19" s="1511"/>
      <c r="W19" s="345"/>
      <c r="X19" s="345"/>
      <c r="Y19" s="345"/>
      <c r="Z19" s="345"/>
      <c r="AA19" s="345"/>
      <c r="AB19" s="345"/>
      <c r="AC19" s="345"/>
      <c r="AD19" s="345"/>
      <c r="AE19" s="345"/>
      <c r="AF19" s="345"/>
      <c r="AG19" s="345"/>
      <c r="AH19" s="345"/>
      <c r="AI19" s="345"/>
      <c r="AJ19" s="345"/>
      <c r="AK19" s="345"/>
      <c r="AL19" s="345"/>
      <c r="AM19" s="345"/>
      <c r="AN19" s="345"/>
      <c r="AO19" s="345"/>
      <c r="AP19" s="345"/>
      <c r="AQ19" s="345"/>
      <c r="AR19" s="345"/>
      <c r="AS19" s="345"/>
      <c r="AT19" s="345"/>
      <c r="AU19" s="345"/>
      <c r="AV19" s="345"/>
      <c r="AW19" s="345"/>
      <c r="AX19" s="345"/>
      <c r="AY19" s="345"/>
      <c r="AZ19" s="345"/>
      <c r="BA19" s="345"/>
      <c r="BB19" s="345"/>
      <c r="BC19" s="345"/>
      <c r="BD19" s="345"/>
      <c r="BE19" s="345"/>
      <c r="BF19" s="345"/>
      <c r="BG19" s="345"/>
      <c r="BH19" s="345"/>
      <c r="BI19" s="345"/>
      <c r="BJ19" s="345"/>
      <c r="BK19" s="345"/>
      <c r="BL19" s="345"/>
      <c r="BM19" s="345"/>
      <c r="BN19" s="345"/>
      <c r="BO19" s="345"/>
      <c r="BP19" s="345"/>
      <c r="BQ19" s="345"/>
      <c r="BR19" s="345"/>
      <c r="BS19" s="345"/>
      <c r="BT19" s="345"/>
      <c r="BU19" s="345"/>
      <c r="BV19" s="345"/>
      <c r="BW19" s="345"/>
      <c r="BX19" s="345"/>
      <c r="BY19" s="345"/>
      <c r="BZ19" s="345"/>
      <c r="CA19" s="345"/>
      <c r="CB19" s="345"/>
      <c r="CC19" s="345"/>
      <c r="CD19" s="345"/>
      <c r="CE19" s="345"/>
      <c r="CF19" s="345"/>
      <c r="CG19" s="345"/>
      <c r="CH19" s="345"/>
      <c r="CI19" s="345"/>
      <c r="CJ19" s="345"/>
      <c r="CK19" s="345"/>
      <c r="CL19" s="345"/>
      <c r="CM19" s="345"/>
      <c r="CN19" s="345"/>
      <c r="CO19" s="345"/>
      <c r="CP19" s="345"/>
      <c r="CQ19" s="345"/>
      <c r="CR19" s="345"/>
      <c r="CS19" s="345"/>
      <c r="CT19" s="345"/>
      <c r="CU19" s="345"/>
      <c r="CV19" s="345"/>
      <c r="CW19" s="345"/>
    </row>
    <row r="20" spans="1:101" ht="20.100000000000001" customHeight="1">
      <c r="A20" s="345"/>
      <c r="B20" s="1512"/>
      <c r="C20" s="1505"/>
      <c r="D20" s="6331" t="s">
        <v>19</v>
      </c>
      <c r="E20" s="6332"/>
      <c r="F20" s="6333"/>
      <c r="G20" s="6306"/>
      <c r="H20" s="6307"/>
      <c r="I20" s="6307"/>
      <c r="J20" s="6307"/>
      <c r="K20" s="6307"/>
      <c r="L20" s="6307"/>
      <c r="M20" s="6308"/>
      <c r="N20" s="1505"/>
      <c r="O20" s="1505"/>
      <c r="P20" s="1505"/>
      <c r="Q20" s="1505"/>
      <c r="R20" s="1505"/>
      <c r="S20" s="1505"/>
      <c r="T20" s="1505"/>
      <c r="U20" s="1505"/>
      <c r="V20" s="1511"/>
      <c r="W20" s="345"/>
      <c r="X20" s="345"/>
      <c r="Y20" s="345"/>
      <c r="Z20" s="345"/>
      <c r="AA20" s="345"/>
      <c r="AB20" s="345"/>
      <c r="AC20" s="345"/>
      <c r="AD20" s="345"/>
      <c r="AE20" s="345"/>
      <c r="AF20" s="345"/>
      <c r="AG20" s="345"/>
      <c r="AH20" s="345"/>
      <c r="AI20" s="345"/>
      <c r="AJ20" s="345"/>
      <c r="AK20" s="345"/>
      <c r="AL20" s="345"/>
      <c r="AM20" s="345"/>
      <c r="AN20" s="345"/>
      <c r="AO20" s="345"/>
      <c r="AP20" s="345"/>
      <c r="AQ20" s="345"/>
      <c r="AR20" s="345"/>
      <c r="AS20" s="345"/>
      <c r="AT20" s="345"/>
      <c r="AU20" s="345"/>
      <c r="AV20" s="345"/>
      <c r="AW20" s="345"/>
      <c r="AX20" s="345"/>
      <c r="AY20" s="345"/>
      <c r="AZ20" s="345"/>
      <c r="BA20" s="345"/>
      <c r="BB20" s="345"/>
      <c r="BC20" s="345"/>
      <c r="BD20" s="345"/>
      <c r="BE20" s="345"/>
      <c r="BF20" s="345"/>
      <c r="BG20" s="345"/>
      <c r="BH20" s="345"/>
      <c r="BI20" s="345"/>
      <c r="BJ20" s="345"/>
      <c r="BK20" s="345"/>
      <c r="BL20" s="345"/>
      <c r="BM20" s="345"/>
      <c r="BN20" s="345"/>
      <c r="BO20" s="345"/>
      <c r="BP20" s="345"/>
      <c r="BQ20" s="345"/>
      <c r="BR20" s="345"/>
      <c r="BS20" s="345"/>
      <c r="BT20" s="345"/>
      <c r="BU20" s="345"/>
      <c r="BV20" s="345"/>
      <c r="BW20" s="345"/>
      <c r="BX20" s="345"/>
      <c r="BY20" s="345"/>
      <c r="BZ20" s="345"/>
      <c r="CA20" s="345"/>
      <c r="CB20" s="345"/>
      <c r="CC20" s="345"/>
      <c r="CD20" s="345"/>
      <c r="CE20" s="345"/>
      <c r="CF20" s="345"/>
      <c r="CG20" s="345"/>
      <c r="CH20" s="345"/>
      <c r="CI20" s="345"/>
      <c r="CJ20" s="345"/>
      <c r="CK20" s="345"/>
      <c r="CL20" s="345"/>
      <c r="CM20" s="345"/>
      <c r="CN20" s="345"/>
      <c r="CO20" s="345"/>
      <c r="CP20" s="345"/>
      <c r="CQ20" s="345"/>
      <c r="CR20" s="345"/>
      <c r="CS20" s="345"/>
      <c r="CT20" s="345"/>
      <c r="CU20" s="345"/>
      <c r="CV20" s="345"/>
      <c r="CW20" s="345"/>
    </row>
    <row r="21" spans="1:101" ht="20.100000000000001" customHeight="1">
      <c r="A21" s="345"/>
      <c r="B21" s="1512"/>
      <c r="C21" s="1505"/>
      <c r="D21" s="6331" t="s">
        <v>20</v>
      </c>
      <c r="E21" s="6332"/>
      <c r="F21" s="6333"/>
      <c r="G21" s="6306"/>
      <c r="H21" s="6307"/>
      <c r="I21" s="6307"/>
      <c r="J21" s="6307"/>
      <c r="K21" s="6307"/>
      <c r="L21" s="6307"/>
      <c r="M21" s="6308"/>
      <c r="N21" s="1505"/>
      <c r="O21" s="1505"/>
      <c r="P21" s="1505"/>
      <c r="Q21" s="1505"/>
      <c r="R21" s="1505"/>
      <c r="S21" s="1505"/>
      <c r="T21" s="1505"/>
      <c r="U21" s="1505"/>
      <c r="V21" s="1511"/>
      <c r="W21" s="345"/>
      <c r="X21" s="345"/>
      <c r="Y21" s="345"/>
      <c r="Z21" s="345"/>
      <c r="AA21" s="345"/>
      <c r="AB21" s="345"/>
      <c r="AC21" s="345"/>
      <c r="AD21" s="345"/>
      <c r="AE21" s="345"/>
      <c r="AF21" s="345"/>
      <c r="AG21" s="345"/>
      <c r="AH21" s="345"/>
      <c r="AI21" s="345"/>
      <c r="AJ21" s="345"/>
      <c r="AK21" s="345"/>
      <c r="AL21" s="345"/>
      <c r="AM21" s="345"/>
      <c r="AN21" s="345"/>
      <c r="AO21" s="345"/>
      <c r="AP21" s="345"/>
      <c r="AQ21" s="345"/>
      <c r="AR21" s="345"/>
      <c r="AS21" s="345"/>
      <c r="AT21" s="345"/>
      <c r="AU21" s="345"/>
      <c r="AV21" s="345"/>
      <c r="AW21" s="345"/>
      <c r="AX21" s="345"/>
      <c r="AY21" s="345"/>
      <c r="AZ21" s="345"/>
      <c r="BA21" s="345"/>
      <c r="BB21" s="345"/>
      <c r="BC21" s="345"/>
      <c r="BD21" s="345"/>
      <c r="BE21" s="345"/>
      <c r="BF21" s="345"/>
      <c r="BG21" s="345"/>
      <c r="BH21" s="345"/>
      <c r="BI21" s="345"/>
      <c r="BJ21" s="345"/>
      <c r="BK21" s="345"/>
      <c r="BL21" s="345"/>
      <c r="BM21" s="345"/>
      <c r="BN21" s="345"/>
      <c r="BO21" s="345"/>
      <c r="BP21" s="345"/>
      <c r="BQ21" s="345"/>
      <c r="BR21" s="345"/>
      <c r="BS21" s="345"/>
      <c r="BT21" s="345"/>
      <c r="BU21" s="345"/>
      <c r="BV21" s="345"/>
      <c r="BW21" s="345"/>
      <c r="BX21" s="345"/>
      <c r="BY21" s="345"/>
      <c r="BZ21" s="345"/>
      <c r="CA21" s="345"/>
      <c r="CB21" s="345"/>
      <c r="CC21" s="345"/>
      <c r="CD21" s="345"/>
      <c r="CE21" s="345"/>
      <c r="CF21" s="345"/>
      <c r="CG21" s="345"/>
      <c r="CH21" s="345"/>
      <c r="CI21" s="345"/>
      <c r="CJ21" s="345"/>
      <c r="CK21" s="345"/>
      <c r="CL21" s="345"/>
      <c r="CM21" s="345"/>
      <c r="CN21" s="345"/>
      <c r="CO21" s="345"/>
      <c r="CP21" s="345"/>
      <c r="CQ21" s="345"/>
      <c r="CR21" s="345"/>
      <c r="CS21" s="345"/>
      <c r="CT21" s="345"/>
      <c r="CU21" s="345"/>
      <c r="CV21" s="345"/>
      <c r="CW21" s="345"/>
    </row>
    <row r="22" spans="1:101" ht="20.100000000000001" customHeight="1">
      <c r="A22" s="345"/>
      <c r="B22" s="1512"/>
      <c r="C22" s="1505"/>
      <c r="D22" s="6331" t="s">
        <v>1589</v>
      </c>
      <c r="E22" s="6332"/>
      <c r="F22" s="6333"/>
      <c r="G22" s="6306"/>
      <c r="H22" s="6307"/>
      <c r="I22" s="6307"/>
      <c r="J22" s="6307"/>
      <c r="K22" s="6307"/>
      <c r="L22" s="6307"/>
      <c r="M22" s="6308"/>
      <c r="N22" s="1505"/>
      <c r="O22" s="1505"/>
      <c r="P22" s="1505"/>
      <c r="Q22" s="1505"/>
      <c r="R22" s="1505"/>
      <c r="S22" s="1505"/>
      <c r="T22" s="1505"/>
      <c r="U22" s="1505"/>
      <c r="V22" s="1511"/>
      <c r="W22" s="345"/>
      <c r="X22" s="345"/>
      <c r="Y22" s="345"/>
      <c r="Z22" s="345"/>
      <c r="AA22" s="345"/>
      <c r="AB22" s="345"/>
      <c r="AC22" s="345"/>
      <c r="AD22" s="345"/>
      <c r="AE22" s="345"/>
      <c r="AF22" s="345"/>
      <c r="AG22" s="345"/>
      <c r="AH22" s="345"/>
      <c r="AI22" s="345"/>
      <c r="AJ22" s="345"/>
      <c r="AK22" s="345"/>
      <c r="AL22" s="345"/>
      <c r="AM22" s="345"/>
      <c r="AN22" s="345"/>
      <c r="AO22" s="345"/>
      <c r="AP22" s="345"/>
      <c r="AQ22" s="345"/>
      <c r="AR22" s="345"/>
      <c r="AS22" s="345"/>
      <c r="AT22" s="345"/>
      <c r="AU22" s="345"/>
      <c r="AV22" s="345"/>
      <c r="AW22" s="345"/>
      <c r="AX22" s="345"/>
      <c r="AY22" s="345"/>
      <c r="AZ22" s="345"/>
      <c r="BA22" s="345"/>
      <c r="BB22" s="345"/>
      <c r="BC22" s="345"/>
      <c r="BD22" s="345"/>
      <c r="BE22" s="345"/>
      <c r="BF22" s="345"/>
      <c r="BG22" s="345"/>
      <c r="BH22" s="345"/>
      <c r="BI22" s="345"/>
      <c r="BJ22" s="345"/>
      <c r="BK22" s="345"/>
      <c r="BL22" s="345"/>
      <c r="BM22" s="345"/>
      <c r="BN22" s="345"/>
      <c r="BO22" s="345"/>
      <c r="BP22" s="345"/>
      <c r="BQ22" s="345"/>
      <c r="BR22" s="345"/>
      <c r="BS22" s="345"/>
      <c r="BT22" s="345"/>
      <c r="BU22" s="345"/>
      <c r="BV22" s="345"/>
      <c r="BW22" s="345"/>
      <c r="BX22" s="345"/>
      <c r="BY22" s="345"/>
      <c r="BZ22" s="345"/>
      <c r="CA22" s="345"/>
      <c r="CB22" s="345"/>
      <c r="CC22" s="345"/>
      <c r="CD22" s="345"/>
      <c r="CE22" s="345"/>
      <c r="CF22" s="345"/>
      <c r="CG22" s="345"/>
      <c r="CH22" s="345"/>
      <c r="CI22" s="345"/>
      <c r="CJ22" s="345"/>
      <c r="CK22" s="345"/>
      <c r="CL22" s="345"/>
      <c r="CM22" s="345"/>
      <c r="CN22" s="345"/>
      <c r="CO22" s="345"/>
      <c r="CP22" s="345"/>
      <c r="CQ22" s="345"/>
      <c r="CR22" s="345"/>
      <c r="CS22" s="345"/>
      <c r="CT22" s="345"/>
      <c r="CU22" s="345"/>
      <c r="CV22" s="345"/>
      <c r="CW22" s="345"/>
    </row>
    <row r="23" spans="1:101" ht="20.100000000000001" customHeight="1">
      <c r="A23" s="345"/>
      <c r="B23" s="1512"/>
      <c r="C23" s="1505"/>
      <c r="D23" s="2802"/>
      <c r="E23" s="2802"/>
      <c r="F23" s="2802"/>
      <c r="G23" s="2803"/>
      <c r="H23" s="2803"/>
      <c r="I23" s="2803"/>
      <c r="J23" s="2803"/>
      <c r="K23" s="2803"/>
      <c r="L23" s="2803"/>
      <c r="M23" s="1505"/>
      <c r="N23" s="1505"/>
      <c r="O23" s="1505"/>
      <c r="P23" s="1505"/>
      <c r="Q23" s="1505"/>
      <c r="R23" s="1505"/>
      <c r="S23" s="1505"/>
      <c r="T23" s="1505"/>
      <c r="U23" s="1505"/>
      <c r="V23" s="1511"/>
      <c r="W23" s="345"/>
      <c r="X23" s="345"/>
      <c r="Y23" s="345"/>
      <c r="Z23" s="345"/>
      <c r="AA23" s="345"/>
      <c r="AB23" s="345"/>
      <c r="AC23" s="345"/>
      <c r="AD23" s="345"/>
      <c r="AE23" s="345"/>
      <c r="AF23" s="345"/>
      <c r="AG23" s="345"/>
      <c r="AH23" s="345"/>
      <c r="AI23" s="345"/>
      <c r="AJ23" s="345"/>
      <c r="AK23" s="345"/>
      <c r="AL23" s="345"/>
      <c r="AM23" s="345"/>
      <c r="AN23" s="345"/>
      <c r="AO23" s="345"/>
      <c r="AP23" s="345"/>
      <c r="AQ23" s="345"/>
      <c r="AR23" s="345"/>
      <c r="AS23" s="345"/>
      <c r="AT23" s="345"/>
      <c r="AU23" s="345"/>
      <c r="AV23" s="345"/>
      <c r="AW23" s="345"/>
      <c r="AX23" s="345"/>
      <c r="AY23" s="345"/>
      <c r="AZ23" s="345"/>
      <c r="BA23" s="345"/>
      <c r="BB23" s="345"/>
      <c r="BC23" s="345"/>
      <c r="BD23" s="345"/>
      <c r="BE23" s="345"/>
      <c r="BF23" s="345"/>
      <c r="BG23" s="345"/>
      <c r="BH23" s="345"/>
      <c r="BI23" s="345"/>
      <c r="BJ23" s="345"/>
      <c r="BK23" s="345"/>
      <c r="BL23" s="345"/>
      <c r="BM23" s="345"/>
      <c r="BN23" s="345"/>
      <c r="BO23" s="345"/>
      <c r="BP23" s="345"/>
      <c r="BQ23" s="345"/>
      <c r="BR23" s="345"/>
      <c r="BS23" s="345"/>
      <c r="BT23" s="345"/>
      <c r="BU23" s="345"/>
      <c r="BV23" s="345"/>
      <c r="BW23" s="345"/>
      <c r="BX23" s="345"/>
      <c r="BY23" s="345"/>
      <c r="BZ23" s="345"/>
      <c r="CA23" s="345"/>
      <c r="CB23" s="345"/>
      <c r="CC23" s="345"/>
      <c r="CD23" s="345"/>
      <c r="CE23" s="345"/>
      <c r="CF23" s="345"/>
      <c r="CG23" s="345"/>
      <c r="CH23" s="345"/>
      <c r="CI23" s="345"/>
      <c r="CJ23" s="345"/>
      <c r="CK23" s="345"/>
      <c r="CL23" s="345"/>
      <c r="CM23" s="345"/>
      <c r="CN23" s="345"/>
      <c r="CO23" s="345"/>
      <c r="CP23" s="345"/>
      <c r="CQ23" s="345"/>
      <c r="CR23" s="345"/>
      <c r="CS23" s="345"/>
      <c r="CT23" s="345"/>
      <c r="CU23" s="345"/>
      <c r="CV23" s="345"/>
      <c r="CW23" s="345"/>
    </row>
    <row r="24" spans="1:101" ht="20.100000000000001" customHeight="1">
      <c r="A24" s="345"/>
      <c r="B24" s="1512"/>
      <c r="C24" s="1505"/>
      <c r="D24" s="1514"/>
      <c r="E24" s="1505"/>
      <c r="F24" s="1505"/>
      <c r="G24" s="1505"/>
      <c r="H24" s="1505"/>
      <c r="I24" s="1505"/>
      <c r="J24" s="1505"/>
      <c r="K24" s="1505"/>
      <c r="L24" s="1505"/>
      <c r="M24" s="1505"/>
      <c r="N24" s="1505"/>
      <c r="O24" s="1505"/>
      <c r="P24" s="6329" t="s">
        <v>363</v>
      </c>
      <c r="Q24" s="6329"/>
      <c r="R24" s="6329"/>
      <c r="S24" s="6329"/>
      <c r="T24" s="6329"/>
      <c r="U24" s="6329"/>
      <c r="V24" s="6330"/>
      <c r="W24" s="345"/>
      <c r="X24" s="345"/>
      <c r="Y24" s="345"/>
      <c r="Z24" s="345"/>
      <c r="AA24" s="345"/>
      <c r="AB24" s="345"/>
      <c r="AC24" s="345"/>
      <c r="AD24" s="345"/>
      <c r="AE24" s="345"/>
      <c r="AF24" s="345"/>
      <c r="AG24" s="345"/>
      <c r="AH24" s="345"/>
      <c r="AI24" s="345"/>
      <c r="AJ24" s="345"/>
      <c r="AK24" s="345"/>
      <c r="AL24" s="345"/>
      <c r="AM24" s="345"/>
      <c r="AN24" s="345"/>
      <c r="AO24" s="345"/>
      <c r="AP24" s="345"/>
      <c r="AQ24" s="345"/>
      <c r="AR24" s="345"/>
      <c r="AS24" s="345"/>
      <c r="AT24" s="345"/>
      <c r="AU24" s="345"/>
      <c r="AV24" s="345"/>
      <c r="AW24" s="345"/>
      <c r="AX24" s="345"/>
      <c r="AY24" s="345"/>
      <c r="AZ24" s="345"/>
      <c r="BA24" s="345"/>
      <c r="BB24" s="345"/>
      <c r="BC24" s="345"/>
      <c r="BD24" s="345"/>
      <c r="BE24" s="345"/>
      <c r="BF24" s="345"/>
      <c r="BG24" s="345"/>
      <c r="BH24" s="345"/>
      <c r="BI24" s="345"/>
      <c r="BJ24" s="345"/>
      <c r="BK24" s="345"/>
      <c r="BL24" s="345"/>
      <c r="BM24" s="345"/>
      <c r="BN24" s="345"/>
      <c r="BO24" s="345"/>
      <c r="BP24" s="345"/>
      <c r="BQ24" s="345"/>
      <c r="BR24" s="345"/>
      <c r="BS24" s="345"/>
      <c r="BT24" s="345"/>
      <c r="BU24" s="345"/>
      <c r="BV24" s="345"/>
      <c r="BW24" s="345"/>
      <c r="BX24" s="345"/>
      <c r="BY24" s="345"/>
      <c r="BZ24" s="345"/>
      <c r="CA24" s="345"/>
      <c r="CB24" s="345"/>
      <c r="CC24" s="345"/>
      <c r="CD24" s="345"/>
      <c r="CE24" s="345"/>
      <c r="CF24" s="345"/>
      <c r="CG24" s="345"/>
      <c r="CH24" s="345"/>
      <c r="CI24" s="345"/>
      <c r="CJ24" s="345"/>
      <c r="CK24" s="345"/>
      <c r="CL24" s="345"/>
      <c r="CM24" s="345"/>
      <c r="CN24" s="345"/>
      <c r="CO24" s="345"/>
      <c r="CP24" s="345"/>
      <c r="CQ24" s="345"/>
      <c r="CR24" s="345"/>
      <c r="CS24" s="345"/>
      <c r="CT24" s="345"/>
      <c r="CU24" s="345"/>
      <c r="CV24" s="345"/>
      <c r="CW24" s="345"/>
    </row>
    <row r="25" spans="1:101" ht="20.100000000000001" customHeight="1">
      <c r="A25" s="345"/>
      <c r="B25" s="1512"/>
      <c r="C25" s="1505"/>
      <c r="D25" s="6334" t="s">
        <v>364</v>
      </c>
      <c r="E25" s="6334"/>
      <c r="F25" s="6334"/>
      <c r="G25" s="6334"/>
      <c r="H25" s="6334"/>
      <c r="I25" s="6334"/>
      <c r="J25" s="6334"/>
      <c r="K25" s="6334"/>
      <c r="L25" s="6334"/>
      <c r="M25" s="1505"/>
      <c r="N25" s="1505"/>
      <c r="O25" s="1505"/>
      <c r="P25" s="6326" t="s">
        <v>365</v>
      </c>
      <c r="Q25" s="6326"/>
      <c r="R25" s="6326"/>
      <c r="S25" s="6326"/>
      <c r="T25" s="6326"/>
      <c r="U25" s="6326"/>
      <c r="V25" s="6327"/>
      <c r="W25" s="345"/>
      <c r="X25" s="345"/>
      <c r="Y25" s="345"/>
      <c r="Z25" s="345"/>
      <c r="AA25" s="345"/>
      <c r="AB25" s="345"/>
      <c r="AC25" s="345"/>
      <c r="AD25" s="345"/>
      <c r="AE25" s="345"/>
      <c r="AF25" s="345"/>
      <c r="AG25" s="345"/>
      <c r="AH25" s="345"/>
      <c r="AI25" s="345"/>
      <c r="AJ25" s="345"/>
      <c r="AK25" s="345"/>
      <c r="AL25" s="345"/>
      <c r="AM25" s="345"/>
      <c r="AN25" s="345"/>
      <c r="AO25" s="345"/>
      <c r="AP25" s="345"/>
      <c r="AQ25" s="345"/>
      <c r="AR25" s="345"/>
      <c r="AS25" s="345"/>
      <c r="AT25" s="345"/>
      <c r="AU25" s="345"/>
      <c r="AV25" s="345"/>
      <c r="AW25" s="345"/>
      <c r="AX25" s="345"/>
      <c r="AY25" s="345"/>
      <c r="AZ25" s="345"/>
      <c r="BA25" s="345"/>
      <c r="BB25" s="345"/>
      <c r="BC25" s="345"/>
      <c r="BD25" s="345"/>
      <c r="BE25" s="345"/>
      <c r="BF25" s="345"/>
      <c r="BG25" s="345"/>
      <c r="BH25" s="345"/>
      <c r="BI25" s="345"/>
      <c r="BJ25" s="345"/>
      <c r="BK25" s="345"/>
      <c r="BL25" s="345"/>
      <c r="BM25" s="345"/>
      <c r="BN25" s="345"/>
      <c r="BO25" s="345"/>
      <c r="BP25" s="345"/>
      <c r="BQ25" s="345"/>
      <c r="BR25" s="345"/>
      <c r="BS25" s="345"/>
      <c r="BT25" s="345"/>
      <c r="BU25" s="345"/>
      <c r="BV25" s="345"/>
      <c r="BW25" s="345"/>
      <c r="BX25" s="345"/>
      <c r="BY25" s="345"/>
      <c r="BZ25" s="345"/>
      <c r="CA25" s="345"/>
      <c r="CB25" s="345"/>
      <c r="CC25" s="345"/>
      <c r="CD25" s="345"/>
      <c r="CE25" s="345"/>
      <c r="CF25" s="345"/>
      <c r="CG25" s="345"/>
      <c r="CH25" s="345"/>
      <c r="CI25" s="345"/>
      <c r="CJ25" s="345"/>
      <c r="CK25" s="345"/>
      <c r="CL25" s="345"/>
      <c r="CM25" s="345"/>
      <c r="CN25" s="345"/>
      <c r="CO25" s="345"/>
      <c r="CP25" s="345"/>
      <c r="CQ25" s="345"/>
      <c r="CR25" s="345"/>
      <c r="CS25" s="345"/>
      <c r="CT25" s="345"/>
      <c r="CU25" s="345"/>
      <c r="CV25" s="345"/>
      <c r="CW25" s="345"/>
    </row>
    <row r="26" spans="1:101" ht="20.100000000000001" customHeight="1">
      <c r="A26" s="345"/>
      <c r="B26" s="1512"/>
      <c r="C26" s="1505"/>
      <c r="D26" s="1505"/>
      <c r="E26" s="1505"/>
      <c r="F26" s="1496"/>
      <c r="G26" s="1505"/>
      <c r="H26" s="1505"/>
      <c r="I26" s="1505"/>
      <c r="J26" s="1505"/>
      <c r="K26" s="1505"/>
      <c r="L26" s="1505"/>
      <c r="M26" s="1505"/>
      <c r="N26" s="1505"/>
      <c r="O26" s="1505"/>
      <c r="P26" s="2688"/>
      <c r="Q26" s="2688"/>
      <c r="R26" s="2688"/>
      <c r="S26" s="2688"/>
      <c r="T26" s="2688"/>
      <c r="U26" s="2688"/>
      <c r="V26" s="2689"/>
      <c r="W26" s="345"/>
      <c r="X26" s="345"/>
      <c r="Y26" s="345"/>
      <c r="Z26" s="345"/>
      <c r="AA26" s="345"/>
      <c r="AB26" s="345"/>
      <c r="AC26" s="345"/>
      <c r="AD26" s="345"/>
      <c r="AE26" s="345"/>
      <c r="AF26" s="345"/>
      <c r="AG26" s="345"/>
      <c r="AH26" s="345"/>
      <c r="AI26" s="345"/>
      <c r="AJ26" s="345"/>
      <c r="AK26" s="345"/>
      <c r="AL26" s="345"/>
      <c r="AM26" s="345"/>
      <c r="AN26" s="345"/>
      <c r="AO26" s="345"/>
      <c r="AP26" s="345"/>
      <c r="AQ26" s="345"/>
      <c r="AR26" s="345"/>
      <c r="AS26" s="345"/>
      <c r="AT26" s="345"/>
      <c r="AU26" s="345"/>
      <c r="AV26" s="345"/>
      <c r="AW26" s="345"/>
      <c r="AX26" s="345"/>
      <c r="AY26" s="345"/>
      <c r="AZ26" s="345"/>
      <c r="BA26" s="345"/>
      <c r="BB26" s="345"/>
      <c r="BC26" s="345"/>
      <c r="BD26" s="345"/>
      <c r="BE26" s="345"/>
      <c r="BF26" s="345"/>
      <c r="BG26" s="345"/>
      <c r="BH26" s="345"/>
      <c r="BI26" s="345"/>
      <c r="BJ26" s="345"/>
      <c r="BK26" s="345"/>
      <c r="BL26" s="345"/>
      <c r="BM26" s="345"/>
      <c r="BN26" s="345"/>
      <c r="BO26" s="345"/>
      <c r="BP26" s="345"/>
      <c r="BQ26" s="345"/>
      <c r="BR26" s="345"/>
      <c r="BS26" s="345"/>
      <c r="BT26" s="345"/>
      <c r="BU26" s="345"/>
      <c r="BV26" s="345"/>
      <c r="BW26" s="345"/>
      <c r="BX26" s="345"/>
      <c r="BY26" s="345"/>
      <c r="BZ26" s="345"/>
      <c r="CA26" s="345"/>
      <c r="CB26" s="345"/>
      <c r="CC26" s="345"/>
      <c r="CD26" s="345"/>
      <c r="CE26" s="345"/>
      <c r="CF26" s="345"/>
      <c r="CG26" s="345"/>
      <c r="CH26" s="345"/>
      <c r="CI26" s="345"/>
      <c r="CJ26" s="345"/>
      <c r="CK26" s="345"/>
      <c r="CL26" s="345"/>
      <c r="CM26" s="345"/>
      <c r="CN26" s="345"/>
      <c r="CO26" s="345"/>
      <c r="CP26" s="345"/>
      <c r="CQ26" s="345"/>
      <c r="CR26" s="345"/>
      <c r="CS26" s="345"/>
      <c r="CT26" s="345"/>
      <c r="CU26" s="345"/>
      <c r="CV26" s="345"/>
      <c r="CW26" s="345"/>
    </row>
    <row r="27" spans="1:101" ht="20.100000000000001" customHeight="1">
      <c r="A27" s="345"/>
      <c r="B27" s="1512"/>
      <c r="C27" s="1505"/>
      <c r="D27" s="1505"/>
      <c r="E27" s="1505"/>
      <c r="F27" s="1496"/>
      <c r="G27" s="1505"/>
      <c r="H27" s="1505"/>
      <c r="I27" s="1505"/>
      <c r="J27" s="1505"/>
      <c r="K27" s="1505"/>
      <c r="L27" s="1505"/>
      <c r="M27" s="1505"/>
      <c r="N27" s="1505"/>
      <c r="O27" s="1505"/>
      <c r="P27" s="2688"/>
      <c r="Q27" s="2688"/>
      <c r="R27" s="2688"/>
      <c r="S27" s="2688"/>
      <c r="T27" s="2688"/>
      <c r="U27" s="2688"/>
      <c r="V27" s="2689"/>
      <c r="W27" s="345"/>
      <c r="X27" s="345"/>
      <c r="Y27" s="345"/>
      <c r="Z27" s="345"/>
      <c r="AA27" s="345"/>
      <c r="AB27" s="345"/>
      <c r="AC27" s="345"/>
      <c r="AD27" s="345"/>
      <c r="AE27" s="345"/>
      <c r="AF27" s="345"/>
      <c r="AG27" s="345"/>
      <c r="AH27" s="345"/>
      <c r="AI27" s="345"/>
      <c r="AJ27" s="345"/>
      <c r="AK27" s="345"/>
      <c r="AL27" s="345"/>
      <c r="AM27" s="345"/>
      <c r="AN27" s="345"/>
      <c r="AO27" s="345"/>
      <c r="AP27" s="345"/>
      <c r="AQ27" s="345"/>
      <c r="AR27" s="345"/>
      <c r="AS27" s="345"/>
      <c r="AT27" s="345"/>
      <c r="AU27" s="345"/>
      <c r="AV27" s="345"/>
      <c r="AW27" s="345"/>
      <c r="AX27" s="345"/>
      <c r="AY27" s="345"/>
      <c r="AZ27" s="345"/>
      <c r="BA27" s="345"/>
      <c r="BB27" s="345"/>
      <c r="BC27" s="345"/>
      <c r="BD27" s="345"/>
      <c r="BE27" s="345"/>
      <c r="BF27" s="345"/>
      <c r="BG27" s="345"/>
      <c r="BH27" s="345"/>
      <c r="BI27" s="345"/>
      <c r="BJ27" s="345"/>
      <c r="BK27" s="345"/>
      <c r="BL27" s="345"/>
      <c r="BM27" s="345"/>
      <c r="BN27" s="345"/>
      <c r="BO27" s="345"/>
      <c r="BP27" s="345"/>
      <c r="BQ27" s="345"/>
      <c r="BR27" s="345"/>
      <c r="BS27" s="345"/>
      <c r="BT27" s="345"/>
      <c r="BU27" s="345"/>
      <c r="BV27" s="345"/>
      <c r="BW27" s="345"/>
      <c r="BX27" s="345"/>
      <c r="BY27" s="345"/>
      <c r="BZ27" s="345"/>
      <c r="CA27" s="345"/>
      <c r="CB27" s="345"/>
      <c r="CC27" s="345"/>
      <c r="CD27" s="345"/>
      <c r="CE27" s="345"/>
      <c r="CF27" s="345"/>
      <c r="CG27" s="345"/>
      <c r="CH27" s="345"/>
      <c r="CI27" s="345"/>
      <c r="CJ27" s="345"/>
      <c r="CK27" s="345"/>
      <c r="CL27" s="345"/>
      <c r="CM27" s="345"/>
      <c r="CN27" s="345"/>
      <c r="CO27" s="345"/>
      <c r="CP27" s="345"/>
      <c r="CQ27" s="345"/>
      <c r="CR27" s="345"/>
      <c r="CS27" s="345"/>
      <c r="CT27" s="345"/>
      <c r="CU27" s="345"/>
      <c r="CV27" s="345"/>
      <c r="CW27" s="345"/>
    </row>
    <row r="28" spans="1:101" ht="20.100000000000001" customHeight="1">
      <c r="A28" s="345"/>
      <c r="B28" s="1512"/>
      <c r="C28" s="1505"/>
      <c r="D28" s="1505"/>
      <c r="E28" s="1505"/>
      <c r="F28" s="1496"/>
      <c r="G28" s="1505"/>
      <c r="H28" s="1505"/>
      <c r="I28" s="1505"/>
      <c r="J28" s="1505"/>
      <c r="K28" s="1505"/>
      <c r="L28" s="1505"/>
      <c r="M28" s="1505"/>
      <c r="N28" s="1505"/>
      <c r="O28" s="1505"/>
      <c r="P28" s="2688"/>
      <c r="Q28" s="2688"/>
      <c r="R28" s="2688"/>
      <c r="S28" s="2688"/>
      <c r="T28" s="2688"/>
      <c r="U28" s="2688"/>
      <c r="V28" s="2689"/>
      <c r="W28" s="345"/>
      <c r="X28" s="345"/>
      <c r="Y28" s="345"/>
      <c r="Z28" s="345"/>
      <c r="AA28" s="345"/>
      <c r="AB28" s="345"/>
      <c r="AC28" s="345"/>
      <c r="AD28" s="345"/>
      <c r="AE28" s="345"/>
      <c r="AF28" s="345"/>
      <c r="AG28" s="345"/>
      <c r="AH28" s="345"/>
      <c r="AI28" s="345"/>
      <c r="AJ28" s="345"/>
      <c r="AK28" s="345"/>
      <c r="AL28" s="345"/>
      <c r="AM28" s="345"/>
      <c r="AN28" s="345"/>
      <c r="AO28" s="345"/>
      <c r="AP28" s="345"/>
      <c r="AQ28" s="345"/>
      <c r="AR28" s="345"/>
      <c r="AS28" s="345"/>
      <c r="AT28" s="345"/>
      <c r="AU28" s="345"/>
      <c r="AV28" s="345"/>
      <c r="AW28" s="345"/>
      <c r="AX28" s="345"/>
      <c r="AY28" s="345"/>
      <c r="AZ28" s="345"/>
      <c r="BA28" s="345"/>
      <c r="BB28" s="345"/>
      <c r="BC28" s="345"/>
      <c r="BD28" s="345"/>
      <c r="BE28" s="345"/>
      <c r="BF28" s="345"/>
      <c r="BG28" s="345"/>
      <c r="BH28" s="345"/>
      <c r="BI28" s="345"/>
      <c r="BJ28" s="345"/>
      <c r="BK28" s="345"/>
      <c r="BL28" s="345"/>
      <c r="BM28" s="345"/>
      <c r="BN28" s="345"/>
      <c r="BO28" s="345"/>
      <c r="BP28" s="345"/>
      <c r="BQ28" s="345"/>
      <c r="BR28" s="345"/>
      <c r="BS28" s="345"/>
      <c r="BT28" s="345"/>
      <c r="BU28" s="345"/>
      <c r="BV28" s="345"/>
      <c r="BW28" s="345"/>
      <c r="BX28" s="345"/>
      <c r="BY28" s="345"/>
      <c r="BZ28" s="345"/>
      <c r="CA28" s="345"/>
      <c r="CB28" s="345"/>
      <c r="CC28" s="345"/>
      <c r="CD28" s="345"/>
      <c r="CE28" s="345"/>
      <c r="CF28" s="345"/>
      <c r="CG28" s="345"/>
      <c r="CH28" s="345"/>
      <c r="CI28" s="345"/>
      <c r="CJ28" s="345"/>
      <c r="CK28" s="345"/>
      <c r="CL28" s="345"/>
      <c r="CM28" s="345"/>
      <c r="CN28" s="345"/>
      <c r="CO28" s="345"/>
      <c r="CP28" s="345"/>
      <c r="CQ28" s="345"/>
      <c r="CR28" s="345"/>
      <c r="CS28" s="345"/>
      <c r="CT28" s="345"/>
      <c r="CU28" s="345"/>
      <c r="CV28" s="345"/>
      <c r="CW28" s="345"/>
    </row>
    <row r="29" spans="1:101" ht="20.100000000000001" customHeight="1">
      <c r="A29" s="345"/>
      <c r="B29" s="1512"/>
      <c r="C29" s="1505"/>
      <c r="D29" s="1505"/>
      <c r="E29" s="1505"/>
      <c r="F29" s="1496"/>
      <c r="G29" s="1505"/>
      <c r="H29" s="1505"/>
      <c r="I29" s="1505"/>
      <c r="J29" s="1505"/>
      <c r="K29" s="1505"/>
      <c r="L29" s="1505"/>
      <c r="M29" s="1505"/>
      <c r="N29" s="1505"/>
      <c r="O29" s="1505"/>
      <c r="P29" s="2688"/>
      <c r="Q29" s="2688"/>
      <c r="R29" s="2688"/>
      <c r="S29" s="2688"/>
      <c r="T29" s="2688"/>
      <c r="U29" s="2688"/>
      <c r="V29" s="2689"/>
      <c r="W29" s="345"/>
      <c r="X29" s="345"/>
      <c r="Y29" s="345"/>
      <c r="Z29" s="345"/>
      <c r="AA29" s="345"/>
      <c r="AB29" s="345"/>
      <c r="AC29" s="345"/>
      <c r="AD29" s="345"/>
      <c r="AE29" s="345"/>
      <c r="AF29" s="345"/>
      <c r="AG29" s="345"/>
      <c r="AH29" s="345"/>
      <c r="AI29" s="345"/>
      <c r="AJ29" s="345"/>
      <c r="AK29" s="345"/>
      <c r="AL29" s="345"/>
      <c r="AM29" s="345"/>
      <c r="AN29" s="345"/>
      <c r="AO29" s="345"/>
      <c r="AP29" s="345"/>
      <c r="AQ29" s="345"/>
      <c r="AR29" s="345"/>
      <c r="AS29" s="345"/>
      <c r="AT29" s="345"/>
      <c r="AU29" s="345"/>
      <c r="AV29" s="345"/>
      <c r="AW29" s="345"/>
      <c r="AX29" s="345"/>
      <c r="AY29" s="345"/>
      <c r="AZ29" s="345"/>
      <c r="BA29" s="345"/>
      <c r="BB29" s="345"/>
      <c r="BC29" s="345"/>
      <c r="BD29" s="345"/>
      <c r="BE29" s="345"/>
      <c r="BF29" s="345"/>
      <c r="BG29" s="345"/>
      <c r="BH29" s="345"/>
      <c r="BI29" s="345"/>
      <c r="BJ29" s="345"/>
      <c r="BK29" s="345"/>
      <c r="BL29" s="345"/>
      <c r="BM29" s="345"/>
      <c r="BN29" s="345"/>
      <c r="BO29" s="345"/>
      <c r="BP29" s="345"/>
      <c r="BQ29" s="345"/>
      <c r="BR29" s="345"/>
      <c r="BS29" s="345"/>
      <c r="BT29" s="345"/>
      <c r="BU29" s="345"/>
      <c r="BV29" s="345"/>
      <c r="BW29" s="345"/>
      <c r="BX29" s="345"/>
      <c r="BY29" s="345"/>
      <c r="BZ29" s="345"/>
      <c r="CA29" s="345"/>
      <c r="CB29" s="345"/>
      <c r="CC29" s="345"/>
      <c r="CD29" s="345"/>
      <c r="CE29" s="345"/>
      <c r="CF29" s="345"/>
      <c r="CG29" s="345"/>
      <c r="CH29" s="345"/>
      <c r="CI29" s="345"/>
      <c r="CJ29" s="345"/>
      <c r="CK29" s="345"/>
      <c r="CL29" s="345"/>
      <c r="CM29" s="345"/>
      <c r="CN29" s="345"/>
      <c r="CO29" s="345"/>
      <c r="CP29" s="345"/>
      <c r="CQ29" s="345"/>
      <c r="CR29" s="345"/>
      <c r="CS29" s="345"/>
      <c r="CT29" s="345"/>
      <c r="CU29" s="345"/>
      <c r="CV29" s="345"/>
      <c r="CW29" s="345"/>
    </row>
    <row r="30" spans="1:101" ht="20.100000000000001" customHeight="1" thickBot="1">
      <c r="A30" s="840"/>
      <c r="B30" s="1515"/>
      <c r="C30" s="1516"/>
      <c r="D30" s="1516"/>
      <c r="E30" s="1516"/>
      <c r="F30" s="1517"/>
      <c r="G30" s="1516"/>
      <c r="H30" s="1516"/>
      <c r="I30" s="1516"/>
      <c r="J30" s="1516"/>
      <c r="K30" s="1516"/>
      <c r="L30" s="1516"/>
      <c r="M30" s="1516"/>
      <c r="N30" s="1516"/>
      <c r="O30" s="1516"/>
      <c r="P30" s="1518"/>
      <c r="Q30" s="1518"/>
      <c r="R30" s="1518"/>
      <c r="S30" s="1518"/>
      <c r="T30" s="1518"/>
      <c r="U30" s="1518"/>
      <c r="V30" s="1521"/>
      <c r="W30" s="345"/>
      <c r="X30" s="345"/>
      <c r="Y30" s="345"/>
      <c r="Z30" s="345"/>
      <c r="AA30" s="345"/>
      <c r="AB30" s="345"/>
      <c r="AC30" s="345"/>
      <c r="AD30" s="345"/>
      <c r="AE30" s="345"/>
      <c r="AF30" s="345"/>
      <c r="AG30" s="345"/>
      <c r="AH30" s="345"/>
      <c r="AI30" s="345"/>
      <c r="AJ30" s="345"/>
      <c r="AK30" s="345"/>
      <c r="AL30" s="345"/>
      <c r="AM30" s="345"/>
      <c r="AN30" s="345"/>
      <c r="AO30" s="345"/>
      <c r="AP30" s="345"/>
      <c r="AQ30" s="345"/>
      <c r="AR30" s="345"/>
      <c r="AS30" s="345"/>
      <c r="AT30" s="345"/>
      <c r="AU30" s="345"/>
      <c r="AV30" s="345"/>
      <c r="AW30" s="345"/>
      <c r="AX30" s="345"/>
      <c r="AY30" s="345"/>
      <c r="AZ30" s="345"/>
      <c r="BA30" s="345"/>
      <c r="BB30" s="345"/>
      <c r="BC30" s="345"/>
      <c r="BD30" s="345"/>
      <c r="BE30" s="345"/>
      <c r="BF30" s="345"/>
      <c r="BG30" s="345"/>
      <c r="BH30" s="345"/>
      <c r="BI30" s="345"/>
      <c r="BJ30" s="345"/>
      <c r="BK30" s="345"/>
      <c r="BL30" s="345"/>
      <c r="BM30" s="345"/>
      <c r="BN30" s="345"/>
      <c r="BO30" s="345"/>
      <c r="BP30" s="345"/>
      <c r="BQ30" s="345"/>
      <c r="BR30" s="345"/>
      <c r="BS30" s="345"/>
      <c r="BT30" s="345"/>
      <c r="BU30" s="345"/>
      <c r="BV30" s="345"/>
      <c r="BW30" s="345"/>
      <c r="BX30" s="345"/>
      <c r="BY30" s="345"/>
      <c r="BZ30" s="345"/>
      <c r="CA30" s="345"/>
      <c r="CB30" s="345"/>
      <c r="CC30" s="345"/>
      <c r="CD30" s="345"/>
      <c r="CE30" s="345"/>
      <c r="CF30" s="345"/>
      <c r="CG30" s="345"/>
      <c r="CH30" s="345"/>
      <c r="CI30" s="345"/>
      <c r="CJ30" s="345"/>
      <c r="CK30" s="345"/>
      <c r="CL30" s="345"/>
      <c r="CM30" s="345"/>
      <c r="CN30" s="345"/>
      <c r="CO30" s="345"/>
      <c r="CP30" s="345"/>
      <c r="CQ30" s="345"/>
      <c r="CR30" s="345"/>
      <c r="CS30" s="345"/>
      <c r="CT30" s="345"/>
      <c r="CU30" s="345"/>
      <c r="CV30" s="345"/>
      <c r="CW30" s="345"/>
    </row>
    <row r="31" spans="1:101" ht="20.100000000000001" customHeight="1" thickTop="1">
      <c r="A31" s="840"/>
      <c r="B31" s="2809"/>
      <c r="C31" s="2809"/>
      <c r="D31" s="2809"/>
      <c r="E31" s="2809"/>
      <c r="F31" s="2530"/>
      <c r="G31" s="2809"/>
      <c r="H31" s="2809"/>
      <c r="I31" s="2809"/>
      <c r="J31" s="2809"/>
      <c r="K31" s="2809"/>
      <c r="L31" s="2809"/>
      <c r="M31" s="2809"/>
      <c r="N31" s="2809"/>
      <c r="O31" s="2809"/>
      <c r="P31" s="2810"/>
      <c r="Q31" s="2810"/>
      <c r="R31" s="2810"/>
      <c r="S31" s="2810"/>
      <c r="T31" s="2810"/>
      <c r="U31" s="2810"/>
      <c r="V31" s="2810"/>
      <c r="W31" s="840"/>
      <c r="X31" s="345"/>
      <c r="Y31" s="345"/>
      <c r="Z31" s="345"/>
      <c r="AA31" s="345"/>
      <c r="AB31" s="345"/>
      <c r="AC31" s="345"/>
      <c r="AD31" s="345"/>
      <c r="AE31" s="345"/>
      <c r="AF31" s="345"/>
      <c r="AG31" s="345"/>
      <c r="AH31" s="345"/>
      <c r="AI31" s="345"/>
      <c r="AJ31" s="345"/>
      <c r="AK31" s="345"/>
      <c r="AL31" s="345"/>
      <c r="AM31" s="345"/>
      <c r="AN31" s="345"/>
      <c r="AO31" s="345"/>
      <c r="AP31" s="345"/>
      <c r="AQ31" s="345"/>
      <c r="AR31" s="345"/>
      <c r="AS31" s="345"/>
      <c r="AT31" s="345"/>
      <c r="AU31" s="345"/>
      <c r="AV31" s="345"/>
      <c r="AW31" s="345"/>
      <c r="AX31" s="345"/>
      <c r="AY31" s="345"/>
      <c r="AZ31" s="345"/>
      <c r="BA31" s="345"/>
      <c r="BB31" s="345"/>
      <c r="BC31" s="345"/>
      <c r="BD31" s="345"/>
      <c r="BE31" s="345"/>
      <c r="BF31" s="345"/>
      <c r="BG31" s="345"/>
      <c r="BH31" s="345"/>
      <c r="BI31" s="345"/>
      <c r="BJ31" s="345"/>
      <c r="BK31" s="345"/>
      <c r="BL31" s="345"/>
      <c r="BM31" s="345"/>
      <c r="BN31" s="345"/>
      <c r="BO31" s="345"/>
      <c r="BP31" s="345"/>
      <c r="BQ31" s="345"/>
      <c r="BR31" s="345"/>
      <c r="BS31" s="345"/>
      <c r="BT31" s="345"/>
      <c r="BU31" s="345"/>
      <c r="BV31" s="345"/>
      <c r="BW31" s="345"/>
      <c r="BX31" s="345"/>
      <c r="BY31" s="345"/>
      <c r="BZ31" s="345"/>
      <c r="CA31" s="345"/>
      <c r="CB31" s="345"/>
      <c r="CC31" s="345"/>
      <c r="CD31" s="345"/>
      <c r="CE31" s="345"/>
      <c r="CF31" s="345"/>
      <c r="CG31" s="345"/>
      <c r="CH31" s="345"/>
      <c r="CI31" s="345"/>
      <c r="CJ31" s="345"/>
      <c r="CK31" s="345"/>
      <c r="CL31" s="345"/>
      <c r="CM31" s="345"/>
      <c r="CN31" s="345"/>
      <c r="CO31" s="345"/>
      <c r="CP31" s="345"/>
      <c r="CQ31" s="345"/>
      <c r="CR31" s="345"/>
      <c r="CS31" s="345"/>
      <c r="CT31" s="345"/>
      <c r="CU31" s="345"/>
      <c r="CV31" s="345"/>
      <c r="CW31" s="345"/>
    </row>
    <row r="32" spans="1:101">
      <c r="A32" s="840"/>
      <c r="B32" s="840"/>
      <c r="C32" s="840"/>
      <c r="D32" s="840"/>
      <c r="E32" s="840"/>
      <c r="F32" s="840"/>
      <c r="G32" s="840"/>
      <c r="H32" s="840"/>
      <c r="I32" s="840"/>
      <c r="J32" s="840"/>
      <c r="K32" s="840"/>
      <c r="L32" s="840"/>
      <c r="M32" s="840"/>
      <c r="N32" s="840"/>
      <c r="O32" s="840"/>
      <c r="P32" s="840"/>
      <c r="Q32" s="840"/>
      <c r="R32" s="840"/>
      <c r="S32" s="840"/>
      <c r="T32" s="840"/>
      <c r="U32" s="840"/>
      <c r="V32" s="840"/>
      <c r="W32" s="840"/>
      <c r="X32" s="840"/>
      <c r="Y32" s="840"/>
      <c r="Z32" s="840"/>
      <c r="AA32" s="840"/>
      <c r="AB32" s="840"/>
      <c r="AC32" s="840"/>
      <c r="AD32" s="840"/>
      <c r="AE32" s="840"/>
      <c r="AF32" s="840"/>
      <c r="AG32" s="840"/>
      <c r="AH32" s="840"/>
      <c r="AI32" s="840"/>
      <c r="AJ32" s="840"/>
      <c r="AK32" s="840"/>
      <c r="AL32" s="840"/>
      <c r="AM32" s="840"/>
      <c r="AN32" s="840"/>
      <c r="AO32" s="840"/>
      <c r="AP32" s="840"/>
      <c r="AQ32" s="840"/>
      <c r="AR32" s="840"/>
      <c r="AS32" s="840"/>
      <c r="AT32" s="840"/>
      <c r="AU32" s="840"/>
      <c r="AV32" s="840"/>
      <c r="AW32" s="840"/>
      <c r="AX32" s="840"/>
      <c r="AY32" s="840"/>
      <c r="AZ32" s="840"/>
      <c r="BA32" s="840"/>
      <c r="BB32" s="840"/>
      <c r="BC32" s="840"/>
      <c r="BD32" s="840"/>
      <c r="BE32" s="840"/>
      <c r="BF32" s="840"/>
      <c r="BG32" s="840"/>
      <c r="BH32" s="840"/>
      <c r="BI32" s="840"/>
      <c r="BJ32" s="840"/>
      <c r="BK32" s="840"/>
      <c r="BL32" s="840"/>
      <c r="BM32" s="840"/>
      <c r="BN32" s="840"/>
      <c r="BO32" s="840"/>
      <c r="BP32" s="840"/>
      <c r="BQ32" s="840"/>
      <c r="BR32" s="840"/>
      <c r="BS32" s="840"/>
      <c r="BT32" s="840"/>
      <c r="BU32" s="840"/>
      <c r="BV32" s="840"/>
      <c r="BW32" s="840"/>
      <c r="BX32" s="840"/>
      <c r="BY32" s="840"/>
      <c r="BZ32" s="840"/>
      <c r="CA32" s="840"/>
      <c r="CB32" s="840"/>
      <c r="CC32" s="840"/>
      <c r="CD32" s="840"/>
      <c r="CE32" s="840"/>
      <c r="CF32" s="840"/>
      <c r="CG32" s="840"/>
      <c r="CH32" s="840"/>
      <c r="CI32" s="840"/>
      <c r="CJ32" s="840"/>
      <c r="CK32" s="840"/>
      <c r="CL32" s="840"/>
      <c r="CM32" s="840"/>
      <c r="CN32" s="840"/>
      <c r="CO32" s="840"/>
      <c r="CP32" s="840"/>
      <c r="CQ32" s="840"/>
      <c r="CR32" s="840"/>
    </row>
    <row r="33" spans="1:31" hidden="1">
      <c r="A33" s="840"/>
      <c r="B33" s="840"/>
      <c r="C33" s="840"/>
      <c r="D33" s="840"/>
      <c r="E33" s="840"/>
      <c r="F33" s="840"/>
      <c r="G33" s="840"/>
      <c r="H33" s="840"/>
      <c r="I33" s="840"/>
      <c r="J33" s="840"/>
      <c r="K33" s="840"/>
      <c r="L33" s="840"/>
      <c r="M33" s="840"/>
      <c r="N33" s="840"/>
      <c r="O33" s="840"/>
      <c r="P33" s="840"/>
      <c r="Q33" s="840"/>
      <c r="R33" s="840"/>
      <c r="S33" s="840"/>
      <c r="T33" s="840"/>
      <c r="U33" s="840"/>
      <c r="V33" s="840"/>
      <c r="W33" s="840"/>
      <c r="X33" s="840"/>
      <c r="Y33" s="840"/>
      <c r="Z33" s="840"/>
      <c r="AA33" s="840"/>
      <c r="AB33" s="840"/>
      <c r="AC33" s="840"/>
      <c r="AD33" s="840"/>
      <c r="AE33" s="840"/>
    </row>
    <row r="34" spans="1:31" hidden="1">
      <c r="A34" s="840"/>
      <c r="B34" s="840"/>
      <c r="C34" s="840"/>
      <c r="D34" s="840"/>
      <c r="E34" s="840"/>
      <c r="F34" s="840"/>
      <c r="G34" s="840"/>
      <c r="H34" s="840"/>
      <c r="I34" s="840"/>
      <c r="J34" s="840"/>
      <c r="K34" s="840"/>
      <c r="L34" s="840"/>
      <c r="M34" s="840"/>
      <c r="N34" s="840"/>
      <c r="O34" s="840"/>
      <c r="P34" s="840"/>
      <c r="Q34" s="840"/>
      <c r="R34" s="840"/>
      <c r="S34" s="840"/>
      <c r="T34" s="840"/>
      <c r="U34" s="840"/>
      <c r="V34" s="840"/>
      <c r="W34" s="840"/>
      <c r="X34" s="840"/>
      <c r="Y34" s="840"/>
      <c r="Z34" s="840"/>
      <c r="AA34" s="840"/>
      <c r="AB34" s="840"/>
      <c r="AC34" s="840"/>
      <c r="AD34" s="840"/>
      <c r="AE34" s="840"/>
    </row>
    <row r="35" spans="1:31" hidden="1">
      <c r="A35" s="840"/>
      <c r="B35" s="840"/>
      <c r="C35" s="840"/>
      <c r="D35" s="840"/>
      <c r="E35" s="840"/>
      <c r="F35" s="840"/>
      <c r="G35" s="840"/>
      <c r="H35" s="840"/>
      <c r="I35" s="840"/>
      <c r="J35" s="840"/>
      <c r="K35" s="840"/>
      <c r="L35" s="840"/>
      <c r="M35" s="840"/>
      <c r="N35" s="840"/>
      <c r="O35" s="840"/>
      <c r="P35" s="840"/>
      <c r="Q35" s="840"/>
      <c r="R35" s="840"/>
      <c r="S35" s="840"/>
      <c r="T35" s="840"/>
      <c r="U35" s="840"/>
      <c r="V35" s="840"/>
      <c r="W35" s="840"/>
      <c r="X35" s="840"/>
      <c r="Y35" s="840"/>
      <c r="Z35" s="840"/>
      <c r="AA35" s="840"/>
      <c r="AB35" s="840"/>
      <c r="AC35" s="840"/>
      <c r="AD35" s="840"/>
      <c r="AE35" s="840"/>
    </row>
    <row r="36" spans="1:31" hidden="1">
      <c r="A36" s="840"/>
      <c r="B36" s="840"/>
      <c r="C36" s="840"/>
      <c r="D36" s="840"/>
      <c r="E36" s="840"/>
      <c r="F36" s="840"/>
      <c r="G36" s="840"/>
      <c r="H36" s="840"/>
      <c r="I36" s="840"/>
      <c r="J36" s="840"/>
      <c r="K36" s="840"/>
      <c r="L36" s="840"/>
      <c r="M36" s="840"/>
      <c r="N36" s="840"/>
      <c r="O36" s="840"/>
      <c r="P36" s="840"/>
      <c r="Q36" s="840"/>
      <c r="R36" s="840"/>
      <c r="S36" s="840"/>
      <c r="T36" s="840"/>
      <c r="U36" s="840"/>
      <c r="V36" s="840"/>
      <c r="W36" s="840"/>
      <c r="X36" s="840"/>
      <c r="Y36" s="840"/>
      <c r="Z36" s="840"/>
      <c r="AA36" s="840"/>
      <c r="AB36" s="840"/>
      <c r="AC36" s="840"/>
      <c r="AD36" s="840"/>
      <c r="AE36" s="840"/>
    </row>
    <row r="37" spans="1:31" hidden="1">
      <c r="A37" s="840"/>
      <c r="B37" s="840"/>
      <c r="C37" s="840"/>
      <c r="D37" s="840"/>
      <c r="E37" s="840"/>
      <c r="F37" s="840"/>
      <c r="G37" s="840"/>
      <c r="H37" s="840"/>
      <c r="I37" s="840"/>
      <c r="J37" s="840"/>
      <c r="K37" s="840"/>
      <c r="L37" s="840"/>
      <c r="M37" s="840"/>
      <c r="N37" s="840"/>
      <c r="O37" s="840"/>
      <c r="P37" s="840"/>
      <c r="Q37" s="840"/>
      <c r="R37" s="840"/>
      <c r="S37" s="840"/>
      <c r="T37" s="840"/>
      <c r="U37" s="840"/>
      <c r="V37" s="840"/>
      <c r="W37" s="840"/>
      <c r="X37" s="840"/>
      <c r="Y37" s="840"/>
      <c r="Z37" s="840"/>
      <c r="AA37" s="840"/>
      <c r="AB37" s="840"/>
      <c r="AC37" s="840"/>
      <c r="AD37" s="840"/>
      <c r="AE37" s="840"/>
    </row>
    <row r="38" spans="1:31" hidden="1">
      <c r="A38" s="840"/>
      <c r="B38" s="840"/>
      <c r="C38" s="840"/>
      <c r="D38" s="840"/>
      <c r="E38" s="840"/>
      <c r="F38" s="840"/>
      <c r="G38" s="840"/>
      <c r="H38" s="840"/>
      <c r="I38" s="840"/>
      <c r="J38" s="840"/>
      <c r="K38" s="840"/>
      <c r="L38" s="840"/>
      <c r="M38" s="840"/>
      <c r="N38" s="840"/>
      <c r="O38" s="840"/>
      <c r="P38" s="840"/>
      <c r="Q38" s="840"/>
      <c r="R38" s="840"/>
      <c r="S38" s="840"/>
      <c r="T38" s="840"/>
      <c r="U38" s="840"/>
      <c r="V38" s="840"/>
      <c r="W38" s="840"/>
      <c r="X38" s="840"/>
      <c r="Y38" s="840"/>
      <c r="Z38" s="840"/>
      <c r="AA38" s="840"/>
      <c r="AB38" s="840"/>
      <c r="AC38" s="840"/>
      <c r="AD38" s="840"/>
      <c r="AE38" s="840"/>
    </row>
  </sheetData>
  <sheetProtection algorithmName="SHA-512" hashValue="BDqg2t3D2lQDhnkd86rjBZTifjUcwIu9xcsDeYhXxDMgJcFWRArNfsicTCmpfU5Szckf75PkUqOeZhCwzLGWSw==" saltValue="y5hQRB2i5F4feIPojvbG8A==" spinCount="100000" sheet="1" selectLockedCells="1"/>
  <protectedRanges>
    <protectedRange sqref="T9:V9 T40:V40" name="Range4_1"/>
    <protectedRange sqref="M66:V71" name="Range1_1"/>
    <protectedRange sqref="P9:R9 P40:R40" name="Range3_1"/>
  </protectedRanges>
  <customSheetViews>
    <customSheetView guid="{DDA22D69-94B5-45BC-9EE2-6055A845129B}" hiddenRows="1" hiddenColumns="1">
      <selection activeCell="D14" sqref="D14:F14"/>
      <pageMargins left="0.59055118110236227" right="0.70866141732283472" top="0.74803149606299213" bottom="0.74803149606299213" header="0.31496062992125984" footer="0.31496062992125984"/>
      <pageSetup paperSize="9" scale="87" orientation="portrait" r:id="rId1"/>
    </customSheetView>
    <customSheetView guid="{1B7577DB-E3C4-4E68-B7CF-8F86FF7C5A82}" hiddenRows="1" hiddenColumns="1">
      <selection activeCell="G21" sqref="G21:M21"/>
      <pageMargins left="0.59055118110236227" right="0.70866141732283472" top="0.74803149606299213" bottom="0.74803149606299213" header="0.31496062992125984" footer="0.31496062992125984"/>
      <pageSetup paperSize="9" scale="87" orientation="portrait" r:id="rId2"/>
    </customSheetView>
    <customSheetView guid="{2BE9587E-F957-49DF-9716-3F2B35B49DC1}" hiddenRows="1" hiddenColumns="1">
      <selection activeCell="D13" sqref="D13:L13"/>
      <rowBreaks count="1" manualBreakCount="1">
        <brk id="44" max="16383" man="1"/>
      </rowBreaks>
      <colBreaks count="1" manualBreakCount="1">
        <brk id="25" max="1048575" man="1"/>
      </colBreaks>
      <pageMargins left="0.99" right="0.7" top="0.75" bottom="0.75" header="0.3" footer="0.3"/>
      <pageSetup paperSize="9" scale="90" orientation="portrait" r:id="rId3"/>
    </customSheetView>
    <customSheetView guid="{60E5615C-64A2-4675-848A-970A515EAF91}" hiddenRows="1" hiddenColumns="1" topLeftCell="A10">
      <selection activeCell="S9" sqref="S9:T9"/>
      <rowBreaks count="1" manualBreakCount="1">
        <brk id="44" max="16383" man="1"/>
      </rowBreaks>
      <colBreaks count="1" manualBreakCount="1">
        <brk id="25" max="1048575" man="1"/>
      </colBreaks>
      <pageMargins left="0.99" right="0.7" top="0.75" bottom="0.75" header="0.3" footer="0.3"/>
      <pageSetup paperSize="9" scale="90" orientation="portrait" r:id="rId4"/>
    </customSheetView>
    <customSheetView guid="{E7B1C62B-1F1D-4A62-BD87-EE62D3A36B6C}" hiddenRows="1" hiddenColumns="1">
      <selection activeCell="D14" sqref="D14:F14"/>
      <pageMargins left="0.59055118110236227" right="0.70866141732283472" top="0.74803149606299213" bottom="0.74803149606299213" header="0.31496062992125984" footer="0.31496062992125984"/>
      <pageSetup paperSize="9" scale="87" orientation="portrait" r:id="rId5"/>
    </customSheetView>
  </customSheetViews>
  <mergeCells count="33">
    <mergeCell ref="P25:V25"/>
    <mergeCell ref="D10:H10"/>
    <mergeCell ref="P24:V24"/>
    <mergeCell ref="D14:F14"/>
    <mergeCell ref="D15:F15"/>
    <mergeCell ref="D16:F16"/>
    <mergeCell ref="D17:F17"/>
    <mergeCell ref="D18:F18"/>
    <mergeCell ref="D19:F19"/>
    <mergeCell ref="D20:F20"/>
    <mergeCell ref="D21:F21"/>
    <mergeCell ref="D22:F22"/>
    <mergeCell ref="D25:L25"/>
    <mergeCell ref="B12:M12"/>
    <mergeCell ref="G14:M14"/>
    <mergeCell ref="G15:M15"/>
    <mergeCell ref="H8:V8"/>
    <mergeCell ref="G9:K9"/>
    <mergeCell ref="L9:O9"/>
    <mergeCell ref="P9:Q9"/>
    <mergeCell ref="S9:T9"/>
    <mergeCell ref="H6:V6"/>
    <mergeCell ref="F7:O7"/>
    <mergeCell ref="S7:T7"/>
    <mergeCell ref="B3:V3"/>
    <mergeCell ref="B4:V4"/>
    <mergeCell ref="G21:M21"/>
    <mergeCell ref="G22:M22"/>
    <mergeCell ref="G16:M16"/>
    <mergeCell ref="G17:M17"/>
    <mergeCell ref="G18:M18"/>
    <mergeCell ref="G19:M19"/>
    <mergeCell ref="G20:M20"/>
  </mergeCells>
  <pageMargins left="0.59055118110236227" right="0.70866141732283472" top="0.74803149606299213" bottom="0.74803149606299213" header="0.31496062992125984" footer="0.31496062992125984"/>
  <pageSetup paperSize="9" scale="87" orientation="portrait" r:id="rId6"/>
  <legacyDrawing r:id="rId7"/>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00"/>
  </sheetPr>
  <dimension ref="A1:EC154"/>
  <sheetViews>
    <sheetView workbookViewId="0">
      <selection activeCell="K66" sqref="K66"/>
    </sheetView>
  </sheetViews>
  <sheetFormatPr defaultColWidth="0" defaultRowHeight="15" zeroHeight="1"/>
  <cols>
    <col min="1" max="1" width="7.5703125" customWidth="1"/>
    <col min="2" max="2" width="7.28515625" customWidth="1"/>
    <col min="3" max="3" width="7.42578125" customWidth="1"/>
    <col min="4" max="4" width="11.28515625" customWidth="1"/>
    <col min="5" max="7" width="9.140625" customWidth="1"/>
    <col min="8" max="8" width="3" customWidth="1"/>
    <col min="9" max="10" width="2" customWidth="1"/>
    <col min="11" max="11" width="32.140625" customWidth="1"/>
    <col min="12" max="12" width="5.42578125" customWidth="1"/>
    <col min="13" max="13" width="4.42578125" customWidth="1"/>
    <col min="14" max="14" width="6.28515625" customWidth="1"/>
    <col min="15" max="15" width="3.42578125" customWidth="1"/>
    <col min="16" max="16" width="0.140625" customWidth="1"/>
    <col min="17" max="17" width="9.140625" customWidth="1"/>
    <col min="18" max="18" width="5.7109375" customWidth="1"/>
    <col min="19" max="19" width="2" customWidth="1"/>
    <col min="20" max="20" width="3" customWidth="1"/>
    <col min="21" max="21" width="13" customWidth="1"/>
    <col min="22" max="24" width="9.140625" customWidth="1"/>
    <col min="25" max="25" width="19.7109375" customWidth="1"/>
    <col min="26" max="26" width="18.42578125" customWidth="1"/>
    <col min="27" max="32" width="9.140625" customWidth="1"/>
    <col min="33" max="38" width="9.140625" hidden="1" customWidth="1"/>
    <col min="39" max="39" width="14.5703125" hidden="1" customWidth="1"/>
    <col min="40" max="43" width="9.140625" hidden="1" customWidth="1"/>
    <col min="44" max="44" width="10.42578125" hidden="1" customWidth="1"/>
    <col min="45" max="45" width="19.42578125" hidden="1" customWidth="1"/>
    <col min="46" max="46" width="21.85546875" hidden="1" customWidth="1"/>
    <col min="47" max="47" width="15.28515625" hidden="1" customWidth="1"/>
    <col min="48" max="55" width="9.140625" hidden="1" customWidth="1"/>
    <col min="56" max="56" width="10.140625" hidden="1" customWidth="1"/>
    <col min="57" max="78" width="9.140625" hidden="1" customWidth="1"/>
    <col min="79" max="133" width="9.140625" customWidth="1"/>
    <col min="134" max="16384" width="9.140625" hidden="1"/>
  </cols>
  <sheetData>
    <row r="1" spans="1:133" ht="15.75" thickBo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row>
    <row r="2" spans="1:133" ht="19.5" customHeight="1" thickTop="1">
      <c r="A2" s="1"/>
      <c r="B2" s="6513" t="s">
        <v>655</v>
      </c>
      <c r="C2" s="6514"/>
      <c r="D2" s="6514"/>
      <c r="E2" s="6514"/>
      <c r="F2" s="6514"/>
      <c r="G2" s="6514"/>
      <c r="H2" s="6514"/>
      <c r="I2" s="6514"/>
      <c r="J2" s="6514"/>
      <c r="K2" s="6514"/>
      <c r="L2" s="6514"/>
      <c r="M2" s="6514"/>
      <c r="N2" s="6514"/>
      <c r="O2" s="6514"/>
      <c r="P2" s="6514"/>
      <c r="Q2" s="6514"/>
      <c r="R2" s="6514"/>
      <c r="S2" s="6514"/>
      <c r="T2" s="6515"/>
      <c r="U2" s="1"/>
      <c r="V2" s="1"/>
      <c r="W2" s="842"/>
      <c r="X2" s="842"/>
      <c r="Y2" s="842"/>
      <c r="Z2" s="842"/>
      <c r="AA2" s="842"/>
      <c r="AB2" s="842"/>
      <c r="AC2" s="842"/>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row>
    <row r="3" spans="1:133" ht="19.5" customHeight="1">
      <c r="A3" s="1"/>
      <c r="B3" s="6462" t="s">
        <v>656</v>
      </c>
      <c r="C3" s="6463"/>
      <c r="D3" s="6463"/>
      <c r="E3" s="6463"/>
      <c r="F3" s="6463"/>
      <c r="G3" s="6463"/>
      <c r="H3" s="6463"/>
      <c r="I3" s="6463"/>
      <c r="J3" s="6463"/>
      <c r="K3" s="6463"/>
      <c r="L3" s="6463"/>
      <c r="M3" s="6463"/>
      <c r="N3" s="6463"/>
      <c r="O3" s="6463"/>
      <c r="P3" s="6463"/>
      <c r="Q3" s="6463"/>
      <c r="R3" s="6463"/>
      <c r="S3" s="6463"/>
      <c r="T3" s="6464"/>
      <c r="U3" s="514"/>
      <c r="V3" s="1"/>
      <c r="W3" s="6461"/>
      <c r="X3" s="6461"/>
      <c r="Y3" s="6461"/>
      <c r="Z3" s="6461"/>
      <c r="AA3" s="6461"/>
      <c r="AB3" s="6461"/>
      <c r="AC3" s="6461"/>
      <c r="AD3" s="1"/>
      <c r="AE3" s="1"/>
      <c r="AF3" s="1"/>
      <c r="AG3" s="1"/>
      <c r="AH3" s="1"/>
      <c r="AI3" s="1"/>
      <c r="AJ3" s="1"/>
      <c r="AK3" s="1185"/>
      <c r="AL3" s="1185"/>
      <c r="AM3" s="1191"/>
      <c r="AN3" s="1191"/>
      <c r="AO3" s="1191"/>
      <c r="AP3" s="1191"/>
      <c r="AQ3" s="1191"/>
      <c r="AR3" s="1185"/>
      <c r="AS3" s="1185"/>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row>
    <row r="4" spans="1:133" ht="17.25" customHeight="1">
      <c r="A4" s="1"/>
      <c r="B4" s="6465" t="s">
        <v>586</v>
      </c>
      <c r="C4" s="6466"/>
      <c r="D4" s="6466"/>
      <c r="E4" s="6466"/>
      <c r="F4" s="6466"/>
      <c r="G4" s="6466"/>
      <c r="H4" s="6466"/>
      <c r="I4" s="6466"/>
      <c r="J4" s="6466"/>
      <c r="K4" s="6466"/>
      <c r="L4" s="6466"/>
      <c r="M4" s="6466"/>
      <c r="N4" s="6466"/>
      <c r="O4" s="6466"/>
      <c r="P4" s="6466"/>
      <c r="Q4" s="6466"/>
      <c r="R4" s="6466"/>
      <c r="S4" s="6466"/>
      <c r="T4" s="6467"/>
      <c r="U4" s="514"/>
      <c r="V4" s="1"/>
      <c r="W4" s="6461"/>
      <c r="X4" s="6461"/>
      <c r="Y4" s="6461"/>
      <c r="Z4" s="6461"/>
      <c r="AA4" s="6461"/>
      <c r="AB4" s="6461"/>
      <c r="AC4" s="6461"/>
      <c r="AD4" s="1"/>
      <c r="AE4" s="1"/>
      <c r="AF4" s="1"/>
      <c r="AG4" s="1"/>
      <c r="AH4" s="1"/>
      <c r="AI4" s="1"/>
      <c r="AJ4" s="1"/>
      <c r="AK4" s="1185"/>
      <c r="AL4" s="1185"/>
      <c r="AM4" s="1191"/>
      <c r="AN4" s="1191"/>
      <c r="AO4" s="1191"/>
      <c r="AP4" s="1191"/>
      <c r="AQ4" s="1191"/>
      <c r="AR4" s="1185"/>
      <c r="AS4" s="1185"/>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row>
    <row r="5" spans="1:133" ht="13.5" customHeight="1">
      <c r="A5" s="1"/>
      <c r="B5" s="6472">
        <v>1</v>
      </c>
      <c r="C5" s="6478" t="s">
        <v>587</v>
      </c>
      <c r="D5" s="6479"/>
      <c r="E5" s="6479"/>
      <c r="F5" s="6479"/>
      <c r="G5" s="6479"/>
      <c r="H5" s="6479"/>
      <c r="I5" s="6479"/>
      <c r="J5" s="6480"/>
      <c r="K5" s="483"/>
      <c r="L5" s="484"/>
      <c r="M5" s="484"/>
      <c r="N5" s="484"/>
      <c r="O5" s="484"/>
      <c r="P5" s="484"/>
      <c r="Q5" s="484"/>
      <c r="R5" s="482"/>
      <c r="S5" s="482"/>
      <c r="T5" s="485"/>
      <c r="U5" s="514"/>
      <c r="V5" s="1"/>
      <c r="W5" s="6423"/>
      <c r="X5" s="6423"/>
      <c r="Y5" s="6423"/>
      <c r="Z5" s="1825"/>
      <c r="AA5" s="1825"/>
      <c r="AB5" s="1825"/>
      <c r="AC5" s="1825"/>
      <c r="AD5" s="1"/>
      <c r="AE5" s="1"/>
      <c r="AF5" s="1"/>
      <c r="AG5" s="519"/>
      <c r="AH5" s="519"/>
      <c r="AI5" s="519"/>
      <c r="AJ5" s="519"/>
      <c r="AK5" s="1186"/>
      <c r="AL5" s="1186"/>
      <c r="AM5" s="1192" t="str">
        <f>'Data Sheet-II'!L8</f>
        <v>B.Saidi Reddy</v>
      </c>
      <c r="AN5" s="1192"/>
      <c r="AO5" s="1192"/>
      <c r="AP5" s="1192"/>
      <c r="AQ5" s="1193"/>
      <c r="AR5" s="1187"/>
      <c r="AS5" s="1187"/>
      <c r="AT5" s="518"/>
      <c r="AU5" s="518"/>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row>
    <row r="6" spans="1:133" ht="20.100000000000001" customHeight="1">
      <c r="A6" s="1"/>
      <c r="B6" s="6473"/>
      <c r="C6" s="6481"/>
      <c r="D6" s="6482"/>
      <c r="E6" s="6482"/>
      <c r="F6" s="6482"/>
      <c r="G6" s="6482"/>
      <c r="H6" s="6482"/>
      <c r="I6" s="6482"/>
      <c r="J6" s="6483"/>
      <c r="K6" s="6475" t="str">
        <f>CONCATENATE(AM5,"")</f>
        <v>B.Saidi Reddy</v>
      </c>
      <c r="L6" s="6346"/>
      <c r="M6" s="6346"/>
      <c r="N6" s="6346"/>
      <c r="O6" s="6346"/>
      <c r="P6" s="6346"/>
      <c r="Q6" s="6346"/>
      <c r="R6" s="466"/>
      <c r="S6" s="466"/>
      <c r="T6" s="486"/>
      <c r="U6" s="514"/>
      <c r="V6" s="1"/>
      <c r="W6" s="6423"/>
      <c r="X6" s="6423"/>
      <c r="Y6" s="6423"/>
      <c r="Z6" s="6424"/>
      <c r="AA6" s="6424"/>
      <c r="AB6" s="6424"/>
      <c r="AC6" s="6424"/>
      <c r="AD6" s="1"/>
      <c r="AE6" s="1"/>
      <c r="AF6" s="1"/>
      <c r="AG6" s="519"/>
      <c r="AH6" s="519"/>
      <c r="AI6" s="519"/>
      <c r="AJ6" s="519"/>
      <c r="AK6" s="1186"/>
      <c r="AL6" s="1186"/>
      <c r="AM6" s="1192"/>
      <c r="AN6" s="1192"/>
      <c r="AO6" s="1192"/>
      <c r="AP6" s="1192"/>
      <c r="AQ6" s="1193"/>
      <c r="AR6" s="1187"/>
      <c r="AS6" s="1187"/>
      <c r="AT6" s="518"/>
      <c r="AU6" s="518"/>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row>
    <row r="7" spans="1:133" ht="20.100000000000001" customHeight="1">
      <c r="A7" s="1"/>
      <c r="B7" s="6473"/>
      <c r="C7" s="6481"/>
      <c r="D7" s="6482"/>
      <c r="E7" s="6482"/>
      <c r="F7" s="6482"/>
      <c r="G7" s="6482"/>
      <c r="H7" s="6482"/>
      <c r="I7" s="6482"/>
      <c r="J7" s="6483"/>
      <c r="K7" s="2617" t="str">
        <f>CONCATENATE(AM7,"")</f>
        <v>Asst.Professor of Maths</v>
      </c>
      <c r="L7" s="2610"/>
      <c r="M7" s="2610"/>
      <c r="N7" s="2610"/>
      <c r="O7" s="487"/>
      <c r="P7" s="487"/>
      <c r="Q7" s="487"/>
      <c r="R7" s="480"/>
      <c r="S7" s="480"/>
      <c r="T7" s="481"/>
      <c r="U7" s="514"/>
      <c r="V7" s="1"/>
      <c r="W7" s="1812"/>
      <c r="X7" s="1812"/>
      <c r="Y7" s="1812"/>
      <c r="Z7" s="1823"/>
      <c r="AA7" s="6474"/>
      <c r="AB7" s="6474"/>
      <c r="AC7" s="6474"/>
      <c r="AD7" s="1"/>
      <c r="AE7" s="1"/>
      <c r="AF7" s="1"/>
      <c r="AG7" s="1"/>
      <c r="AH7" s="1"/>
      <c r="AI7" s="1"/>
      <c r="AJ7" s="1"/>
      <c r="AK7" s="1187"/>
      <c r="AL7" s="1187"/>
      <c r="AM7" s="1193" t="str">
        <f>'Data Sheet-II'!L9</f>
        <v>Asst.Professor of Maths</v>
      </c>
      <c r="AN7" s="1193"/>
      <c r="AO7" s="1193"/>
      <c r="AP7" s="1193"/>
      <c r="AQ7" s="1193"/>
      <c r="AR7" s="1187"/>
      <c r="AS7" s="6376" t="s">
        <v>419</v>
      </c>
      <c r="AT7" s="6376"/>
      <c r="AU7" s="1194">
        <v>12</v>
      </c>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row>
    <row r="8" spans="1:133" ht="20.100000000000001" customHeight="1">
      <c r="A8" s="1"/>
      <c r="B8" s="6473"/>
      <c r="C8" s="6481"/>
      <c r="D8" s="6482"/>
      <c r="E8" s="6482"/>
      <c r="F8" s="6482"/>
      <c r="G8" s="6482"/>
      <c r="H8" s="6482"/>
      <c r="I8" s="6482"/>
      <c r="J8" s="6483"/>
      <c r="K8" s="2617" t="str">
        <f>CONCATENATE(AM8," ,",AM10)</f>
        <v>KRR Govt.Arts &amp; Science College(A) ,Kodad</v>
      </c>
      <c r="L8" s="2610"/>
      <c r="M8" s="2610"/>
      <c r="N8" s="2610"/>
      <c r="O8" s="487"/>
      <c r="P8" s="487"/>
      <c r="Q8" s="487"/>
      <c r="R8" s="480"/>
      <c r="S8" s="480"/>
      <c r="T8" s="481"/>
      <c r="U8" s="514"/>
      <c r="V8" s="1"/>
      <c r="W8" s="1812"/>
      <c r="X8" s="1812"/>
      <c r="Y8" s="1812"/>
      <c r="Z8" s="1814"/>
      <c r="AA8" s="6474"/>
      <c r="AB8" s="6474"/>
      <c r="AC8" s="6474"/>
      <c r="AD8" s="1"/>
      <c r="AE8" s="1"/>
      <c r="AF8" s="1"/>
      <c r="AG8" s="1"/>
      <c r="AH8" s="1"/>
      <c r="AI8" s="1"/>
      <c r="AJ8" s="1"/>
      <c r="AK8" s="1187"/>
      <c r="AL8" s="1187"/>
      <c r="AM8" s="1193" t="str">
        <f>'Data Sheet-II'!L14</f>
        <v>KRR Govt.Arts &amp; Science College(A)</v>
      </c>
      <c r="AN8" s="1193"/>
      <c r="AO8" s="1193"/>
      <c r="AP8" s="1193"/>
      <c r="AQ8" s="1193"/>
      <c r="AR8" s="1187"/>
      <c r="AS8" s="6376" t="s">
        <v>997</v>
      </c>
      <c r="AT8" s="6376"/>
      <c r="AU8" s="1194">
        <f>IF('Old Tax Regime'!S15&gt;0,'Old Tax Regime'!S15,'Old Tax Regime'!AT12)</f>
        <v>19300</v>
      </c>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row>
    <row r="9" spans="1:133" ht="20.100000000000001" customHeight="1">
      <c r="A9" s="1"/>
      <c r="B9" s="6473"/>
      <c r="C9" s="6484"/>
      <c r="D9" s="6485"/>
      <c r="E9" s="6485"/>
      <c r="F9" s="6485"/>
      <c r="G9" s="6485"/>
      <c r="H9" s="6485"/>
      <c r="I9" s="6485"/>
      <c r="J9" s="6486"/>
      <c r="K9" s="6475" t="str">
        <f>CONCATENATE(AM11," ",AN11,",  ",AM13," ",AN13," ,",AM15,AN15)</f>
        <v>Kodad (Mandal),  Suryapet (Dist) ,Telangana(State)</v>
      </c>
      <c r="L9" s="6346"/>
      <c r="M9" s="6346"/>
      <c r="N9" s="6346"/>
      <c r="O9" s="6346"/>
      <c r="P9" s="6346"/>
      <c r="Q9" s="6346"/>
      <c r="R9" s="6346"/>
      <c r="S9" s="6346"/>
      <c r="T9" s="6476"/>
      <c r="U9" s="514"/>
      <c r="V9" s="1"/>
      <c r="W9" s="1812"/>
      <c r="X9" s="1812"/>
      <c r="Y9" s="1812"/>
      <c r="Z9" s="1814"/>
      <c r="AA9" s="6474"/>
      <c r="AB9" s="6474"/>
      <c r="AC9" s="6474"/>
      <c r="AD9" s="1"/>
      <c r="AE9" s="1"/>
      <c r="AF9" s="1"/>
      <c r="AG9" s="1"/>
      <c r="AH9" s="1"/>
      <c r="AI9" s="1"/>
      <c r="AJ9" s="1"/>
      <c r="AK9" s="1187"/>
      <c r="AL9" s="1187"/>
      <c r="AM9" s="1193"/>
      <c r="AN9" s="1193"/>
      <c r="AO9" s="1193"/>
      <c r="AP9" s="1193"/>
      <c r="AQ9" s="1193"/>
      <c r="AR9" s="1187"/>
      <c r="AS9" s="6376" t="s">
        <v>998</v>
      </c>
      <c r="AT9" s="6376"/>
      <c r="AU9" s="1194">
        <f>SUM(AU8*AU7)</f>
        <v>231600</v>
      </c>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row>
    <row r="10" spans="1:133" ht="20.100000000000001" customHeight="1">
      <c r="A10" s="1"/>
      <c r="B10" s="2616">
        <v>2</v>
      </c>
      <c r="C10" s="6468" t="s">
        <v>588</v>
      </c>
      <c r="D10" s="6468"/>
      <c r="E10" s="6468"/>
      <c r="F10" s="6468"/>
      <c r="G10" s="6468"/>
      <c r="H10" s="6468"/>
      <c r="I10" s="6468"/>
      <c r="J10" s="6469"/>
      <c r="K10" s="6470" t="str">
        <f>CONCATENATE(AM17,"")</f>
        <v>BSEPP1245A</v>
      </c>
      <c r="L10" s="6468"/>
      <c r="M10" s="6468"/>
      <c r="N10" s="6468"/>
      <c r="O10" s="6468"/>
      <c r="P10" s="6468"/>
      <c r="Q10" s="6468"/>
      <c r="R10" s="6468"/>
      <c r="S10" s="6468"/>
      <c r="T10" s="6471"/>
      <c r="U10" s="514"/>
      <c r="V10" s="1"/>
      <c r="W10" s="1812"/>
      <c r="X10" s="1812"/>
      <c r="Y10" s="1812"/>
      <c r="Z10" s="1814"/>
      <c r="AA10" s="6474"/>
      <c r="AB10" s="6474"/>
      <c r="AC10" s="6474"/>
      <c r="AD10" s="1"/>
      <c r="AE10" s="1"/>
      <c r="AF10" s="1"/>
      <c r="AG10" s="1"/>
      <c r="AH10" s="1"/>
      <c r="AI10" s="1"/>
      <c r="AJ10" s="1"/>
      <c r="AK10" s="1187"/>
      <c r="AL10" s="1187"/>
      <c r="AM10" s="1193" t="str">
        <f>'Data Sheet-II'!L15</f>
        <v>Kodad</v>
      </c>
      <c r="AN10" s="1193"/>
      <c r="AO10" s="1193"/>
      <c r="AP10" s="1193"/>
      <c r="AQ10" s="1193"/>
      <c r="AR10" s="1187"/>
      <c r="AS10" s="1187"/>
      <c r="AT10" s="518"/>
      <c r="AU10" s="518"/>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row>
    <row r="11" spans="1:133" ht="20.100000000000001" customHeight="1">
      <c r="A11" s="1"/>
      <c r="B11" s="454">
        <v>3</v>
      </c>
      <c r="C11" s="6468" t="s">
        <v>245</v>
      </c>
      <c r="D11" s="6468"/>
      <c r="E11" s="6468"/>
      <c r="F11" s="6468"/>
      <c r="G11" s="6468"/>
      <c r="H11" s="6468"/>
      <c r="I11" s="6468"/>
      <c r="J11" s="6469"/>
      <c r="K11" s="6367" t="str">
        <f>CONCATENATE(AM23,"")</f>
        <v>2025-2026</v>
      </c>
      <c r="L11" s="6367"/>
      <c r="M11" s="6367"/>
      <c r="N11" s="6367"/>
      <c r="O11" s="6367"/>
      <c r="P11" s="6367"/>
      <c r="Q11" s="6367"/>
      <c r="R11" s="6367"/>
      <c r="S11" s="6367"/>
      <c r="T11" s="6477"/>
      <c r="U11" s="514"/>
      <c r="V11" s="1"/>
      <c r="W11" s="1812"/>
      <c r="X11" s="1812"/>
      <c r="Y11" s="1812"/>
      <c r="Z11" s="1814"/>
      <c r="AA11" s="6474"/>
      <c r="AB11" s="6474"/>
      <c r="AC11" s="6474"/>
      <c r="AD11" s="1"/>
      <c r="AE11" s="1"/>
      <c r="AF11" s="1"/>
      <c r="AG11" s="1"/>
      <c r="AH11" s="1"/>
      <c r="AI11" s="1"/>
      <c r="AJ11" s="1"/>
      <c r="AK11" s="1187"/>
      <c r="AL11" s="1187"/>
      <c r="AM11" s="1193" t="str">
        <f>'Data Sheet-II'!L15</f>
        <v>Kodad</v>
      </c>
      <c r="AN11" s="1193" t="s">
        <v>629</v>
      </c>
      <c r="AO11" s="1193"/>
      <c r="AP11" s="1193"/>
      <c r="AQ11" s="1193"/>
      <c r="AR11" s="1187"/>
      <c r="AS11" s="1187"/>
      <c r="AT11" s="518"/>
      <c r="AU11" s="518"/>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row>
    <row r="12" spans="1:133" ht="19.5" customHeight="1">
      <c r="A12" s="1"/>
      <c r="B12" s="475"/>
      <c r="C12" s="6526" t="s">
        <v>589</v>
      </c>
      <c r="D12" s="6526"/>
      <c r="E12" s="6526"/>
      <c r="F12" s="6526"/>
      <c r="G12" s="6526"/>
      <c r="H12" s="6526"/>
      <c r="I12" s="6526"/>
      <c r="J12" s="6526"/>
      <c r="K12" s="6526"/>
      <c r="L12" s="6526"/>
      <c r="M12" s="6526"/>
      <c r="N12" s="6526"/>
      <c r="O12" s="6526"/>
      <c r="P12" s="6526"/>
      <c r="Q12" s="6526"/>
      <c r="R12" s="6526"/>
      <c r="S12" s="6526"/>
      <c r="T12" s="6527"/>
      <c r="U12" s="514" t="s">
        <v>590</v>
      </c>
      <c r="V12" s="1"/>
      <c r="W12" s="516"/>
      <c r="X12" s="516"/>
      <c r="Y12" s="516"/>
      <c r="Z12" s="516"/>
      <c r="AA12" s="516"/>
      <c r="AB12" s="516"/>
      <c r="AC12" s="516"/>
      <c r="AD12" s="1"/>
      <c r="AE12" s="1"/>
      <c r="AF12" s="1"/>
      <c r="AG12" s="1"/>
      <c r="AH12" s="1"/>
      <c r="AI12" s="1"/>
      <c r="AJ12" s="1"/>
      <c r="AK12" s="1187"/>
      <c r="AL12" s="1187"/>
      <c r="AM12" s="1193"/>
      <c r="AN12" s="1193"/>
      <c r="AO12" s="1193"/>
      <c r="AP12" s="1193"/>
      <c r="AQ12" s="1193"/>
      <c r="AR12" s="1187"/>
      <c r="AS12" s="1187"/>
      <c r="AT12" s="518"/>
      <c r="AU12" s="518"/>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row>
    <row r="13" spans="1:133" ht="18.75" customHeight="1" thickBot="1">
      <c r="A13" s="1"/>
      <c r="B13" s="452" t="s">
        <v>176</v>
      </c>
      <c r="C13" s="6392" t="s">
        <v>591</v>
      </c>
      <c r="D13" s="6393"/>
      <c r="E13" s="6393"/>
      <c r="F13" s="6393"/>
      <c r="G13" s="6393"/>
      <c r="H13" s="6393"/>
      <c r="I13" s="6393"/>
      <c r="J13" s="6393"/>
      <c r="K13" s="6393"/>
      <c r="L13" s="6434"/>
      <c r="M13" s="6392" t="s">
        <v>592</v>
      </c>
      <c r="N13" s="6393"/>
      <c r="O13" s="6393"/>
      <c r="P13" s="6434"/>
      <c r="Q13" s="6520" t="s">
        <v>593</v>
      </c>
      <c r="R13" s="6521"/>
      <c r="S13" s="6521"/>
      <c r="T13" s="6522"/>
      <c r="U13" s="514"/>
      <c r="V13" s="842"/>
      <c r="W13" s="1824"/>
      <c r="X13" s="1824"/>
      <c r="Y13" s="1824"/>
      <c r="Z13" s="1824"/>
      <c r="AA13" s="1824"/>
      <c r="AB13" s="1824"/>
      <c r="AC13" s="1824"/>
      <c r="AD13" s="842"/>
      <c r="AE13" s="1"/>
      <c r="AF13" s="1"/>
      <c r="AG13" s="1"/>
      <c r="AH13" s="1"/>
      <c r="AI13" s="1"/>
      <c r="AJ13" s="1"/>
      <c r="AK13" s="1187"/>
      <c r="AL13" s="1187"/>
      <c r="AM13" s="1193" t="str">
        <f>'Data Sheet-II'!L16</f>
        <v>Suryapet</v>
      </c>
      <c r="AN13" s="1193" t="s">
        <v>630</v>
      </c>
      <c r="AO13" s="1193"/>
      <c r="AP13" s="1193"/>
      <c r="AQ13" s="1193"/>
      <c r="AR13" s="1187"/>
      <c r="AS13" s="1187"/>
      <c r="AT13" s="518"/>
      <c r="AU13" s="518"/>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row>
    <row r="14" spans="1:133" ht="20.100000000000001" customHeight="1" thickTop="1">
      <c r="A14" s="1"/>
      <c r="B14" s="476">
        <v>1</v>
      </c>
      <c r="C14" s="6523" t="s">
        <v>594</v>
      </c>
      <c r="D14" s="6524"/>
      <c r="E14" s="6524"/>
      <c r="F14" s="6524"/>
      <c r="G14" s="6524"/>
      <c r="H14" s="6524"/>
      <c r="I14" s="6489"/>
      <c r="J14" s="6489"/>
      <c r="K14" s="6489"/>
      <c r="L14" s="6525"/>
      <c r="M14" s="6355">
        <f>IF(Formula!GE6=1,AU9,"")</f>
        <v>231600</v>
      </c>
      <c r="N14" s="6356"/>
      <c r="O14" s="6356"/>
      <c r="P14" s="6357"/>
      <c r="Q14" s="6349" t="str">
        <f>IF(AND(M14&gt;60000,Formula!GE6=1),"Receipt Produced","")</f>
        <v>Receipt Produced</v>
      </c>
      <c r="R14" s="6350"/>
      <c r="S14" s="6350"/>
      <c r="T14" s="6351"/>
      <c r="U14" s="514"/>
      <c r="V14" s="842"/>
      <c r="W14" s="6398" t="s">
        <v>643</v>
      </c>
      <c r="X14" s="6399"/>
      <c r="Y14" s="6399"/>
      <c r="Z14" s="6399"/>
      <c r="AA14" s="6399"/>
      <c r="AB14" s="6399"/>
      <c r="AC14" s="6400"/>
      <c r="AD14" s="842"/>
      <c r="AE14" s="1"/>
      <c r="AF14" s="1"/>
      <c r="AG14" s="1"/>
      <c r="AH14" s="1"/>
      <c r="AI14" s="1"/>
      <c r="AJ14" s="1"/>
      <c r="AK14" s="1187"/>
      <c r="AL14" s="1187"/>
      <c r="AM14" s="1193"/>
      <c r="AN14" s="1193"/>
      <c r="AO14" s="1193"/>
      <c r="AP14" s="1193"/>
      <c r="AQ14" s="1193"/>
      <c r="AR14" s="1187"/>
      <c r="AS14" s="1187"/>
      <c r="AT14" s="518"/>
      <c r="AU14" s="518"/>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row>
    <row r="15" spans="1:133" ht="20.100000000000001" customHeight="1" thickBot="1">
      <c r="A15" s="1"/>
      <c r="B15" s="473"/>
      <c r="C15" s="2615" t="s">
        <v>491</v>
      </c>
      <c r="D15" s="6346" t="s">
        <v>595</v>
      </c>
      <c r="E15" s="6346"/>
      <c r="F15" s="6346"/>
      <c r="G15" s="6457" t="str">
        <f>IF(Formula!GE6=1,CONCATENATE("12","x",AU8),"")</f>
        <v>12x19300</v>
      </c>
      <c r="H15" s="6458"/>
      <c r="I15" s="6458"/>
      <c r="J15" s="6458"/>
      <c r="K15" s="6458"/>
      <c r="L15" s="6459"/>
      <c r="M15" s="6358"/>
      <c r="N15" s="6359"/>
      <c r="O15" s="6359"/>
      <c r="P15" s="6360"/>
      <c r="Q15" s="6352"/>
      <c r="R15" s="6353"/>
      <c r="S15" s="6353"/>
      <c r="T15" s="6354"/>
      <c r="U15" s="514"/>
      <c r="V15" s="842"/>
      <c r="W15" s="6401"/>
      <c r="X15" s="6402"/>
      <c r="Y15" s="6402"/>
      <c r="Z15" s="6402"/>
      <c r="AA15" s="6402"/>
      <c r="AB15" s="6402"/>
      <c r="AC15" s="6403"/>
      <c r="AD15" s="842"/>
      <c r="AE15" s="1"/>
      <c r="AF15" s="1"/>
      <c r="AG15" s="1"/>
      <c r="AH15" s="1"/>
      <c r="AI15" s="1"/>
      <c r="AJ15" s="1"/>
      <c r="AK15" s="1187"/>
      <c r="AL15" s="1187"/>
      <c r="AM15" s="1193" t="str">
        <f>'Data Sheet-II'!L17</f>
        <v>Telangana</v>
      </c>
      <c r="AN15" s="1193" t="s">
        <v>180</v>
      </c>
      <c r="AO15" s="1193"/>
      <c r="AP15" s="1193"/>
      <c r="AQ15" s="1193"/>
      <c r="AR15" s="1187"/>
      <c r="AS15" s="1187"/>
      <c r="AT15" s="518"/>
      <c r="AU15" s="518"/>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row>
    <row r="16" spans="1:133" ht="18.75" customHeight="1" thickTop="1">
      <c r="A16" s="1"/>
      <c r="B16" s="473"/>
      <c r="C16" s="2615" t="s">
        <v>493</v>
      </c>
      <c r="D16" s="6346" t="s">
        <v>596</v>
      </c>
      <c r="E16" s="6346"/>
      <c r="F16" s="6346"/>
      <c r="G16" s="2675"/>
      <c r="H16" s="2669"/>
      <c r="I16" s="6430" t="str">
        <f>CONCATENATE(Z16,"")</f>
        <v>N.Linga Reddy</v>
      </c>
      <c r="J16" s="6430"/>
      <c r="K16" s="6430"/>
      <c r="L16" s="6431"/>
      <c r="M16" s="6433"/>
      <c r="N16" s="6353"/>
      <c r="O16" s="6353"/>
      <c r="P16" s="6374"/>
      <c r="Q16" s="1819"/>
      <c r="R16" s="121"/>
      <c r="S16" s="121"/>
      <c r="T16" s="1820"/>
      <c r="U16" s="514"/>
      <c r="V16" s="842"/>
      <c r="W16" s="6404" t="s">
        <v>632</v>
      </c>
      <c r="X16" s="6405"/>
      <c r="Y16" s="6405"/>
      <c r="Z16" s="6406" t="s">
        <v>644</v>
      </c>
      <c r="AA16" s="6406"/>
      <c r="AB16" s="6406"/>
      <c r="AC16" s="6407"/>
      <c r="AD16" s="842"/>
      <c r="AE16" s="1"/>
      <c r="AF16" s="1"/>
      <c r="AG16" s="1"/>
      <c r="AH16" s="1"/>
      <c r="AI16" s="1"/>
      <c r="AJ16" s="1"/>
      <c r="AK16" s="1187"/>
      <c r="AL16" s="1187"/>
      <c r="AM16" s="1193"/>
      <c r="AN16" s="1193"/>
      <c r="AO16" s="1193"/>
      <c r="AP16" s="1193"/>
      <c r="AQ16" s="1193"/>
      <c r="AR16" s="1187"/>
      <c r="AS16" s="1187"/>
      <c r="AT16" s="518"/>
      <c r="AU16" s="518"/>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row>
    <row r="17" spans="1:133" ht="20.100000000000001" customHeight="1">
      <c r="A17" s="1"/>
      <c r="B17" s="473"/>
      <c r="C17" s="6433" t="s">
        <v>597</v>
      </c>
      <c r="D17" s="6346" t="s">
        <v>598</v>
      </c>
      <c r="E17" s="6346"/>
      <c r="F17" s="6346"/>
      <c r="G17" s="2676" t="s">
        <v>653</v>
      </c>
      <c r="H17" s="511"/>
      <c r="I17" s="6528" t="str">
        <f>CONCATENATE( Z17,"")</f>
        <v>Venkat Reddy</v>
      </c>
      <c r="J17" s="6528"/>
      <c r="K17" s="6528"/>
      <c r="L17" s="2670"/>
      <c r="M17" s="6433"/>
      <c r="N17" s="6353"/>
      <c r="O17" s="6353"/>
      <c r="P17" s="6374"/>
      <c r="Q17" s="1819"/>
      <c r="R17" s="121"/>
      <c r="S17" s="121"/>
      <c r="T17" s="1820"/>
      <c r="U17" s="514"/>
      <c r="V17" s="842"/>
      <c r="W17" s="6447" t="s">
        <v>642</v>
      </c>
      <c r="X17" s="6448"/>
      <c r="Y17" s="6448"/>
      <c r="Z17" s="6395" t="s">
        <v>645</v>
      </c>
      <c r="AA17" s="6395"/>
      <c r="AB17" s="6395"/>
      <c r="AC17" s="6396"/>
      <c r="AD17" s="842"/>
      <c r="AE17" s="1"/>
      <c r="AF17" s="1"/>
      <c r="AG17" s="1"/>
      <c r="AH17" s="1"/>
      <c r="AI17" s="1"/>
      <c r="AJ17" s="1"/>
      <c r="AK17" s="6397" t="s">
        <v>21</v>
      </c>
      <c r="AL17" s="6397"/>
      <c r="AM17" s="1187" t="str">
        <f>'Data Sheet-II'!L11</f>
        <v>BSEPP1245A</v>
      </c>
      <c r="AN17" s="1187"/>
      <c r="AO17" s="1187"/>
      <c r="AP17" s="1187"/>
      <c r="AQ17" s="1187"/>
      <c r="AR17" s="1187"/>
      <c r="AS17" s="1187"/>
      <c r="AT17" s="518"/>
      <c r="AU17" s="518"/>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row>
    <row r="18" spans="1:133" ht="16.5" customHeight="1">
      <c r="A18" s="1"/>
      <c r="B18" s="473"/>
      <c r="C18" s="6433"/>
      <c r="D18" s="6346"/>
      <c r="E18" s="6346"/>
      <c r="F18" s="6346"/>
      <c r="G18" s="2676" t="s">
        <v>634</v>
      </c>
      <c r="H18" s="511"/>
      <c r="I18" s="6528" t="str">
        <f>CONCATENATE(AA19,"")</f>
        <v>1-115/2</v>
      </c>
      <c r="J18" s="6528"/>
      <c r="K18" s="6528"/>
      <c r="L18" s="2671"/>
      <c r="M18" s="6433"/>
      <c r="N18" s="6353"/>
      <c r="O18" s="6353"/>
      <c r="P18" s="6374"/>
      <c r="Q18" s="1819"/>
      <c r="R18" s="121"/>
      <c r="S18" s="121"/>
      <c r="T18" s="1820"/>
      <c r="U18" s="514"/>
      <c r="V18" s="842"/>
      <c r="W18" s="6447" t="s">
        <v>638</v>
      </c>
      <c r="X18" s="6448"/>
      <c r="Y18" s="6448"/>
      <c r="Z18" s="6395" t="s">
        <v>646</v>
      </c>
      <c r="AA18" s="6395"/>
      <c r="AB18" s="6395"/>
      <c r="AC18" s="6396"/>
      <c r="AD18" s="842"/>
      <c r="AE18" s="1"/>
      <c r="AF18" s="1"/>
      <c r="AG18" s="1"/>
      <c r="AH18" s="1"/>
      <c r="AI18" s="1"/>
      <c r="AJ18" s="1"/>
      <c r="AK18" s="1187"/>
      <c r="AL18" s="1187"/>
      <c r="AM18" s="1187"/>
      <c r="AN18" s="1187"/>
      <c r="AO18" s="1187"/>
      <c r="AP18" s="1187"/>
      <c r="AQ18" s="1187"/>
      <c r="AR18" s="1187"/>
      <c r="AS18" s="1187"/>
      <c r="AT18" s="518"/>
      <c r="AU18" s="518"/>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row>
    <row r="19" spans="1:133" ht="16.5" customHeight="1">
      <c r="A19" s="1"/>
      <c r="B19" s="473"/>
      <c r="C19" s="6433"/>
      <c r="D19" s="6346"/>
      <c r="E19" s="6346"/>
      <c r="F19" s="6346"/>
      <c r="G19" s="2676" t="s">
        <v>650</v>
      </c>
      <c r="H19" s="511"/>
      <c r="I19" s="6501" t="str">
        <f>CONCATENATE(AA20,"")</f>
        <v xml:space="preserve">Srimannarayana </v>
      </c>
      <c r="J19" s="6501"/>
      <c r="K19" s="6501"/>
      <c r="L19" s="2672"/>
      <c r="M19" s="2615"/>
      <c r="N19" s="2611"/>
      <c r="O19" s="2611"/>
      <c r="P19" s="2613"/>
      <c r="Q19" s="1819"/>
      <c r="R19" s="121"/>
      <c r="S19" s="121"/>
      <c r="T19" s="1820"/>
      <c r="U19" s="514"/>
      <c r="V19" s="1"/>
      <c r="W19" s="6408" t="s">
        <v>633</v>
      </c>
      <c r="X19" s="6409"/>
      <c r="Y19" s="6409"/>
      <c r="Z19" s="488" t="s">
        <v>634</v>
      </c>
      <c r="AA19" s="6414" t="s">
        <v>647</v>
      </c>
      <c r="AB19" s="6414"/>
      <c r="AC19" s="6415"/>
      <c r="AD19" s="1"/>
      <c r="AE19" s="1"/>
      <c r="AF19" s="1"/>
      <c r="AG19" s="1"/>
      <c r="AH19" s="1"/>
      <c r="AI19" s="1"/>
      <c r="AJ19" s="1"/>
      <c r="AK19" s="1187"/>
      <c r="AL19" s="1187"/>
      <c r="AM19" s="1187"/>
      <c r="AN19" s="1187"/>
      <c r="AO19" s="1187"/>
      <c r="AP19" s="1187"/>
      <c r="AQ19" s="1187"/>
      <c r="AR19" s="1187"/>
      <c r="AS19" s="1187"/>
      <c r="AT19" s="518"/>
      <c r="AU19" s="518"/>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row>
    <row r="20" spans="1:133" ht="16.5" customHeight="1">
      <c r="A20" s="1"/>
      <c r="B20" s="473"/>
      <c r="C20" s="6433"/>
      <c r="D20" s="6346"/>
      <c r="E20" s="6346"/>
      <c r="F20" s="6346"/>
      <c r="G20" s="2676" t="s">
        <v>635</v>
      </c>
      <c r="H20" s="511"/>
      <c r="I20" s="6501" t="str">
        <f>CONCATENATE(AA21,"")</f>
        <v>Kodad</v>
      </c>
      <c r="J20" s="6501"/>
      <c r="K20" s="6501"/>
      <c r="L20" s="2672"/>
      <c r="M20" s="2615"/>
      <c r="N20" s="2611"/>
      <c r="O20" s="2611"/>
      <c r="P20" s="2613"/>
      <c r="Q20" s="1819"/>
      <c r="R20" s="121"/>
      <c r="S20" s="121"/>
      <c r="T20" s="1820"/>
      <c r="U20" s="1813"/>
      <c r="V20" s="842"/>
      <c r="W20" s="6410"/>
      <c r="X20" s="6411"/>
      <c r="Y20" s="6411"/>
      <c r="Z20" s="489" t="s">
        <v>650</v>
      </c>
      <c r="AA20" s="6414" t="s">
        <v>651</v>
      </c>
      <c r="AB20" s="6414"/>
      <c r="AC20" s="6415"/>
      <c r="AD20" s="842"/>
      <c r="AE20" s="842"/>
      <c r="AF20" s="842"/>
      <c r="AG20" s="842"/>
      <c r="AH20" s="842"/>
      <c r="AI20" s="1"/>
      <c r="AJ20" s="1"/>
      <c r="AK20" s="1187"/>
      <c r="AL20" s="1187"/>
      <c r="AM20" s="1187"/>
      <c r="AN20" s="1187"/>
      <c r="AO20" s="1187"/>
      <c r="AP20" s="1187"/>
      <c r="AQ20" s="1187"/>
      <c r="AR20" s="1187"/>
      <c r="AS20" s="1187"/>
      <c r="AT20" s="518"/>
      <c r="AU20" s="518"/>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row>
    <row r="21" spans="1:133" ht="16.5" customHeight="1">
      <c r="A21" s="1"/>
      <c r="B21" s="473"/>
      <c r="C21" s="6433"/>
      <c r="D21" s="6346"/>
      <c r="E21" s="6346"/>
      <c r="F21" s="6346"/>
      <c r="G21" s="2676" t="s">
        <v>18</v>
      </c>
      <c r="H21" s="2614"/>
      <c r="I21" s="6501" t="str">
        <f>CONCATENATE(AA22,"")</f>
        <v>Munagala</v>
      </c>
      <c r="J21" s="6501"/>
      <c r="K21" s="6501"/>
      <c r="L21" s="2672"/>
      <c r="M21" s="2615"/>
      <c r="N21" s="2611"/>
      <c r="O21" s="2611"/>
      <c r="P21" s="2613"/>
      <c r="Q21" s="1819"/>
      <c r="R21" s="121"/>
      <c r="S21" s="121"/>
      <c r="T21" s="1820"/>
      <c r="U21" s="1813"/>
      <c r="V21" s="842"/>
      <c r="W21" s="6410"/>
      <c r="X21" s="6411"/>
      <c r="Y21" s="6411"/>
      <c r="Z21" s="489" t="s">
        <v>635</v>
      </c>
      <c r="AA21" s="6414" t="s">
        <v>502</v>
      </c>
      <c r="AB21" s="6414"/>
      <c r="AC21" s="6415"/>
      <c r="AD21" s="842"/>
      <c r="AE21" s="842"/>
      <c r="AF21" s="842"/>
      <c r="AG21" s="842"/>
      <c r="AH21" s="842"/>
      <c r="AI21" s="1"/>
      <c r="AJ21" s="1"/>
      <c r="AK21" s="1187"/>
      <c r="AL21" s="1187"/>
      <c r="AM21" s="1187"/>
      <c r="AN21" s="1187"/>
      <c r="AO21" s="1187"/>
      <c r="AP21" s="1187"/>
      <c r="AQ21" s="1187"/>
      <c r="AR21" s="1187"/>
      <c r="AS21" s="1187"/>
      <c r="AT21" s="518"/>
      <c r="AU21" s="518"/>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row>
    <row r="22" spans="1:133" ht="15.75" customHeight="1">
      <c r="A22" s="1"/>
      <c r="B22" s="473"/>
      <c r="C22" s="2615"/>
      <c r="D22" s="6346"/>
      <c r="E22" s="6346"/>
      <c r="F22" s="6346"/>
      <c r="G22" s="2677" t="s">
        <v>19</v>
      </c>
      <c r="H22" s="2673"/>
      <c r="I22" s="6432" t="str">
        <f>CONCATENATE(AA23,"")</f>
        <v>Nalgonda</v>
      </c>
      <c r="J22" s="6432"/>
      <c r="K22" s="6432"/>
      <c r="L22" s="2674"/>
      <c r="M22" s="2615"/>
      <c r="N22" s="2611"/>
      <c r="O22" s="2611"/>
      <c r="P22" s="2613"/>
      <c r="Q22" s="1819"/>
      <c r="R22" s="121"/>
      <c r="S22" s="121"/>
      <c r="T22" s="1820"/>
      <c r="U22" s="1813"/>
      <c r="V22" s="842"/>
      <c r="W22" s="6410"/>
      <c r="X22" s="6411"/>
      <c r="Y22" s="6411"/>
      <c r="Z22" s="489" t="s">
        <v>18</v>
      </c>
      <c r="AA22" s="6414" t="s">
        <v>652</v>
      </c>
      <c r="AB22" s="6414"/>
      <c r="AC22" s="6415"/>
      <c r="AD22" s="842"/>
      <c r="AE22" s="842"/>
      <c r="AF22" s="842"/>
      <c r="AG22" s="842"/>
      <c r="AH22" s="842"/>
      <c r="AI22" s="1"/>
      <c r="AJ22" s="1"/>
      <c r="AK22" s="1187"/>
      <c r="AL22" s="1187"/>
      <c r="AM22" s="1187"/>
      <c r="AN22" s="1187"/>
      <c r="AO22" s="1187"/>
      <c r="AP22" s="1187"/>
      <c r="AQ22" s="1187"/>
      <c r="AR22" s="1187"/>
      <c r="AS22" s="1187"/>
      <c r="AT22" s="518"/>
      <c r="AU22" s="518"/>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row>
    <row r="23" spans="1:133" ht="20.25" customHeight="1" thickBot="1">
      <c r="A23" s="1"/>
      <c r="B23" s="472"/>
      <c r="C23" s="2609" t="s">
        <v>599</v>
      </c>
      <c r="D23" s="6367" t="s">
        <v>600</v>
      </c>
      <c r="E23" s="6367"/>
      <c r="F23" s="6367"/>
      <c r="G23" s="6368" t="str">
        <f>CONCATENATE(Z18,"")</f>
        <v>ADEX4562KL</v>
      </c>
      <c r="H23" s="6369"/>
      <c r="I23" s="6369"/>
      <c r="J23" s="6369"/>
      <c r="K23" s="6369"/>
      <c r="L23" s="6370"/>
      <c r="M23" s="6341"/>
      <c r="N23" s="6342"/>
      <c r="O23" s="6342"/>
      <c r="P23" s="6343"/>
      <c r="Q23" s="1821"/>
      <c r="R23" s="1811"/>
      <c r="S23" s="1811"/>
      <c r="T23" s="1822"/>
      <c r="U23" s="1813"/>
      <c r="V23" s="842"/>
      <c r="W23" s="6412"/>
      <c r="X23" s="6413"/>
      <c r="Y23" s="6413"/>
      <c r="Z23" s="515" t="s">
        <v>19</v>
      </c>
      <c r="AA23" s="6455" t="s">
        <v>657</v>
      </c>
      <c r="AB23" s="6455"/>
      <c r="AC23" s="6456"/>
      <c r="AD23" s="842"/>
      <c r="AE23" s="842"/>
      <c r="AF23" s="842"/>
      <c r="AG23" s="842"/>
      <c r="AH23" s="842"/>
      <c r="AI23" s="1"/>
      <c r="AJ23" s="1"/>
      <c r="AK23" s="6397" t="s">
        <v>631</v>
      </c>
      <c r="AL23" s="6397"/>
      <c r="AM23" s="1187" t="str">
        <f>'Old Tax Regime'!B3</f>
        <v>2025-2026</v>
      </c>
      <c r="AN23" s="1187"/>
      <c r="AO23" s="1187"/>
      <c r="AP23" s="1187"/>
      <c r="AQ23" s="1187"/>
      <c r="AR23" s="1187"/>
      <c r="AS23" s="1187"/>
      <c r="AT23" s="518"/>
      <c r="AU23" s="518"/>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row>
    <row r="24" spans="1:133" ht="18.75" customHeight="1" thickTop="1" thickBot="1">
      <c r="A24" s="1"/>
      <c r="B24" s="452">
        <v>2</v>
      </c>
      <c r="C24" s="6516" t="s">
        <v>601</v>
      </c>
      <c r="D24" s="6517"/>
      <c r="E24" s="6517"/>
      <c r="F24" s="6517"/>
      <c r="G24" s="6517"/>
      <c r="H24" s="6518"/>
      <c r="I24" s="6518"/>
      <c r="J24" s="6518"/>
      <c r="K24" s="6518"/>
      <c r="L24" s="6519"/>
      <c r="M24" s="6392"/>
      <c r="N24" s="6393"/>
      <c r="O24" s="6393"/>
      <c r="P24" s="6434"/>
      <c r="Q24" s="6392"/>
      <c r="R24" s="6393"/>
      <c r="S24" s="6393"/>
      <c r="T24" s="6394"/>
      <c r="U24" s="1813"/>
      <c r="V24" s="842"/>
      <c r="W24" s="1818"/>
      <c r="X24" s="1818"/>
      <c r="Y24" s="1818"/>
      <c r="Z24" s="1818"/>
      <c r="AA24" s="1818"/>
      <c r="AB24" s="1818"/>
      <c r="AC24" s="1818"/>
      <c r="AD24" s="1815"/>
      <c r="AE24" s="842"/>
      <c r="AF24" s="842"/>
      <c r="AG24" s="842"/>
      <c r="AH24" s="842"/>
      <c r="AI24" s="1"/>
      <c r="AJ24" s="1"/>
      <c r="AK24" s="1187"/>
      <c r="AL24" s="1187"/>
      <c r="AM24" s="1187"/>
      <c r="AN24" s="1187"/>
      <c r="AO24" s="1187"/>
      <c r="AP24" s="1187"/>
      <c r="AQ24" s="1187"/>
      <c r="AR24" s="1187"/>
      <c r="AS24" s="1187"/>
      <c r="AT24" s="518"/>
      <c r="AU24" s="518"/>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row>
    <row r="25" spans="1:133" ht="15" customHeight="1" thickTop="1">
      <c r="A25" s="1"/>
      <c r="B25" s="2616">
        <v>3</v>
      </c>
      <c r="C25" s="6529" t="s">
        <v>602</v>
      </c>
      <c r="D25" s="6530"/>
      <c r="E25" s="6530"/>
      <c r="F25" s="6530"/>
      <c r="G25" s="6530"/>
      <c r="H25" s="6530"/>
      <c r="I25" s="6353"/>
      <c r="J25" s="6353"/>
      <c r="K25" s="6353"/>
      <c r="L25" s="6374"/>
      <c r="M25" s="6361" t="str">
        <f>CONCATENATE('Data Sheet-II'!M189,"")</f>
        <v/>
      </c>
      <c r="N25" s="6362"/>
      <c r="O25" s="6362"/>
      <c r="P25" s="6363"/>
      <c r="Q25" s="6380" t="str">
        <f>IF('Data Sheet-III '!X15="","","Certificate Produced")</f>
        <v/>
      </c>
      <c r="R25" s="6381"/>
      <c r="S25" s="6381"/>
      <c r="T25" s="6382"/>
      <c r="U25" s="1813"/>
      <c r="V25" s="842"/>
      <c r="W25" s="6435" t="s">
        <v>654</v>
      </c>
      <c r="X25" s="6436"/>
      <c r="Y25" s="6436"/>
      <c r="Z25" s="6436"/>
      <c r="AA25" s="6436"/>
      <c r="AB25" s="6436"/>
      <c r="AC25" s="6437"/>
      <c r="AD25" s="1816"/>
      <c r="AE25" s="842"/>
      <c r="AF25" s="842"/>
      <c r="AG25" s="842"/>
      <c r="AH25" s="842"/>
      <c r="AI25" s="1"/>
      <c r="AJ25" s="1"/>
      <c r="AK25" s="518"/>
      <c r="AL25" s="518"/>
      <c r="AM25" s="518"/>
      <c r="AN25" s="518"/>
      <c r="AO25" s="518"/>
      <c r="AP25" s="518"/>
      <c r="AQ25" s="518"/>
      <c r="AR25" s="518"/>
      <c r="AS25" s="518"/>
      <c r="AT25" s="518"/>
      <c r="AU25" s="518"/>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row>
    <row r="26" spans="1:133" ht="20.100000000000001" customHeight="1" thickBot="1">
      <c r="A26" s="1"/>
      <c r="B26" s="477"/>
      <c r="C26" s="459" t="s">
        <v>491</v>
      </c>
      <c r="D26" s="492" t="s">
        <v>603</v>
      </c>
      <c r="E26" s="492"/>
      <c r="F26" s="492"/>
      <c r="G26" s="492"/>
      <c r="H26" s="6503"/>
      <c r="I26" s="6503"/>
      <c r="J26" s="6503"/>
      <c r="K26" s="6503"/>
      <c r="L26" s="510"/>
      <c r="M26" s="6364"/>
      <c r="N26" s="6365"/>
      <c r="O26" s="6365"/>
      <c r="P26" s="6366"/>
      <c r="Q26" s="6383"/>
      <c r="R26" s="6384"/>
      <c r="S26" s="6384"/>
      <c r="T26" s="6385"/>
      <c r="U26" s="1813"/>
      <c r="V26" s="842"/>
      <c r="W26" s="6438"/>
      <c r="X26" s="6439"/>
      <c r="Y26" s="6439"/>
      <c r="Z26" s="6439"/>
      <c r="AA26" s="6439"/>
      <c r="AB26" s="6439"/>
      <c r="AC26" s="6440"/>
      <c r="AD26" s="1816"/>
      <c r="AE26" s="842"/>
      <c r="AF26" s="842"/>
      <c r="AG26" s="842"/>
      <c r="AH26" s="842"/>
      <c r="AI26" s="1"/>
      <c r="AJ26" s="1"/>
      <c r="AK26" s="518"/>
      <c r="AL26" s="518"/>
      <c r="AM26" s="518"/>
      <c r="AN26" s="518"/>
      <c r="AO26" s="518"/>
      <c r="AP26" s="518"/>
      <c r="AQ26" s="518"/>
      <c r="AR26" s="518"/>
      <c r="AS26" s="518"/>
      <c r="AT26" s="518"/>
      <c r="AU26" s="518"/>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row>
    <row r="27" spans="1:133" ht="24.95" customHeight="1" thickTop="1">
      <c r="A27" s="1"/>
      <c r="B27" s="477"/>
      <c r="C27" s="459" t="s">
        <v>493</v>
      </c>
      <c r="D27" s="6346" t="s">
        <v>604</v>
      </c>
      <c r="E27" s="6346"/>
      <c r="F27" s="6346"/>
      <c r="G27" s="6346"/>
      <c r="H27" s="6510" t="str">
        <f>CONCATENATE(AA27,",",AA28)</f>
        <v>State Bank of Hyderabad,Kodad</v>
      </c>
      <c r="I27" s="6510"/>
      <c r="J27" s="6510"/>
      <c r="K27" s="6510"/>
      <c r="L27" s="6511"/>
      <c r="M27" s="6433"/>
      <c r="N27" s="6353"/>
      <c r="O27" s="6353"/>
      <c r="P27" s="6374"/>
      <c r="Q27" s="6386"/>
      <c r="R27" s="6387"/>
      <c r="S27" s="6387"/>
      <c r="T27" s="6388"/>
      <c r="U27" s="1813"/>
      <c r="V27" s="842"/>
      <c r="W27" s="6441" t="s">
        <v>636</v>
      </c>
      <c r="X27" s="6442"/>
      <c r="Y27" s="6443"/>
      <c r="Z27" s="490" t="s">
        <v>640</v>
      </c>
      <c r="AA27" s="6494" t="s">
        <v>648</v>
      </c>
      <c r="AB27" s="6495"/>
      <c r="AC27" s="6496"/>
      <c r="AD27" s="1816"/>
      <c r="AE27" s="842"/>
      <c r="AF27" s="842"/>
      <c r="AG27" s="842"/>
      <c r="AH27" s="842"/>
      <c r="AI27" s="1"/>
      <c r="AJ27" s="1"/>
      <c r="AK27" s="518"/>
      <c r="AL27" s="518"/>
      <c r="AM27" s="518"/>
      <c r="AN27" s="518"/>
      <c r="AO27" s="518"/>
      <c r="AP27" s="518"/>
      <c r="AQ27" s="518"/>
      <c r="AR27" s="518"/>
      <c r="AS27" s="518"/>
      <c r="AT27" s="518"/>
      <c r="AU27" s="518"/>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row>
    <row r="28" spans="1:133" ht="24.95" customHeight="1">
      <c r="A28" s="1"/>
      <c r="B28" s="477"/>
      <c r="C28" s="2615" t="s">
        <v>597</v>
      </c>
      <c r="D28" s="6346" t="s">
        <v>605</v>
      </c>
      <c r="E28" s="6346"/>
      <c r="F28" s="6346"/>
      <c r="G28" s="6346"/>
      <c r="H28" s="6510" t="str">
        <f>CONCATENATE(Z30,"")</f>
        <v>Kodad</v>
      </c>
      <c r="I28" s="6510"/>
      <c r="J28" s="6510"/>
      <c r="K28" s="6510"/>
      <c r="L28" s="512"/>
      <c r="M28" s="6433"/>
      <c r="N28" s="6353"/>
      <c r="O28" s="6353"/>
      <c r="P28" s="6374"/>
      <c r="Q28" s="6386"/>
      <c r="R28" s="6387"/>
      <c r="S28" s="6387"/>
      <c r="T28" s="6388"/>
      <c r="U28" s="1813"/>
      <c r="V28" s="842"/>
      <c r="W28" s="6444"/>
      <c r="X28" s="6445"/>
      <c r="Y28" s="6446"/>
      <c r="Z28" s="491" t="s">
        <v>641</v>
      </c>
      <c r="AA28" s="6491" t="s">
        <v>502</v>
      </c>
      <c r="AB28" s="6492"/>
      <c r="AC28" s="6493"/>
      <c r="AD28" s="1816"/>
      <c r="AE28" s="842"/>
      <c r="AF28" s="842"/>
      <c r="AG28" s="842"/>
      <c r="AH28" s="842"/>
      <c r="AI28" s="1"/>
      <c r="AJ28" s="1"/>
      <c r="AK28" s="518"/>
      <c r="AL28" s="518"/>
      <c r="AM28" s="518"/>
      <c r="AN28" s="518"/>
      <c r="AO28" s="518"/>
      <c r="AP28" s="518"/>
      <c r="AQ28" s="518"/>
      <c r="AR28" s="518"/>
      <c r="AS28" s="518"/>
      <c r="AT28" s="518"/>
      <c r="AU28" s="518"/>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row>
    <row r="29" spans="1:133" ht="24.95" customHeight="1">
      <c r="A29" s="1"/>
      <c r="B29" s="477"/>
      <c r="C29" s="459" t="s">
        <v>599</v>
      </c>
      <c r="D29" s="6346" t="s">
        <v>606</v>
      </c>
      <c r="E29" s="6346"/>
      <c r="F29" s="6346"/>
      <c r="G29" s="6346"/>
      <c r="H29" s="6510" t="str">
        <f>CONCATENATE(Z29,"")</f>
        <v>ALXXX2564L</v>
      </c>
      <c r="I29" s="6510"/>
      <c r="J29" s="6510"/>
      <c r="K29" s="6510"/>
      <c r="L29" s="6511"/>
      <c r="M29" s="6433"/>
      <c r="N29" s="6353"/>
      <c r="O29" s="6353"/>
      <c r="P29" s="6374"/>
      <c r="Q29" s="6386"/>
      <c r="R29" s="6387"/>
      <c r="S29" s="6387"/>
      <c r="T29" s="6388"/>
      <c r="U29" s="1813"/>
      <c r="V29" s="842"/>
      <c r="W29" s="6447" t="s">
        <v>639</v>
      </c>
      <c r="X29" s="6448"/>
      <c r="Y29" s="6448"/>
      <c r="Z29" s="6449" t="s">
        <v>649</v>
      </c>
      <c r="AA29" s="6450"/>
      <c r="AB29" s="6450"/>
      <c r="AC29" s="6451"/>
      <c r="AD29" s="1816"/>
      <c r="AE29" s="842"/>
      <c r="AF29" s="842"/>
      <c r="AG29" s="842"/>
      <c r="AH29" s="842"/>
      <c r="AI29" s="1"/>
      <c r="AJ29" s="1"/>
      <c r="AK29" s="518"/>
      <c r="AL29" s="518"/>
      <c r="AM29" s="518"/>
      <c r="AN29" s="518"/>
      <c r="AO29" s="518"/>
      <c r="AP29" s="518"/>
      <c r="AQ29" s="518"/>
      <c r="AR29" s="518"/>
      <c r="AS29" s="518"/>
      <c r="AT29" s="518"/>
      <c r="AU29" s="518"/>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row>
    <row r="30" spans="1:133" ht="24" customHeight="1" thickBot="1">
      <c r="A30" s="1"/>
      <c r="B30" s="477"/>
      <c r="C30" s="459"/>
      <c r="D30" s="6375" t="s">
        <v>607</v>
      </c>
      <c r="E30" s="6375"/>
      <c r="F30" s="6375"/>
      <c r="G30" s="6375"/>
      <c r="H30" s="6425"/>
      <c r="I30" s="6425"/>
      <c r="J30" s="6425"/>
      <c r="K30" s="6425"/>
      <c r="L30" s="6426"/>
      <c r="M30" s="6433"/>
      <c r="N30" s="6353"/>
      <c r="O30" s="6353"/>
      <c r="P30" s="6374"/>
      <c r="Q30" s="6386"/>
      <c r="R30" s="6387"/>
      <c r="S30" s="6387"/>
      <c r="T30" s="6388"/>
      <c r="U30" s="1813"/>
      <c r="V30" s="842"/>
      <c r="W30" s="6452" t="s">
        <v>637</v>
      </c>
      <c r="X30" s="6453"/>
      <c r="Y30" s="6454"/>
      <c r="Z30" s="6377" t="s">
        <v>502</v>
      </c>
      <c r="AA30" s="6378"/>
      <c r="AB30" s="6378"/>
      <c r="AC30" s="6379"/>
      <c r="AD30" s="1816"/>
      <c r="AE30" s="842"/>
      <c r="AF30" s="842"/>
      <c r="AG30" s="842"/>
      <c r="AH30" s="842"/>
      <c r="AI30" s="1"/>
      <c r="AJ30" s="1"/>
      <c r="AK30" s="518"/>
      <c r="AL30" s="518"/>
      <c r="AM30" s="518"/>
      <c r="AN30" s="518"/>
      <c r="AO30" s="518"/>
      <c r="AP30" s="518"/>
      <c r="AQ30" s="518"/>
      <c r="AR30" s="518"/>
      <c r="AS30" s="518"/>
      <c r="AT30" s="518"/>
      <c r="AU30" s="518"/>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row>
    <row r="31" spans="1:133" ht="15.95" customHeight="1" thickTop="1">
      <c r="A31" s="1"/>
      <c r="B31" s="477"/>
      <c r="C31" s="460"/>
      <c r="D31" s="6427" t="s">
        <v>608</v>
      </c>
      <c r="E31" s="6427"/>
      <c r="F31" s="6427"/>
      <c r="G31" s="6427"/>
      <c r="H31" s="6508"/>
      <c r="I31" s="6508"/>
      <c r="J31" s="6508"/>
      <c r="K31" s="6508"/>
      <c r="L31" s="6509"/>
      <c r="M31" s="6433"/>
      <c r="N31" s="6353"/>
      <c r="O31" s="6353"/>
      <c r="P31" s="6374"/>
      <c r="Q31" s="6386"/>
      <c r="R31" s="6387"/>
      <c r="S31" s="6387"/>
      <c r="T31" s="6388"/>
      <c r="U31" s="1813"/>
      <c r="V31" s="842"/>
      <c r="W31" s="1817"/>
      <c r="X31" s="1817"/>
      <c r="Y31" s="1817"/>
      <c r="Z31" s="1817"/>
      <c r="AA31" s="1816"/>
      <c r="AB31" s="1816"/>
      <c r="AC31" s="1816"/>
      <c r="AD31" s="1816"/>
      <c r="AE31" s="842"/>
      <c r="AF31" s="842"/>
      <c r="AG31" s="842"/>
      <c r="AH31" s="842"/>
      <c r="AI31" s="1"/>
      <c r="AJ31" s="1"/>
      <c r="AK31" s="518"/>
      <c r="AL31" s="518"/>
      <c r="AM31" s="518"/>
      <c r="AN31" s="518"/>
      <c r="AO31" s="518"/>
      <c r="AP31" s="518"/>
      <c r="AQ31" s="518"/>
      <c r="AR31" s="518"/>
      <c r="AS31" s="518"/>
      <c r="AT31" s="518"/>
      <c r="AU31" s="518"/>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row>
    <row r="32" spans="1:133" ht="15.95" customHeight="1">
      <c r="A32" s="1"/>
      <c r="B32" s="478"/>
      <c r="C32" s="461"/>
      <c r="D32" s="6504" t="s">
        <v>609</v>
      </c>
      <c r="E32" s="6504"/>
      <c r="F32" s="6504"/>
      <c r="G32" s="6504"/>
      <c r="H32" s="6428"/>
      <c r="I32" s="6428"/>
      <c r="J32" s="6428"/>
      <c r="K32" s="6428"/>
      <c r="L32" s="6429"/>
      <c r="M32" s="6341"/>
      <c r="N32" s="6342"/>
      <c r="O32" s="6342"/>
      <c r="P32" s="6343"/>
      <c r="Q32" s="6389"/>
      <c r="R32" s="6390"/>
      <c r="S32" s="6390"/>
      <c r="T32" s="6391"/>
      <c r="U32" s="1813"/>
      <c r="V32" s="842"/>
      <c r="W32" s="1817"/>
      <c r="X32" s="1817"/>
      <c r="Y32" s="1817"/>
      <c r="Z32" s="1817"/>
      <c r="AA32" s="1816"/>
      <c r="AB32" s="1816"/>
      <c r="AC32" s="1816"/>
      <c r="AD32" s="1816"/>
      <c r="AE32" s="842"/>
      <c r="AF32" s="842"/>
      <c r="AG32" s="842"/>
      <c r="AH32" s="842"/>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row>
    <row r="33" spans="1:133" ht="15" customHeight="1">
      <c r="A33" s="1"/>
      <c r="B33" s="2616">
        <v>4</v>
      </c>
      <c r="C33" s="122" t="s">
        <v>610</v>
      </c>
      <c r="D33" s="121"/>
      <c r="E33" s="453"/>
      <c r="F33" s="121"/>
      <c r="G33" s="121"/>
      <c r="H33" s="121"/>
      <c r="I33" s="121"/>
      <c r="J33" s="121"/>
      <c r="K33" s="121"/>
      <c r="L33" s="121"/>
      <c r="M33" s="6349"/>
      <c r="N33" s="6350"/>
      <c r="O33" s="6350"/>
      <c r="P33" s="6487"/>
      <c r="Q33" s="6488"/>
      <c r="R33" s="6489"/>
      <c r="S33" s="6489"/>
      <c r="T33" s="6490"/>
      <c r="U33" s="2986"/>
      <c r="V33" s="2987"/>
      <c r="W33" s="2988"/>
      <c r="X33" s="2988"/>
      <c r="Y33" s="2988"/>
      <c r="Z33" s="2988"/>
      <c r="AA33" s="1816"/>
      <c r="AB33" s="1816"/>
      <c r="AC33" s="1816"/>
      <c r="AD33" s="1816"/>
      <c r="AE33" s="842"/>
      <c r="AF33" s="842"/>
      <c r="AG33" s="842"/>
      <c r="AH33" s="842"/>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row>
    <row r="34" spans="1:133" ht="15.75">
      <c r="A34" s="1"/>
      <c r="B34" s="479" t="s">
        <v>315</v>
      </c>
      <c r="C34" s="6371" t="s">
        <v>611</v>
      </c>
      <c r="D34" s="6372"/>
      <c r="E34" s="6372"/>
      <c r="F34" s="6372"/>
      <c r="G34" s="6372"/>
      <c r="H34" s="6372"/>
      <c r="I34" s="6372"/>
      <c r="J34" s="6372"/>
      <c r="K34" s="6372"/>
      <c r="L34" s="6373"/>
      <c r="M34" s="6497"/>
      <c r="N34" s="6498"/>
      <c r="O34" s="6498"/>
      <c r="P34" s="462"/>
      <c r="Q34" s="6433"/>
      <c r="R34" s="6353"/>
      <c r="S34" s="6353"/>
      <c r="T34" s="6354"/>
      <c r="U34" s="2986"/>
      <c r="V34" s="2987"/>
      <c r="W34" s="2988"/>
      <c r="X34" s="2988"/>
      <c r="Y34" s="2988"/>
      <c r="Z34" s="2988"/>
      <c r="AA34" s="1816"/>
      <c r="AB34" s="1816"/>
      <c r="AC34" s="1816"/>
      <c r="AD34" s="1816"/>
      <c r="AE34" s="842"/>
      <c r="AF34" s="842"/>
      <c r="AG34" s="842"/>
      <c r="AH34" s="842"/>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row>
    <row r="35" spans="1:133" ht="15.75" customHeight="1">
      <c r="A35" s="1"/>
      <c r="B35" s="479"/>
      <c r="C35" s="2615" t="s">
        <v>1</v>
      </c>
      <c r="D35" s="2608" t="str">
        <f>'FORM-16(Old)'!F47</f>
        <v>80C</v>
      </c>
      <c r="E35" s="493" t="str">
        <f>'FORM-16(Old)'!G47</f>
        <v>GPF</v>
      </c>
      <c r="F35" s="494"/>
      <c r="G35" s="495"/>
      <c r="H35" s="495"/>
      <c r="I35" s="495"/>
      <c r="J35" s="495"/>
      <c r="K35" s="495"/>
      <c r="L35" s="463"/>
      <c r="M35" s="6337">
        <f>'FORM-16(Old)'!O47</f>
        <v>72000</v>
      </c>
      <c r="N35" s="6337"/>
      <c r="O35" s="6337"/>
      <c r="P35" s="6337"/>
      <c r="Q35" s="6338" t="str">
        <f>IF(M35&gt;0,"Salary deduction","")</f>
        <v>Salary deduction</v>
      </c>
      <c r="R35" s="6339"/>
      <c r="S35" s="6339"/>
      <c r="T35" s="6340"/>
      <c r="U35" s="2986"/>
      <c r="V35" s="2987"/>
      <c r="W35" s="6460"/>
      <c r="X35" s="6460"/>
      <c r="Y35" s="6460"/>
      <c r="Z35" s="6460"/>
      <c r="AA35" s="1816"/>
      <c r="AB35" s="1816"/>
      <c r="AC35" s="1816"/>
      <c r="AD35" s="1816"/>
      <c r="AE35" s="842"/>
      <c r="AF35" s="842"/>
      <c r="AG35" s="842"/>
      <c r="AH35" s="842"/>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row>
    <row r="36" spans="1:133" ht="15.75" customHeight="1">
      <c r="A36" s="1"/>
      <c r="B36" s="479"/>
      <c r="C36" s="2615" t="s">
        <v>2</v>
      </c>
      <c r="D36" s="2608" t="str">
        <f>'FORM-16(Old)'!F48</f>
        <v>80C</v>
      </c>
      <c r="E36" s="493" t="str">
        <f>'FORM-16(Old)'!G48</f>
        <v>TSGLI</v>
      </c>
      <c r="F36" s="494"/>
      <c r="G36" s="2610"/>
      <c r="H36" s="2610"/>
      <c r="I36" s="2610"/>
      <c r="J36" s="496"/>
      <c r="K36" s="496"/>
      <c r="L36" s="464"/>
      <c r="M36" s="6337">
        <f>'FORM-16(Old)'!O48</f>
        <v>60000</v>
      </c>
      <c r="N36" s="6337"/>
      <c r="O36" s="6337"/>
      <c r="P36" s="6337"/>
      <c r="Q36" s="6338" t="str">
        <f>IF(M36&gt;0,"Salary deduction","")</f>
        <v>Salary deduction</v>
      </c>
      <c r="R36" s="6339"/>
      <c r="S36" s="6339"/>
      <c r="T36" s="6340"/>
      <c r="U36" s="2986"/>
      <c r="V36" s="2987"/>
      <c r="W36" s="6460"/>
      <c r="X36" s="6460"/>
      <c r="Y36" s="6460"/>
      <c r="Z36" s="6460"/>
      <c r="AA36" s="1816"/>
      <c r="AB36" s="1816"/>
      <c r="AC36" s="1816"/>
      <c r="AD36" s="1816"/>
      <c r="AE36" s="842"/>
      <c r="AF36" s="842"/>
      <c r="AG36" s="842"/>
      <c r="AH36" s="842"/>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row>
    <row r="37" spans="1:133" ht="15.75" customHeight="1">
      <c r="A37" s="1"/>
      <c r="B37" s="479"/>
      <c r="C37" s="2615" t="s">
        <v>3</v>
      </c>
      <c r="D37" s="2608" t="str">
        <f>'FORM-16(Old)'!F49</f>
        <v>80C</v>
      </c>
      <c r="E37" s="493" t="str">
        <f>'FORM-16(Old)'!G49</f>
        <v>GIS</v>
      </c>
      <c r="F37" s="494"/>
      <c r="G37" s="497"/>
      <c r="H37" s="497"/>
      <c r="I37" s="497"/>
      <c r="J37" s="498"/>
      <c r="K37" s="498"/>
      <c r="L37" s="465"/>
      <c r="M37" s="6337">
        <f>'FORM-16(Old)'!O49</f>
        <v>1440</v>
      </c>
      <c r="N37" s="6337"/>
      <c r="O37" s="6337"/>
      <c r="P37" s="6337"/>
      <c r="Q37" s="6338" t="str">
        <f>IF(M37&gt;0,"Salary deduction","")</f>
        <v>Salary deduction</v>
      </c>
      <c r="R37" s="6339"/>
      <c r="S37" s="6339"/>
      <c r="T37" s="6340"/>
      <c r="U37" s="2986"/>
      <c r="V37" s="2987"/>
      <c r="W37" s="6460"/>
      <c r="X37" s="6460"/>
      <c r="Y37" s="6460"/>
      <c r="Z37" s="6460"/>
      <c r="AA37" s="1816"/>
      <c r="AB37" s="1816"/>
      <c r="AC37" s="1816"/>
      <c r="AD37" s="1816"/>
      <c r="AE37" s="842"/>
      <c r="AF37" s="842"/>
      <c r="AG37" s="842"/>
      <c r="AH37" s="842"/>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row>
    <row r="38" spans="1:133" ht="15.75">
      <c r="A38" s="1"/>
      <c r="B38" s="479"/>
      <c r="C38" s="2615" t="s">
        <v>4</v>
      </c>
      <c r="D38" s="2608" t="str">
        <f>'FORM-16(Old)'!F50</f>
        <v>80C</v>
      </c>
      <c r="E38" s="493" t="str">
        <f>'FORM-16(Old)'!G50</f>
        <v>Tuition Fee for Children</v>
      </c>
      <c r="F38" s="494"/>
      <c r="G38" s="499"/>
      <c r="H38" s="499"/>
      <c r="I38" s="499"/>
      <c r="J38" s="497"/>
      <c r="K38" s="497"/>
      <c r="L38" s="121"/>
      <c r="M38" s="6337">
        <f>'FORM-16(Old)'!O50</f>
        <v>0</v>
      </c>
      <c r="N38" s="6337"/>
      <c r="O38" s="6337"/>
      <c r="P38" s="6337"/>
      <c r="Q38" s="6338" t="str">
        <f t="shared" ref="Q38:Q45" si="0">IF(M38&gt;0,"Certificate Produced","")</f>
        <v/>
      </c>
      <c r="R38" s="6339"/>
      <c r="S38" s="6339"/>
      <c r="T38" s="6340"/>
      <c r="U38" s="2986"/>
      <c r="V38" s="2987"/>
      <c r="W38" s="2988"/>
      <c r="X38" s="2988"/>
      <c r="Y38" s="2988"/>
      <c r="Z38" s="2988"/>
      <c r="AA38" s="1816"/>
      <c r="AB38" s="1816"/>
      <c r="AC38" s="1816"/>
      <c r="AD38" s="1816"/>
      <c r="AE38" s="842"/>
      <c r="AF38" s="842"/>
      <c r="AG38" s="842"/>
      <c r="AH38" s="842"/>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row>
    <row r="39" spans="1:133" ht="15.75">
      <c r="A39" s="1"/>
      <c r="B39" s="479"/>
      <c r="C39" s="2615" t="s">
        <v>278</v>
      </c>
      <c r="D39" s="2608" t="str">
        <f>'FORM-16(Old)'!F51</f>
        <v>80C</v>
      </c>
      <c r="E39" s="493" t="str">
        <f>'FORM-16(Old)'!G51</f>
        <v>Principle Amount of Home Loan installments</v>
      </c>
      <c r="F39" s="494"/>
      <c r="G39" s="499"/>
      <c r="H39" s="499"/>
      <c r="I39" s="499"/>
      <c r="J39" s="499"/>
      <c r="K39" s="499"/>
      <c r="L39" s="466"/>
      <c r="M39" s="6337">
        <f>'FORM-16(Old)'!O51</f>
        <v>0</v>
      </c>
      <c r="N39" s="6337"/>
      <c r="O39" s="6337"/>
      <c r="P39" s="6337"/>
      <c r="Q39" s="6338" t="str">
        <f t="shared" si="0"/>
        <v/>
      </c>
      <c r="R39" s="6339"/>
      <c r="S39" s="6339"/>
      <c r="T39" s="6340"/>
      <c r="U39" s="2986"/>
      <c r="V39" s="2987"/>
      <c r="W39" s="2988"/>
      <c r="X39" s="2988"/>
      <c r="Y39" s="2988"/>
      <c r="Z39" s="2988"/>
      <c r="AA39" s="1816"/>
      <c r="AB39" s="1816"/>
      <c r="AC39" s="1816"/>
      <c r="AD39" s="1816"/>
      <c r="AE39" s="842"/>
      <c r="AF39" s="842"/>
      <c r="AG39" s="842"/>
      <c r="AH39" s="842"/>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row>
    <row r="40" spans="1:133" ht="15.75">
      <c r="A40" s="1"/>
      <c r="B40" s="479"/>
      <c r="C40" s="2615" t="s">
        <v>282</v>
      </c>
      <c r="D40" s="2608" t="str">
        <f>'FORM-16(Old)'!F52</f>
        <v>80C</v>
      </c>
      <c r="E40" s="493" t="str">
        <f>'FORM-16(Old)'!G52</f>
        <v>LIC Policies premium - Yearly</v>
      </c>
      <c r="F40" s="494"/>
      <c r="G40" s="499"/>
      <c r="H40" s="499"/>
      <c r="I40" s="499"/>
      <c r="J40" s="499"/>
      <c r="K40" s="499"/>
      <c r="L40" s="466"/>
      <c r="M40" s="6337">
        <f>'FORM-16(Old)'!O52</f>
        <v>0</v>
      </c>
      <c r="N40" s="6337"/>
      <c r="O40" s="6337"/>
      <c r="P40" s="6337"/>
      <c r="Q40" s="6338" t="str">
        <f>IF(M40&gt;0,"Certificate Produced","")</f>
        <v/>
      </c>
      <c r="R40" s="6339"/>
      <c r="S40" s="6339"/>
      <c r="T40" s="6340"/>
      <c r="U40" s="2986"/>
      <c r="V40" s="2987"/>
      <c r="W40" s="2988"/>
      <c r="X40" s="2988"/>
      <c r="Y40" s="2988"/>
      <c r="Z40" s="2988"/>
      <c r="AA40" s="1816"/>
      <c r="AB40" s="1816"/>
      <c r="AC40" s="1816"/>
      <c r="AD40" s="1816"/>
      <c r="AE40" s="842"/>
      <c r="AF40" s="842"/>
      <c r="AG40" s="842"/>
      <c r="AH40" s="842"/>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row>
    <row r="41" spans="1:133" ht="15.75">
      <c r="A41" s="1"/>
      <c r="B41" s="479"/>
      <c r="C41" s="467" t="s">
        <v>283</v>
      </c>
      <c r="D41" s="2608" t="str">
        <f>'FORM-16(Old)'!F53</f>
        <v>80C</v>
      </c>
      <c r="E41" s="493" t="str">
        <f>'FORM-16(Old)'!G53</f>
        <v>SBI  Life Insurance</v>
      </c>
      <c r="F41" s="494"/>
      <c r="G41" s="500"/>
      <c r="H41" s="500"/>
      <c r="I41" s="500"/>
      <c r="J41" s="499"/>
      <c r="K41" s="499"/>
      <c r="L41" s="466"/>
      <c r="M41" s="6337">
        <f>'FORM-16(Old)'!O53</f>
        <v>0</v>
      </c>
      <c r="N41" s="6337"/>
      <c r="O41" s="6337"/>
      <c r="P41" s="6337"/>
      <c r="Q41" s="6338" t="str">
        <f t="shared" si="0"/>
        <v/>
      </c>
      <c r="R41" s="6339"/>
      <c r="S41" s="6339"/>
      <c r="T41" s="6340"/>
      <c r="U41" s="2986"/>
      <c r="V41" s="2987"/>
      <c r="W41" s="2988"/>
      <c r="X41" s="2988"/>
      <c r="Y41" s="2988"/>
      <c r="Z41" s="2988"/>
      <c r="AA41" s="1816"/>
      <c r="AB41" s="1816"/>
      <c r="AC41" s="1816"/>
      <c r="AD41" s="1816"/>
      <c r="AE41" s="842"/>
      <c r="AF41" s="842"/>
      <c r="AG41" s="842"/>
      <c r="AH41" s="842"/>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row>
    <row r="42" spans="1:133" ht="15.75">
      <c r="A42" s="1"/>
      <c r="B42" s="479"/>
      <c r="C42" s="467" t="s">
        <v>284</v>
      </c>
      <c r="D42" s="2608" t="str">
        <f>'FORM-16(Old)'!F54</f>
        <v>80C</v>
      </c>
      <c r="E42" s="493" t="str">
        <f>'FORM-16(Old)'!G54</f>
        <v>Public Provident Fund</v>
      </c>
      <c r="F42" s="494"/>
      <c r="G42" s="500"/>
      <c r="H42" s="500"/>
      <c r="I42" s="500"/>
      <c r="J42" s="499"/>
      <c r="K42" s="499"/>
      <c r="L42" s="466"/>
      <c r="M42" s="6337">
        <f>'FORM-16(Old)'!O54</f>
        <v>0</v>
      </c>
      <c r="N42" s="6337"/>
      <c r="O42" s="6337"/>
      <c r="P42" s="6337"/>
      <c r="Q42" s="6338" t="str">
        <f t="shared" si="0"/>
        <v/>
      </c>
      <c r="R42" s="6339"/>
      <c r="S42" s="6339"/>
      <c r="T42" s="6340"/>
      <c r="U42" s="2986"/>
      <c r="V42" s="2987"/>
      <c r="W42" s="2988"/>
      <c r="X42" s="2988"/>
      <c r="Y42" s="2988"/>
      <c r="Z42" s="2988"/>
      <c r="AA42" s="1816"/>
      <c r="AB42" s="1816"/>
      <c r="AC42" s="1816"/>
      <c r="AD42" s="1816"/>
      <c r="AE42" s="842"/>
      <c r="AF42" s="842"/>
      <c r="AG42" s="842"/>
      <c r="AH42" s="842"/>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row>
    <row r="43" spans="1:133" ht="15.75">
      <c r="A43" s="1"/>
      <c r="B43" s="479"/>
      <c r="C43" s="2615" t="s">
        <v>285</v>
      </c>
      <c r="D43" s="2608" t="str">
        <f>'FORM-16(Old)'!F55</f>
        <v>80C</v>
      </c>
      <c r="E43" s="493" t="str">
        <f>'FORM-16(Old)'!G55</f>
        <v>HDFC Life Insurance</v>
      </c>
      <c r="F43" s="494"/>
      <c r="G43" s="497"/>
      <c r="H43" s="497"/>
      <c r="I43" s="497"/>
      <c r="J43" s="499"/>
      <c r="K43" s="499"/>
      <c r="L43" s="466"/>
      <c r="M43" s="6337">
        <f>'FORM-16(Old)'!O55</f>
        <v>0</v>
      </c>
      <c r="N43" s="6337"/>
      <c r="O43" s="6337"/>
      <c r="P43" s="6337"/>
      <c r="Q43" s="6338" t="str">
        <f t="shared" si="0"/>
        <v/>
      </c>
      <c r="R43" s="6339"/>
      <c r="S43" s="6339"/>
      <c r="T43" s="6340"/>
      <c r="U43" s="2986"/>
      <c r="V43" s="2987"/>
      <c r="W43" s="2988"/>
      <c r="X43" s="2988"/>
      <c r="Y43" s="2988"/>
      <c r="Z43" s="2988"/>
      <c r="AA43" s="1816"/>
      <c r="AB43" s="1816"/>
      <c r="AC43" s="1816"/>
      <c r="AD43" s="1816"/>
      <c r="AE43" s="842"/>
      <c r="AF43" s="842"/>
      <c r="AG43" s="842"/>
      <c r="AH43" s="842"/>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row>
    <row r="44" spans="1:133">
      <c r="A44" s="1"/>
      <c r="B44" s="479"/>
      <c r="C44" s="2615" t="s">
        <v>542</v>
      </c>
      <c r="D44" s="2608" t="str">
        <f>'FORM-16(Old)'!F56</f>
        <v>80C</v>
      </c>
      <c r="E44" s="493" t="str">
        <f>'FORM-16(Old)'!G56</f>
        <v>Max NewYark Life Insurance</v>
      </c>
      <c r="F44" s="494"/>
      <c r="G44" s="497"/>
      <c r="H44" s="497"/>
      <c r="I44" s="497"/>
      <c r="J44" s="499"/>
      <c r="K44" s="499"/>
      <c r="L44" s="466"/>
      <c r="M44" s="6337">
        <f>'FORM-16(Old)'!O56</f>
        <v>0</v>
      </c>
      <c r="N44" s="6337"/>
      <c r="O44" s="6337"/>
      <c r="P44" s="6337"/>
      <c r="Q44" s="6338" t="str">
        <f t="shared" si="0"/>
        <v/>
      </c>
      <c r="R44" s="6339"/>
      <c r="S44" s="6339"/>
      <c r="T44" s="6340"/>
      <c r="U44" s="2986"/>
      <c r="V44" s="2987"/>
      <c r="W44" s="2987"/>
      <c r="X44" s="2989"/>
      <c r="Y44" s="2989"/>
      <c r="Z44" s="2989"/>
      <c r="AA44" s="1814"/>
      <c r="AB44" s="842"/>
      <c r="AC44" s="842"/>
      <c r="AD44" s="842"/>
      <c r="AE44" s="842"/>
      <c r="AF44" s="842"/>
      <c r="AG44" s="842"/>
      <c r="AH44" s="842"/>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row>
    <row r="45" spans="1:133">
      <c r="A45" s="1"/>
      <c r="B45" s="479"/>
      <c r="C45" s="2615" t="s">
        <v>543</v>
      </c>
      <c r="D45" s="2608" t="str">
        <f>'FORM-16(Old)'!F57</f>
        <v>80C</v>
      </c>
      <c r="E45" s="493" t="str">
        <f>'FORM-16(Old)'!G57</f>
        <v>ICICI Life Insurance</v>
      </c>
      <c r="F45" s="494"/>
      <c r="G45" s="497"/>
      <c r="H45" s="497"/>
      <c r="I45" s="497"/>
      <c r="J45" s="499"/>
      <c r="K45" s="499"/>
      <c r="L45" s="466"/>
      <c r="M45" s="6337">
        <f>'FORM-16(Old)'!O57</f>
        <v>0</v>
      </c>
      <c r="N45" s="6337"/>
      <c r="O45" s="6337"/>
      <c r="P45" s="6337"/>
      <c r="Q45" s="6338" t="str">
        <f t="shared" si="0"/>
        <v/>
      </c>
      <c r="R45" s="6339"/>
      <c r="S45" s="6339"/>
      <c r="T45" s="6340"/>
      <c r="U45" s="2986"/>
      <c r="V45" s="2987"/>
      <c r="W45" s="2987"/>
      <c r="X45" s="2989"/>
      <c r="Y45" s="2989"/>
      <c r="Z45" s="2989"/>
      <c r="AA45" s="1814"/>
      <c r="AB45" s="842"/>
      <c r="AC45" s="842"/>
      <c r="AD45" s="842"/>
      <c r="AE45" s="842"/>
      <c r="AF45" s="842"/>
      <c r="AG45" s="842"/>
      <c r="AH45" s="842"/>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row>
    <row r="46" spans="1:133">
      <c r="A46" s="1"/>
      <c r="B46" s="479"/>
      <c r="C46" s="2615" t="s">
        <v>544</v>
      </c>
      <c r="D46" s="468" t="str">
        <f>'FORM-16(Old)'!F62</f>
        <v>80CCD(1B)</v>
      </c>
      <c r="E46" s="493" t="str">
        <f>'FORM-16(Old)'!G62</f>
        <v xml:space="preserve">Contribution to National Pension Scheme (NPS) of Central Government </v>
      </c>
      <c r="F46" s="494"/>
      <c r="G46" s="497"/>
      <c r="H46" s="497"/>
      <c r="I46" s="497"/>
      <c r="J46" s="499"/>
      <c r="K46" s="499"/>
      <c r="L46" s="466"/>
      <c r="M46" s="6337">
        <f>IF('FORM-16(Old)'!M62="",0,'FORM-16(Old)'!M62)</f>
        <v>0</v>
      </c>
      <c r="N46" s="6337"/>
      <c r="O46" s="6337"/>
      <c r="P46" s="6337"/>
      <c r="Q46" s="6338" t="str">
        <f>IF(M46&gt;0,"Certificate Produced","")</f>
        <v/>
      </c>
      <c r="R46" s="6339"/>
      <c r="S46" s="6339"/>
      <c r="T46" s="6340"/>
      <c r="U46" s="2986"/>
      <c r="V46" s="2987"/>
      <c r="W46" s="2987"/>
      <c r="X46" s="2989"/>
      <c r="Y46" s="2989"/>
      <c r="Z46" s="2989"/>
      <c r="AA46" s="1814"/>
      <c r="AB46" s="842"/>
      <c r="AC46" s="842"/>
      <c r="AD46" s="842"/>
      <c r="AE46" s="842"/>
      <c r="AF46" s="842"/>
      <c r="AG46" s="842"/>
      <c r="AH46" s="842"/>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row>
    <row r="47" spans="1:133">
      <c r="A47" s="1"/>
      <c r="B47" s="479" t="s">
        <v>321</v>
      </c>
      <c r="C47" s="6371" t="s">
        <v>612</v>
      </c>
      <c r="D47" s="6372"/>
      <c r="E47" s="6372"/>
      <c r="F47" s="6372"/>
      <c r="G47" s="6372"/>
      <c r="H47" s="6372"/>
      <c r="I47" s="6372"/>
      <c r="J47" s="6372"/>
      <c r="K47" s="6372"/>
      <c r="L47" s="6373"/>
      <c r="M47" s="6512"/>
      <c r="N47" s="6512"/>
      <c r="O47" s="6512"/>
      <c r="P47" s="6512"/>
      <c r="Q47" s="6338"/>
      <c r="R47" s="6339"/>
      <c r="S47" s="6339"/>
      <c r="T47" s="6340"/>
      <c r="U47" s="2986"/>
      <c r="V47" s="2987"/>
      <c r="W47" s="2987"/>
      <c r="X47" s="2987"/>
      <c r="Y47" s="2987"/>
      <c r="Z47" s="2987"/>
      <c r="AA47" s="842"/>
      <c r="AB47" s="842"/>
      <c r="AC47" s="842"/>
      <c r="AD47" s="842"/>
      <c r="AE47" s="842"/>
      <c r="AF47" s="842"/>
      <c r="AG47" s="842"/>
      <c r="AH47" s="842"/>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row>
    <row r="48" spans="1:133" ht="20.100000000000001" customHeight="1">
      <c r="A48" s="1"/>
      <c r="B48" s="473"/>
      <c r="C48" s="2611" t="s">
        <v>285</v>
      </c>
      <c r="D48" s="2608" t="str">
        <f>'FORM-16(Old)'!F64</f>
        <v>80G</v>
      </c>
      <c r="E48" s="497" t="str">
        <f>'FORM-16(Old)'!G64</f>
        <v>E.W.F &amp; S.W.F &amp; CMRF&amp;WMF</v>
      </c>
      <c r="F48" s="501"/>
      <c r="G48" s="497"/>
      <c r="H48" s="497"/>
      <c r="I48" s="497"/>
      <c r="J48" s="497"/>
      <c r="K48" s="497"/>
      <c r="L48" s="121"/>
      <c r="M48" s="6337">
        <f>'FORM-16(Old)'!O64</f>
        <v>550</v>
      </c>
      <c r="N48" s="6337"/>
      <c r="O48" s="6337"/>
      <c r="P48" s="6337"/>
      <c r="Q48" s="6338" t="str">
        <f>IF(M48&gt;0,"Salary deduction","")</f>
        <v>Salary deduction</v>
      </c>
      <c r="R48" s="6339"/>
      <c r="S48" s="6339"/>
      <c r="T48" s="6340"/>
      <c r="U48" s="2986"/>
      <c r="V48" s="2987"/>
      <c r="W48" s="2987"/>
      <c r="X48" s="2987"/>
      <c r="Y48" s="2987"/>
      <c r="Z48" s="2987"/>
      <c r="AA48" s="842"/>
      <c r="AB48" s="842"/>
      <c r="AC48" s="842"/>
      <c r="AD48" s="842"/>
      <c r="AE48" s="842"/>
      <c r="AF48" s="842"/>
      <c r="AG48" s="842"/>
      <c r="AH48" s="842"/>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row>
    <row r="49" spans="1:133" ht="20.100000000000001" customHeight="1">
      <c r="A49" s="1"/>
      <c r="B49" s="473"/>
      <c r="C49" s="2611" t="s">
        <v>613</v>
      </c>
      <c r="D49" s="2608" t="s">
        <v>1571</v>
      </c>
      <c r="E49" s="497" t="s">
        <v>1572</v>
      </c>
      <c r="F49" s="497"/>
      <c r="G49" s="497"/>
      <c r="H49" s="497"/>
      <c r="I49" s="497"/>
      <c r="J49" s="497"/>
      <c r="K49" s="497"/>
      <c r="L49" s="121"/>
      <c r="M49" s="6337">
        <f>IF('Data Sheet-III '!X15&gt;0,'Data Sheet-III '!X15,0)</f>
        <v>0</v>
      </c>
      <c r="N49" s="6337"/>
      <c r="O49" s="6337"/>
      <c r="P49" s="6337"/>
      <c r="Q49" s="6338" t="str">
        <f t="shared" ref="Q49:Q53" si="1">IF(M49&gt;0,"Certificate Produced","")</f>
        <v/>
      </c>
      <c r="R49" s="6339"/>
      <c r="S49" s="6339"/>
      <c r="T49" s="6340"/>
      <c r="U49" s="2986"/>
      <c r="V49" s="2987"/>
      <c r="W49" s="2987"/>
      <c r="X49" s="2987"/>
      <c r="Y49" s="2987"/>
      <c r="Z49" s="2987"/>
      <c r="AA49" s="842"/>
      <c r="AB49" s="842"/>
      <c r="AC49" s="842"/>
      <c r="AD49" s="842"/>
      <c r="AE49" s="842"/>
      <c r="AF49" s="842"/>
      <c r="AG49" s="842"/>
      <c r="AH49" s="842"/>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row>
    <row r="50" spans="1:133" ht="20.100000000000001" customHeight="1">
      <c r="A50" s="1"/>
      <c r="B50" s="473"/>
      <c r="C50" s="2611" t="s">
        <v>614</v>
      </c>
      <c r="D50" s="2608" t="str">
        <f>'FORM-16(Old)'!F65</f>
        <v>80EE</v>
      </c>
      <c r="E50" s="497" t="str">
        <f>'FORM-16(Old)'!G65</f>
        <v xml:space="preserve"> Interest on loan taken for residential house property</v>
      </c>
      <c r="F50" s="497"/>
      <c r="G50" s="497"/>
      <c r="H50" s="497"/>
      <c r="I50" s="497"/>
      <c r="J50" s="497"/>
      <c r="K50" s="497"/>
      <c r="L50" s="121"/>
      <c r="M50" s="6337">
        <f>'FORM-16(Old)'!O65</f>
        <v>0</v>
      </c>
      <c r="N50" s="6337"/>
      <c r="O50" s="6337"/>
      <c r="P50" s="6337"/>
      <c r="Q50" s="6338" t="str">
        <f t="shared" si="1"/>
        <v/>
      </c>
      <c r="R50" s="6339"/>
      <c r="S50" s="6339"/>
      <c r="T50" s="6340"/>
      <c r="U50" s="2986"/>
      <c r="V50" s="2987"/>
      <c r="W50" s="2987"/>
      <c r="X50" s="2987"/>
      <c r="Y50" s="2987"/>
      <c r="Z50" s="2987"/>
      <c r="AA50" s="842"/>
      <c r="AB50" s="842"/>
      <c r="AC50" s="842"/>
      <c r="AD50" s="842"/>
      <c r="AE50" s="842"/>
      <c r="AF50" s="842"/>
      <c r="AG50" s="842"/>
      <c r="AH50" s="842"/>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row>
    <row r="51" spans="1:133" ht="20.100000000000001" customHeight="1">
      <c r="A51" s="1"/>
      <c r="B51" s="473"/>
      <c r="C51" s="2611" t="s">
        <v>615</v>
      </c>
      <c r="D51" s="2608" t="str">
        <f>'FORM-16(Old)'!F66</f>
        <v>80EEA</v>
      </c>
      <c r="E51" s="497" t="str">
        <f>'FORM-16(Old)'!G66</f>
        <v xml:space="preserve"> Deduction in respect of interest on loan taken for certain house property</v>
      </c>
      <c r="F51" s="497"/>
      <c r="G51" s="497"/>
      <c r="H51" s="497"/>
      <c r="I51" s="497"/>
      <c r="J51" s="497"/>
      <c r="K51" s="497"/>
      <c r="L51" s="469"/>
      <c r="M51" s="6337">
        <f>'FORM-16(Old)'!O66</f>
        <v>0</v>
      </c>
      <c r="N51" s="6337"/>
      <c r="O51" s="6337"/>
      <c r="P51" s="6337"/>
      <c r="Q51" s="6338" t="str">
        <f t="shared" si="1"/>
        <v/>
      </c>
      <c r="R51" s="6339"/>
      <c r="S51" s="6339"/>
      <c r="T51" s="6340"/>
      <c r="U51" s="2986"/>
      <c r="V51" s="2987"/>
      <c r="W51" s="2987"/>
      <c r="X51" s="2987"/>
      <c r="Y51" s="2987"/>
      <c r="Z51" s="2987"/>
      <c r="AA51" s="842"/>
      <c r="AB51" s="842"/>
      <c r="AC51" s="842"/>
      <c r="AD51" s="842"/>
      <c r="AE51" s="842"/>
      <c r="AF51" s="842"/>
      <c r="AG51" s="842"/>
      <c r="AH51" s="842"/>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row>
    <row r="52" spans="1:133" ht="20.100000000000001" customHeight="1">
      <c r="A52" s="1"/>
      <c r="B52" s="473"/>
      <c r="C52" s="2611" t="s">
        <v>616</v>
      </c>
      <c r="D52" s="2608" t="str">
        <f>'FORM-16(Old)'!F67</f>
        <v>80E</v>
      </c>
      <c r="E52" s="497" t="str">
        <f>'FORM-16(Old)'!G67</f>
        <v xml:space="preserve">Interest  on loan taken for higher Educational </v>
      </c>
      <c r="F52" s="497"/>
      <c r="G52" s="497"/>
      <c r="H52" s="497"/>
      <c r="I52" s="497"/>
      <c r="J52" s="497"/>
      <c r="K52" s="497"/>
      <c r="L52" s="469"/>
      <c r="M52" s="6337">
        <f>'FORM-16(Old)'!O67</f>
        <v>0</v>
      </c>
      <c r="N52" s="6337"/>
      <c r="O52" s="6337"/>
      <c r="P52" s="6337"/>
      <c r="Q52" s="6338" t="str">
        <f t="shared" si="1"/>
        <v/>
      </c>
      <c r="R52" s="6339"/>
      <c r="S52" s="6339"/>
      <c r="T52" s="6340"/>
      <c r="U52" s="2986"/>
      <c r="V52" s="2987"/>
      <c r="W52" s="2987"/>
      <c r="X52" s="2987"/>
      <c r="Y52" s="2987"/>
      <c r="Z52" s="2987"/>
      <c r="AA52" s="842"/>
      <c r="AB52" s="842"/>
      <c r="AC52" s="842"/>
      <c r="AD52" s="842"/>
      <c r="AE52" s="842"/>
      <c r="AF52" s="842"/>
      <c r="AG52" s="842"/>
      <c r="AH52" s="842"/>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row>
    <row r="53" spans="1:133" ht="20.100000000000001" customHeight="1">
      <c r="A53" s="1"/>
      <c r="B53" s="473"/>
      <c r="C53" s="2611" t="s">
        <v>617</v>
      </c>
      <c r="D53" s="2608" t="str">
        <f>'FORM-16(Old)'!F68</f>
        <v>80D</v>
      </c>
      <c r="E53" s="497" t="str">
        <f>'FORM-16(Old)'!G68</f>
        <v>Deduction in respect of Health insurance Premium</v>
      </c>
      <c r="F53" s="497"/>
      <c r="G53" s="497"/>
      <c r="H53" s="497"/>
      <c r="I53" s="497"/>
      <c r="J53" s="497"/>
      <c r="K53" s="497"/>
      <c r="L53" s="469"/>
      <c r="M53" s="6337">
        <f>'FORM-16(Old)'!O68</f>
        <v>0</v>
      </c>
      <c r="N53" s="6337"/>
      <c r="O53" s="6337"/>
      <c r="P53" s="6337"/>
      <c r="Q53" s="6338" t="str">
        <f t="shared" si="1"/>
        <v/>
      </c>
      <c r="R53" s="6339"/>
      <c r="S53" s="6339"/>
      <c r="T53" s="6340"/>
      <c r="U53" s="2986"/>
      <c r="V53" s="2987"/>
      <c r="W53" s="2987"/>
      <c r="X53" s="2987"/>
      <c r="Y53" s="2987"/>
      <c r="Z53" s="2987"/>
      <c r="AA53" s="842"/>
      <c r="AB53" s="842"/>
      <c r="AC53" s="842"/>
      <c r="AD53" s="842"/>
      <c r="AE53" s="842"/>
      <c r="AF53" s="842"/>
      <c r="AG53" s="842"/>
      <c r="AH53" s="842"/>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row>
    <row r="54" spans="1:133" ht="20.100000000000001" customHeight="1">
      <c r="A54" s="1"/>
      <c r="B54" s="473"/>
      <c r="C54" s="2611" t="s">
        <v>811</v>
      </c>
      <c r="D54" s="2608" t="str">
        <f>'FORM-16(Old)'!F69</f>
        <v>80DD</v>
      </c>
      <c r="E54" s="6344" t="str">
        <f>'FORM-16(Old)'!G69</f>
        <v>Maintance including medical treatment of a dependent who is a person with disability</v>
      </c>
      <c r="F54" s="6344"/>
      <c r="G54" s="6344"/>
      <c r="H54" s="6344"/>
      <c r="I54" s="6344"/>
      <c r="J54" s="6344"/>
      <c r="K54" s="6344"/>
      <c r="L54" s="6345"/>
      <c r="M54" s="6507">
        <f>'FORM-16(Old)'!O69</f>
        <v>0</v>
      </c>
      <c r="N54" s="6507"/>
      <c r="O54" s="6507"/>
      <c r="P54" s="2607"/>
      <c r="Q54" s="6338" t="str">
        <f t="shared" ref="Q54:Q60" si="2">IF(M54&gt;0,"Certificate Produced","")</f>
        <v/>
      </c>
      <c r="R54" s="6339"/>
      <c r="S54" s="6339"/>
      <c r="T54" s="6340"/>
      <c r="U54" s="2986"/>
      <c r="V54" s="2987"/>
      <c r="W54" s="2987"/>
      <c r="X54" s="2987"/>
      <c r="Y54" s="2987"/>
      <c r="Z54" s="2987"/>
      <c r="AA54" s="842"/>
      <c r="AB54" s="842"/>
      <c r="AC54" s="842"/>
      <c r="AD54" s="842"/>
      <c r="AE54" s="842"/>
      <c r="AF54" s="842"/>
      <c r="AG54" s="842"/>
      <c r="AH54" s="842"/>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row>
    <row r="55" spans="1:133" ht="20.100000000000001" customHeight="1">
      <c r="A55" s="1"/>
      <c r="B55" s="473"/>
      <c r="C55" s="2611" t="s">
        <v>812</v>
      </c>
      <c r="D55" s="2608" t="str">
        <f>'FORM-16(Old)'!F70</f>
        <v>80U</v>
      </c>
      <c r="E55" s="6346" t="str">
        <f>'FORM-16(Old)'!G70</f>
        <v>In Case of a Tax Payer  with disability</v>
      </c>
      <c r="F55" s="6346"/>
      <c r="G55" s="6346"/>
      <c r="H55" s="6346"/>
      <c r="I55" s="6346"/>
      <c r="J55" s="6346"/>
      <c r="K55" s="6346"/>
      <c r="L55" s="6347"/>
      <c r="M55" s="6507">
        <f>'FORM-16(Old)'!O70</f>
        <v>0</v>
      </c>
      <c r="N55" s="6507"/>
      <c r="O55" s="6507"/>
      <c r="P55" s="2607"/>
      <c r="Q55" s="6338" t="str">
        <f t="shared" si="2"/>
        <v/>
      </c>
      <c r="R55" s="6339"/>
      <c r="S55" s="6339"/>
      <c r="T55" s="6340"/>
      <c r="U55" s="2986"/>
      <c r="V55" s="2987"/>
      <c r="W55" s="2987"/>
      <c r="X55" s="2987"/>
      <c r="Y55" s="2987"/>
      <c r="Z55" s="2987"/>
      <c r="AA55" s="842"/>
      <c r="AB55" s="842"/>
      <c r="AC55" s="842"/>
      <c r="AD55" s="842"/>
      <c r="AE55" s="842"/>
      <c r="AF55" s="842"/>
      <c r="AG55" s="842"/>
      <c r="AH55" s="842"/>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row>
    <row r="56" spans="1:133" ht="20.100000000000001" customHeight="1">
      <c r="A56" s="1"/>
      <c r="B56" s="473"/>
      <c r="C56" s="2611" t="s">
        <v>813</v>
      </c>
      <c r="D56" s="2608" t="str">
        <f>'FORM-16(Old)'!F71</f>
        <v>80DDB</v>
      </c>
      <c r="E56" s="6339" t="str">
        <f>'FORM-16(Old)'!G71</f>
        <v>Medical Expenses incurred for Medical treatment of Specified diseases or ailments</v>
      </c>
      <c r="F56" s="6339"/>
      <c r="G56" s="6339"/>
      <c r="H56" s="6339"/>
      <c r="I56" s="6339"/>
      <c r="J56" s="6339"/>
      <c r="K56" s="6339"/>
      <c r="L56" s="6348"/>
      <c r="M56" s="6337">
        <f>'FORM-16(Old)'!O71</f>
        <v>0</v>
      </c>
      <c r="N56" s="6337"/>
      <c r="O56" s="6337"/>
      <c r="P56" s="6337"/>
      <c r="Q56" s="6338" t="str">
        <f t="shared" si="2"/>
        <v/>
      </c>
      <c r="R56" s="6339"/>
      <c r="S56" s="6339"/>
      <c r="T56" s="6340"/>
      <c r="U56" s="2986"/>
      <c r="V56" s="2987"/>
      <c r="W56" s="2987"/>
      <c r="X56" s="2987"/>
      <c r="Y56" s="2987"/>
      <c r="Z56" s="2987"/>
      <c r="AA56" s="842"/>
      <c r="AB56" s="842"/>
      <c r="AC56" s="842"/>
      <c r="AD56" s="842"/>
      <c r="AE56" s="842"/>
      <c r="AF56" s="842"/>
      <c r="AG56" s="842"/>
      <c r="AH56" s="842"/>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row>
    <row r="57" spans="1:133" ht="20.100000000000001" customHeight="1">
      <c r="A57" s="1"/>
      <c r="B57" s="473"/>
      <c r="C57" s="2611" t="s">
        <v>1340</v>
      </c>
      <c r="D57" s="2608" t="str">
        <f>'FORM-16(Old)'!F72</f>
        <v>80TTA</v>
      </c>
      <c r="E57" s="497" t="str">
        <f>'FORM-16(Old)'!G72</f>
        <v>Interest on deposit in saving Accounts</v>
      </c>
      <c r="F57" s="497"/>
      <c r="G57" s="497"/>
      <c r="H57" s="497"/>
      <c r="I57" s="497"/>
      <c r="J57" s="497"/>
      <c r="K57" s="497"/>
      <c r="L57" s="121"/>
      <c r="M57" s="6337">
        <f>'FORM-16(Old)'!O72</f>
        <v>0</v>
      </c>
      <c r="N57" s="6337"/>
      <c r="O57" s="6337"/>
      <c r="P57" s="6337"/>
      <c r="Q57" s="6338" t="str">
        <f t="shared" si="2"/>
        <v/>
      </c>
      <c r="R57" s="6339"/>
      <c r="S57" s="6339"/>
      <c r="T57" s="6340"/>
      <c r="U57" s="2986"/>
      <c r="V57" s="2987"/>
      <c r="W57" s="2987"/>
      <c r="X57" s="2987"/>
      <c r="Y57" s="2987"/>
      <c r="Z57" s="2987"/>
      <c r="AA57" s="842"/>
      <c r="AB57" s="842"/>
      <c r="AC57" s="842"/>
      <c r="AD57" s="842"/>
      <c r="AE57" s="842"/>
      <c r="AF57" s="842"/>
      <c r="AG57" s="842"/>
      <c r="AH57" s="842"/>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row>
    <row r="58" spans="1:133" ht="20.100000000000001" customHeight="1">
      <c r="A58" s="1"/>
      <c r="B58" s="473"/>
      <c r="C58" s="2611" t="s">
        <v>1341</v>
      </c>
      <c r="D58" s="2608" t="str">
        <f>'FORM-16(Old)'!F73</f>
        <v>80EEB</v>
      </c>
      <c r="E58" s="497" t="str">
        <f>'FORM-16(Old)'!G73</f>
        <v>Deduction in respect of purchase of electric vehicle</v>
      </c>
      <c r="F58" s="497"/>
      <c r="G58" s="497"/>
      <c r="H58" s="497"/>
      <c r="I58" s="497"/>
      <c r="J58" s="497"/>
      <c r="K58" s="497"/>
      <c r="L58" s="121"/>
      <c r="M58" s="6337">
        <f>'FORM-16(Old)'!O73</f>
        <v>0</v>
      </c>
      <c r="N58" s="6337"/>
      <c r="O58" s="6337"/>
      <c r="P58" s="2607"/>
      <c r="Q58" s="6338" t="str">
        <f t="shared" si="2"/>
        <v/>
      </c>
      <c r="R58" s="6339"/>
      <c r="S58" s="6339"/>
      <c r="T58" s="6340"/>
      <c r="U58" s="2986"/>
      <c r="V58" s="2987"/>
      <c r="W58" s="2987"/>
      <c r="X58" s="2987"/>
      <c r="Y58" s="2987"/>
      <c r="Z58" s="2987"/>
      <c r="AA58" s="842"/>
      <c r="AB58" s="842"/>
      <c r="AC58" s="842"/>
      <c r="AD58" s="842"/>
      <c r="AE58" s="842"/>
      <c r="AF58" s="842"/>
      <c r="AG58" s="842"/>
      <c r="AH58" s="842"/>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row>
    <row r="59" spans="1:133" ht="20.100000000000001" customHeight="1">
      <c r="A59" s="1"/>
      <c r="B59" s="473"/>
      <c r="C59" s="2611" t="s">
        <v>1342</v>
      </c>
      <c r="D59" s="2608" t="str">
        <f>'FORM-16(Old)'!F74</f>
        <v>80GGC</v>
      </c>
      <c r="E59" s="497" t="str">
        <f>'FORM-16(Old)'!G74</f>
        <v>100% Deduction of  Donation Amount to Political Party or Electrol Trusts</v>
      </c>
      <c r="F59" s="497"/>
      <c r="G59" s="497"/>
      <c r="H59" s="497"/>
      <c r="I59" s="497"/>
      <c r="J59" s="497"/>
      <c r="K59" s="497"/>
      <c r="L59" s="121"/>
      <c r="M59" s="6337">
        <f>'FORM-16(Old)'!O74</f>
        <v>0</v>
      </c>
      <c r="N59" s="6337"/>
      <c r="O59" s="6337"/>
      <c r="P59" s="2607"/>
      <c r="Q59" s="6338" t="str">
        <f t="shared" si="2"/>
        <v/>
      </c>
      <c r="R59" s="6339"/>
      <c r="S59" s="6339"/>
      <c r="T59" s="6340"/>
      <c r="U59" s="2986"/>
      <c r="V59" s="2987"/>
      <c r="W59" s="2987"/>
      <c r="X59" s="2987"/>
      <c r="Y59" s="2987"/>
      <c r="Z59" s="2987"/>
      <c r="AA59" s="842"/>
      <c r="AB59" s="842"/>
      <c r="AC59" s="842"/>
      <c r="AD59" s="842"/>
      <c r="AE59" s="842"/>
      <c r="AF59" s="842"/>
      <c r="AG59" s="842"/>
      <c r="AH59" s="842"/>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row>
    <row r="60" spans="1:133" ht="20.100000000000001" customHeight="1">
      <c r="A60" s="1"/>
      <c r="B60" s="473"/>
      <c r="C60" s="2611" t="s">
        <v>1343</v>
      </c>
      <c r="D60" s="2608" t="str">
        <f>'FORM-16(Old)'!F75</f>
        <v>80G</v>
      </c>
      <c r="E60" s="497" t="str">
        <f>'FORM-16(Old)'!G75</f>
        <v>Donation entitled for 50% Deduction Subjected to Qualifying Limit</v>
      </c>
      <c r="F60" s="497"/>
      <c r="G60" s="497"/>
      <c r="H60" s="497"/>
      <c r="I60" s="497"/>
      <c r="J60" s="497"/>
      <c r="K60" s="497"/>
      <c r="L60" s="121"/>
      <c r="M60" s="6421">
        <f>'FORM-16(Old)'!O75</f>
        <v>0</v>
      </c>
      <c r="N60" s="6421"/>
      <c r="O60" s="6421"/>
      <c r="P60" s="2612"/>
      <c r="Q60" s="6338" t="str">
        <f t="shared" si="2"/>
        <v/>
      </c>
      <c r="R60" s="6339"/>
      <c r="S60" s="6339"/>
      <c r="T60" s="6340"/>
      <c r="U60" s="2986"/>
      <c r="V60" s="2987"/>
      <c r="W60" s="2987"/>
      <c r="X60" s="2987"/>
      <c r="Y60" s="2987"/>
      <c r="Z60" s="2987"/>
      <c r="AA60" s="842"/>
      <c r="AB60" s="842"/>
      <c r="AC60" s="842"/>
      <c r="AD60" s="842"/>
      <c r="AE60" s="842"/>
      <c r="AF60" s="842"/>
      <c r="AG60" s="842"/>
      <c r="AH60" s="842"/>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row>
    <row r="61" spans="1:133" ht="20.100000000000001" customHeight="1">
      <c r="A61" s="1"/>
      <c r="B61" s="473"/>
      <c r="C61" s="2611" t="s">
        <v>1573</v>
      </c>
      <c r="D61" s="2608" t="str">
        <f>'FORM-16(Old)'!F76</f>
        <v>80GGA</v>
      </c>
      <c r="E61" s="497" t="str">
        <f>'FORM-16(Old)'!G76</f>
        <v>Certain Donation for scientific research or rural development</v>
      </c>
      <c r="F61" s="497"/>
      <c r="G61" s="497"/>
      <c r="H61" s="497"/>
      <c r="I61" s="497"/>
      <c r="J61" s="497"/>
      <c r="K61" s="497"/>
      <c r="L61" s="121"/>
      <c r="M61" s="6422">
        <f>'FORM-16(Old)'!O76</f>
        <v>0</v>
      </c>
      <c r="N61" s="6422"/>
      <c r="O61" s="6422"/>
      <c r="P61" s="2668"/>
      <c r="Q61" s="6338" t="str">
        <f t="shared" ref="Q61" si="3">IF(M61&gt;0,"Certificate Produced","")</f>
        <v/>
      </c>
      <c r="R61" s="6339"/>
      <c r="S61" s="6339"/>
      <c r="T61" s="6340"/>
      <c r="U61" s="2986"/>
      <c r="V61" s="2987"/>
      <c r="W61" s="2987"/>
      <c r="X61" s="2987"/>
      <c r="Y61" s="2987"/>
      <c r="Z61" s="2987"/>
      <c r="AA61" s="842"/>
      <c r="AB61" s="842"/>
      <c r="AC61" s="842"/>
      <c r="AD61" s="842"/>
      <c r="AE61" s="842"/>
      <c r="AF61" s="842"/>
      <c r="AG61" s="842"/>
      <c r="AH61" s="842"/>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row>
    <row r="62" spans="1:133" ht="16.5" customHeight="1">
      <c r="A62" s="1"/>
      <c r="B62" s="470"/>
      <c r="C62" s="6418" t="s">
        <v>618</v>
      </c>
      <c r="D62" s="6419"/>
      <c r="E62" s="6419"/>
      <c r="F62" s="6419"/>
      <c r="G62" s="6419"/>
      <c r="H62" s="6419"/>
      <c r="I62" s="6419"/>
      <c r="J62" s="6419"/>
      <c r="K62" s="6419"/>
      <c r="L62" s="6419"/>
      <c r="M62" s="6419"/>
      <c r="N62" s="6419"/>
      <c r="O62" s="6419"/>
      <c r="P62" s="6419"/>
      <c r="Q62" s="6419"/>
      <c r="R62" s="6419"/>
      <c r="S62" s="6419"/>
      <c r="T62" s="6420"/>
      <c r="U62" s="2986"/>
      <c r="V62" s="2987"/>
      <c r="W62" s="2987"/>
      <c r="X62" s="2987"/>
      <c r="Y62" s="2987"/>
      <c r="Z62" s="2987"/>
      <c r="AA62" s="842"/>
      <c r="AB62" s="842"/>
      <c r="AC62" s="842"/>
      <c r="AD62" s="842"/>
      <c r="AE62" s="842"/>
      <c r="AF62" s="842"/>
      <c r="AG62" s="842"/>
      <c r="AH62" s="842"/>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row>
    <row r="63" spans="1:133" ht="20.100000000000001" customHeight="1">
      <c r="A63" s="1"/>
      <c r="B63" s="471"/>
      <c r="C63" s="502" t="s">
        <v>619</v>
      </c>
      <c r="D63" s="6502" t="s">
        <v>501</v>
      </c>
      <c r="E63" s="6502"/>
      <c r="F63" s="6502"/>
      <c r="G63" s="6502"/>
      <c r="H63" s="6502"/>
      <c r="I63" s="6502"/>
      <c r="J63" s="6502"/>
      <c r="K63" s="503" t="s">
        <v>620</v>
      </c>
      <c r="L63" s="503"/>
      <c r="M63" s="6416" t="s">
        <v>693</v>
      </c>
      <c r="N63" s="6416"/>
      <c r="O63" s="6416"/>
      <c r="P63" s="6416"/>
      <c r="Q63" s="6416"/>
      <c r="R63" s="6416"/>
      <c r="S63" s="6416"/>
      <c r="T63" s="6417"/>
      <c r="U63" s="2986"/>
      <c r="V63" s="2987"/>
      <c r="W63" s="2987"/>
      <c r="X63" s="2987"/>
      <c r="Y63" s="2987"/>
      <c r="Z63" s="2987"/>
      <c r="AA63" s="842"/>
      <c r="AB63" s="842"/>
      <c r="AC63" s="842"/>
      <c r="AD63" s="842"/>
      <c r="AE63" s="842"/>
      <c r="AF63" s="842"/>
      <c r="AG63" s="842"/>
      <c r="AH63" s="842"/>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row>
    <row r="64" spans="1:133" ht="20.100000000000001" customHeight="1">
      <c r="A64" s="1"/>
      <c r="B64" s="472"/>
      <c r="C64" s="521" t="s">
        <v>621</v>
      </c>
      <c r="D64" s="521"/>
      <c r="E64" s="521"/>
      <c r="F64" s="521"/>
      <c r="G64" s="522"/>
      <c r="H64" s="522"/>
      <c r="I64" s="522"/>
      <c r="J64" s="522"/>
      <c r="K64" s="522"/>
      <c r="L64" s="522"/>
      <c r="M64" s="522"/>
      <c r="N64" s="522"/>
      <c r="O64" s="522"/>
      <c r="P64" s="522"/>
      <c r="Q64" s="522"/>
      <c r="R64" s="522"/>
      <c r="S64" s="522"/>
      <c r="T64" s="523"/>
      <c r="U64" s="2986"/>
      <c r="V64" s="2987"/>
      <c r="W64" s="2987"/>
      <c r="X64" s="2987"/>
      <c r="Y64" s="2987"/>
      <c r="Z64" s="2987"/>
      <c r="AA64" s="842"/>
      <c r="AB64" s="842"/>
      <c r="AC64" s="842"/>
      <c r="AD64" s="842"/>
      <c r="AE64" s="842"/>
      <c r="AF64" s="842"/>
      <c r="AG64" s="842"/>
      <c r="AH64" s="842"/>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row>
    <row r="65" spans="1:133" ht="20.25" customHeight="1">
      <c r="A65" s="1"/>
      <c r="B65" s="473"/>
      <c r="C65" s="504" t="s">
        <v>622</v>
      </c>
      <c r="D65" s="6502" t="s">
        <v>502</v>
      </c>
      <c r="E65" s="6502"/>
      <c r="F65" s="6502"/>
      <c r="G65" s="505"/>
      <c r="H65" s="505"/>
      <c r="I65" s="505"/>
      <c r="J65" s="505"/>
      <c r="K65" s="505"/>
      <c r="L65" s="505"/>
      <c r="M65" s="505"/>
      <c r="N65" s="505"/>
      <c r="O65" s="505"/>
      <c r="P65" s="505"/>
      <c r="Q65" s="505"/>
      <c r="R65" s="505"/>
      <c r="S65" s="505"/>
      <c r="T65" s="506"/>
      <c r="U65" s="2986"/>
      <c r="V65" s="2987"/>
      <c r="W65" s="2987"/>
      <c r="X65" s="2987"/>
      <c r="Y65" s="2987"/>
      <c r="Z65" s="2987"/>
      <c r="AA65" s="842"/>
      <c r="AB65" s="842"/>
      <c r="AC65" s="842"/>
      <c r="AD65" s="842"/>
      <c r="AE65" s="842"/>
      <c r="AF65" s="842"/>
      <c r="AG65" s="842"/>
      <c r="AH65" s="842"/>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row>
    <row r="66" spans="1:133" ht="20.100000000000001" customHeight="1">
      <c r="A66" s="1"/>
      <c r="B66" s="473"/>
      <c r="C66" s="513" t="s">
        <v>623</v>
      </c>
      <c r="D66" s="6500">
        <f ca="1">TODAY()</f>
        <v>46059</v>
      </c>
      <c r="E66" s="6500"/>
      <c r="F66" s="6500"/>
      <c r="G66" s="505"/>
      <c r="H66" s="505"/>
      <c r="I66" s="505"/>
      <c r="J66" s="505"/>
      <c r="K66" s="505"/>
      <c r="L66" s="505"/>
      <c r="M66" s="6505" t="s">
        <v>624</v>
      </c>
      <c r="N66" s="6505"/>
      <c r="O66" s="6505"/>
      <c r="P66" s="6505"/>
      <c r="Q66" s="6505"/>
      <c r="R66" s="6505"/>
      <c r="S66" s="6505"/>
      <c r="T66" s="506"/>
      <c r="U66" s="2986"/>
      <c r="V66" s="2987"/>
      <c r="W66" s="2987"/>
      <c r="X66" s="2987"/>
      <c r="Y66" s="2987"/>
      <c r="Z66" s="2987"/>
      <c r="AA66" s="842"/>
      <c r="AB66" s="842"/>
      <c r="AC66" s="842"/>
      <c r="AD66" s="842"/>
      <c r="AE66" s="842"/>
      <c r="AF66" s="842"/>
      <c r="AG66" s="842"/>
      <c r="AH66" s="842"/>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row>
    <row r="67" spans="1:133" ht="20.100000000000001" customHeight="1" thickBot="1">
      <c r="A67" s="1"/>
      <c r="B67" s="474"/>
      <c r="C67" s="507"/>
      <c r="D67" s="6499"/>
      <c r="E67" s="6499"/>
      <c r="F67" s="6499"/>
      <c r="G67" s="508"/>
      <c r="H67" s="508"/>
      <c r="I67" s="508"/>
      <c r="J67" s="508"/>
      <c r="K67" s="508"/>
      <c r="L67" s="508"/>
      <c r="M67" s="6506" t="str">
        <f>CONCATENATE(AM5,"")</f>
        <v>B.Saidi Reddy</v>
      </c>
      <c r="N67" s="6506"/>
      <c r="O67" s="6506"/>
      <c r="P67" s="6506"/>
      <c r="Q67" s="6506"/>
      <c r="R67" s="6506"/>
      <c r="S67" s="6506"/>
      <c r="T67" s="509"/>
      <c r="U67" s="2986"/>
      <c r="V67" s="2987"/>
      <c r="W67" s="2987"/>
      <c r="X67" s="2987"/>
      <c r="Y67" s="2987"/>
      <c r="Z67" s="2987"/>
      <c r="AA67" s="842"/>
      <c r="AB67" s="842"/>
      <c r="AC67" s="842"/>
      <c r="AD67" s="842"/>
      <c r="AE67" s="842"/>
      <c r="AF67" s="842"/>
      <c r="AG67" s="842"/>
      <c r="AH67" s="842"/>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row>
    <row r="68" spans="1:133" ht="15.75" thickTop="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row>
    <row r="69" spans="1:133" hidden="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row>
    <row r="70" spans="1:133" hidden="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row>
    <row r="71" spans="1:133" hidden="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row>
    <row r="72" spans="1:133" hidden="1">
      <c r="A72" s="1"/>
      <c r="B72" s="1"/>
      <c r="C72" s="1"/>
      <c r="D72" s="1"/>
      <c r="E72" s="1"/>
      <c r="F72" s="517"/>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row>
    <row r="73" spans="1:133" hidden="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row>
    <row r="74" spans="1:133" hidden="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row>
    <row r="75" spans="1:133" hidden="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row>
    <row r="76" spans="1:133" hidden="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row>
    <row r="77" spans="1:133" hidden="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row>
    <row r="78" spans="1:133" hidden="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row>
    <row r="79" spans="1:133" hidden="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row>
    <row r="80" spans="1:133" hidden="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row>
    <row r="81" spans="1:133" hidden="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row>
    <row r="82" spans="1:133" hidden="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row>
    <row r="83" spans="1:133" hidden="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row>
    <row r="84" spans="1:133" hidden="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row>
    <row r="85" spans="1:133" hidden="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row>
    <row r="86" spans="1:133" hidden="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row>
    <row r="87" spans="1:133" hidden="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row>
    <row r="88" spans="1:133" hidden="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row>
    <row r="89" spans="1:133" hidden="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row>
    <row r="90" spans="1:133" hidden="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row>
    <row r="91" spans="1:133" hidden="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row>
    <row r="92" spans="1:133" hidden="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row>
    <row r="93" spans="1:133" hidden="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row>
    <row r="94" spans="1:133" hidden="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row>
    <row r="95" spans="1:133" hidden="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row>
    <row r="96" spans="1:133" hidden="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row>
    <row r="97" spans="1:133" hidden="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row>
    <row r="98" spans="1:133" hidden="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row>
    <row r="99" spans="1:133" hidden="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row>
    <row r="100" spans="1:133" hidden="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row>
    <row r="101" spans="1:133" hidden="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row>
    <row r="102" spans="1:133" hidden="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row>
    <row r="103" spans="1:133" hidden="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row>
    <row r="104" spans="1:133" hidden="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row>
    <row r="105" spans="1:133" hidden="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row>
    <row r="106" spans="1:133" hidden="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row>
    <row r="107" spans="1:133" hidden="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row>
    <row r="108" spans="1:133" hidden="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row>
    <row r="109" spans="1:133" hidden="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row>
    <row r="110" spans="1:133" hidden="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row>
    <row r="111" spans="1:133" hidden="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row>
    <row r="112" spans="1:133" hidden="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row>
    <row r="113" spans="1:133" hidden="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row>
    <row r="114" spans="1:133" hidden="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row>
    <row r="115" spans="1:133" hidden="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row>
    <row r="116" spans="1:133" hidden="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row>
    <row r="117" spans="1:133" hidden="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row>
    <row r="118" spans="1:133" hidden="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row>
    <row r="119" spans="1:133" hidden="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row>
    <row r="120" spans="1:133" hidden="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row>
    <row r="121" spans="1:133" hidden="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row>
    <row r="122" spans="1:133" hidden="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row>
    <row r="123" spans="1:133" hidden="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row>
    <row r="124" spans="1:133" hidden="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row>
    <row r="125" spans="1:133" hidden="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row>
    <row r="126" spans="1:133" hidden="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row>
    <row r="127" spans="1:133" hidden="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row>
    <row r="128" spans="1:133" hidden="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row>
    <row r="129" spans="1:133" hidden="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row>
    <row r="130" spans="1:133" hidden="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row>
    <row r="131" spans="1:133" hidden="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row>
    <row r="132" spans="1:133" hidden="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row>
    <row r="133" spans="1:133" hidden="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row>
    <row r="134" spans="1:133" hidden="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row>
    <row r="135" spans="1:133" hidden="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row>
    <row r="136" spans="1:133" hidden="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row>
    <row r="137" spans="1:133" hidden="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row>
    <row r="138" spans="1:133" hidden="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row>
    <row r="139" spans="1:133" hidden="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row>
    <row r="140" spans="1:133" hidden="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row>
    <row r="141" spans="1:133" hidden="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row>
    <row r="142" spans="1:133" hidden="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row>
    <row r="143" spans="1:133" hidden="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row>
    <row r="144" spans="1:133" hidden="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row>
    <row r="145" spans="1:133" hidden="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row>
    <row r="146" spans="1:133" hidden="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row>
    <row r="147" spans="1:133" hidden="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row>
    <row r="148" spans="1:133" hidden="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row>
    <row r="149" spans="1:133" hidden="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row>
    <row r="150" spans="1:133" hidden="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row>
    <row r="151" spans="1:133" hidden="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row>
    <row r="152" spans="1:133" hidden="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row>
    <row r="153" spans="1:133" hidden="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row>
    <row r="154" spans="1:133" hidden="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row>
  </sheetData>
  <sheetProtection algorithmName="SHA-512" hashValue="i1keTjgIGTIlV+KN0ARMbJQ96eqlwo2NMO0JPQfQoWwNDir/IjT6slNk/3z0OtS9aJOW3dRsFsrNaPNE9J48YQ==" saltValue="85EZaQrmC+lw78HAz44JkQ==" spinCount="100000" sheet="1" objects="1" scenarios="1" formatColumns="0" formatRows="0" selectLockedCells="1"/>
  <protectedRanges>
    <protectedRange sqref="Q5:S9" name="Range3"/>
  </protectedRanges>
  <customSheetViews>
    <customSheetView guid="{DDA22D69-94B5-45BC-9EE2-6055A845129B}" hiddenRows="1" hiddenColumns="1" topLeftCell="C1">
      <selection activeCell="K66" sqref="K66"/>
      <pageMargins left="0.62992125984251968" right="0.19685039370078741" top="0.19685039370078741" bottom="0.31496062992125984" header="0.23622047244094491" footer="0.31496062992125984"/>
      <pageSetup paperSize="9" scale="68" orientation="portrait" r:id="rId1"/>
    </customSheetView>
    <customSheetView guid="{1B7577DB-E3C4-4E68-B7CF-8F86FF7C5A82}" hiddenRows="1" hiddenColumns="1" topLeftCell="A25">
      <selection activeCell="U40" sqref="U40"/>
      <pageMargins left="0.62992125984251968" right="0.19685039370078741" top="0.19685039370078741" bottom="0.31496062992125984" header="0.23622047244094491" footer="0.31496062992125984"/>
      <pageSetup paperSize="9" scale="68" orientation="portrait" r:id="rId2"/>
    </customSheetView>
    <customSheetView guid="{2BE9587E-F957-49DF-9716-3F2B35B49DC1}" hiddenColumns="1" topLeftCell="C49">
      <selection activeCell="M59" sqref="M59:T59"/>
      <pageMargins left="0.45" right="0.2" top="0.19" bottom="0.3" header="0.22" footer="0.3"/>
      <pageSetup paperSize="9" scale="76" orientation="portrait" r:id="rId3"/>
    </customSheetView>
    <customSheetView guid="{60E5615C-64A2-4675-848A-970A515EAF91}" hiddenColumns="1" topLeftCell="A4">
      <selection activeCell="Z5" sqref="Z5:AC5"/>
      <pageMargins left="0.45" right="0.2" top="0.19" bottom="0.3" header="0.22" footer="0.3"/>
      <pageSetup paperSize="9" scale="74" orientation="portrait" r:id="rId4"/>
    </customSheetView>
    <customSheetView guid="{E7B1C62B-1F1D-4A62-BD87-EE62D3A36B6C}" hiddenRows="1" hiddenColumns="1" topLeftCell="C1">
      <selection activeCell="K66" sqref="K66"/>
      <pageMargins left="0.62992125984251968" right="0.19685039370078741" top="0.19685039370078741" bottom="0.31496062992125984" header="0.23622047244094491" footer="0.31496062992125984"/>
      <pageSetup paperSize="9" scale="68" orientation="portrait" r:id="rId5"/>
    </customSheetView>
  </customSheetViews>
  <mergeCells count="172">
    <mergeCell ref="C47:L47"/>
    <mergeCell ref="M47:P47"/>
    <mergeCell ref="B2:T2"/>
    <mergeCell ref="C24:G24"/>
    <mergeCell ref="H24:L24"/>
    <mergeCell ref="D27:G27"/>
    <mergeCell ref="D28:G28"/>
    <mergeCell ref="D29:G29"/>
    <mergeCell ref="D17:F22"/>
    <mergeCell ref="I20:K20"/>
    <mergeCell ref="C17:C21"/>
    <mergeCell ref="D16:F16"/>
    <mergeCell ref="C13:L13"/>
    <mergeCell ref="M13:P13"/>
    <mergeCell ref="Q13:T13"/>
    <mergeCell ref="C14:H14"/>
    <mergeCell ref="I14:L14"/>
    <mergeCell ref="D15:F15"/>
    <mergeCell ref="H27:L27"/>
    <mergeCell ref="C12:T12"/>
    <mergeCell ref="I17:K17"/>
    <mergeCell ref="I18:K18"/>
    <mergeCell ref="C25:H25"/>
    <mergeCell ref="Q46:T46"/>
    <mergeCell ref="D67:F67"/>
    <mergeCell ref="D66:F66"/>
    <mergeCell ref="I19:K19"/>
    <mergeCell ref="D65:F65"/>
    <mergeCell ref="H26:K26"/>
    <mergeCell ref="D32:G32"/>
    <mergeCell ref="D63:J63"/>
    <mergeCell ref="M66:S66"/>
    <mergeCell ref="M67:S67"/>
    <mergeCell ref="Q54:T54"/>
    <mergeCell ref="Q55:T55"/>
    <mergeCell ref="M54:O54"/>
    <mergeCell ref="M55:O55"/>
    <mergeCell ref="M23:P23"/>
    <mergeCell ref="I21:K21"/>
    <mergeCell ref="H31:L31"/>
    <mergeCell ref="M49:P49"/>
    <mergeCell ref="Q49:T49"/>
    <mergeCell ref="M50:P50"/>
    <mergeCell ref="Q50:T50"/>
    <mergeCell ref="H28:K28"/>
    <mergeCell ref="H29:L29"/>
    <mergeCell ref="M29:P29"/>
    <mergeCell ref="M30:P30"/>
    <mergeCell ref="M33:P33"/>
    <mergeCell ref="Q33:T33"/>
    <mergeCell ref="W17:Y17"/>
    <mergeCell ref="Q34:T34"/>
    <mergeCell ref="Q37:T37"/>
    <mergeCell ref="AA28:AC28"/>
    <mergeCell ref="W18:Y18"/>
    <mergeCell ref="AA27:AC27"/>
    <mergeCell ref="M31:P31"/>
    <mergeCell ref="M34:O34"/>
    <mergeCell ref="Q38:T38"/>
    <mergeCell ref="M39:P39"/>
    <mergeCell ref="Q39:T39"/>
    <mergeCell ref="M40:P40"/>
    <mergeCell ref="W35:Z37"/>
    <mergeCell ref="Q35:T35"/>
    <mergeCell ref="W3:AC4"/>
    <mergeCell ref="W5:Y5"/>
    <mergeCell ref="B3:T3"/>
    <mergeCell ref="B4:T4"/>
    <mergeCell ref="C10:J10"/>
    <mergeCell ref="K10:T10"/>
    <mergeCell ref="B5:B9"/>
    <mergeCell ref="C11:J11"/>
    <mergeCell ref="AA7:AC7"/>
    <mergeCell ref="AA8:AC8"/>
    <mergeCell ref="AA9:AC9"/>
    <mergeCell ref="K9:T9"/>
    <mergeCell ref="K11:T11"/>
    <mergeCell ref="K6:Q6"/>
    <mergeCell ref="C5:J9"/>
    <mergeCell ref="AA11:AC11"/>
    <mergeCell ref="AA10:AC10"/>
    <mergeCell ref="M16:P16"/>
    <mergeCell ref="W6:Y6"/>
    <mergeCell ref="Z6:AC6"/>
    <mergeCell ref="H30:L30"/>
    <mergeCell ref="D31:G31"/>
    <mergeCell ref="H32:L32"/>
    <mergeCell ref="I16:L16"/>
    <mergeCell ref="I22:K22"/>
    <mergeCell ref="M17:P17"/>
    <mergeCell ref="M18:P18"/>
    <mergeCell ref="M24:P24"/>
    <mergeCell ref="M27:P27"/>
    <mergeCell ref="M28:P28"/>
    <mergeCell ref="W25:AC26"/>
    <mergeCell ref="W27:Y28"/>
    <mergeCell ref="W29:Y29"/>
    <mergeCell ref="Z29:AC29"/>
    <mergeCell ref="W30:Y30"/>
    <mergeCell ref="AA20:AC20"/>
    <mergeCell ref="AA21:AC21"/>
    <mergeCell ref="AA22:AC22"/>
    <mergeCell ref="AA23:AC23"/>
    <mergeCell ref="G15:L15"/>
    <mergeCell ref="M63:T63"/>
    <mergeCell ref="M56:P56"/>
    <mergeCell ref="Q56:T56"/>
    <mergeCell ref="C62:T62"/>
    <mergeCell ref="M51:P51"/>
    <mergeCell ref="Q51:T51"/>
    <mergeCell ref="M52:P52"/>
    <mergeCell ref="Q52:T52"/>
    <mergeCell ref="M53:P53"/>
    <mergeCell ref="Q53:T53"/>
    <mergeCell ref="M58:O58"/>
    <mergeCell ref="M59:O59"/>
    <mergeCell ref="M60:O60"/>
    <mergeCell ref="M57:P57"/>
    <mergeCell ref="Q57:T57"/>
    <mergeCell ref="Q58:T58"/>
    <mergeCell ref="Q59:T59"/>
    <mergeCell ref="Q60:T60"/>
    <mergeCell ref="M61:O61"/>
    <mergeCell ref="Q61:T61"/>
    <mergeCell ref="AS7:AT7"/>
    <mergeCell ref="AS8:AT8"/>
    <mergeCell ref="AS9:AT9"/>
    <mergeCell ref="Q47:T47"/>
    <mergeCell ref="Q41:T41"/>
    <mergeCell ref="Q42:T42"/>
    <mergeCell ref="Q43:T43"/>
    <mergeCell ref="Z30:AC30"/>
    <mergeCell ref="Q25:T26"/>
    <mergeCell ref="Q27:T32"/>
    <mergeCell ref="Q36:T36"/>
    <mergeCell ref="Q24:T24"/>
    <mergeCell ref="Z17:AC17"/>
    <mergeCell ref="Z18:AC18"/>
    <mergeCell ref="Q44:T44"/>
    <mergeCell ref="Q45:T45"/>
    <mergeCell ref="Q40:T40"/>
    <mergeCell ref="AK17:AL17"/>
    <mergeCell ref="AK23:AL23"/>
    <mergeCell ref="W14:AC15"/>
    <mergeCell ref="W16:Y16"/>
    <mergeCell ref="Z16:AC16"/>
    <mergeCell ref="W19:Y23"/>
    <mergeCell ref="AA19:AC19"/>
    <mergeCell ref="M48:P48"/>
    <mergeCell ref="Q48:T48"/>
    <mergeCell ref="M32:P32"/>
    <mergeCell ref="M37:P37"/>
    <mergeCell ref="M35:P35"/>
    <mergeCell ref="E54:L54"/>
    <mergeCell ref="E55:L55"/>
    <mergeCell ref="E56:L56"/>
    <mergeCell ref="Q14:T15"/>
    <mergeCell ref="M14:P15"/>
    <mergeCell ref="M41:P41"/>
    <mergeCell ref="M42:P42"/>
    <mergeCell ref="M43:P43"/>
    <mergeCell ref="M25:P26"/>
    <mergeCell ref="M36:P36"/>
    <mergeCell ref="D23:F23"/>
    <mergeCell ref="G23:L23"/>
    <mergeCell ref="M46:P46"/>
    <mergeCell ref="M44:P44"/>
    <mergeCell ref="M45:P45"/>
    <mergeCell ref="C34:L34"/>
    <mergeCell ref="I25:L25"/>
    <mergeCell ref="D30:G30"/>
    <mergeCell ref="M38:P38"/>
  </mergeCells>
  <pageMargins left="0.62992125984251968" right="0.19685039370078741" top="0.19685039370078741" bottom="0.31496062992125984" header="0.23622047244094491" footer="0.31496062992125984"/>
  <pageSetup paperSize="9" scale="68" orientation="portrait" r:id="rId6"/>
  <ignoredErrors>
    <ignoredError sqref="Q49" formula="1"/>
    <ignoredError sqref="H29:L29 D66 M67 M54:M55 H27:L27 H28:L28 J19:K19 J18:K18 J17:K17 J22:K22 J21:K21 J20:K20 L17:L22 J16:L16 I19 I16 I22 I20 I21 I17 I18 G23" unlockedFormula="1"/>
  </ignoredErrors>
  <drawing r:id="rId7"/>
  <legacyDrawing r:id="rId8"/>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D32C3-E1C0-4ED8-9ABF-77EF74195ABC}">
  <sheetPr>
    <tabColor rgb="FF002060"/>
  </sheetPr>
  <dimension ref="A1:Q28"/>
  <sheetViews>
    <sheetView workbookViewId="0">
      <selection activeCell="I16" sqref="I16:L16"/>
    </sheetView>
  </sheetViews>
  <sheetFormatPr defaultColWidth="0" defaultRowHeight="15" customHeight="1" zeroHeight="1"/>
  <cols>
    <col min="1" max="1" width="6.7109375" customWidth="1"/>
    <col min="2" max="2" width="7.28515625" customWidth="1"/>
    <col min="3" max="3" width="7.7109375" customWidth="1"/>
    <col min="4" max="4" width="9.140625" customWidth="1"/>
    <col min="5" max="5" width="8.5703125" customWidth="1"/>
    <col min="6" max="6" width="7" customWidth="1"/>
    <col min="7" max="7" width="9.140625" customWidth="1"/>
    <col min="8" max="8" width="9" customWidth="1"/>
    <col min="9" max="11" width="9.140625" customWidth="1"/>
    <col min="12" max="12" width="9" customWidth="1"/>
    <col min="13" max="13" width="3.140625" style="942" customWidth="1"/>
    <col min="14" max="17" width="0" hidden="1" customWidth="1"/>
    <col min="18" max="16384" width="9.140625" hidden="1"/>
  </cols>
  <sheetData>
    <row r="1" spans="1:17" s="942" customFormat="1" ht="12.75" customHeight="1" thickBot="1"/>
    <row r="2" spans="1:17" ht="24.95" customHeight="1" thickTop="1">
      <c r="A2" s="6561" t="s">
        <v>179</v>
      </c>
      <c r="B2" s="6562"/>
      <c r="C2" s="6562"/>
      <c r="D2" s="6563" t="str">
        <f>'New Tax Regime'!E4</f>
        <v>B.Saidi Reddy</v>
      </c>
      <c r="E2" s="6563"/>
      <c r="F2" s="6563"/>
      <c r="G2" s="6564" t="s">
        <v>24</v>
      </c>
      <c r="H2" s="6564"/>
      <c r="I2" s="6563" t="str">
        <f>'New Tax Regime'!I4</f>
        <v>KRR Govt.Arts &amp; Science College(A)</v>
      </c>
      <c r="J2" s="6563"/>
      <c r="K2" s="6563"/>
      <c r="L2" s="6565"/>
      <c r="Q2" s="1458">
        <f>Formula!NQ3</f>
        <v>1</v>
      </c>
    </row>
    <row r="3" spans="1:17" ht="33.75" customHeight="1">
      <c r="A3" s="6566" t="s">
        <v>15</v>
      </c>
      <c r="B3" s="6567"/>
      <c r="C3" s="6567"/>
      <c r="D3" s="6568" t="str">
        <f>'New Tax Regime'!E5</f>
        <v>Asst.Professor of Maths</v>
      </c>
      <c r="E3" s="6568"/>
      <c r="F3" s="6568"/>
      <c r="G3" s="6555" t="s">
        <v>28</v>
      </c>
      <c r="H3" s="6555"/>
      <c r="I3" s="6569" t="str">
        <f>'New Tax Regime'!I5</f>
        <v>Kodad(M), Suryapet(DIST), Telangana(STATE)</v>
      </c>
      <c r="J3" s="6569"/>
      <c r="K3" s="6569"/>
      <c r="L3" s="6570"/>
      <c r="Q3" s="1458">
        <f>Formula!NQ8</f>
        <v>2</v>
      </c>
    </row>
    <row r="4" spans="1:17" ht="24.95" customHeight="1">
      <c r="A4" s="6566" t="s">
        <v>1317</v>
      </c>
      <c r="B4" s="6567"/>
      <c r="C4" s="6567"/>
      <c r="D4" s="6571" t="str">
        <f>'New Tax Regime'!L6</f>
        <v>2000083</v>
      </c>
      <c r="E4" s="6568"/>
      <c r="F4" s="6568"/>
      <c r="G4" s="6555" t="s">
        <v>21</v>
      </c>
      <c r="H4" s="6555"/>
      <c r="I4" s="6571" t="str">
        <f>'New Tax Regime'!I6</f>
        <v>BSEPP1245A</v>
      </c>
      <c r="J4" s="6568"/>
      <c r="K4" s="6568"/>
      <c r="L4" s="6572"/>
    </row>
    <row r="5" spans="1:17" ht="24.95" customHeight="1">
      <c r="A5" s="6566" t="s">
        <v>1011</v>
      </c>
      <c r="B5" s="6567"/>
      <c r="C5" s="6567"/>
      <c r="D5" s="6573" t="s">
        <v>1673</v>
      </c>
      <c r="E5" s="6573"/>
      <c r="F5" s="6573"/>
      <c r="G5" s="6574" t="s">
        <v>1316</v>
      </c>
      <c r="H5" s="6575"/>
      <c r="I5" s="6555" t="s">
        <v>1698</v>
      </c>
      <c r="J5" s="6555"/>
      <c r="K5" s="6555"/>
      <c r="L5" s="6556"/>
    </row>
    <row r="6" spans="1:17" ht="28.5" customHeight="1">
      <c r="A6" s="6557" t="s">
        <v>1722</v>
      </c>
      <c r="B6" s="6558"/>
      <c r="C6" s="6558"/>
      <c r="D6" s="6558"/>
      <c r="E6" s="6558"/>
      <c r="F6" s="6558"/>
      <c r="G6" s="6558"/>
      <c r="H6" s="6558"/>
      <c r="I6" s="6558"/>
      <c r="J6" s="6558"/>
      <c r="K6" s="6558"/>
      <c r="L6" s="6559"/>
      <c r="O6" s="126"/>
    </row>
    <row r="7" spans="1:17" ht="27" customHeight="1">
      <c r="A7" s="3765">
        <v>1</v>
      </c>
      <c r="B7" s="6551" t="s">
        <v>1718</v>
      </c>
      <c r="C7" s="6552"/>
      <c r="D7" s="6552"/>
      <c r="E7" s="6552"/>
      <c r="F7" s="6552"/>
      <c r="G7" s="6552"/>
      <c r="H7" s="6552"/>
      <c r="I7" s="6553"/>
      <c r="J7" s="3762"/>
      <c r="K7" s="6533" t="str">
        <f>Formula!GW21</f>
        <v>Non-Metro</v>
      </c>
      <c r="L7" s="6532"/>
    </row>
    <row r="8" spans="1:17" ht="32.1" customHeight="1">
      <c r="A8" s="3766">
        <v>2</v>
      </c>
      <c r="B8" s="6534" t="s">
        <v>1723</v>
      </c>
      <c r="C8" s="6535"/>
      <c r="D8" s="6535"/>
      <c r="E8" s="6535"/>
      <c r="F8" s="6535"/>
      <c r="G8" s="6535"/>
      <c r="H8" s="6535"/>
      <c r="I8" s="6536"/>
      <c r="J8" s="3705">
        <v>2</v>
      </c>
      <c r="K8" s="6531">
        <f>Formula!GW22</f>
        <v>89334</v>
      </c>
      <c r="L8" s="6532"/>
    </row>
    <row r="9" spans="1:17" ht="32.1" customHeight="1">
      <c r="A9" s="3766">
        <v>3</v>
      </c>
      <c r="B9" s="5781" t="s">
        <v>1724</v>
      </c>
      <c r="C9" s="5781"/>
      <c r="D9" s="5781"/>
      <c r="E9" s="5781"/>
      <c r="F9" s="5781"/>
      <c r="G9" s="6554" t="str">
        <f>Formula!GT23</f>
        <v xml:space="preserve"> Rent@19200/- PM</v>
      </c>
      <c r="H9" s="6554"/>
      <c r="I9" s="6554"/>
      <c r="J9" s="3705">
        <v>2</v>
      </c>
      <c r="K9" s="6533">
        <f>Formula!GW23</f>
        <v>230400</v>
      </c>
      <c r="L9" s="6532"/>
    </row>
    <row r="10" spans="1:17" ht="32.1" customHeight="1">
      <c r="A10" s="3766">
        <v>4</v>
      </c>
      <c r="B10" s="6534" t="s">
        <v>1746</v>
      </c>
      <c r="C10" s="6535"/>
      <c r="D10" s="6535"/>
      <c r="E10" s="6535"/>
      <c r="F10" s="6535"/>
      <c r="G10" s="6535"/>
      <c r="H10" s="6535"/>
      <c r="I10" s="6536"/>
      <c r="J10" s="3705">
        <v>2</v>
      </c>
      <c r="K10" s="6531">
        <f>Formula!GW24</f>
        <v>1406400</v>
      </c>
      <c r="L10" s="6532"/>
    </row>
    <row r="11" spans="1:17" ht="32.1" customHeight="1">
      <c r="A11" s="3766" t="s">
        <v>1729</v>
      </c>
      <c r="B11" s="6534" t="s">
        <v>1726</v>
      </c>
      <c r="C11" s="6535"/>
      <c r="D11" s="6535"/>
      <c r="E11" s="6535"/>
      <c r="F11" s="6535"/>
      <c r="G11" s="6535"/>
      <c r="H11" s="6535"/>
      <c r="I11" s="6536"/>
      <c r="J11" s="3705">
        <v>2</v>
      </c>
      <c r="K11" s="6531">
        <f>Formula!GW25</f>
        <v>992600</v>
      </c>
      <c r="L11" s="6532"/>
    </row>
    <row r="12" spans="1:17" ht="32.1" customHeight="1">
      <c r="A12" s="3766" t="s">
        <v>1730</v>
      </c>
      <c r="B12" s="6534" t="s">
        <v>1727</v>
      </c>
      <c r="C12" s="6535"/>
      <c r="D12" s="6535"/>
      <c r="E12" s="6535"/>
      <c r="F12" s="6535"/>
      <c r="G12" s="6535"/>
      <c r="H12" s="6535"/>
      <c r="I12" s="6536"/>
      <c r="J12" s="3705">
        <v>2</v>
      </c>
      <c r="K12" s="6531">
        <f>Formula!GW26</f>
        <v>413800</v>
      </c>
      <c r="L12" s="6532"/>
    </row>
    <row r="13" spans="1:17" ht="32.1" customHeight="1">
      <c r="A13" s="3766">
        <v>5</v>
      </c>
      <c r="B13" s="6534" t="s">
        <v>1728</v>
      </c>
      <c r="C13" s="6535"/>
      <c r="D13" s="6535"/>
      <c r="E13" s="6535"/>
      <c r="F13" s="6535"/>
      <c r="G13" s="6535"/>
      <c r="H13" s="6535"/>
      <c r="I13" s="6536"/>
      <c r="J13" s="3705">
        <v>2</v>
      </c>
      <c r="K13" s="6533">
        <f>Formula!GW27</f>
        <v>89760</v>
      </c>
      <c r="L13" s="6532"/>
    </row>
    <row r="14" spans="1:17" ht="32.1" customHeight="1">
      <c r="A14" s="3766">
        <v>6</v>
      </c>
      <c r="B14" s="6534" t="str">
        <f>Formula!GR28</f>
        <v>40% of Salary</v>
      </c>
      <c r="C14" s="6535"/>
      <c r="D14" s="6535"/>
      <c r="E14" s="6535"/>
      <c r="F14" s="6535"/>
      <c r="G14" s="6535"/>
      <c r="H14" s="6535"/>
      <c r="I14" s="6536"/>
      <c r="J14" s="3705">
        <v>2</v>
      </c>
      <c r="K14" s="6541">
        <f>Formula!GW28</f>
        <v>562560</v>
      </c>
      <c r="L14" s="6532"/>
    </row>
    <row r="15" spans="1:17" ht="32.1" customHeight="1" thickBot="1">
      <c r="A15" s="3767">
        <v>7</v>
      </c>
      <c r="B15" s="6544" t="s">
        <v>1731</v>
      </c>
      <c r="C15" s="6545"/>
      <c r="D15" s="6545"/>
      <c r="E15" s="6545"/>
      <c r="F15" s="6545"/>
      <c r="G15" s="6545"/>
      <c r="H15" s="6545"/>
      <c r="I15" s="6546"/>
      <c r="J15" s="3763">
        <v>2</v>
      </c>
      <c r="K15" s="6542">
        <f>Formula!GW29</f>
        <v>89334</v>
      </c>
      <c r="L15" s="6543"/>
    </row>
    <row r="16" spans="1:17" s="942" customFormat="1" ht="27" customHeight="1" thickTop="1">
      <c r="A16" s="6547"/>
      <c r="B16" s="6548"/>
      <c r="C16" s="6548"/>
      <c r="D16" s="6548"/>
      <c r="E16" s="6548"/>
      <c r="F16" s="3764"/>
      <c r="G16" s="3764"/>
      <c r="H16" s="3764"/>
      <c r="I16" s="6549"/>
      <c r="J16" s="6549"/>
      <c r="K16" s="6549"/>
      <c r="L16" s="6550"/>
      <c r="N16"/>
      <c r="O16"/>
      <c r="P16"/>
      <c r="Q16"/>
    </row>
    <row r="17" spans="1:17" s="942" customFormat="1" ht="28.5" customHeight="1" thickBot="1">
      <c r="A17" s="6537" t="s">
        <v>32</v>
      </c>
      <c r="B17" s="6538"/>
      <c r="C17" s="6538"/>
      <c r="D17" s="6538"/>
      <c r="E17" s="6538"/>
      <c r="F17" s="2654"/>
      <c r="G17" s="2654"/>
      <c r="H17" s="6539" t="s">
        <v>30</v>
      </c>
      <c r="I17" s="6539"/>
      <c r="J17" s="6539"/>
      <c r="K17" s="6539"/>
      <c r="L17" s="6540"/>
      <c r="N17"/>
      <c r="O17"/>
      <c r="P17"/>
      <c r="Q17"/>
    </row>
    <row r="18" spans="1:17" s="942" customFormat="1" ht="16.5" customHeight="1" thickTop="1">
      <c r="A18" s="1828"/>
      <c r="B18" s="1828"/>
      <c r="C18" s="1828"/>
      <c r="D18" s="1828"/>
      <c r="E18" s="1828"/>
      <c r="F18" s="1828"/>
      <c r="G18" s="1828"/>
      <c r="H18" s="1828"/>
      <c r="I18" s="1828"/>
      <c r="J18" s="1828"/>
      <c r="K18" s="1828"/>
      <c r="L18" s="1828"/>
      <c r="M18" s="3805"/>
    </row>
    <row r="19" spans="1:17" s="942" customFormat="1" ht="24.95" hidden="1" customHeight="1" thickBot="1">
      <c r="A19" s="1720"/>
      <c r="B19" s="1720"/>
      <c r="C19" s="1720"/>
      <c r="D19" s="1720"/>
      <c r="E19" s="1720"/>
      <c r="F19" s="1720"/>
      <c r="G19" s="1720"/>
      <c r="H19" s="1720"/>
      <c r="I19" s="1720"/>
      <c r="J19" s="1720"/>
      <c r="K19" s="1720"/>
      <c r="L19" s="1720"/>
      <c r="N19"/>
      <c r="O19"/>
      <c r="P19"/>
      <c r="Q19"/>
    </row>
    <row r="20" spans="1:17" s="942" customFormat="1" ht="24.95" hidden="1" customHeight="1">
      <c r="A20" s="1720"/>
      <c r="B20" s="1720"/>
      <c r="C20" s="1720"/>
      <c r="D20" s="1720"/>
      <c r="E20" s="1720"/>
      <c r="F20" s="1720"/>
      <c r="G20" s="1720"/>
      <c r="H20" s="1720"/>
      <c r="I20" s="1720"/>
      <c r="J20" s="1720"/>
      <c r="K20" s="1720"/>
      <c r="L20" s="1720"/>
      <c r="N20"/>
      <c r="O20"/>
      <c r="P20"/>
      <c r="Q20"/>
    </row>
    <row r="21" spans="1:17" s="942" customFormat="1" ht="24.95" hidden="1" customHeight="1">
      <c r="A21" s="1720"/>
      <c r="B21" s="1720"/>
      <c r="C21" s="1720"/>
      <c r="D21" s="1720"/>
      <c r="E21" s="1720"/>
      <c r="F21" s="1720"/>
      <c r="G21" s="1720"/>
      <c r="H21" s="1720"/>
      <c r="I21" s="1720"/>
      <c r="J21" s="1720"/>
      <c r="K21" s="1720"/>
      <c r="L21" s="1720"/>
      <c r="N21"/>
      <c r="O21"/>
      <c r="P21"/>
      <c r="Q21"/>
    </row>
    <row r="22" spans="1:17" s="942" customFormat="1" ht="24.95" hidden="1" customHeight="1">
      <c r="A22" s="1720"/>
      <c r="B22" s="1720"/>
      <c r="C22" s="1720"/>
      <c r="D22" s="1720"/>
      <c r="E22" s="1720"/>
      <c r="F22" s="1720"/>
      <c r="G22" s="1720"/>
      <c r="H22" s="1720"/>
      <c r="I22" s="1720"/>
      <c r="J22" s="1720"/>
      <c r="K22" s="1720"/>
      <c r="L22" s="1720"/>
      <c r="N22"/>
      <c r="O22"/>
      <c r="P22"/>
      <c r="Q22"/>
    </row>
    <row r="23" spans="1:17" s="942" customFormat="1" ht="24.95" hidden="1" customHeight="1">
      <c r="A23" s="1720"/>
      <c r="B23" s="1720"/>
      <c r="C23" s="1720"/>
      <c r="D23" s="1720"/>
      <c r="E23" s="1720"/>
      <c r="F23" s="1720"/>
      <c r="G23" s="1720"/>
      <c r="H23" s="1720"/>
      <c r="I23" s="1720"/>
      <c r="J23" s="1720"/>
      <c r="K23" s="1720"/>
      <c r="L23" s="1720"/>
      <c r="N23"/>
      <c r="O23"/>
      <c r="P23"/>
      <c r="Q23"/>
    </row>
    <row r="24" spans="1:17" s="942" customFormat="1" ht="24.95" hidden="1" customHeight="1">
      <c r="A24" s="1720"/>
      <c r="B24" s="1720"/>
      <c r="C24" s="1720"/>
      <c r="D24" s="1720"/>
      <c r="E24" s="1720"/>
      <c r="F24" s="1720"/>
      <c r="G24" s="1720"/>
      <c r="H24" s="1720"/>
      <c r="I24" s="1720"/>
      <c r="J24" s="1720"/>
      <c r="K24" s="1720"/>
      <c r="L24" s="1720"/>
      <c r="N24"/>
      <c r="O24"/>
      <c r="P24"/>
      <c r="Q24"/>
    </row>
    <row r="25" spans="1:17" s="942" customFormat="1" ht="24.95" hidden="1" customHeight="1">
      <c r="A25" s="1720"/>
      <c r="B25" s="1720"/>
      <c r="C25" s="1720"/>
      <c r="D25" s="1720"/>
      <c r="E25" s="1720"/>
      <c r="F25" s="1720"/>
      <c r="G25" s="1720"/>
      <c r="H25" s="1720"/>
      <c r="I25" s="1720"/>
      <c r="J25" s="1720"/>
      <c r="K25" s="1720"/>
      <c r="L25" s="1720"/>
      <c r="N25"/>
      <c r="O25"/>
      <c r="P25"/>
      <c r="Q25"/>
    </row>
    <row r="26" spans="1:17" s="942" customFormat="1" ht="24.95" hidden="1" customHeight="1">
      <c r="A26" s="1720"/>
      <c r="B26" s="1720"/>
      <c r="C26" s="1720"/>
      <c r="D26" s="1720"/>
      <c r="E26" s="1720"/>
      <c r="F26" s="1720"/>
      <c r="G26" s="1720"/>
      <c r="H26" s="1720"/>
      <c r="I26" s="1720"/>
      <c r="J26" s="1720"/>
      <c r="K26" s="1720"/>
      <c r="L26" s="1720"/>
      <c r="N26"/>
      <c r="O26"/>
      <c r="P26"/>
      <c r="Q26"/>
    </row>
    <row r="27" spans="1:17" s="942" customFormat="1" ht="15" hidden="1" customHeight="1"/>
    <row r="28" spans="1:17" s="6560" customFormat="1" ht="15" hidden="1" customHeight="1"/>
  </sheetData>
  <sheetProtection algorithmName="SHA-512" hashValue="m4ieCj9m3+DH2ouALRCzRzxGl/JeTLCKpDE9iTU+JNlJR22tZnP3L7y5hhUKhtyqHcfSs4+omJARqB71Kgj3xw==" saltValue="HUk6XzovHHirXcK+okSMrQ==" spinCount="100000" sheet="1" selectLockedCells="1"/>
  <mergeCells count="41">
    <mergeCell ref="A28:XFD28"/>
    <mergeCell ref="A2:C2"/>
    <mergeCell ref="D2:F2"/>
    <mergeCell ref="G2:H2"/>
    <mergeCell ref="I2:L2"/>
    <mergeCell ref="A3:C3"/>
    <mergeCell ref="D3:F3"/>
    <mergeCell ref="G3:H3"/>
    <mergeCell ref="I3:L3"/>
    <mergeCell ref="A4:C4"/>
    <mergeCell ref="D4:F4"/>
    <mergeCell ref="G4:H4"/>
    <mergeCell ref="I4:L4"/>
    <mergeCell ref="A5:C5"/>
    <mergeCell ref="D5:F5"/>
    <mergeCell ref="G5:H5"/>
    <mergeCell ref="I5:L5"/>
    <mergeCell ref="A6:L6"/>
    <mergeCell ref="K7:L7"/>
    <mergeCell ref="K8:L8"/>
    <mergeCell ref="K9:L9"/>
    <mergeCell ref="K10:L10"/>
    <mergeCell ref="B7:I7"/>
    <mergeCell ref="B8:I8"/>
    <mergeCell ref="B9:F9"/>
    <mergeCell ref="G9:I9"/>
    <mergeCell ref="B10:I10"/>
    <mergeCell ref="A17:E17"/>
    <mergeCell ref="H17:L17"/>
    <mergeCell ref="K14:L14"/>
    <mergeCell ref="K15:L15"/>
    <mergeCell ref="B14:I14"/>
    <mergeCell ref="B15:I15"/>
    <mergeCell ref="A16:E16"/>
    <mergeCell ref="I16:L16"/>
    <mergeCell ref="K11:L11"/>
    <mergeCell ref="K12:L12"/>
    <mergeCell ref="K13:L13"/>
    <mergeCell ref="B11:I11"/>
    <mergeCell ref="B12:I12"/>
    <mergeCell ref="B13:I13"/>
  </mergeCells>
  <pageMargins left="0.31496062992125984" right="0.31496062992125984" top="0.55118110236220474" bottom="0.35433070866141736" header="0.31496062992125984" footer="0.31496062992125984"/>
  <pageSetup paperSize="9" scale="92" orientation="portrait"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2060"/>
  </sheetPr>
  <dimension ref="A1:Q28"/>
  <sheetViews>
    <sheetView topLeftCell="A14" workbookViewId="0">
      <selection activeCell="K18" sqref="K18"/>
    </sheetView>
  </sheetViews>
  <sheetFormatPr defaultColWidth="0" defaultRowHeight="15" customHeight="1" zeroHeight="1"/>
  <cols>
    <col min="1" max="1" width="6.7109375" customWidth="1"/>
    <col min="2" max="2" width="7.28515625" customWidth="1"/>
    <col min="3" max="3" width="7.7109375" customWidth="1"/>
    <col min="4" max="5" width="9.140625" customWidth="1"/>
    <col min="6" max="6" width="7" customWidth="1"/>
    <col min="7" max="7" width="9.140625" customWidth="1"/>
    <col min="8" max="8" width="9" customWidth="1"/>
    <col min="9" max="11" width="9.140625" customWidth="1"/>
    <col min="12" max="12" width="11.85546875" customWidth="1"/>
    <col min="13" max="13" width="3.140625" style="942" customWidth="1"/>
    <col min="14" max="17" width="0" hidden="1" customWidth="1"/>
    <col min="18" max="16384" width="9.140625" hidden="1"/>
  </cols>
  <sheetData>
    <row r="1" spans="1:17" s="942" customFormat="1" ht="12.75" customHeight="1" thickBot="1"/>
    <row r="2" spans="1:17" ht="24.95" customHeight="1" thickTop="1">
      <c r="A2" s="6611" t="s">
        <v>179</v>
      </c>
      <c r="B2" s="6612"/>
      <c r="C2" s="6612"/>
      <c r="D2" s="6613" t="str">
        <f>'New Tax Regime'!E4</f>
        <v>B.Saidi Reddy</v>
      </c>
      <c r="E2" s="6613"/>
      <c r="F2" s="6613"/>
      <c r="G2" s="6562" t="s">
        <v>24</v>
      </c>
      <c r="H2" s="6562"/>
      <c r="I2" s="6613" t="str">
        <f>'New Tax Regime'!I4</f>
        <v>KRR Govt.Arts &amp; Science College(A)</v>
      </c>
      <c r="J2" s="6613"/>
      <c r="K2" s="6613"/>
      <c r="L2" s="6614"/>
      <c r="Q2" s="1458">
        <f>Formula!NQ3</f>
        <v>1</v>
      </c>
    </row>
    <row r="3" spans="1:17" ht="33.75" customHeight="1">
      <c r="A3" s="6593" t="s">
        <v>15</v>
      </c>
      <c r="B3" s="6594"/>
      <c r="C3" s="6594"/>
      <c r="D3" s="6596" t="str">
        <f>'New Tax Regime'!E5</f>
        <v>Asst.Professor of Maths</v>
      </c>
      <c r="E3" s="6596"/>
      <c r="F3" s="6596"/>
      <c r="G3" s="6597" t="s">
        <v>28</v>
      </c>
      <c r="H3" s="6597"/>
      <c r="I3" s="6615" t="str">
        <f>'New Tax Regime'!I5</f>
        <v>Kodad(M), Suryapet(DIST), Telangana(STATE)</v>
      </c>
      <c r="J3" s="6615"/>
      <c r="K3" s="6615"/>
      <c r="L3" s="6616"/>
      <c r="Q3" s="1458">
        <f>Formula!NQ8</f>
        <v>2</v>
      </c>
    </row>
    <row r="4" spans="1:17" ht="24.95" customHeight="1">
      <c r="A4" s="6593" t="s">
        <v>1317</v>
      </c>
      <c r="B4" s="6594"/>
      <c r="C4" s="6594"/>
      <c r="D4" s="6595" t="str">
        <f>'New Tax Regime'!L6</f>
        <v>2000083</v>
      </c>
      <c r="E4" s="6596"/>
      <c r="F4" s="6596"/>
      <c r="G4" s="6597" t="s">
        <v>21</v>
      </c>
      <c r="H4" s="6597"/>
      <c r="I4" s="6595" t="str">
        <f>'New Tax Regime'!I6</f>
        <v>BSEPP1245A</v>
      </c>
      <c r="J4" s="6596"/>
      <c r="K4" s="6596"/>
      <c r="L4" s="6598"/>
    </row>
    <row r="5" spans="1:17" ht="24.95" customHeight="1">
      <c r="A5" s="6599" t="s">
        <v>1011</v>
      </c>
      <c r="B5" s="6597"/>
      <c r="C5" s="6597"/>
      <c r="D5" s="6600" t="s">
        <v>1624</v>
      </c>
      <c r="E5" s="6600"/>
      <c r="F5" s="6600"/>
      <c r="G5" s="6601" t="s">
        <v>1316</v>
      </c>
      <c r="H5" s="6602"/>
      <c r="I5" s="6603" t="s">
        <v>1673</v>
      </c>
      <c r="J5" s="6603"/>
      <c r="K5" s="6603"/>
      <c r="L5" s="6604"/>
    </row>
    <row r="6" spans="1:17" ht="28.5" customHeight="1">
      <c r="A6" s="6590" t="s">
        <v>1318</v>
      </c>
      <c r="B6" s="6591"/>
      <c r="C6" s="6591"/>
      <c r="D6" s="6591"/>
      <c r="E6" s="6591"/>
      <c r="F6" s="6591"/>
      <c r="G6" s="6591"/>
      <c r="H6" s="6591"/>
      <c r="I6" s="6591"/>
      <c r="J6" s="6591"/>
      <c r="K6" s="6591"/>
      <c r="L6" s="6592"/>
      <c r="O6" s="126"/>
    </row>
    <row r="7" spans="1:17" ht="27" customHeight="1">
      <c r="A7" s="6605" t="s">
        <v>1321</v>
      </c>
      <c r="B7" s="6608" t="s">
        <v>1319</v>
      </c>
      <c r="C7" s="6609"/>
      <c r="D7" s="6609"/>
      <c r="E7" s="6609"/>
      <c r="F7" s="6609"/>
      <c r="G7" s="6609"/>
      <c r="H7" s="6609"/>
      <c r="I7" s="6609"/>
      <c r="J7" s="6610"/>
      <c r="K7" s="6583" t="str">
        <f>Formula!OA15</f>
        <v>Self Occupied</v>
      </c>
      <c r="L7" s="6582"/>
    </row>
    <row r="8" spans="1:17" ht="32.1" customHeight="1">
      <c r="A8" s="6606"/>
      <c r="B8" s="1809" t="s">
        <v>1324</v>
      </c>
      <c r="C8" s="6578" t="s">
        <v>1328</v>
      </c>
      <c r="D8" s="6579"/>
      <c r="E8" s="6579"/>
      <c r="F8" s="6579"/>
      <c r="G8" s="6579"/>
      <c r="H8" s="6579"/>
      <c r="I8" s="6579"/>
      <c r="J8" s="6580"/>
      <c r="K8" s="6583">
        <f>Formula!OA24</f>
        <v>0</v>
      </c>
      <c r="L8" s="6582"/>
    </row>
    <row r="9" spans="1:17" ht="32.1" customHeight="1">
      <c r="A9" s="6606"/>
      <c r="B9" s="1810" t="s">
        <v>1325</v>
      </c>
      <c r="C9" s="6578" t="s">
        <v>1329</v>
      </c>
      <c r="D9" s="6579"/>
      <c r="E9" s="6579"/>
      <c r="F9" s="6579"/>
      <c r="G9" s="6579"/>
      <c r="H9" s="6579"/>
      <c r="I9" s="6579"/>
      <c r="J9" s="6580"/>
      <c r="K9" s="6583">
        <f>Formula!OA25</f>
        <v>0</v>
      </c>
      <c r="L9" s="6582"/>
    </row>
    <row r="10" spans="1:17" ht="32.1" customHeight="1">
      <c r="A10" s="6606"/>
      <c r="B10" s="1810" t="s">
        <v>1326</v>
      </c>
      <c r="C10" s="6578" t="s">
        <v>1334</v>
      </c>
      <c r="D10" s="6579"/>
      <c r="E10" s="6579"/>
      <c r="F10" s="6579"/>
      <c r="G10" s="6579"/>
      <c r="H10" s="6579"/>
      <c r="I10" s="6579"/>
      <c r="J10" s="6580"/>
      <c r="K10" s="6583">
        <f>Formula!OA26</f>
        <v>0</v>
      </c>
      <c r="L10" s="6582"/>
    </row>
    <row r="11" spans="1:17" ht="32.1" customHeight="1">
      <c r="A11" s="6606"/>
      <c r="B11" s="1810" t="s">
        <v>1327</v>
      </c>
      <c r="C11" s="6578" t="s">
        <v>1335</v>
      </c>
      <c r="D11" s="6579"/>
      <c r="E11" s="6579"/>
      <c r="F11" s="6579"/>
      <c r="G11" s="6579"/>
      <c r="H11" s="6579"/>
      <c r="I11" s="6579"/>
      <c r="J11" s="6580"/>
      <c r="K11" s="6583">
        <f>SUM(K8-(K9+K10))</f>
        <v>0</v>
      </c>
      <c r="L11" s="6582"/>
    </row>
    <row r="12" spans="1:17" ht="32.1" customHeight="1">
      <c r="A12" s="6606"/>
      <c r="B12" s="1810" t="s">
        <v>1330</v>
      </c>
      <c r="C12" s="6578" t="s">
        <v>685</v>
      </c>
      <c r="D12" s="6579"/>
      <c r="E12" s="6579"/>
      <c r="F12" s="6579"/>
      <c r="G12" s="6579"/>
      <c r="H12" s="6579"/>
      <c r="I12" s="6579"/>
      <c r="J12" s="6580"/>
      <c r="K12" s="6583"/>
      <c r="L12" s="6582"/>
    </row>
    <row r="13" spans="1:17" ht="32.1" customHeight="1">
      <c r="A13" s="6606"/>
      <c r="B13" s="1810" t="s">
        <v>1331</v>
      </c>
      <c r="C13" s="6578" t="s">
        <v>1336</v>
      </c>
      <c r="D13" s="6579"/>
      <c r="E13" s="6579"/>
      <c r="F13" s="6579"/>
      <c r="G13" s="6579"/>
      <c r="H13" s="6579"/>
      <c r="I13" s="6579"/>
      <c r="J13" s="6580"/>
      <c r="K13" s="6583">
        <f>ROUND(K11*30%,0)</f>
        <v>0</v>
      </c>
      <c r="L13" s="6582"/>
    </row>
    <row r="14" spans="1:17" ht="32.1" customHeight="1">
      <c r="A14" s="6606"/>
      <c r="B14" s="1810" t="s">
        <v>1332</v>
      </c>
      <c r="C14" s="6578" t="s">
        <v>1338</v>
      </c>
      <c r="D14" s="6579"/>
      <c r="E14" s="6579"/>
      <c r="F14" s="6579"/>
      <c r="G14" s="6579"/>
      <c r="H14" s="6579"/>
      <c r="I14" s="6579"/>
      <c r="J14" s="6580"/>
      <c r="K14" s="6581">
        <f>IF(OR(Formula!$OB$15=2,Formula!$OB$15=3),Formula!OA30,Formula!OA19)</f>
        <v>0</v>
      </c>
      <c r="L14" s="6582"/>
    </row>
    <row r="15" spans="1:17" ht="32.1" customHeight="1">
      <c r="A15" s="6607"/>
      <c r="B15" s="1810" t="s">
        <v>1337</v>
      </c>
      <c r="C15" s="6578" t="s">
        <v>1339</v>
      </c>
      <c r="D15" s="6579"/>
      <c r="E15" s="6579"/>
      <c r="F15" s="6579"/>
      <c r="G15" s="6579"/>
      <c r="H15" s="6579"/>
      <c r="I15" s="6579"/>
      <c r="J15" s="6580"/>
      <c r="K15" s="6589">
        <f>SUM(K11-(K13+K14))</f>
        <v>0</v>
      </c>
      <c r="L15" s="6582"/>
    </row>
    <row r="16" spans="1:17" s="942" customFormat="1" ht="27.95" customHeight="1">
      <c r="A16" s="6586" t="s">
        <v>1333</v>
      </c>
      <c r="B16" s="6587"/>
      <c r="C16" s="6587"/>
      <c r="D16" s="6587"/>
      <c r="E16" s="6587"/>
      <c r="F16" s="6587"/>
      <c r="G16" s="6587"/>
      <c r="H16" s="6587"/>
      <c r="I16" s="6587"/>
      <c r="J16" s="6588"/>
      <c r="K16" s="6584">
        <f>MAX(K15,-200000)</f>
        <v>0</v>
      </c>
      <c r="L16" s="6585"/>
      <c r="N16"/>
      <c r="O16"/>
      <c r="P16"/>
      <c r="Q16"/>
    </row>
    <row r="17" spans="1:17" s="942" customFormat="1" ht="45" customHeight="1" thickBot="1">
      <c r="A17" s="2655" t="s">
        <v>1323</v>
      </c>
      <c r="B17" s="6576" t="s">
        <v>1322</v>
      </c>
      <c r="C17" s="6576"/>
      <c r="D17" s="6576"/>
      <c r="E17" s="6576"/>
      <c r="F17" s="6576"/>
      <c r="G17" s="6576"/>
      <c r="H17" s="6576"/>
      <c r="I17" s="6576"/>
      <c r="J17" s="6576"/>
      <c r="K17" s="6576"/>
      <c r="L17" s="6577"/>
      <c r="N17"/>
      <c r="O17"/>
      <c r="P17"/>
      <c r="Q17"/>
    </row>
    <row r="18" spans="1:17" s="942" customFormat="1" ht="24" customHeight="1" thickTop="1">
      <c r="A18" s="2853"/>
      <c r="B18" s="2854"/>
      <c r="C18" s="2854"/>
      <c r="D18" s="2854"/>
      <c r="E18" s="2854"/>
      <c r="F18" s="2854"/>
      <c r="G18" s="2854"/>
      <c r="H18" s="2854"/>
      <c r="I18" s="2854"/>
      <c r="J18" s="2854"/>
      <c r="K18" s="2854"/>
      <c r="L18" s="2855"/>
      <c r="N18"/>
      <c r="O18"/>
      <c r="P18"/>
      <c r="Q18"/>
    </row>
    <row r="19" spans="1:17" s="942" customFormat="1" ht="24" customHeight="1" thickBot="1">
      <c r="A19" s="6537" t="s">
        <v>32</v>
      </c>
      <c r="B19" s="6538"/>
      <c r="C19" s="6538"/>
      <c r="D19" s="6538"/>
      <c r="E19" s="6538"/>
      <c r="F19" s="2654"/>
      <c r="G19" s="2654"/>
      <c r="H19" s="6539" t="s">
        <v>30</v>
      </c>
      <c r="I19" s="6539"/>
      <c r="J19" s="6539"/>
      <c r="K19" s="6539"/>
      <c r="L19" s="6540"/>
      <c r="N19"/>
      <c r="O19"/>
      <c r="P19"/>
      <c r="Q19"/>
    </row>
    <row r="20" spans="1:17" s="942" customFormat="1" ht="16.5" customHeight="1" thickTop="1">
      <c r="A20" s="1828"/>
      <c r="B20" s="1828"/>
      <c r="C20" s="1828"/>
      <c r="D20" s="1828"/>
      <c r="E20" s="1828"/>
      <c r="F20" s="1828"/>
      <c r="G20" s="1828"/>
      <c r="H20" s="1828"/>
      <c r="I20" s="1828"/>
      <c r="J20" s="1828"/>
      <c r="K20" s="1828"/>
      <c r="L20" s="1828"/>
    </row>
    <row r="21" spans="1:17" s="942" customFormat="1" ht="24.95" hidden="1" customHeight="1">
      <c r="A21" s="1720"/>
      <c r="B21" s="1720"/>
      <c r="C21" s="1720"/>
      <c r="D21" s="1720"/>
      <c r="E21" s="1720"/>
      <c r="F21" s="1720"/>
      <c r="G21" s="1720"/>
      <c r="H21" s="1720"/>
      <c r="I21" s="1720"/>
      <c r="J21" s="1720"/>
      <c r="K21" s="1720"/>
      <c r="L21" s="1720"/>
      <c r="N21"/>
      <c r="O21"/>
      <c r="P21"/>
      <c r="Q21"/>
    </row>
    <row r="22" spans="1:17" s="942" customFormat="1" ht="24.95" hidden="1" customHeight="1">
      <c r="A22" s="1720"/>
      <c r="B22" s="1720"/>
      <c r="C22" s="1720"/>
      <c r="D22" s="1720"/>
      <c r="E22" s="1720"/>
      <c r="F22" s="1720"/>
      <c r="G22" s="1720"/>
      <c r="H22" s="1720"/>
      <c r="I22" s="1720"/>
      <c r="J22" s="1720"/>
      <c r="K22" s="1720"/>
      <c r="L22" s="1720"/>
      <c r="N22"/>
      <c r="O22"/>
      <c r="P22"/>
      <c r="Q22"/>
    </row>
    <row r="23" spans="1:17" s="942" customFormat="1" ht="24.95" hidden="1" customHeight="1">
      <c r="A23" s="1720"/>
      <c r="B23" s="1720"/>
      <c r="C23" s="1720"/>
      <c r="D23" s="1720"/>
      <c r="E23" s="1720"/>
      <c r="F23" s="1720"/>
      <c r="G23" s="1720"/>
      <c r="H23" s="1720"/>
      <c r="I23" s="1720"/>
      <c r="J23" s="1720"/>
      <c r="K23" s="1720"/>
      <c r="L23" s="1720"/>
      <c r="N23"/>
      <c r="O23"/>
      <c r="P23"/>
      <c r="Q23"/>
    </row>
    <row r="24" spans="1:17" s="942" customFormat="1" ht="24.95" hidden="1" customHeight="1">
      <c r="A24" s="1720"/>
      <c r="B24" s="1720"/>
      <c r="C24" s="1720"/>
      <c r="D24" s="1720"/>
      <c r="E24" s="1720"/>
      <c r="F24" s="1720"/>
      <c r="G24" s="1720"/>
      <c r="H24" s="1720"/>
      <c r="I24" s="1720"/>
      <c r="J24" s="1720"/>
      <c r="K24" s="1720"/>
      <c r="L24" s="1720"/>
      <c r="N24"/>
      <c r="O24"/>
      <c r="P24"/>
      <c r="Q24"/>
    </row>
    <row r="25" spans="1:17" s="942" customFormat="1" ht="24.95" hidden="1" customHeight="1">
      <c r="A25" s="1720"/>
      <c r="B25" s="1720"/>
      <c r="C25" s="1720"/>
      <c r="D25" s="1720"/>
      <c r="E25" s="1720"/>
      <c r="F25" s="1720"/>
      <c r="G25" s="1720"/>
      <c r="H25" s="1720"/>
      <c r="I25" s="1720"/>
      <c r="J25" s="1720"/>
      <c r="K25" s="1720"/>
      <c r="L25" s="1720"/>
      <c r="N25"/>
      <c r="O25"/>
      <c r="P25"/>
      <c r="Q25"/>
    </row>
    <row r="26" spans="1:17" s="942" customFormat="1" ht="24.95" hidden="1" customHeight="1">
      <c r="A26" s="1720"/>
      <c r="B26" s="1720"/>
      <c r="C26" s="1720"/>
      <c r="D26" s="1720"/>
      <c r="E26" s="1720"/>
      <c r="F26" s="1720"/>
      <c r="G26" s="1720"/>
      <c r="H26" s="1720"/>
      <c r="I26" s="1720"/>
      <c r="J26" s="1720"/>
      <c r="K26" s="1720"/>
      <c r="L26" s="1720"/>
      <c r="N26"/>
      <c r="O26"/>
      <c r="P26"/>
      <c r="Q26"/>
    </row>
    <row r="27" spans="1:17" s="942" customFormat="1" ht="24.95" hidden="1" customHeight="1">
      <c r="A27" s="1720"/>
      <c r="B27" s="1720"/>
      <c r="C27" s="1720"/>
      <c r="D27" s="1720"/>
      <c r="E27" s="1720"/>
      <c r="F27" s="1720"/>
      <c r="G27" s="1720"/>
      <c r="H27" s="1720"/>
      <c r="I27" s="1720"/>
      <c r="J27" s="1720"/>
      <c r="K27" s="1720"/>
      <c r="L27" s="1720"/>
      <c r="N27"/>
      <c r="O27"/>
      <c r="P27"/>
      <c r="Q27"/>
    </row>
    <row r="28" spans="1:17" s="942" customFormat="1" ht="24.95" hidden="1" customHeight="1">
      <c r="A28" s="1720"/>
      <c r="B28" s="1720"/>
      <c r="C28" s="1720"/>
      <c r="D28" s="1720"/>
      <c r="E28" s="1720"/>
      <c r="F28" s="1720"/>
      <c r="G28" s="1720"/>
      <c r="H28" s="1720"/>
      <c r="I28" s="1720"/>
      <c r="J28" s="1720"/>
      <c r="K28" s="1720"/>
      <c r="L28" s="1720"/>
      <c r="N28"/>
      <c r="O28"/>
      <c r="P28"/>
      <c r="Q28"/>
    </row>
  </sheetData>
  <sheetProtection algorithmName="SHA-512" hashValue="JKeRilFMNF+CAiALjL5uVYOidy406Agv5AiGxA7KGWR4f14OmIvUDU1hdJw+IrN/npua51QSmwxGhBI2miAvjQ==" saltValue="vxo1NJ+c5gfengY4jrcgcQ==" spinCount="100000" sheet="1" selectLockedCells="1"/>
  <customSheetViews>
    <customSheetView guid="{DDA22D69-94B5-45BC-9EE2-6055A845129B}" hiddenRows="1" hiddenColumns="1" topLeftCell="A6">
      <selection activeCell="A18" sqref="A18"/>
      <pageMargins left="0.31496062992125984" right="0.31496062992125984" top="0.55118110236220474" bottom="0.35433070866141736" header="0.31496062992125984" footer="0.31496062992125984"/>
      <pageSetup paperSize="9" scale="92" orientation="portrait" horizontalDpi="300" verticalDpi="300" r:id="rId1"/>
    </customSheetView>
    <customSheetView guid="{1B7577DB-E3C4-4E68-B7CF-8F86FF7C5A82}" hiddenRows="1" hiddenColumns="1" topLeftCell="A14">
      <selection activeCell="I20" sqref="I20"/>
      <pageMargins left="0.31496062992125984" right="0.31496062992125984" top="0.55118110236220474" bottom="0.35433070866141736" header="0.31496062992125984" footer="0.31496062992125984"/>
      <pageSetup paperSize="9" scale="92" orientation="portrait" horizontalDpi="300" verticalDpi="300" r:id="rId2"/>
    </customSheetView>
    <customSheetView guid="{E7B1C62B-1F1D-4A62-BD87-EE62D3A36B6C}" hiddenRows="1" hiddenColumns="1" topLeftCell="A6">
      <selection activeCell="A18" sqref="A18"/>
      <pageMargins left="0.31496062992125984" right="0.31496062992125984" top="0.55118110236220474" bottom="0.35433070866141736" header="0.31496062992125984" footer="0.31496062992125984"/>
      <pageSetup paperSize="9" scale="92" orientation="portrait" horizontalDpi="300" verticalDpi="300" r:id="rId3"/>
    </customSheetView>
  </customSheetViews>
  <mergeCells count="41">
    <mergeCell ref="A2:C2"/>
    <mergeCell ref="D2:F2"/>
    <mergeCell ref="G2:H2"/>
    <mergeCell ref="I2:L2"/>
    <mergeCell ref="A3:C3"/>
    <mergeCell ref="D3:F3"/>
    <mergeCell ref="G3:H3"/>
    <mergeCell ref="I3:L3"/>
    <mergeCell ref="A6:L6"/>
    <mergeCell ref="K7:L7"/>
    <mergeCell ref="A4:C4"/>
    <mergeCell ref="D4:F4"/>
    <mergeCell ref="G4:H4"/>
    <mergeCell ref="I4:L4"/>
    <mergeCell ref="A5:C5"/>
    <mergeCell ref="D5:F5"/>
    <mergeCell ref="G5:H5"/>
    <mergeCell ref="I5:L5"/>
    <mergeCell ref="A7:A15"/>
    <mergeCell ref="B7:J7"/>
    <mergeCell ref="C8:J8"/>
    <mergeCell ref="C9:J9"/>
    <mergeCell ref="C10:J10"/>
    <mergeCell ref="C11:J11"/>
    <mergeCell ref="C12:J12"/>
    <mergeCell ref="K8:L8"/>
    <mergeCell ref="K9:L9"/>
    <mergeCell ref="K10:L10"/>
    <mergeCell ref="K11:L11"/>
    <mergeCell ref="K12:L12"/>
    <mergeCell ref="K13:L13"/>
    <mergeCell ref="K16:L16"/>
    <mergeCell ref="A16:J16"/>
    <mergeCell ref="K15:L15"/>
    <mergeCell ref="C13:J13"/>
    <mergeCell ref="A19:E19"/>
    <mergeCell ref="H19:L19"/>
    <mergeCell ref="B17:L17"/>
    <mergeCell ref="C15:J15"/>
    <mergeCell ref="C14:J14"/>
    <mergeCell ref="K14:L14"/>
  </mergeCells>
  <pageMargins left="0.31496062992125984" right="0.31496062992125984" top="0.55118110236220474" bottom="0.35433070866141736" header="0.31496062992125984" footer="0.31496062992125984"/>
  <pageSetup paperSize="9" scale="92" orientation="portrait" horizontalDpi="300" verticalDpi="300"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2060"/>
  </sheetPr>
  <dimension ref="A1:Q34"/>
  <sheetViews>
    <sheetView topLeftCell="A16" workbookViewId="0">
      <selection activeCell="A24" sqref="A24"/>
    </sheetView>
  </sheetViews>
  <sheetFormatPr defaultColWidth="0" defaultRowHeight="15" zeroHeight="1"/>
  <cols>
    <col min="1" max="2" width="9.140625" customWidth="1"/>
    <col min="3" max="3" width="5.85546875" customWidth="1"/>
    <col min="4" max="5" width="9.140625" customWidth="1"/>
    <col min="6" max="6" width="5.85546875" customWidth="1"/>
    <col min="7" max="7" width="9.140625" customWidth="1"/>
    <col min="8" max="8" width="8.42578125" customWidth="1"/>
    <col min="9" max="11" width="9.140625" customWidth="1"/>
    <col min="12" max="12" width="11.85546875" customWidth="1"/>
    <col min="13" max="13" width="3.140625" style="942" customWidth="1"/>
    <col min="14" max="16384" width="9.140625" hidden="1"/>
  </cols>
  <sheetData>
    <row r="1" spans="1:17" s="942" customFormat="1" ht="12.75" customHeight="1" thickBot="1"/>
    <row r="2" spans="1:17" ht="24.95" customHeight="1" thickTop="1">
      <c r="A2" s="6611" t="s">
        <v>179</v>
      </c>
      <c r="B2" s="6612"/>
      <c r="C2" s="6612"/>
      <c r="D2" s="6613" t="str">
        <f>'New Tax Regime'!E4</f>
        <v>B.Saidi Reddy</v>
      </c>
      <c r="E2" s="6613"/>
      <c r="F2" s="6613"/>
      <c r="G2" s="6562" t="s">
        <v>24</v>
      </c>
      <c r="H2" s="6562"/>
      <c r="I2" s="6613" t="str">
        <f>'New Tax Regime'!I4</f>
        <v>KRR Govt.Arts &amp; Science College(A)</v>
      </c>
      <c r="J2" s="6613"/>
      <c r="K2" s="6613"/>
      <c r="L2" s="6614"/>
      <c r="Q2" s="1458">
        <f>Formula!NQ3</f>
        <v>1</v>
      </c>
    </row>
    <row r="3" spans="1:17" ht="33.75" customHeight="1">
      <c r="A3" s="6618" t="s">
        <v>15</v>
      </c>
      <c r="B3" s="6619"/>
      <c r="C3" s="6619"/>
      <c r="D3" s="6621" t="str">
        <f>'New Tax Regime'!E5</f>
        <v>Asst.Professor of Maths</v>
      </c>
      <c r="E3" s="6621"/>
      <c r="F3" s="6621"/>
      <c r="G3" s="6617" t="s">
        <v>28</v>
      </c>
      <c r="H3" s="6617"/>
      <c r="I3" s="6634" t="str">
        <f>'New Tax Regime'!I5</f>
        <v>Kodad(M), Suryapet(DIST), Telangana(STATE)</v>
      </c>
      <c r="J3" s="6634"/>
      <c r="K3" s="6634"/>
      <c r="L3" s="6635"/>
      <c r="Q3" s="1458">
        <f>Formula!NQ8</f>
        <v>2</v>
      </c>
    </row>
    <row r="4" spans="1:17" ht="24.95" customHeight="1">
      <c r="A4" s="6618" t="s">
        <v>1317</v>
      </c>
      <c r="B4" s="6619"/>
      <c r="C4" s="6619"/>
      <c r="D4" s="6620" t="str">
        <f>'New Tax Regime'!L6</f>
        <v>2000083</v>
      </c>
      <c r="E4" s="6621"/>
      <c r="F4" s="6621"/>
      <c r="G4" s="6617" t="s">
        <v>21</v>
      </c>
      <c r="H4" s="6617"/>
      <c r="I4" s="6620" t="str">
        <f>'New Tax Regime'!I6</f>
        <v>BSEPP1245A</v>
      </c>
      <c r="J4" s="6621"/>
      <c r="K4" s="6621"/>
      <c r="L4" s="6636"/>
    </row>
    <row r="5" spans="1:17" ht="24.95" customHeight="1">
      <c r="A5" s="6566" t="s">
        <v>1011</v>
      </c>
      <c r="B5" s="6617"/>
      <c r="C5" s="6617"/>
      <c r="D5" s="6637" t="s">
        <v>1673</v>
      </c>
      <c r="E5" s="6637"/>
      <c r="F5" s="6637"/>
      <c r="G5" s="6617" t="s">
        <v>1316</v>
      </c>
      <c r="H5" s="6617"/>
      <c r="I5" s="6638" t="s">
        <v>1698</v>
      </c>
      <c r="J5" s="6638"/>
      <c r="K5" s="6638"/>
      <c r="L5" s="6639"/>
    </row>
    <row r="6" spans="1:17" ht="28.5" customHeight="1" thickBot="1">
      <c r="A6" s="6624" t="s">
        <v>1269</v>
      </c>
      <c r="B6" s="6625"/>
      <c r="C6" s="6625"/>
      <c r="D6" s="6625"/>
      <c r="E6" s="6625"/>
      <c r="F6" s="6625"/>
      <c r="G6" s="6625"/>
      <c r="H6" s="6625"/>
      <c r="I6" s="6625"/>
      <c r="J6" s="6625"/>
      <c r="K6" s="6625"/>
      <c r="L6" s="6626"/>
      <c r="O6" s="126"/>
    </row>
    <row r="7" spans="1:17" ht="27" customHeight="1" thickTop="1">
      <c r="A7" s="6627" t="s">
        <v>1263</v>
      </c>
      <c r="B7" s="6628"/>
      <c r="C7" s="6628"/>
      <c r="D7" s="6628"/>
      <c r="E7" s="6628"/>
      <c r="F7" s="6628"/>
      <c r="G7" s="6628"/>
      <c r="H7" s="6628"/>
      <c r="I7" s="6628"/>
      <c r="J7" s="6628"/>
      <c r="K7" s="6628"/>
      <c r="L7" s="1804" t="str">
        <f>IF($Q$2=1,"",IF($Q$2=2,"No","Yes"))</f>
        <v/>
      </c>
    </row>
    <row r="8" spans="1:17" ht="27.95" customHeight="1">
      <c r="A8" s="6629" t="s">
        <v>1311</v>
      </c>
      <c r="B8" s="6630"/>
      <c r="C8" s="6630"/>
      <c r="D8" s="6630"/>
      <c r="E8" s="6630"/>
      <c r="F8" s="6630"/>
      <c r="G8" s="6630"/>
      <c r="H8" s="6630"/>
      <c r="I8" s="6630"/>
      <c r="J8" s="6630"/>
      <c r="K8" s="6630"/>
      <c r="L8" s="2646" t="str">
        <f>IF(OR($Q$2=1,$Q$2=3),"",Formula!NP4)</f>
        <v/>
      </c>
    </row>
    <row r="9" spans="1:17" ht="27.95" customHeight="1">
      <c r="A9" s="6622" t="s">
        <v>1264</v>
      </c>
      <c r="B9" s="6623"/>
      <c r="C9" s="6623"/>
      <c r="D9" s="6623"/>
      <c r="E9" s="6623"/>
      <c r="F9" s="6623"/>
      <c r="G9" s="6623"/>
      <c r="H9" s="6623"/>
      <c r="I9" s="6623"/>
      <c r="J9" s="6623"/>
      <c r="K9" s="6623"/>
      <c r="L9" s="2647" t="str">
        <f>IF(OR($Q$2=1,$Q$2=3),"",Formula!NP5)</f>
        <v/>
      </c>
    </row>
    <row r="10" spans="1:17" ht="27.95" customHeight="1">
      <c r="A10" s="6622" t="s">
        <v>828</v>
      </c>
      <c r="B10" s="6623"/>
      <c r="C10" s="6623"/>
      <c r="D10" s="6623"/>
      <c r="E10" s="6623"/>
      <c r="F10" s="6623"/>
      <c r="G10" s="6623"/>
      <c r="H10" s="6623"/>
      <c r="I10" s="6623"/>
      <c r="J10" s="6623"/>
      <c r="K10" s="6623"/>
      <c r="L10" s="2648" t="str">
        <f>IF(OR($Q$2=1,$Q$2=3),"",Formula!NP6)</f>
        <v/>
      </c>
    </row>
    <row r="11" spans="1:17" ht="27.95" customHeight="1">
      <c r="A11" s="6629" t="s">
        <v>1312</v>
      </c>
      <c r="B11" s="6630"/>
      <c r="C11" s="6630"/>
      <c r="D11" s="6630"/>
      <c r="E11" s="6630"/>
      <c r="F11" s="6630"/>
      <c r="G11" s="6630"/>
      <c r="H11" s="6630"/>
      <c r="I11" s="6630"/>
      <c r="J11" s="6630"/>
      <c r="K11" s="6630"/>
      <c r="L11" s="2646" t="str">
        <f>IF(OR($Q$2=1,$Q$2=2),"",Formula!NP4)</f>
        <v/>
      </c>
    </row>
    <row r="12" spans="1:17" ht="27.95" customHeight="1">
      <c r="A12" s="6622" t="s">
        <v>1264</v>
      </c>
      <c r="B12" s="6623"/>
      <c r="C12" s="6623"/>
      <c r="D12" s="6623"/>
      <c r="E12" s="6623"/>
      <c r="F12" s="6623"/>
      <c r="G12" s="6623"/>
      <c r="H12" s="6623"/>
      <c r="I12" s="6623"/>
      <c r="J12" s="6623"/>
      <c r="K12" s="6623"/>
      <c r="L12" s="2649" t="str">
        <f>IF(OR($Q$2=1,$Q$2=2),"",Formula!NP5)</f>
        <v/>
      </c>
    </row>
    <row r="13" spans="1:17" ht="27.95" customHeight="1">
      <c r="A13" s="6622" t="s">
        <v>828</v>
      </c>
      <c r="B13" s="6623"/>
      <c r="C13" s="6623"/>
      <c r="D13" s="6623"/>
      <c r="E13" s="6623"/>
      <c r="F13" s="6623"/>
      <c r="G13" s="6623"/>
      <c r="H13" s="6623"/>
      <c r="I13" s="6623"/>
      <c r="J13" s="6623"/>
      <c r="K13" s="6623"/>
      <c r="L13" s="2649" t="str">
        <f>IF(OR($Q$2=1,$Q$2=2),"",Formula!NP6)</f>
        <v/>
      </c>
    </row>
    <row r="14" spans="1:17" ht="27.95" customHeight="1">
      <c r="A14" s="6622" t="s">
        <v>1267</v>
      </c>
      <c r="B14" s="6623"/>
      <c r="C14" s="6623"/>
      <c r="D14" s="6623"/>
      <c r="E14" s="6623"/>
      <c r="F14" s="6623"/>
      <c r="G14" s="6623"/>
      <c r="H14" s="6623"/>
      <c r="I14" s="6623"/>
      <c r="J14" s="6623"/>
      <c r="K14" s="6623"/>
      <c r="L14" s="2649" t="str">
        <f>IF(OR($Q$2=1,$Q$2=2),"",Formula!NP7)</f>
        <v/>
      </c>
    </row>
    <row r="15" spans="1:17" ht="27.95" customHeight="1">
      <c r="A15" s="6640" t="s">
        <v>1313</v>
      </c>
      <c r="B15" s="6641"/>
      <c r="C15" s="6641"/>
      <c r="D15" s="6641"/>
      <c r="E15" s="6641"/>
      <c r="F15" s="6641"/>
      <c r="G15" s="6641"/>
      <c r="H15" s="6641"/>
      <c r="I15" s="6641"/>
      <c r="J15" s="6641"/>
      <c r="K15" s="6641"/>
      <c r="L15" s="1804" t="str">
        <f>IF($Q$3=1,"",IF($Q$3=2,"No","Yes"))</f>
        <v>No</v>
      </c>
    </row>
    <row r="16" spans="1:17" ht="27.95" customHeight="1">
      <c r="A16" s="6629" t="s">
        <v>1209</v>
      </c>
      <c r="B16" s="6630"/>
      <c r="C16" s="6630"/>
      <c r="D16" s="6630"/>
      <c r="E16" s="6630"/>
      <c r="F16" s="6630"/>
      <c r="G16" s="6630"/>
      <c r="H16" s="6630"/>
      <c r="I16" s="6630"/>
      <c r="J16" s="6630"/>
      <c r="K16" s="6630"/>
      <c r="L16" s="2650">
        <f>IF(OR($Q$3=1,$Q$3=3),"",Formula!NP9)</f>
        <v>0</v>
      </c>
    </row>
    <row r="17" spans="1:12" ht="27.95" customHeight="1">
      <c r="A17" s="6622" t="s">
        <v>1264</v>
      </c>
      <c r="B17" s="6623"/>
      <c r="C17" s="6623"/>
      <c r="D17" s="6623"/>
      <c r="E17" s="6623"/>
      <c r="F17" s="6623"/>
      <c r="G17" s="6623"/>
      <c r="H17" s="6623"/>
      <c r="I17" s="6623"/>
      <c r="J17" s="6623"/>
      <c r="K17" s="6623"/>
      <c r="L17" s="2651">
        <f>IF(OR($Q$3=1,$Q$3=3),"",Formula!NP10)</f>
        <v>0</v>
      </c>
    </row>
    <row r="18" spans="1:12" ht="27.95" customHeight="1">
      <c r="A18" s="6622" t="s">
        <v>828</v>
      </c>
      <c r="B18" s="6623"/>
      <c r="C18" s="6623"/>
      <c r="D18" s="6623"/>
      <c r="E18" s="6623"/>
      <c r="F18" s="6623"/>
      <c r="G18" s="6623"/>
      <c r="H18" s="6623"/>
      <c r="I18" s="6623"/>
      <c r="J18" s="6623"/>
      <c r="K18" s="6623"/>
      <c r="L18" s="2651">
        <f>IF(OR($Q$3=1,$Q$3=3),"",Formula!NP11)</f>
        <v>0</v>
      </c>
    </row>
    <row r="19" spans="1:12" ht="27.95" customHeight="1">
      <c r="A19" s="6629" t="s">
        <v>1314</v>
      </c>
      <c r="B19" s="6630"/>
      <c r="C19" s="6630"/>
      <c r="D19" s="6630"/>
      <c r="E19" s="6630"/>
      <c r="F19" s="6630"/>
      <c r="G19" s="6630"/>
      <c r="H19" s="6630"/>
      <c r="I19" s="6630"/>
      <c r="J19" s="6630"/>
      <c r="K19" s="6630"/>
      <c r="L19" s="2646" t="str">
        <f>IF(OR($Q$3=1,$Q$3=2),"",Formula!NP9)</f>
        <v/>
      </c>
    </row>
    <row r="20" spans="1:12" ht="27.95" customHeight="1">
      <c r="A20" s="6622" t="s">
        <v>1264</v>
      </c>
      <c r="B20" s="6623"/>
      <c r="C20" s="6623"/>
      <c r="D20" s="6623"/>
      <c r="E20" s="6623"/>
      <c r="F20" s="6623"/>
      <c r="G20" s="6623"/>
      <c r="H20" s="6623"/>
      <c r="I20" s="6623"/>
      <c r="J20" s="6623"/>
      <c r="K20" s="6623"/>
      <c r="L20" s="2649" t="str">
        <f>IF(OR($Q$3=1,$Q$3=2),"",Formula!NP10)</f>
        <v/>
      </c>
    </row>
    <row r="21" spans="1:12" ht="27.95" customHeight="1">
      <c r="A21" s="6622" t="s">
        <v>828</v>
      </c>
      <c r="B21" s="6623"/>
      <c r="C21" s="6623"/>
      <c r="D21" s="6623"/>
      <c r="E21" s="6623"/>
      <c r="F21" s="6623"/>
      <c r="G21" s="6623"/>
      <c r="H21" s="6623"/>
      <c r="I21" s="6623"/>
      <c r="J21" s="6623"/>
      <c r="K21" s="6623"/>
      <c r="L21" s="2649" t="str">
        <f>IF(OR($Q$3=1,$Q$3=2),"",Formula!NP11)</f>
        <v/>
      </c>
    </row>
    <row r="22" spans="1:12" ht="27.95" customHeight="1">
      <c r="A22" s="6622" t="s">
        <v>1267</v>
      </c>
      <c r="B22" s="6623"/>
      <c r="C22" s="6623"/>
      <c r="D22" s="6623"/>
      <c r="E22" s="6623"/>
      <c r="F22" s="6623"/>
      <c r="G22" s="6623"/>
      <c r="H22" s="6623"/>
      <c r="I22" s="6623"/>
      <c r="J22" s="6623"/>
      <c r="K22" s="6623"/>
      <c r="L22" s="2649" t="str">
        <f>IF(OR($Q$3=1,$Q$3=2),"",Formula!NP12)</f>
        <v/>
      </c>
    </row>
    <row r="23" spans="1:12" ht="27.95" customHeight="1" thickBot="1">
      <c r="A23" s="6631" t="s">
        <v>1315</v>
      </c>
      <c r="B23" s="6632"/>
      <c r="C23" s="6632"/>
      <c r="D23" s="6632"/>
      <c r="E23" s="6632"/>
      <c r="F23" s="6632"/>
      <c r="G23" s="6632"/>
      <c r="H23" s="6632"/>
      <c r="I23" s="6632"/>
      <c r="J23" s="6632"/>
      <c r="K23" s="6633"/>
      <c r="L23" s="2652">
        <f>Formula!NP13</f>
        <v>0</v>
      </c>
    </row>
    <row r="24" spans="1:12" ht="27.95" customHeight="1" thickTop="1">
      <c r="A24" s="2850"/>
      <c r="B24" s="2851"/>
      <c r="C24" s="2851"/>
      <c r="D24" s="2851"/>
      <c r="E24" s="2851"/>
      <c r="F24" s="2851"/>
      <c r="G24" s="2851"/>
      <c r="H24" s="2851"/>
      <c r="I24" s="2851"/>
      <c r="J24" s="2851"/>
      <c r="K24" s="2851"/>
      <c r="L24" s="2852"/>
    </row>
    <row r="25" spans="1:12" ht="27.95" customHeight="1" thickBot="1">
      <c r="A25" s="6537" t="s">
        <v>32</v>
      </c>
      <c r="B25" s="6538"/>
      <c r="C25" s="6538"/>
      <c r="D25" s="6538"/>
      <c r="E25" s="6538"/>
      <c r="F25" s="2653"/>
      <c r="G25" s="2653"/>
      <c r="H25" s="6539" t="s">
        <v>30</v>
      </c>
      <c r="I25" s="6539"/>
      <c r="J25" s="6539"/>
      <c r="K25" s="6539"/>
      <c r="L25" s="6540"/>
    </row>
    <row r="26" spans="1:12" s="942" customFormat="1" ht="16.5" customHeight="1" thickTop="1">
      <c r="A26" s="1828"/>
      <c r="B26" s="1828"/>
      <c r="C26" s="1828"/>
      <c r="D26" s="1828"/>
      <c r="E26" s="1828"/>
      <c r="F26" s="1828"/>
      <c r="G26" s="1828"/>
      <c r="H26" s="1828"/>
      <c r="I26" s="1828"/>
      <c r="J26" s="1828"/>
      <c r="K26" s="1828"/>
      <c r="L26" s="1828"/>
    </row>
    <row r="27" spans="1:12" ht="24.95" hidden="1" customHeight="1">
      <c r="A27" s="1720"/>
      <c r="B27" s="1720"/>
      <c r="C27" s="1720"/>
      <c r="D27" s="1720"/>
      <c r="E27" s="1720"/>
      <c r="F27" s="1720"/>
      <c r="G27" s="1720"/>
      <c r="H27" s="1720"/>
      <c r="I27" s="1720"/>
      <c r="J27" s="1720"/>
      <c r="K27" s="1720"/>
      <c r="L27" s="1720"/>
    </row>
    <row r="28" spans="1:12" ht="24.95" hidden="1" customHeight="1">
      <c r="A28" s="1720"/>
      <c r="B28" s="1720"/>
      <c r="C28" s="1720"/>
      <c r="D28" s="1720"/>
      <c r="E28" s="1720"/>
      <c r="F28" s="1720"/>
      <c r="G28" s="1720"/>
      <c r="H28" s="1720"/>
      <c r="I28" s="1720"/>
      <c r="J28" s="1720"/>
      <c r="K28" s="1720"/>
      <c r="L28" s="1720"/>
    </row>
    <row r="29" spans="1:12" ht="24.95" hidden="1" customHeight="1">
      <c r="A29" s="1720"/>
      <c r="B29" s="1720"/>
      <c r="C29" s="1720"/>
      <c r="D29" s="1720"/>
      <c r="E29" s="1720"/>
      <c r="F29" s="1720"/>
      <c r="G29" s="1720"/>
      <c r="H29" s="1720"/>
      <c r="I29" s="1720"/>
      <c r="J29" s="1720"/>
      <c r="K29" s="1720"/>
      <c r="L29" s="1720"/>
    </row>
    <row r="30" spans="1:12" ht="24.95" hidden="1" customHeight="1">
      <c r="A30" s="1720"/>
      <c r="B30" s="1720"/>
      <c r="C30" s="1720"/>
      <c r="D30" s="1720"/>
      <c r="E30" s="1720"/>
      <c r="F30" s="1720"/>
      <c r="G30" s="1720"/>
      <c r="H30" s="1720"/>
      <c r="I30" s="1720"/>
      <c r="J30" s="1720"/>
      <c r="K30" s="1720"/>
      <c r="L30" s="1720"/>
    </row>
    <row r="31" spans="1:12" ht="24.95" hidden="1" customHeight="1">
      <c r="A31" s="1720"/>
      <c r="B31" s="1720"/>
      <c r="C31" s="1720"/>
      <c r="D31" s="1720"/>
      <c r="E31" s="1720"/>
      <c r="F31" s="1720"/>
      <c r="G31" s="1720"/>
      <c r="H31" s="1720"/>
      <c r="I31" s="1720"/>
      <c r="J31" s="1720"/>
      <c r="K31" s="1720"/>
      <c r="L31" s="1720"/>
    </row>
    <row r="32" spans="1:12" ht="24.95" hidden="1" customHeight="1">
      <c r="A32" s="1720"/>
      <c r="B32" s="1720"/>
      <c r="C32" s="1720"/>
      <c r="D32" s="1720"/>
      <c r="E32" s="1720"/>
      <c r="F32" s="1720"/>
      <c r="G32" s="1720"/>
      <c r="H32" s="1720"/>
      <c r="I32" s="1720"/>
      <c r="J32" s="1720"/>
      <c r="K32" s="1720"/>
      <c r="L32" s="1720"/>
    </row>
    <row r="33" spans="1:12" ht="24.95" hidden="1" customHeight="1">
      <c r="A33" s="1720"/>
      <c r="B33" s="1720"/>
      <c r="C33" s="1720"/>
      <c r="D33" s="1720"/>
      <c r="E33" s="1720"/>
      <c r="F33" s="1720"/>
      <c r="G33" s="1720"/>
      <c r="H33" s="1720"/>
      <c r="I33" s="1720"/>
      <c r="J33" s="1720"/>
      <c r="K33" s="1720"/>
      <c r="L33" s="1720"/>
    </row>
    <row r="34" spans="1:12" ht="24.95" hidden="1" customHeight="1">
      <c r="A34" s="1720"/>
      <c r="B34" s="1720"/>
      <c r="C34" s="1720"/>
      <c r="D34" s="1720"/>
      <c r="E34" s="1720"/>
      <c r="F34" s="1720"/>
      <c r="G34" s="1720"/>
      <c r="H34" s="1720"/>
      <c r="I34" s="1720"/>
      <c r="J34" s="1720"/>
      <c r="K34" s="1720"/>
      <c r="L34" s="1720"/>
    </row>
  </sheetData>
  <sheetProtection password="B771" sheet="1" objects="1" scenarios="1" formatColumns="0" formatRows="0" selectLockedCells="1"/>
  <customSheetViews>
    <customSheetView guid="{DDA22D69-94B5-45BC-9EE2-6055A845129B}" hiddenRows="1" hiddenColumns="1" topLeftCell="A10">
      <selection activeCell="A24" sqref="A24"/>
      <pageMargins left="0.31496062992125984" right="0.31496062992125984" top="0.55118110236220474" bottom="0.35433070866141736" header="0.31496062992125984" footer="0.31496062992125984"/>
      <pageSetup paperSize="9" scale="92" orientation="portrait" horizontalDpi="300" verticalDpi="300" r:id="rId1"/>
    </customSheetView>
    <customSheetView guid="{1B7577DB-E3C4-4E68-B7CF-8F86FF7C5A82}" hiddenRows="1" hiddenColumns="1">
      <selection activeCell="H26" sqref="H26"/>
      <pageMargins left="0.31496062992125984" right="0.31496062992125984" top="0.55118110236220474" bottom="0.35433070866141736" header="0.31496062992125984" footer="0.31496062992125984"/>
      <pageSetup paperSize="9" scale="92" orientation="portrait" horizontalDpi="300" verticalDpi="300" r:id="rId2"/>
    </customSheetView>
    <customSheetView guid="{E7B1C62B-1F1D-4A62-BD87-EE62D3A36B6C}" hiddenRows="1" hiddenColumns="1" topLeftCell="A10">
      <selection activeCell="A24" sqref="A24"/>
      <pageMargins left="0.31496062992125984" right="0.31496062992125984" top="0.55118110236220474" bottom="0.35433070866141736" header="0.31496062992125984" footer="0.31496062992125984"/>
      <pageSetup paperSize="9" scale="92" orientation="portrait" horizontalDpi="300" verticalDpi="300" r:id="rId3"/>
    </customSheetView>
  </customSheetViews>
  <mergeCells count="36">
    <mergeCell ref="A15:K15"/>
    <mergeCell ref="A14:K14"/>
    <mergeCell ref="A12:K12"/>
    <mergeCell ref="A11:K11"/>
    <mergeCell ref="A22:K22"/>
    <mergeCell ref="A16:K16"/>
    <mergeCell ref="A17:K17"/>
    <mergeCell ref="A18:K18"/>
    <mergeCell ref="A19:K19"/>
    <mergeCell ref="A20:K20"/>
    <mergeCell ref="A21:K21"/>
    <mergeCell ref="A25:E25"/>
    <mergeCell ref="H25:L25"/>
    <mergeCell ref="A23:K23"/>
    <mergeCell ref="I2:L2"/>
    <mergeCell ref="I3:L3"/>
    <mergeCell ref="I4:L4"/>
    <mergeCell ref="G5:H5"/>
    <mergeCell ref="A10:K10"/>
    <mergeCell ref="G2:H2"/>
    <mergeCell ref="G4:H4"/>
    <mergeCell ref="A2:C2"/>
    <mergeCell ref="A3:C3"/>
    <mergeCell ref="D2:F2"/>
    <mergeCell ref="D5:F5"/>
    <mergeCell ref="D3:F3"/>
    <mergeCell ref="I5:L5"/>
    <mergeCell ref="A5:C5"/>
    <mergeCell ref="A4:C4"/>
    <mergeCell ref="D4:F4"/>
    <mergeCell ref="G3:H3"/>
    <mergeCell ref="A13:K13"/>
    <mergeCell ref="A6:L6"/>
    <mergeCell ref="A7:K7"/>
    <mergeCell ref="A8:K8"/>
    <mergeCell ref="A9:K9"/>
  </mergeCells>
  <pageMargins left="0.31496062992125984" right="0.31496062992125984" top="0.55118110236220474" bottom="0.35433070866141736" header="0.31496062992125984" footer="0.31496062992125984"/>
  <pageSetup paperSize="9" scale="92" orientation="portrait" horizontalDpi="300" verticalDpi="300"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70C0"/>
  </sheetPr>
  <dimension ref="A1:BSL173"/>
  <sheetViews>
    <sheetView topLeftCell="A14" zoomScale="112" zoomScaleNormal="112" workbookViewId="0">
      <selection activeCell="N51" sqref="N51"/>
    </sheetView>
  </sheetViews>
  <sheetFormatPr defaultColWidth="0" defaultRowHeight="15" zeroHeight="1"/>
  <cols>
    <col min="1" max="1" width="1.7109375" customWidth="1"/>
    <col min="2" max="2" width="4.140625" customWidth="1"/>
    <col min="3" max="3" width="5.5703125" customWidth="1"/>
    <col min="4" max="4" width="8" customWidth="1"/>
    <col min="5" max="5" width="11" customWidth="1"/>
    <col min="6" max="6" width="6" customWidth="1"/>
    <col min="7" max="7" width="10" customWidth="1"/>
    <col min="8" max="8" width="14.140625" customWidth="1"/>
    <col min="9" max="9" width="16" customWidth="1"/>
    <col min="10" max="10" width="2.85546875" customWidth="1"/>
    <col min="11" max="11" width="10.85546875" customWidth="1"/>
    <col min="12" max="12" width="4" customWidth="1"/>
    <col min="13" max="13" width="12.85546875" customWidth="1"/>
    <col min="14" max="16" width="11" customWidth="1"/>
    <col min="17" max="17" width="15" customWidth="1"/>
    <col min="18" max="18" width="9.5703125" customWidth="1"/>
    <col min="19" max="19" width="12.28515625" customWidth="1"/>
    <col min="20" max="20" width="15.42578125" customWidth="1"/>
    <col min="21" max="21" width="14.140625" customWidth="1"/>
    <col min="22" max="27" width="11" customWidth="1"/>
    <col min="28" max="28" width="10.85546875" hidden="1" customWidth="1"/>
    <col min="29" max="35" width="11" hidden="1" customWidth="1"/>
    <col min="36" max="36" width="25.7109375" hidden="1" customWidth="1"/>
    <col min="37" max="37" width="9.140625" hidden="1" customWidth="1"/>
    <col min="38" max="38" width="10.5703125" hidden="1" customWidth="1"/>
    <col min="39" max="39" width="23" hidden="1" customWidth="1"/>
    <col min="40" max="41" width="7.140625" hidden="1" customWidth="1"/>
    <col min="42" max="42" width="8.5703125" hidden="1" customWidth="1"/>
    <col min="43" max="43" width="9.140625" hidden="1" customWidth="1"/>
    <col min="44" max="44" width="10.5703125" hidden="1" customWidth="1"/>
    <col min="45" max="53" width="9.140625" hidden="1" customWidth="1"/>
    <col min="54" max="54" width="11.7109375" hidden="1" customWidth="1"/>
    <col min="55" max="59" width="9.140625" hidden="1" customWidth="1"/>
    <col min="60" max="60" width="11.140625" hidden="1" customWidth="1"/>
    <col min="61" max="61" width="12.28515625" hidden="1" customWidth="1"/>
    <col min="62" max="62" width="11.7109375" hidden="1" customWidth="1"/>
    <col min="63" max="64" width="9.140625" hidden="1" customWidth="1"/>
    <col min="65" max="65" width="14.85546875" hidden="1" customWidth="1"/>
    <col min="66" max="69" width="9.140625" hidden="1" customWidth="1"/>
    <col min="70" max="70" width="10.42578125" hidden="1" customWidth="1"/>
    <col min="71" max="1858" width="0" hidden="1" customWidth="1"/>
    <col min="1859" max="16384" width="9.140625" hidden="1"/>
  </cols>
  <sheetData>
    <row r="1" spans="1:90" ht="15.75" thickBo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row>
    <row r="2" spans="1:90" ht="17.25" customHeight="1" thickTop="1">
      <c r="A2" s="383"/>
      <c r="B2" s="6760" t="s">
        <v>245</v>
      </c>
      <c r="C2" s="6761"/>
      <c r="D2" s="6761"/>
      <c r="E2" s="6761"/>
      <c r="F2" s="6762" t="s">
        <v>246</v>
      </c>
      <c r="G2" s="6762"/>
      <c r="H2" s="6762"/>
      <c r="I2" s="6762"/>
      <c r="J2" s="6762"/>
      <c r="K2" s="6762"/>
      <c r="L2" s="6763" t="s">
        <v>247</v>
      </c>
      <c r="M2" s="6764"/>
      <c r="N2" s="2993"/>
      <c r="O2" s="982"/>
      <c r="P2" s="982"/>
      <c r="Q2" s="983">
        <f>'Rent Reciept'!S7</f>
        <v>230400</v>
      </c>
      <c r="R2" s="982"/>
      <c r="S2" s="982"/>
      <c r="T2" s="982"/>
      <c r="U2" s="982"/>
      <c r="V2" s="982"/>
      <c r="W2" s="982"/>
      <c r="X2" s="982"/>
      <c r="Y2" s="982"/>
      <c r="Z2" s="982"/>
      <c r="AA2" s="129"/>
      <c r="AB2" s="129"/>
      <c r="AC2" s="129"/>
      <c r="AD2" s="129"/>
      <c r="AE2" s="129"/>
      <c r="AF2" s="129"/>
      <c r="AG2" s="129"/>
      <c r="AH2" s="129"/>
      <c r="AI2" s="129"/>
      <c r="AJ2" s="5944" t="s">
        <v>248</v>
      </c>
      <c r="AK2" s="5944"/>
      <c r="AL2" s="130"/>
      <c r="AM2" s="131"/>
      <c r="AN2" s="131"/>
      <c r="AO2" s="131"/>
      <c r="AP2" s="131"/>
      <c r="AQ2" s="131"/>
      <c r="AR2" s="131"/>
      <c r="AS2" s="131"/>
      <c r="AT2" s="131"/>
      <c r="AU2" s="131"/>
      <c r="AV2" s="131"/>
      <c r="AW2" s="132"/>
      <c r="AX2" s="133"/>
      <c r="AY2" s="133"/>
      <c r="AZ2" s="133"/>
      <c r="BA2" s="133"/>
      <c r="BB2" s="133"/>
      <c r="BC2" s="133"/>
      <c r="BD2" s="133"/>
      <c r="BE2" s="133"/>
      <c r="BF2" s="133"/>
      <c r="BG2" s="241"/>
      <c r="BH2" s="241"/>
      <c r="BI2" s="241"/>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row>
    <row r="3" spans="1:90" ht="18" customHeight="1">
      <c r="A3" s="383"/>
      <c r="B3" s="5959" t="s">
        <v>1672</v>
      </c>
      <c r="C3" s="5960"/>
      <c r="D3" s="5960"/>
      <c r="E3" s="2473"/>
      <c r="F3" s="5961" t="s">
        <v>23</v>
      </c>
      <c r="G3" s="5961"/>
      <c r="H3" s="5961"/>
      <c r="I3" s="5961"/>
      <c r="J3" s="5961"/>
      <c r="K3" s="5961"/>
      <c r="L3" s="5960" t="s">
        <v>1695</v>
      </c>
      <c r="M3" s="5962"/>
      <c r="N3" s="2994"/>
      <c r="O3" s="6753"/>
      <c r="P3" s="6753"/>
      <c r="Q3" s="6753"/>
      <c r="R3" s="6755"/>
      <c r="S3" s="6755"/>
      <c r="T3" s="984"/>
      <c r="U3" s="984"/>
      <c r="V3" s="984"/>
      <c r="W3" s="984"/>
      <c r="X3" s="984"/>
      <c r="Y3" s="984"/>
      <c r="Z3" s="984"/>
      <c r="AA3" s="134"/>
      <c r="AB3" s="134"/>
      <c r="AC3" s="134"/>
      <c r="AD3" s="134"/>
      <c r="AE3" s="134"/>
      <c r="AF3" s="134"/>
      <c r="AG3" s="134"/>
      <c r="AH3" s="134"/>
      <c r="AI3" s="134"/>
      <c r="AJ3" s="135" t="s">
        <v>249</v>
      </c>
      <c r="AK3" s="135">
        <f>ROUND(K11/12,0)</f>
        <v>0</v>
      </c>
      <c r="AL3" s="131"/>
      <c r="AM3" s="136"/>
      <c r="AN3" s="136"/>
      <c r="AO3" s="131"/>
      <c r="AP3" s="137"/>
      <c r="AQ3" s="138" t="e">
        <f>SUM(#REF!+AL23+500)</f>
        <v>#REF!</v>
      </c>
      <c r="AR3" s="130" t="e">
        <f>CEILING(AK14,1000)</f>
        <v>#REF!</v>
      </c>
      <c r="AS3" s="131"/>
      <c r="AT3" s="131"/>
      <c r="AU3" s="131"/>
      <c r="AV3" s="136" t="e">
        <f>SUM(AK14+AL23+400)</f>
        <v>#REF!</v>
      </c>
      <c r="AW3" s="527"/>
      <c r="AX3" s="133"/>
      <c r="AY3" s="133"/>
      <c r="AZ3" s="133"/>
      <c r="BA3" s="133"/>
      <c r="BB3" s="133"/>
      <c r="BC3" s="133"/>
      <c r="BD3" s="133"/>
      <c r="BE3" s="133"/>
      <c r="BF3" s="133"/>
      <c r="BG3" s="241"/>
      <c r="BH3" s="241"/>
      <c r="BI3" s="241"/>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row>
    <row r="4" spans="1:90">
      <c r="A4" s="383"/>
      <c r="B4" s="6696" t="s">
        <v>179</v>
      </c>
      <c r="C4" s="6759"/>
      <c r="D4" s="6759"/>
      <c r="E4" s="6754" t="str">
        <f>CONCATENATE('Data Sheet-II'!L8)</f>
        <v>B.Saidi Reddy</v>
      </c>
      <c r="F4" s="6754"/>
      <c r="G4" s="6754"/>
      <c r="H4" s="3486" t="s">
        <v>24</v>
      </c>
      <c r="I4" s="6756" t="str">
        <f>CONCATENATE('Data Sheet-II'!L14)</f>
        <v>KRR Govt.Arts &amp; Science College(A)</v>
      </c>
      <c r="J4" s="6757"/>
      <c r="K4" s="6757"/>
      <c r="L4" s="6757"/>
      <c r="M4" s="6758"/>
      <c r="N4" s="2995"/>
      <c r="O4" s="6753"/>
      <c r="P4" s="6753"/>
      <c r="Q4" s="6753"/>
      <c r="R4" s="6755"/>
      <c r="S4" s="6755"/>
      <c r="T4" s="985"/>
      <c r="U4" s="985"/>
      <c r="V4" s="985"/>
      <c r="W4" s="985"/>
      <c r="X4" s="985"/>
      <c r="Y4" s="985"/>
      <c r="Z4" s="985"/>
      <c r="AA4" s="139"/>
      <c r="AB4" s="139"/>
      <c r="AC4" s="139"/>
      <c r="AD4" s="139"/>
      <c r="AE4" s="139"/>
      <c r="AF4" s="139"/>
      <c r="AG4" s="139"/>
      <c r="AH4" s="139"/>
      <c r="AI4" s="139"/>
      <c r="AJ4" s="140" t="s">
        <v>250</v>
      </c>
      <c r="AK4" s="141" t="e">
        <f>SUM(AK5-AK6)</f>
        <v>#REF!</v>
      </c>
      <c r="AL4" s="131"/>
      <c r="AM4" s="131"/>
      <c r="AN4" s="130"/>
      <c r="AO4" s="131"/>
      <c r="AP4" s="142"/>
      <c r="AQ4" s="138" t="e">
        <f>ROUND(AQ3*0.1,0)</f>
        <v>#REF!</v>
      </c>
      <c r="AR4" s="143" t="e">
        <f>SUM(AR3+AL23+400)</f>
        <v>#REF!</v>
      </c>
      <c r="AS4" s="136"/>
      <c r="AT4" s="131"/>
      <c r="AU4" s="131"/>
      <c r="AV4" s="131" t="e">
        <f>CEILING(ROUND(AV3/12,0),100)</f>
        <v>#REF!</v>
      </c>
      <c r="AW4" s="132"/>
      <c r="AX4" s="133"/>
      <c r="AY4" s="133"/>
      <c r="AZ4" s="133"/>
      <c r="BA4" s="133"/>
      <c r="BB4" s="133"/>
      <c r="BC4" s="133"/>
      <c r="BD4" s="133"/>
      <c r="BE4" s="133"/>
      <c r="BF4" s="133"/>
      <c r="BG4" s="241"/>
      <c r="BH4" s="1132"/>
      <c r="BI4" s="1132"/>
      <c r="BJ4" s="1133"/>
      <c r="BK4" s="1133"/>
      <c r="BL4" s="3"/>
      <c r="BM4" s="3"/>
      <c r="BN4" s="3"/>
      <c r="BO4" s="3"/>
      <c r="BP4" s="3"/>
      <c r="BQ4" s="3"/>
      <c r="BR4" s="3"/>
      <c r="BS4" s="3"/>
      <c r="BT4" s="3"/>
      <c r="BU4" s="3"/>
      <c r="BV4" s="3"/>
      <c r="BW4" s="3"/>
      <c r="BX4" s="3"/>
      <c r="BY4" s="3"/>
      <c r="BZ4" s="3"/>
      <c r="CA4" s="3"/>
      <c r="CB4" s="3"/>
      <c r="CC4" s="3"/>
      <c r="CD4" s="3"/>
      <c r="CE4" s="3"/>
      <c r="CF4" s="3"/>
      <c r="CG4" s="3"/>
      <c r="CH4" s="3"/>
      <c r="CI4" s="3"/>
      <c r="CJ4" s="3"/>
      <c r="CK4" s="3"/>
      <c r="CL4" s="3"/>
    </row>
    <row r="5" spans="1:90">
      <c r="A5" s="383"/>
      <c r="B5" s="6696" t="s">
        <v>15</v>
      </c>
      <c r="C5" s="6759"/>
      <c r="D5" s="6759"/>
      <c r="E5" s="6754" t="str">
        <f>CONCATENATE('Data Sheet-II'!L9)</f>
        <v>Asst.Professor of Maths</v>
      </c>
      <c r="F5" s="6754"/>
      <c r="G5" s="6754"/>
      <c r="H5" s="3486" t="s">
        <v>28</v>
      </c>
      <c r="I5" s="5971" t="str">
        <f>CONCATENATE( BH5,BH6,", ",BI5,BI6,", ",BJ5,BJ6)</f>
        <v>Kodad(M), Suryapet(DIST), Telangana(STATE)</v>
      </c>
      <c r="J5" s="5971"/>
      <c r="K5" s="5972"/>
      <c r="L5" s="5971"/>
      <c r="M5" s="5973"/>
      <c r="N5" s="2996"/>
      <c r="O5" s="986"/>
      <c r="P5" s="986"/>
      <c r="Q5" s="986"/>
      <c r="R5" s="986"/>
      <c r="S5" s="986"/>
      <c r="T5" s="986"/>
      <c r="U5" s="986"/>
      <c r="V5" s="986"/>
      <c r="W5" s="986"/>
      <c r="X5" s="986"/>
      <c r="Y5" s="986"/>
      <c r="Z5" s="986"/>
      <c r="AA5" s="144"/>
      <c r="AB5" s="144"/>
      <c r="AC5" s="144"/>
      <c r="AD5" s="144"/>
      <c r="AE5" s="144"/>
      <c r="AF5" s="144"/>
      <c r="AG5" s="144"/>
      <c r="AH5" s="144"/>
      <c r="AI5" s="144"/>
      <c r="AJ5" s="140" t="s">
        <v>251</v>
      </c>
      <c r="AK5" s="141" t="e">
        <f>AR6</f>
        <v>#REF!</v>
      </c>
      <c r="AL5" s="131"/>
      <c r="AM5" s="131"/>
      <c r="AN5" s="131"/>
      <c r="AO5" s="131"/>
      <c r="AP5" s="142"/>
      <c r="AQ5" s="138" t="e">
        <f>ROUND(AQ4/12,0)</f>
        <v>#REF!</v>
      </c>
      <c r="AR5" s="143" t="e">
        <f>ROUND(AR4/12,0)</f>
        <v>#REF!</v>
      </c>
      <c r="AS5" s="143"/>
      <c r="AT5" s="131"/>
      <c r="AU5" s="131"/>
      <c r="AV5" s="131"/>
      <c r="AW5" s="132"/>
      <c r="AX5" s="133"/>
      <c r="AY5" s="133"/>
      <c r="AZ5" s="133"/>
      <c r="BA5" s="133"/>
      <c r="BB5" s="133"/>
      <c r="BC5" s="133"/>
      <c r="BD5" s="133"/>
      <c r="BE5" s="133"/>
      <c r="BF5" s="133"/>
      <c r="BG5" s="241"/>
      <c r="BH5" s="1134" t="str">
        <f>'Data Sheet-II'!L15</f>
        <v>Kodad</v>
      </c>
      <c r="BI5" s="1134" t="str">
        <f>'Data Sheet-II'!L16</f>
        <v>Suryapet</v>
      </c>
      <c r="BJ5" s="1135" t="str">
        <f>'Data Sheet-II'!L17</f>
        <v>Telangana</v>
      </c>
      <c r="BK5" s="1133"/>
      <c r="BL5" s="3"/>
      <c r="BM5" s="3"/>
      <c r="BN5" s="3"/>
      <c r="BO5" s="3"/>
      <c r="BP5" s="3"/>
      <c r="BQ5" s="3"/>
      <c r="BR5" s="3"/>
      <c r="BS5" s="3"/>
      <c r="BT5" s="3"/>
      <c r="BU5" s="3"/>
      <c r="BV5" s="3"/>
      <c r="BW5" s="3"/>
      <c r="BX5" s="3"/>
      <c r="BY5" s="3"/>
      <c r="BZ5" s="3"/>
      <c r="CA5" s="3"/>
      <c r="CB5" s="3"/>
      <c r="CC5" s="3"/>
      <c r="CD5" s="3"/>
      <c r="CE5" s="3"/>
      <c r="CF5" s="3"/>
      <c r="CG5" s="3"/>
      <c r="CH5" s="3"/>
      <c r="CI5" s="3"/>
      <c r="CJ5" s="3"/>
      <c r="CK5" s="3"/>
      <c r="CL5" s="3"/>
    </row>
    <row r="6" spans="1:90" ht="18.75">
      <c r="A6" s="384"/>
      <c r="B6" s="6696" t="s">
        <v>252</v>
      </c>
      <c r="C6" s="6697"/>
      <c r="D6" s="6697"/>
      <c r="E6" s="6698" t="str">
        <f>Formula!GD6</f>
        <v>Rented House</v>
      </c>
      <c r="F6" s="6698"/>
      <c r="G6" s="6698"/>
      <c r="H6" s="3487" t="s">
        <v>253</v>
      </c>
      <c r="I6" s="6699" t="str">
        <f>CONCATENATE('Data Sheet-II'!L11 )</f>
        <v>BSEPP1245A</v>
      </c>
      <c r="J6" s="6699"/>
      <c r="K6" s="3488" t="s">
        <v>254</v>
      </c>
      <c r="L6" s="5976" t="str">
        <f>CONCATENATE('Data Sheet-II'!L10)</f>
        <v>2000083</v>
      </c>
      <c r="M6" s="5977"/>
      <c r="N6" s="2997"/>
      <c r="O6" s="988"/>
      <c r="P6" s="988"/>
      <c r="Q6" s="988"/>
      <c r="R6" s="989"/>
      <c r="S6" s="989"/>
      <c r="T6" s="989"/>
      <c r="U6" s="987"/>
      <c r="V6" s="987"/>
      <c r="W6" s="987"/>
      <c r="X6" s="987"/>
      <c r="Y6" s="987"/>
      <c r="Z6" s="987"/>
      <c r="AA6" s="145"/>
      <c r="AB6" s="145"/>
      <c r="AC6" s="145"/>
      <c r="AD6" s="145"/>
      <c r="AE6" s="145"/>
      <c r="AF6" s="145"/>
      <c r="AG6" s="145"/>
      <c r="AH6" s="145"/>
      <c r="AI6" s="145"/>
      <c r="AJ6" s="146" t="s">
        <v>255</v>
      </c>
      <c r="AK6" s="135" t="e">
        <f>ROUND(AK14/12,0)</f>
        <v>#REF!</v>
      </c>
      <c r="AL6" s="131"/>
      <c r="AM6" s="131"/>
      <c r="AN6" s="130"/>
      <c r="AO6" s="131"/>
      <c r="AP6" s="147"/>
      <c r="AQ6" s="148" t="e">
        <f>AK23</f>
        <v>#REF!</v>
      </c>
      <c r="AR6" s="143" t="e">
        <f>CEILING(AR5,100)</f>
        <v>#REF!</v>
      </c>
      <c r="AS6" s="143" t="e">
        <f>SUM(AR6*12)</f>
        <v>#REF!</v>
      </c>
      <c r="AT6" s="131"/>
      <c r="AU6" s="131"/>
      <c r="AV6" s="136" t="e">
        <f>AK14</f>
        <v>#REF!</v>
      </c>
      <c r="AW6" s="132"/>
      <c r="AX6" s="133"/>
      <c r="AY6" s="133"/>
      <c r="AZ6" s="133"/>
      <c r="BA6" s="133"/>
      <c r="BB6" s="133"/>
      <c r="BC6" s="133"/>
      <c r="BD6" s="133"/>
      <c r="BE6" s="133"/>
      <c r="BF6" s="133"/>
      <c r="BG6" s="241"/>
      <c r="BH6" s="1136" t="s">
        <v>25</v>
      </c>
      <c r="BI6" s="1136" t="s">
        <v>26</v>
      </c>
      <c r="BJ6" s="1137" t="s">
        <v>27</v>
      </c>
      <c r="BK6" s="1133"/>
      <c r="BL6" s="3"/>
      <c r="BM6" s="6652"/>
      <c r="BN6" s="6652"/>
      <c r="BO6" s="6652"/>
      <c r="BP6" s="6652"/>
      <c r="BQ6" s="6652"/>
      <c r="BR6" s="6652"/>
      <c r="BS6" s="3"/>
      <c r="BT6" s="3"/>
      <c r="BU6" s="3"/>
      <c r="BV6" s="3"/>
      <c r="BW6" s="3"/>
      <c r="BX6" s="3"/>
      <c r="BY6" s="3"/>
      <c r="BZ6" s="3"/>
      <c r="CA6" s="3"/>
      <c r="CB6" s="3"/>
      <c r="CC6" s="3"/>
      <c r="CD6" s="3"/>
      <c r="CE6" s="3"/>
      <c r="CF6" s="3"/>
      <c r="CG6" s="3"/>
      <c r="CH6" s="3"/>
      <c r="CI6" s="3"/>
      <c r="CJ6" s="3"/>
      <c r="CK6" s="3"/>
      <c r="CL6" s="3"/>
    </row>
    <row r="7" spans="1:90" ht="17.25" customHeight="1">
      <c r="A7" s="384"/>
      <c r="B7" s="99" t="s">
        <v>1380</v>
      </c>
      <c r="C7" s="6701" t="s">
        <v>1657</v>
      </c>
      <c r="D7" s="6702"/>
      <c r="E7" s="6702"/>
      <c r="F7" s="6702"/>
      <c r="G7" s="6702"/>
      <c r="H7" s="6702"/>
      <c r="I7" s="6702"/>
      <c r="J7" s="2662"/>
      <c r="K7" s="3489"/>
      <c r="L7" s="3490" t="s">
        <v>5</v>
      </c>
      <c r="M7" s="3393">
        <f>SUM(M8:M10)</f>
        <v>1503534</v>
      </c>
      <c r="N7" s="2998"/>
      <c r="O7" s="988"/>
      <c r="P7" s="988"/>
      <c r="Q7" s="988"/>
      <c r="R7" s="990"/>
      <c r="S7" s="990"/>
      <c r="T7" s="990"/>
      <c r="U7" s="990"/>
      <c r="V7" s="990"/>
      <c r="W7" s="990"/>
      <c r="X7" s="990"/>
      <c r="Y7" s="990"/>
      <c r="Z7" s="990"/>
      <c r="AA7" s="149"/>
      <c r="AB7" s="149"/>
      <c r="AC7" s="149"/>
      <c r="AD7" s="149"/>
      <c r="AE7" s="149"/>
      <c r="AF7" s="149"/>
      <c r="AG7" s="149"/>
      <c r="AH7" s="149"/>
      <c r="AI7" s="149"/>
      <c r="AJ7" s="5944" t="s">
        <v>256</v>
      </c>
      <c r="AK7" s="5944"/>
      <c r="AL7" s="131"/>
      <c r="AM7" s="131"/>
      <c r="AN7" s="131"/>
      <c r="AO7" s="131"/>
      <c r="AP7" s="150"/>
      <c r="AQ7" s="150"/>
      <c r="AR7" s="143"/>
      <c r="AS7" s="143"/>
      <c r="AT7" s="131"/>
      <c r="AU7" s="151"/>
      <c r="AV7" s="131" t="e">
        <f>CEILING(ROUND(AV6/12,0),100)</f>
        <v>#REF!</v>
      </c>
      <c r="AW7" s="132"/>
      <c r="AX7" s="133"/>
      <c r="AY7" s="133"/>
      <c r="AZ7" s="133"/>
      <c r="BA7" s="133"/>
      <c r="BB7" s="133"/>
      <c r="BC7" s="133"/>
      <c r="BD7" s="133"/>
      <c r="BE7" s="133"/>
      <c r="BF7" s="133"/>
      <c r="BG7" s="241"/>
      <c r="BH7" s="1132"/>
      <c r="BI7" s="1132"/>
      <c r="BJ7" s="1133"/>
      <c r="BK7" s="1133"/>
      <c r="BL7" s="3"/>
      <c r="BM7" s="253"/>
      <c r="BN7" s="253"/>
      <c r="BO7" s="253"/>
      <c r="BP7" s="253"/>
      <c r="BQ7" s="253"/>
      <c r="BR7" s="253"/>
      <c r="BS7" s="3"/>
      <c r="BT7" s="3"/>
      <c r="BU7" s="3"/>
      <c r="BV7" s="3"/>
      <c r="BW7" s="3"/>
      <c r="BX7" s="3"/>
      <c r="BY7" s="3"/>
      <c r="BZ7" s="3"/>
      <c r="CA7" s="3"/>
      <c r="CB7" s="3"/>
      <c r="CC7" s="3"/>
      <c r="CD7" s="3"/>
      <c r="CE7" s="3"/>
      <c r="CF7" s="3"/>
      <c r="CG7" s="3"/>
      <c r="CH7" s="3"/>
      <c r="CI7" s="3"/>
      <c r="CJ7" s="3"/>
      <c r="CK7" s="3"/>
      <c r="CL7" s="3"/>
    </row>
    <row r="8" spans="1:90" ht="18" customHeight="1">
      <c r="A8" s="384"/>
      <c r="B8" s="99"/>
      <c r="C8" s="3381" t="s">
        <v>957</v>
      </c>
      <c r="D8" s="6700" t="s">
        <v>960</v>
      </c>
      <c r="E8" s="6700"/>
      <c r="F8" s="6700"/>
      <c r="G8" s="6700"/>
      <c r="H8" s="6700"/>
      <c r="I8" s="1215"/>
      <c r="J8" s="3480"/>
      <c r="K8" s="3491"/>
      <c r="L8" s="3392" t="s">
        <v>5</v>
      </c>
      <c r="M8" s="2663">
        <f>IF('Anexure-I'!M41&gt;0,'Anexure-I'!M41,"")</f>
        <v>1503534</v>
      </c>
      <c r="N8" s="2998"/>
      <c r="O8" s="990"/>
      <c r="P8" s="990"/>
      <c r="Q8" s="990"/>
      <c r="R8" s="990"/>
      <c r="S8" s="990"/>
      <c r="T8" s="990"/>
      <c r="U8" s="990"/>
      <c r="V8" s="990"/>
      <c r="W8" s="990"/>
      <c r="X8" s="990"/>
      <c r="Y8" s="990"/>
      <c r="Z8" s="990"/>
      <c r="AA8" s="149"/>
      <c r="AB8" s="149"/>
      <c r="AC8" s="149"/>
      <c r="AD8" s="149"/>
      <c r="AE8" s="149"/>
      <c r="AF8" s="149"/>
      <c r="AG8" s="149"/>
      <c r="AH8" s="149"/>
      <c r="AI8" s="149"/>
      <c r="AJ8" s="5944"/>
      <c r="AK8" s="5944"/>
      <c r="AL8" s="131"/>
      <c r="AM8" s="131"/>
      <c r="AN8" s="131"/>
      <c r="AO8" s="131"/>
      <c r="AP8" s="150"/>
      <c r="AQ8" s="150"/>
      <c r="AR8" s="143"/>
      <c r="AS8" s="143"/>
      <c r="AT8" s="131"/>
      <c r="AU8" s="151"/>
      <c r="AV8" s="131"/>
      <c r="AW8" s="132"/>
      <c r="AX8" s="133"/>
      <c r="AY8" s="133"/>
      <c r="AZ8" s="133"/>
      <c r="BA8" s="133"/>
      <c r="BB8" s="133"/>
      <c r="BC8" s="133"/>
      <c r="BD8" s="133"/>
      <c r="BE8" s="133"/>
      <c r="BF8" s="133"/>
      <c r="BG8" s="241"/>
      <c r="BH8" s="404"/>
      <c r="BI8" s="404"/>
      <c r="BJ8" s="3"/>
      <c r="BK8" s="3"/>
      <c r="BL8" s="3"/>
      <c r="BM8" s="253"/>
      <c r="BN8" s="253"/>
      <c r="BO8" s="253"/>
      <c r="BP8" s="253"/>
      <c r="BQ8" s="253"/>
      <c r="BR8" s="253"/>
      <c r="BS8" s="3"/>
      <c r="BT8" s="3"/>
      <c r="BU8" s="3"/>
      <c r="BV8" s="3"/>
      <c r="BW8" s="3"/>
      <c r="BX8" s="3"/>
      <c r="BY8" s="3"/>
      <c r="BZ8" s="3"/>
      <c r="CA8" s="3"/>
      <c r="CB8" s="3"/>
      <c r="CC8" s="3"/>
      <c r="CD8" s="3"/>
      <c r="CE8" s="3"/>
      <c r="CF8" s="3"/>
      <c r="CG8" s="3"/>
      <c r="CH8" s="3"/>
      <c r="CI8" s="3"/>
      <c r="CJ8" s="3"/>
      <c r="CK8" s="3"/>
      <c r="CL8" s="3"/>
    </row>
    <row r="9" spans="1:90" ht="16.5" customHeight="1">
      <c r="A9" s="384"/>
      <c r="B9" s="99"/>
      <c r="C9" s="3381" t="s">
        <v>958</v>
      </c>
      <c r="D9" s="6700" t="s">
        <v>961</v>
      </c>
      <c r="E9" s="6700"/>
      <c r="F9" s="6700"/>
      <c r="G9" s="6700"/>
      <c r="H9" s="6700"/>
      <c r="I9" s="1215"/>
      <c r="J9" s="3480"/>
      <c r="K9" s="3491"/>
      <c r="L9" s="3490" t="s">
        <v>5</v>
      </c>
      <c r="M9" s="3492">
        <v>0</v>
      </c>
      <c r="N9" s="2998"/>
      <c r="O9" s="989"/>
      <c r="P9" s="989"/>
      <c r="Q9" s="989"/>
      <c r="R9" s="989"/>
      <c r="S9" s="989"/>
      <c r="T9" s="989"/>
      <c r="U9" s="990"/>
      <c r="V9" s="990"/>
      <c r="W9" s="990"/>
      <c r="X9" s="990"/>
      <c r="Y9" s="990"/>
      <c r="Z9" s="990"/>
      <c r="AA9" s="149"/>
      <c r="AB9" s="149"/>
      <c r="AC9" s="149"/>
      <c r="AD9" s="149"/>
      <c r="AE9" s="149"/>
      <c r="AF9" s="149"/>
      <c r="AG9" s="149"/>
      <c r="AH9" s="149"/>
      <c r="AI9" s="149"/>
      <c r="AJ9" s="5944"/>
      <c r="AK9" s="5944"/>
      <c r="AL9" s="131"/>
      <c r="AM9" s="131"/>
      <c r="AN9" s="131"/>
      <c r="AO9" s="131"/>
      <c r="AP9" s="150"/>
      <c r="AQ9" s="150"/>
      <c r="AR9" s="143"/>
      <c r="AS9" s="143"/>
      <c r="AT9" s="131"/>
      <c r="AU9" s="151"/>
      <c r="AV9" s="131"/>
      <c r="AW9" s="132"/>
      <c r="AX9" s="133"/>
      <c r="AY9" s="133"/>
      <c r="AZ9" s="133"/>
      <c r="BA9" s="133"/>
      <c r="BB9" s="133"/>
      <c r="BC9" s="133"/>
      <c r="BD9" s="133"/>
      <c r="BE9" s="133"/>
      <c r="BF9" s="133"/>
      <c r="BG9" s="241"/>
      <c r="BH9" s="404"/>
      <c r="BI9" s="404"/>
      <c r="BJ9" s="3"/>
      <c r="BK9" s="3"/>
      <c r="BL9" s="3"/>
      <c r="BM9" s="253"/>
      <c r="BN9" s="253"/>
      <c r="BO9" s="253"/>
      <c r="BP9" s="253"/>
      <c r="BQ9" s="253"/>
      <c r="BR9" s="253"/>
      <c r="BS9" s="3"/>
      <c r="BT9" s="3"/>
      <c r="BU9" s="3"/>
      <c r="BV9" s="3"/>
      <c r="BW9" s="3"/>
      <c r="BX9" s="3"/>
      <c r="BY9" s="3"/>
      <c r="BZ9" s="3"/>
      <c r="CA9" s="3"/>
      <c r="CB9" s="3"/>
      <c r="CC9" s="3"/>
      <c r="CD9" s="3"/>
      <c r="CE9" s="3"/>
      <c r="CF9" s="3"/>
      <c r="CG9" s="3"/>
      <c r="CH9" s="3"/>
      <c r="CI9" s="3"/>
      <c r="CJ9" s="3"/>
      <c r="CK9" s="3"/>
      <c r="CL9" s="3"/>
    </row>
    <row r="10" spans="1:90">
      <c r="A10" s="384"/>
      <c r="B10" s="99"/>
      <c r="C10" s="3381" t="s">
        <v>959</v>
      </c>
      <c r="D10" s="6700" t="s">
        <v>962</v>
      </c>
      <c r="E10" s="6700"/>
      <c r="F10" s="6700"/>
      <c r="G10" s="6700"/>
      <c r="H10" s="6700"/>
      <c r="I10" s="1216"/>
      <c r="J10" s="3480"/>
      <c r="K10" s="3491"/>
      <c r="L10" s="3493" t="s">
        <v>5</v>
      </c>
      <c r="M10" s="967">
        <v>0</v>
      </c>
      <c r="N10" s="2990"/>
      <c r="O10" s="992"/>
      <c r="P10" s="992"/>
      <c r="Q10" s="992"/>
      <c r="R10" s="993"/>
      <c r="S10" s="994"/>
      <c r="T10" s="991"/>
      <c r="U10" s="991"/>
      <c r="V10" s="991"/>
      <c r="W10" s="991"/>
      <c r="X10" s="991"/>
      <c r="Y10" s="991"/>
      <c r="Z10" s="991"/>
      <c r="AA10" s="152"/>
      <c r="AB10" s="152"/>
      <c r="AC10" s="152"/>
      <c r="AD10" s="152"/>
      <c r="AE10" s="152"/>
      <c r="AF10" s="152"/>
      <c r="AG10" s="152"/>
      <c r="AH10" s="152"/>
      <c r="AI10" s="152"/>
      <c r="AJ10" s="5944"/>
      <c r="AK10" s="5944"/>
      <c r="AL10" s="131"/>
      <c r="AM10" s="131"/>
      <c r="AN10" s="131"/>
      <c r="AO10" s="131"/>
      <c r="AP10" s="131"/>
      <c r="AQ10" s="131"/>
      <c r="AR10" s="131"/>
      <c r="AS10" s="153"/>
      <c r="AT10" s="131"/>
      <c r="AU10" s="151"/>
      <c r="AV10" s="131"/>
      <c r="AW10" s="132"/>
      <c r="AX10" s="133"/>
      <c r="AY10" s="133"/>
      <c r="AZ10" s="133"/>
      <c r="BA10" s="133"/>
      <c r="BB10" s="133"/>
      <c r="BC10" s="133"/>
      <c r="BD10" s="133"/>
      <c r="BE10" s="133"/>
      <c r="BF10" s="133"/>
      <c r="BG10" s="241"/>
      <c r="BH10" s="241"/>
      <c r="BI10" s="241"/>
      <c r="BJ10" s="3"/>
      <c r="BK10" s="3"/>
      <c r="BL10" s="3"/>
      <c r="BM10" s="5913"/>
      <c r="BN10" s="5913"/>
      <c r="BO10" s="5913"/>
      <c r="BP10" s="254"/>
      <c r="BQ10" s="255"/>
      <c r="BR10" s="261"/>
      <c r="BS10" s="3"/>
      <c r="BT10" s="3"/>
      <c r="BU10" s="3"/>
      <c r="BV10" s="3"/>
      <c r="BW10" s="3"/>
      <c r="BX10" s="3"/>
      <c r="BY10" s="3"/>
      <c r="BZ10" s="3"/>
      <c r="CA10" s="3"/>
      <c r="CB10" s="3"/>
      <c r="CC10" s="3"/>
      <c r="CD10" s="3"/>
      <c r="CE10" s="3"/>
      <c r="CF10" s="3"/>
      <c r="CG10" s="3"/>
      <c r="CH10" s="3"/>
      <c r="CI10" s="3"/>
      <c r="CJ10" s="3"/>
      <c r="CK10" s="3"/>
      <c r="CL10" s="3"/>
    </row>
    <row r="11" spans="1:90" ht="18" customHeight="1">
      <c r="A11" s="384"/>
      <c r="B11" s="969" t="s">
        <v>1475</v>
      </c>
      <c r="C11" s="3494" t="s">
        <v>963</v>
      </c>
      <c r="D11" s="6708" t="s">
        <v>1602</v>
      </c>
      <c r="E11" s="6709"/>
      <c r="F11" s="6709"/>
      <c r="G11" s="6709"/>
      <c r="H11" s="6709"/>
      <c r="I11" s="6709"/>
      <c r="J11" s="6709"/>
      <c r="K11" s="970"/>
      <c r="L11" s="968" t="s">
        <v>5</v>
      </c>
      <c r="M11" s="2857">
        <f>'Anexure-I'!K41</f>
        <v>0</v>
      </c>
      <c r="N11" s="2990"/>
      <c r="O11" s="992"/>
      <c r="P11" s="992"/>
      <c r="Q11" s="992"/>
      <c r="R11" s="993"/>
      <c r="S11" s="994"/>
      <c r="T11" s="991"/>
      <c r="U11" s="991"/>
      <c r="V11" s="991"/>
      <c r="W11" s="991"/>
      <c r="X11" s="991"/>
      <c r="Y11" s="991"/>
      <c r="Z11" s="991"/>
      <c r="AA11" s="152"/>
      <c r="AB11" s="152"/>
      <c r="AC11" s="152"/>
      <c r="AD11" s="152"/>
      <c r="AE11" s="152"/>
      <c r="AF11" s="152"/>
      <c r="AG11" s="152"/>
      <c r="AH11" s="152"/>
      <c r="AI11" s="152"/>
      <c r="AJ11" s="141" t="s">
        <v>258</v>
      </c>
      <c r="AK11" s="143">
        <f>IF('Anexure-I'!C41&gt;0,'Anexure-I'!C41,"")</f>
        <v>992600</v>
      </c>
      <c r="AL11" s="154"/>
      <c r="AM11" s="131"/>
      <c r="AN11" s="131"/>
      <c r="AO11" s="131"/>
      <c r="AP11" s="131"/>
      <c r="AQ11" s="153"/>
      <c r="AR11" s="155"/>
      <c r="AS11" s="153"/>
      <c r="AT11" s="131"/>
      <c r="AU11" s="131"/>
      <c r="AV11" s="131"/>
      <c r="AW11" s="132"/>
      <c r="AX11" s="133"/>
      <c r="AY11" s="133"/>
      <c r="AZ11" s="133"/>
      <c r="BA11" s="133"/>
      <c r="BB11" s="133"/>
      <c r="BC11" s="133"/>
      <c r="BD11" s="133"/>
      <c r="BE11" s="133"/>
      <c r="BF11" s="133"/>
      <c r="BG11" s="241"/>
      <c r="BH11" s="241"/>
      <c r="BI11" s="241"/>
      <c r="BJ11" s="3"/>
      <c r="BK11" s="3"/>
      <c r="BL11" s="3"/>
      <c r="BM11" s="5913"/>
      <c r="BN11" s="5913"/>
      <c r="BO11" s="5913"/>
      <c r="BP11" s="254"/>
      <c r="BQ11" s="255"/>
      <c r="BR11" s="261"/>
      <c r="BS11" s="3"/>
      <c r="BT11" s="3"/>
      <c r="BU11" s="3"/>
      <c r="BV11" s="3"/>
      <c r="BW11" s="3"/>
      <c r="BX11" s="3"/>
      <c r="BY11" s="3"/>
      <c r="BZ11" s="3"/>
      <c r="CA11" s="3"/>
      <c r="CB11" s="3"/>
      <c r="CC11" s="3"/>
      <c r="CD11" s="3"/>
      <c r="CE11" s="3"/>
      <c r="CF11" s="3"/>
      <c r="CG11" s="3"/>
      <c r="CH11" s="3"/>
      <c r="CI11" s="3"/>
      <c r="CJ11" s="3"/>
      <c r="CK11" s="3"/>
      <c r="CL11" s="3"/>
    </row>
    <row r="12" spans="1:90" ht="18" customHeight="1">
      <c r="A12" s="384"/>
      <c r="B12" s="969"/>
      <c r="C12" s="3495" t="s">
        <v>958</v>
      </c>
      <c r="D12" s="5900" t="s">
        <v>999</v>
      </c>
      <c r="E12" s="5900"/>
      <c r="F12" s="5900"/>
      <c r="G12" s="5900"/>
      <c r="H12" s="5900"/>
      <c r="I12" s="5900"/>
      <c r="J12" s="6710"/>
      <c r="K12" s="972"/>
      <c r="L12" s="971" t="s">
        <v>5</v>
      </c>
      <c r="M12" s="1199">
        <v>0</v>
      </c>
      <c r="N12" s="2990"/>
      <c r="O12" s="995"/>
      <c r="P12" s="995"/>
      <c r="Q12" s="995"/>
      <c r="R12" s="993"/>
      <c r="S12" s="996"/>
      <c r="T12" s="991"/>
      <c r="U12" s="991"/>
      <c r="V12" s="991"/>
      <c r="W12" s="991"/>
      <c r="X12" s="991"/>
      <c r="Y12" s="991"/>
      <c r="Z12" s="991"/>
      <c r="AA12" s="152"/>
      <c r="AB12" s="152"/>
      <c r="AC12" s="152"/>
      <c r="AD12" s="152"/>
      <c r="AE12" s="152"/>
      <c r="AF12" s="152"/>
      <c r="AG12" s="152"/>
      <c r="AH12" s="152"/>
      <c r="AI12" s="152"/>
      <c r="AJ12" s="141" t="s">
        <v>259</v>
      </c>
      <c r="AK12" s="143" t="e">
        <f>IF(OR(#REF!=1,#REF!=2),'Anexure-I'!E41,0)</f>
        <v>#REF!</v>
      </c>
      <c r="AL12" s="156" t="e">
        <f>AR6</f>
        <v>#REF!</v>
      </c>
      <c r="AM12" s="131"/>
      <c r="AN12" s="131"/>
      <c r="AO12" s="131"/>
      <c r="AP12" s="131"/>
      <c r="AQ12" s="131"/>
      <c r="AR12" s="131"/>
      <c r="AS12" s="131"/>
      <c r="AT12" s="131"/>
      <c r="AU12" s="131"/>
      <c r="AV12" s="131"/>
      <c r="AW12" s="157"/>
      <c r="AX12" s="133"/>
      <c r="AY12" s="133"/>
      <c r="AZ12" s="133"/>
      <c r="BA12" s="133"/>
      <c r="BB12" s="133"/>
      <c r="BC12" s="133"/>
      <c r="BD12" s="133"/>
      <c r="BE12" s="133"/>
      <c r="BF12" s="133"/>
      <c r="BG12" s="241"/>
      <c r="BH12" s="241"/>
      <c r="BI12" s="241"/>
      <c r="BJ12" s="3"/>
      <c r="BK12" s="3"/>
      <c r="BL12" s="3"/>
      <c r="BM12" s="5913"/>
      <c r="BN12" s="5913"/>
      <c r="BO12" s="5913"/>
      <c r="BP12" s="254"/>
      <c r="BQ12" s="255"/>
      <c r="BR12" s="261"/>
      <c r="BS12" s="3"/>
      <c r="BT12" s="3"/>
      <c r="BU12" s="3"/>
      <c r="BV12" s="3"/>
      <c r="BW12" s="3"/>
      <c r="BX12" s="3"/>
      <c r="BY12" s="3"/>
      <c r="BZ12" s="3"/>
      <c r="CA12" s="3"/>
      <c r="CB12" s="3"/>
      <c r="CC12" s="3"/>
      <c r="CD12" s="3"/>
      <c r="CE12" s="3"/>
      <c r="CF12" s="3"/>
      <c r="CG12" s="3"/>
      <c r="CH12" s="3"/>
      <c r="CI12" s="3"/>
      <c r="CJ12" s="3"/>
      <c r="CK12" s="3"/>
      <c r="CL12" s="3"/>
    </row>
    <row r="13" spans="1:90" ht="18" customHeight="1">
      <c r="A13" s="384"/>
      <c r="B13" s="969" t="s">
        <v>1477</v>
      </c>
      <c r="C13" s="6711" t="s">
        <v>1658</v>
      </c>
      <c r="D13" s="6711"/>
      <c r="E13" s="6711"/>
      <c r="F13" s="6711"/>
      <c r="G13" s="6711"/>
      <c r="H13" s="6711"/>
      <c r="I13" s="6711"/>
      <c r="J13" s="6711"/>
      <c r="K13" s="1141"/>
      <c r="L13" s="968" t="s">
        <v>5</v>
      </c>
      <c r="M13" s="2857">
        <f>SUM(M11:M12)</f>
        <v>0</v>
      </c>
      <c r="N13" s="2990"/>
      <c r="O13" s="1830"/>
      <c r="P13" s="1830"/>
      <c r="Q13" s="1830"/>
      <c r="R13" s="993"/>
      <c r="S13" s="996"/>
      <c r="T13" s="991"/>
      <c r="U13" s="991"/>
      <c r="V13" s="991"/>
      <c r="W13" s="991"/>
      <c r="X13" s="991"/>
      <c r="Y13" s="991"/>
      <c r="Z13" s="991"/>
      <c r="AA13" s="152"/>
      <c r="AB13" s="152"/>
      <c r="AC13" s="152"/>
      <c r="AD13" s="152"/>
      <c r="AE13" s="152"/>
      <c r="AF13" s="152"/>
      <c r="AG13" s="152"/>
      <c r="AH13" s="152"/>
      <c r="AI13" s="152"/>
      <c r="AJ13" s="141" t="s">
        <v>260</v>
      </c>
      <c r="AK13" s="158" t="e">
        <f>SUM(AK11+AK12)</f>
        <v>#REF!</v>
      </c>
      <c r="AL13" s="154"/>
      <c r="AM13" s="131"/>
      <c r="AN13" s="131"/>
      <c r="AO13" s="159"/>
      <c r="AP13" s="131"/>
      <c r="AQ13" s="131"/>
      <c r="AR13" s="131"/>
      <c r="AS13" s="131"/>
      <c r="AT13" s="131"/>
      <c r="AU13" s="131"/>
      <c r="AV13" s="131"/>
      <c r="AW13" s="157"/>
      <c r="AX13" s="133"/>
      <c r="AY13" s="133"/>
      <c r="AZ13" s="133"/>
      <c r="BA13" s="133"/>
      <c r="BB13" s="133"/>
      <c r="BC13" s="133"/>
      <c r="BD13" s="133"/>
      <c r="BE13" s="133"/>
      <c r="BF13" s="133"/>
      <c r="BG13" s="241"/>
      <c r="BH13" s="241"/>
      <c r="BI13" s="241"/>
      <c r="BJ13" s="3"/>
      <c r="BK13" s="3"/>
      <c r="BL13" s="3"/>
      <c r="BM13" s="5913"/>
      <c r="BN13" s="5913"/>
      <c r="BO13" s="5913"/>
      <c r="BP13" s="254"/>
      <c r="BQ13" s="255"/>
      <c r="BR13" s="261"/>
      <c r="BS13" s="3"/>
      <c r="BT13" s="3"/>
      <c r="BU13" s="3"/>
      <c r="BV13" s="3"/>
      <c r="BW13" s="3"/>
      <c r="BX13" s="3"/>
      <c r="BY13" s="3"/>
      <c r="BZ13" s="3"/>
      <c r="CA13" s="3"/>
      <c r="CB13" s="3"/>
      <c r="CC13" s="3"/>
      <c r="CD13" s="3"/>
      <c r="CE13" s="3"/>
      <c r="CF13" s="3"/>
      <c r="CG13" s="3"/>
      <c r="CH13" s="3"/>
      <c r="CI13" s="3"/>
      <c r="CJ13" s="3"/>
      <c r="CK13" s="3"/>
      <c r="CL13" s="3"/>
    </row>
    <row r="14" spans="1:90" ht="12.95" customHeight="1">
      <c r="A14" s="384"/>
      <c r="B14" s="3067" t="s">
        <v>1478</v>
      </c>
      <c r="C14" s="6711" t="s">
        <v>1659</v>
      </c>
      <c r="D14" s="6711"/>
      <c r="E14" s="6711"/>
      <c r="F14" s="6711"/>
      <c r="G14" s="6711"/>
      <c r="H14" s="6711"/>
      <c r="I14" s="6711"/>
      <c r="J14" s="6711"/>
      <c r="K14" s="2657"/>
      <c r="L14" s="1140" t="s">
        <v>5</v>
      </c>
      <c r="M14" s="3483">
        <f>SUM(M7-M13)</f>
        <v>1503534</v>
      </c>
      <c r="N14" s="2991"/>
      <c r="O14" s="2856"/>
      <c r="P14" s="2856"/>
      <c r="Q14" s="2856"/>
      <c r="R14" s="993"/>
      <c r="S14" s="998"/>
      <c r="T14" s="997"/>
      <c r="U14" s="1172"/>
      <c r="V14" s="1172"/>
      <c r="W14" s="1172"/>
      <c r="X14" s="1172"/>
      <c r="Y14" s="1172"/>
      <c r="Z14" s="999"/>
      <c r="AA14" s="534"/>
      <c r="AB14" s="534"/>
      <c r="AC14" s="534"/>
      <c r="AD14" s="534"/>
      <c r="AE14" s="534"/>
      <c r="AF14" s="534"/>
      <c r="AG14" s="534"/>
      <c r="AH14" s="160"/>
      <c r="AI14" s="160"/>
      <c r="AJ14" s="141" t="s">
        <v>261</v>
      </c>
      <c r="AK14" s="143" t="e">
        <f>ROUND(0.1*AK13,-2)</f>
        <v>#REF!</v>
      </c>
      <c r="AL14" s="154"/>
      <c r="AM14" s="161"/>
      <c r="AN14" s="162"/>
      <c r="AO14" s="162"/>
      <c r="AP14" s="131"/>
      <c r="AQ14" s="131"/>
      <c r="AR14" s="131"/>
      <c r="AS14" s="131"/>
      <c r="AT14" s="131"/>
      <c r="AU14" s="131"/>
      <c r="AV14" s="131"/>
      <c r="AW14" s="132"/>
      <c r="AX14" s="133"/>
      <c r="AY14" s="133"/>
      <c r="AZ14" s="133"/>
      <c r="BA14" s="133"/>
      <c r="BB14" s="133"/>
      <c r="BC14" s="133"/>
      <c r="BD14" s="133"/>
      <c r="BE14" s="133"/>
      <c r="BF14" s="133"/>
      <c r="BG14" s="241"/>
      <c r="BH14" s="241"/>
      <c r="BI14" s="241"/>
      <c r="BJ14" s="3"/>
      <c r="BK14" s="3"/>
      <c r="BL14" s="3"/>
      <c r="BM14" s="5913"/>
      <c r="BN14" s="5913"/>
      <c r="BO14" s="5913"/>
      <c r="BP14" s="254"/>
      <c r="BQ14" s="256"/>
      <c r="BR14" s="262"/>
      <c r="BS14" s="3"/>
      <c r="BT14" s="3"/>
      <c r="BU14" s="3"/>
      <c r="BV14" s="3"/>
      <c r="BW14" s="3"/>
      <c r="BX14" s="3"/>
      <c r="BY14" s="3"/>
      <c r="BZ14" s="3"/>
      <c r="CA14" s="3"/>
      <c r="CB14" s="3"/>
      <c r="CC14" s="3"/>
      <c r="CD14" s="3"/>
      <c r="CE14" s="3"/>
      <c r="CF14" s="3"/>
      <c r="CG14" s="3"/>
      <c r="CH14" s="3"/>
      <c r="CI14" s="3"/>
      <c r="CJ14" s="3"/>
      <c r="CK14" s="3"/>
      <c r="CL14" s="3"/>
    </row>
    <row r="15" spans="1:90" ht="12.95" customHeight="1">
      <c r="A15" s="384"/>
      <c r="B15" s="3068" t="s">
        <v>1487</v>
      </c>
      <c r="C15" s="6728" t="s">
        <v>1660</v>
      </c>
      <c r="D15" s="6729"/>
      <c r="E15" s="6729"/>
      <c r="F15" s="6729"/>
      <c r="G15" s="6729"/>
      <c r="H15" s="6729"/>
      <c r="I15" s="6729"/>
      <c r="J15" s="6729"/>
      <c r="K15" s="6730"/>
      <c r="L15" s="3380"/>
      <c r="M15" s="3388">
        <f>SUM(K16:K18)</f>
        <v>75000</v>
      </c>
      <c r="N15" s="2991"/>
      <c r="O15" s="2856"/>
      <c r="P15" s="2856"/>
      <c r="Q15" s="2856"/>
      <c r="R15" s="993"/>
      <c r="S15" s="998"/>
      <c r="T15" s="997"/>
      <c r="U15" s="1172"/>
      <c r="V15" s="1172"/>
      <c r="W15" s="1172"/>
      <c r="X15" s="1172"/>
      <c r="Y15" s="1172"/>
      <c r="Z15" s="999"/>
      <c r="AA15" s="534"/>
      <c r="AB15" s="534"/>
      <c r="AC15" s="534"/>
      <c r="AD15" s="534"/>
      <c r="AE15" s="534"/>
      <c r="AF15" s="534"/>
      <c r="AG15" s="534"/>
      <c r="AH15" s="160"/>
      <c r="AI15" s="160"/>
      <c r="AJ15" s="141"/>
      <c r="AK15" s="143"/>
      <c r="AL15" s="3065"/>
      <c r="AM15" s="161"/>
      <c r="AN15" s="162"/>
      <c r="AO15" s="162"/>
      <c r="AP15" s="131"/>
      <c r="AQ15" s="131"/>
      <c r="AR15" s="131"/>
      <c r="AS15" s="131"/>
      <c r="AT15" s="131"/>
      <c r="AU15" s="131"/>
      <c r="AV15" s="131"/>
      <c r="AW15" s="132"/>
      <c r="AX15" s="133"/>
      <c r="AY15" s="133"/>
      <c r="AZ15" s="133"/>
      <c r="BA15" s="133"/>
      <c r="BB15" s="133"/>
      <c r="BC15" s="133"/>
      <c r="BD15" s="133"/>
      <c r="BE15" s="133"/>
      <c r="BF15" s="133"/>
      <c r="BG15" s="241"/>
      <c r="BH15" s="241"/>
      <c r="BI15" s="241"/>
      <c r="BJ15" s="3"/>
      <c r="BK15" s="3"/>
      <c r="BL15" s="3"/>
      <c r="BM15" s="254"/>
      <c r="BN15" s="254"/>
      <c r="BO15" s="254"/>
      <c r="BP15" s="254"/>
      <c r="BQ15" s="256"/>
      <c r="BR15" s="262"/>
      <c r="BS15" s="3"/>
      <c r="BT15" s="3"/>
      <c r="BU15" s="3"/>
      <c r="BV15" s="3"/>
      <c r="BW15" s="3"/>
      <c r="BX15" s="3"/>
      <c r="BY15" s="3"/>
      <c r="BZ15" s="3"/>
      <c r="CA15" s="3"/>
      <c r="CB15" s="3"/>
      <c r="CC15" s="3"/>
      <c r="CD15" s="3"/>
      <c r="CE15" s="3"/>
      <c r="CF15" s="3"/>
      <c r="CG15" s="3"/>
      <c r="CH15" s="3"/>
      <c r="CI15" s="3"/>
      <c r="CJ15" s="3"/>
      <c r="CK15" s="3"/>
      <c r="CL15" s="3"/>
    </row>
    <row r="16" spans="1:90" ht="15.95" customHeight="1">
      <c r="A16" s="384"/>
      <c r="B16" s="99"/>
      <c r="C16" s="3494" t="s">
        <v>957</v>
      </c>
      <c r="D16" s="6727" t="s">
        <v>1484</v>
      </c>
      <c r="E16" s="6727"/>
      <c r="F16" s="6727"/>
      <c r="G16" s="6727"/>
      <c r="H16" s="6727"/>
      <c r="I16" s="3494" t="s">
        <v>1480</v>
      </c>
      <c r="J16" s="3490" t="s">
        <v>5</v>
      </c>
      <c r="K16" s="3494">
        <v>75000</v>
      </c>
      <c r="L16" s="1140"/>
      <c r="M16" s="6719"/>
      <c r="N16" s="2991"/>
      <c r="O16" s="2856"/>
      <c r="P16" s="2856"/>
      <c r="Q16" s="2856"/>
      <c r="R16" s="993"/>
      <c r="S16" s="998"/>
      <c r="T16" s="997"/>
      <c r="U16" s="1172"/>
      <c r="V16" s="1172"/>
      <c r="W16" s="1172"/>
      <c r="X16" s="1172"/>
      <c r="Y16" s="1172"/>
      <c r="Z16" s="999"/>
      <c r="AA16" s="534"/>
      <c r="AB16" s="534"/>
      <c r="AC16" s="534"/>
      <c r="AD16" s="534"/>
      <c r="AE16" s="534"/>
      <c r="AF16" s="534"/>
      <c r="AG16" s="534"/>
      <c r="AH16" s="160"/>
      <c r="AI16" s="160"/>
      <c r="AJ16" s="141"/>
      <c r="AK16" s="143"/>
      <c r="AL16" s="3065"/>
      <c r="AM16" s="161"/>
      <c r="AN16" s="162"/>
      <c r="AO16" s="162"/>
      <c r="AP16" s="131"/>
      <c r="AQ16" s="131"/>
      <c r="AR16" s="131"/>
      <c r="AS16" s="131"/>
      <c r="AT16" s="131"/>
      <c r="AU16" s="131"/>
      <c r="AV16" s="131"/>
      <c r="AW16" s="132"/>
      <c r="AX16" s="133"/>
      <c r="AY16" s="133"/>
      <c r="AZ16" s="133"/>
      <c r="BA16" s="133"/>
      <c r="BB16" s="133"/>
      <c r="BC16" s="133"/>
      <c r="BD16" s="133"/>
      <c r="BE16" s="133"/>
      <c r="BF16" s="133"/>
      <c r="BG16" s="241"/>
      <c r="BH16" s="241"/>
      <c r="BI16" s="241"/>
      <c r="BJ16" s="3"/>
      <c r="BK16" s="3"/>
      <c r="BL16" s="3"/>
      <c r="BM16" s="254"/>
      <c r="BN16" s="254"/>
      <c r="BO16" s="254"/>
      <c r="BP16" s="254"/>
      <c r="BQ16" s="256"/>
      <c r="BR16" s="262"/>
      <c r="BS16" s="3"/>
      <c r="BT16" s="3"/>
      <c r="BU16" s="3"/>
      <c r="BV16" s="3"/>
      <c r="BW16" s="3"/>
      <c r="BX16" s="3"/>
      <c r="BY16" s="3"/>
      <c r="BZ16" s="3"/>
      <c r="CA16" s="3"/>
      <c r="CB16" s="3"/>
      <c r="CC16" s="3"/>
      <c r="CD16" s="3"/>
      <c r="CE16" s="3"/>
      <c r="CF16" s="3"/>
      <c r="CG16" s="3"/>
      <c r="CH16" s="3"/>
      <c r="CI16" s="3"/>
      <c r="CJ16" s="3"/>
      <c r="CK16" s="3"/>
      <c r="CL16" s="3"/>
    </row>
    <row r="17" spans="1:90" ht="15.95" customHeight="1">
      <c r="A17" s="384"/>
      <c r="B17" s="99"/>
      <c r="C17" s="3494" t="s">
        <v>958</v>
      </c>
      <c r="D17" s="6727" t="s">
        <v>1502</v>
      </c>
      <c r="E17" s="6727"/>
      <c r="F17" s="6727"/>
      <c r="G17" s="6727"/>
      <c r="H17" s="6727"/>
      <c r="I17" s="3494" t="s">
        <v>1481</v>
      </c>
      <c r="J17" s="3490" t="s">
        <v>5</v>
      </c>
      <c r="K17" s="3494">
        <v>0</v>
      </c>
      <c r="L17" s="1140"/>
      <c r="M17" s="6720"/>
      <c r="N17" s="2991"/>
      <c r="O17" s="2856"/>
      <c r="P17" s="2856"/>
      <c r="Q17" s="2856"/>
      <c r="R17" s="993"/>
      <c r="S17" s="998"/>
      <c r="T17" s="997"/>
      <c r="U17" s="1172"/>
      <c r="V17" s="1172"/>
      <c r="W17" s="1172"/>
      <c r="X17" s="1172"/>
      <c r="Y17" s="1172"/>
      <c r="Z17" s="999"/>
      <c r="AA17" s="534"/>
      <c r="AB17" s="534"/>
      <c r="AC17" s="534"/>
      <c r="AD17" s="534"/>
      <c r="AE17" s="534"/>
      <c r="AF17" s="534"/>
      <c r="AG17" s="534"/>
      <c r="AH17" s="160"/>
      <c r="AI17" s="160"/>
      <c r="AJ17" s="141"/>
      <c r="AK17" s="143"/>
      <c r="AL17" s="3065"/>
      <c r="AM17" s="161"/>
      <c r="AN17" s="162"/>
      <c r="AO17" s="162"/>
      <c r="AP17" s="131"/>
      <c r="AQ17" s="131"/>
      <c r="AR17" s="131"/>
      <c r="AS17" s="131"/>
      <c r="AT17" s="131"/>
      <c r="AU17" s="131"/>
      <c r="AV17" s="131"/>
      <c r="AW17" s="132"/>
      <c r="AX17" s="133"/>
      <c r="AY17" s="133"/>
      <c r="AZ17" s="133"/>
      <c r="BA17" s="133"/>
      <c r="BB17" s="133"/>
      <c r="BC17" s="133"/>
      <c r="BD17" s="133"/>
      <c r="BE17" s="133"/>
      <c r="BF17" s="133"/>
      <c r="BG17" s="241"/>
      <c r="BH17" s="241"/>
      <c r="BI17" s="241"/>
      <c r="BJ17" s="3"/>
      <c r="BK17" s="3"/>
      <c r="BL17" s="3"/>
      <c r="BM17" s="254"/>
      <c r="BN17" s="254"/>
      <c r="BO17" s="254"/>
      <c r="BP17" s="254"/>
      <c r="BQ17" s="256"/>
      <c r="BR17" s="262"/>
      <c r="BS17" s="3"/>
      <c r="BT17" s="3"/>
      <c r="BU17" s="3"/>
      <c r="BV17" s="3"/>
      <c r="BW17" s="3"/>
      <c r="BX17" s="3"/>
      <c r="BY17" s="3"/>
      <c r="BZ17" s="3"/>
      <c r="CA17" s="3"/>
      <c r="CB17" s="3"/>
      <c r="CC17" s="3"/>
      <c r="CD17" s="3"/>
      <c r="CE17" s="3"/>
      <c r="CF17" s="3"/>
      <c r="CG17" s="3"/>
      <c r="CH17" s="3"/>
      <c r="CI17" s="3"/>
      <c r="CJ17" s="3"/>
      <c r="CK17" s="3"/>
      <c r="CL17" s="3"/>
    </row>
    <row r="18" spans="1:90" ht="15.95" customHeight="1">
      <c r="A18" s="384"/>
      <c r="B18" s="99"/>
      <c r="C18" s="3495" t="s">
        <v>1125</v>
      </c>
      <c r="D18" s="6727" t="s">
        <v>1503</v>
      </c>
      <c r="E18" s="6727"/>
      <c r="F18" s="6727"/>
      <c r="G18" s="6727"/>
      <c r="H18" s="6727"/>
      <c r="I18" s="3494" t="s">
        <v>1482</v>
      </c>
      <c r="J18" s="3490" t="s">
        <v>5</v>
      </c>
      <c r="K18" s="3494">
        <v>0</v>
      </c>
      <c r="L18" s="3379"/>
      <c r="M18" s="6721"/>
      <c r="N18" s="2991"/>
      <c r="O18" s="2856"/>
      <c r="P18" s="2856"/>
      <c r="Q18" s="2856"/>
      <c r="R18" s="993"/>
      <c r="S18" s="998"/>
      <c r="T18" s="997"/>
      <c r="U18" s="1172"/>
      <c r="V18" s="1172"/>
      <c r="W18" s="1172"/>
      <c r="X18" s="1172"/>
      <c r="Y18" s="1172"/>
      <c r="Z18" s="999"/>
      <c r="AA18" s="534"/>
      <c r="AB18" s="534"/>
      <c r="AC18" s="534"/>
      <c r="AD18" s="534"/>
      <c r="AE18" s="534"/>
      <c r="AF18" s="534"/>
      <c r="AG18" s="534"/>
      <c r="AH18" s="160"/>
      <c r="AI18" s="160"/>
      <c r="AJ18" s="141"/>
      <c r="AK18" s="143"/>
      <c r="AL18" s="3065"/>
      <c r="AM18" s="161"/>
      <c r="AN18" s="162"/>
      <c r="AO18" s="162"/>
      <c r="AP18" s="131"/>
      <c r="AQ18" s="131"/>
      <c r="AR18" s="131"/>
      <c r="AS18" s="131"/>
      <c r="AT18" s="131"/>
      <c r="AU18" s="131"/>
      <c r="AV18" s="131"/>
      <c r="AW18" s="132"/>
      <c r="AX18" s="133"/>
      <c r="AY18" s="133"/>
      <c r="AZ18" s="133"/>
      <c r="BA18" s="133"/>
      <c r="BB18" s="133"/>
      <c r="BC18" s="133"/>
      <c r="BD18" s="133"/>
      <c r="BE18" s="133"/>
      <c r="BF18" s="133"/>
      <c r="BG18" s="241"/>
      <c r="BH18" s="241"/>
      <c r="BI18" s="241"/>
      <c r="BJ18" s="3"/>
      <c r="BK18" s="3"/>
      <c r="BL18" s="3"/>
      <c r="BM18" s="254"/>
      <c r="BN18" s="254"/>
      <c r="BO18" s="254"/>
      <c r="BP18" s="254"/>
      <c r="BQ18" s="256"/>
      <c r="BR18" s="262"/>
      <c r="BS18" s="3"/>
      <c r="BT18" s="3"/>
      <c r="BU18" s="3"/>
      <c r="BV18" s="3"/>
      <c r="BW18" s="3"/>
      <c r="BX18" s="3"/>
      <c r="BY18" s="3"/>
      <c r="BZ18" s="3"/>
      <c r="CA18" s="3"/>
      <c r="CB18" s="3"/>
      <c r="CC18" s="3"/>
      <c r="CD18" s="3"/>
      <c r="CE18" s="3"/>
      <c r="CF18" s="3"/>
      <c r="CG18" s="3"/>
      <c r="CH18" s="3"/>
      <c r="CI18" s="3"/>
      <c r="CJ18" s="3"/>
      <c r="CK18" s="3"/>
      <c r="CL18" s="3"/>
    </row>
    <row r="19" spans="1:90" ht="15" customHeight="1">
      <c r="A19" s="384"/>
      <c r="B19" s="3389" t="s">
        <v>1466</v>
      </c>
      <c r="C19" s="6739" t="s">
        <v>1661</v>
      </c>
      <c r="D19" s="6739"/>
      <c r="E19" s="6739"/>
      <c r="F19" s="6739"/>
      <c r="G19" s="6739"/>
      <c r="H19" s="6739"/>
      <c r="I19" s="6739"/>
      <c r="J19" s="6739"/>
      <c r="K19" s="6740"/>
      <c r="L19" s="3496" t="s">
        <v>1466</v>
      </c>
      <c r="M19" s="3497">
        <f>SUM(M14-M15)</f>
        <v>1428534</v>
      </c>
      <c r="N19" s="2991"/>
      <c r="O19" s="2856"/>
      <c r="P19" s="2856"/>
      <c r="Q19" s="2856"/>
      <c r="R19" s="993"/>
      <c r="S19" s="998"/>
      <c r="T19" s="997"/>
      <c r="U19" s="1172"/>
      <c r="V19" s="1172"/>
      <c r="W19" s="1172"/>
      <c r="X19" s="1172"/>
      <c r="Y19" s="1172"/>
      <c r="Z19" s="999"/>
      <c r="AA19" s="534"/>
      <c r="AB19" s="534"/>
      <c r="AC19" s="534"/>
      <c r="AD19" s="534"/>
      <c r="AE19" s="534"/>
      <c r="AF19" s="534"/>
      <c r="AG19" s="534"/>
      <c r="AH19" s="160"/>
      <c r="AI19" s="160"/>
      <c r="AJ19" s="141"/>
      <c r="AK19" s="143"/>
      <c r="AL19" s="3065"/>
      <c r="AM19" s="161"/>
      <c r="AN19" s="162"/>
      <c r="AO19" s="162"/>
      <c r="AP19" s="131"/>
      <c r="AQ19" s="131"/>
      <c r="AR19" s="131"/>
      <c r="AS19" s="131"/>
      <c r="AT19" s="131"/>
      <c r="AU19" s="131"/>
      <c r="AV19" s="131"/>
      <c r="AW19" s="132"/>
      <c r="AX19" s="133"/>
      <c r="AY19" s="133"/>
      <c r="AZ19" s="133"/>
      <c r="BA19" s="133"/>
      <c r="BB19" s="133"/>
      <c r="BC19" s="133"/>
      <c r="BD19" s="133"/>
      <c r="BE19" s="133"/>
      <c r="BF19" s="133"/>
      <c r="BG19" s="241"/>
      <c r="BH19" s="241"/>
      <c r="BI19" s="241"/>
      <c r="BJ19" s="3"/>
      <c r="BK19" s="3"/>
      <c r="BL19" s="3"/>
      <c r="BM19" s="254"/>
      <c r="BN19" s="254"/>
      <c r="BO19" s="254"/>
      <c r="BP19" s="254"/>
      <c r="BQ19" s="256"/>
      <c r="BR19" s="262"/>
      <c r="BS19" s="3"/>
      <c r="BT19" s="3"/>
      <c r="BU19" s="3"/>
      <c r="BV19" s="3"/>
      <c r="BW19" s="3"/>
      <c r="BX19" s="3"/>
      <c r="BY19" s="3"/>
      <c r="BZ19" s="3"/>
      <c r="CA19" s="3"/>
      <c r="CB19" s="3"/>
      <c r="CC19" s="3"/>
      <c r="CD19" s="3"/>
      <c r="CE19" s="3"/>
      <c r="CF19" s="3"/>
      <c r="CG19" s="3"/>
      <c r="CH19" s="3"/>
      <c r="CI19" s="3"/>
      <c r="CJ19" s="3"/>
      <c r="CK19" s="3"/>
      <c r="CL19" s="3"/>
    </row>
    <row r="20" spans="1:90" ht="15" customHeight="1">
      <c r="A20" s="384"/>
      <c r="B20" s="3389" t="s">
        <v>1489</v>
      </c>
      <c r="C20" s="6741" t="s">
        <v>1505</v>
      </c>
      <c r="D20" s="6741"/>
      <c r="E20" s="6741"/>
      <c r="F20" s="6741"/>
      <c r="G20" s="6741"/>
      <c r="H20" s="6741"/>
      <c r="I20" s="6741"/>
      <c r="J20" s="6741"/>
      <c r="K20" s="6742"/>
      <c r="L20" s="3496" t="s">
        <v>1489</v>
      </c>
      <c r="M20" s="3066">
        <f>Formula!OA40</f>
        <v>0</v>
      </c>
      <c r="N20" s="2991"/>
      <c r="O20" s="2856"/>
      <c r="P20" s="2856"/>
      <c r="Q20" s="2856"/>
      <c r="R20" s="993"/>
      <c r="S20" s="998"/>
      <c r="T20" s="997"/>
      <c r="U20" s="1172"/>
      <c r="V20" s="1172"/>
      <c r="W20" s="1172"/>
      <c r="X20" s="1172"/>
      <c r="Y20" s="1172"/>
      <c r="Z20" s="999"/>
      <c r="AA20" s="534"/>
      <c r="AB20" s="534"/>
      <c r="AC20" s="534"/>
      <c r="AD20" s="534"/>
      <c r="AE20" s="534"/>
      <c r="AF20" s="534"/>
      <c r="AG20" s="534"/>
      <c r="AH20" s="160"/>
      <c r="AI20" s="160"/>
      <c r="AJ20" s="141"/>
      <c r="AK20" s="143"/>
      <c r="AL20" s="3065"/>
      <c r="AM20" s="161"/>
      <c r="AN20" s="162"/>
      <c r="AO20" s="162"/>
      <c r="AP20" s="131"/>
      <c r="AQ20" s="131"/>
      <c r="AR20" s="131"/>
      <c r="AS20" s="131"/>
      <c r="AT20" s="131"/>
      <c r="AU20" s="131"/>
      <c r="AV20" s="131"/>
      <c r="AW20" s="132"/>
      <c r="AX20" s="133"/>
      <c r="AY20" s="133"/>
      <c r="AZ20" s="133"/>
      <c r="BA20" s="133"/>
      <c r="BB20" s="133"/>
      <c r="BC20" s="133"/>
      <c r="BD20" s="133"/>
      <c r="BE20" s="133"/>
      <c r="BF20" s="133"/>
      <c r="BG20" s="241"/>
      <c r="BH20" s="241"/>
      <c r="BI20" s="241"/>
      <c r="BJ20" s="3"/>
      <c r="BK20" s="3"/>
      <c r="BL20" s="3"/>
      <c r="BM20" s="254"/>
      <c r="BN20" s="254"/>
      <c r="BO20" s="254"/>
      <c r="BP20" s="254"/>
      <c r="BQ20" s="256"/>
      <c r="BR20" s="262"/>
      <c r="BS20" s="3"/>
      <c r="BT20" s="3"/>
      <c r="BU20" s="3"/>
      <c r="BV20" s="3"/>
      <c r="BW20" s="3"/>
      <c r="BX20" s="3"/>
      <c r="BY20" s="3"/>
      <c r="BZ20" s="3"/>
      <c r="CA20" s="3"/>
      <c r="CB20" s="3"/>
      <c r="CC20" s="3"/>
      <c r="CD20" s="3"/>
      <c r="CE20" s="3"/>
      <c r="CF20" s="3"/>
      <c r="CG20" s="3"/>
      <c r="CH20" s="3"/>
      <c r="CI20" s="3"/>
      <c r="CJ20" s="3"/>
      <c r="CK20" s="3"/>
      <c r="CL20" s="3"/>
    </row>
    <row r="21" spans="1:90" ht="15" customHeight="1">
      <c r="A21" s="384"/>
      <c r="B21" s="3389" t="s">
        <v>1490</v>
      </c>
      <c r="C21" s="6741" t="s">
        <v>1506</v>
      </c>
      <c r="D21" s="6741"/>
      <c r="E21" s="6741"/>
      <c r="F21" s="6741"/>
      <c r="G21" s="6741"/>
      <c r="H21" s="6741"/>
      <c r="I21" s="6741"/>
      <c r="J21" s="6741"/>
      <c r="K21" s="6742"/>
      <c r="L21" s="3496" t="s">
        <v>1490</v>
      </c>
      <c r="M21" s="2680">
        <f>IF(SUM(K22+K23+K24)="",0,SUM(K22+K23+K24))</f>
        <v>258400</v>
      </c>
      <c r="N21" s="1005"/>
      <c r="O21" s="2856"/>
      <c r="P21" s="2856"/>
      <c r="Q21" s="2856"/>
      <c r="R21" s="993"/>
      <c r="S21" s="998"/>
      <c r="T21" s="997"/>
      <c r="U21" s="1172"/>
      <c r="V21" s="1172"/>
      <c r="W21" s="1172"/>
      <c r="X21" s="1172"/>
      <c r="Y21" s="1172"/>
      <c r="Z21" s="999"/>
      <c r="AA21" s="534"/>
      <c r="AB21" s="534"/>
      <c r="AC21" s="534"/>
      <c r="AD21" s="534"/>
      <c r="AE21" s="534"/>
      <c r="AF21" s="534"/>
      <c r="AG21" s="534"/>
      <c r="AH21" s="160"/>
      <c r="AI21" s="160"/>
      <c r="AJ21" s="141"/>
      <c r="AK21" s="143"/>
      <c r="AL21" s="3065"/>
      <c r="AM21" s="161"/>
      <c r="AN21" s="162"/>
      <c r="AO21" s="162"/>
      <c r="AP21" s="131"/>
      <c r="AQ21" s="131"/>
      <c r="AR21" s="131"/>
      <c r="AS21" s="131"/>
      <c r="AT21" s="131"/>
      <c r="AU21" s="131"/>
      <c r="AV21" s="131"/>
      <c r="AW21" s="132"/>
      <c r="AX21" s="133"/>
      <c r="AY21" s="133"/>
      <c r="AZ21" s="133"/>
      <c r="BA21" s="133"/>
      <c r="BB21" s="133"/>
      <c r="BC21" s="133"/>
      <c r="BD21" s="133"/>
      <c r="BE21" s="133"/>
      <c r="BF21" s="133"/>
      <c r="BG21" s="241"/>
      <c r="BH21" s="241"/>
      <c r="BI21" s="241"/>
      <c r="BJ21" s="3"/>
      <c r="BK21" s="3"/>
      <c r="BL21" s="3"/>
      <c r="BM21" s="254"/>
      <c r="BN21" s="254"/>
      <c r="BO21" s="254"/>
      <c r="BP21" s="254"/>
      <c r="BQ21" s="256"/>
      <c r="BR21" s="262"/>
      <c r="BS21" s="3"/>
      <c r="BT21" s="3"/>
      <c r="BU21" s="3"/>
      <c r="BV21" s="3"/>
      <c r="BW21" s="3"/>
      <c r="BX21" s="3"/>
      <c r="BY21" s="3"/>
      <c r="BZ21" s="3"/>
      <c r="CA21" s="3"/>
      <c r="CB21" s="3"/>
      <c r="CC21" s="3"/>
      <c r="CD21" s="3"/>
      <c r="CE21" s="3"/>
      <c r="CF21" s="3"/>
      <c r="CG21" s="3"/>
      <c r="CH21" s="3"/>
      <c r="CI21" s="3"/>
      <c r="CJ21" s="3"/>
      <c r="CK21" s="3"/>
      <c r="CL21" s="3"/>
    </row>
    <row r="22" spans="1:90" ht="15.95" customHeight="1">
      <c r="A22" s="384"/>
      <c r="B22" s="99"/>
      <c r="C22" s="3292" t="s">
        <v>491</v>
      </c>
      <c r="D22" s="6722" t="str">
        <f>'Old Tax Regime'!D22</f>
        <v>Income from Profession</v>
      </c>
      <c r="E22" s="6723"/>
      <c r="F22" s="6723"/>
      <c r="G22" s="6723"/>
      <c r="H22" s="6723"/>
      <c r="I22" s="6724"/>
      <c r="J22" s="3490" t="s">
        <v>5</v>
      </c>
      <c r="K22" s="3498">
        <f>'Old Tax Regime'!I22</f>
        <v>258400</v>
      </c>
      <c r="L22" s="6713"/>
      <c r="M22" s="6714"/>
      <c r="N22" s="2990"/>
      <c r="O22" s="1830"/>
      <c r="P22" s="1830"/>
      <c r="Q22" s="1830"/>
      <c r="R22" s="1000"/>
      <c r="S22" s="1001"/>
      <c r="T22" s="991"/>
      <c r="U22" s="1172"/>
      <c r="V22" s="1172"/>
      <c r="W22" s="1172"/>
      <c r="X22" s="1172"/>
      <c r="Y22" s="1172"/>
      <c r="Z22" s="1002"/>
      <c r="AA22" s="535"/>
      <c r="AB22" s="535"/>
      <c r="AC22" s="535"/>
      <c r="AD22" s="535"/>
      <c r="AE22" s="535"/>
      <c r="AF22" s="535"/>
      <c r="AG22" s="535"/>
      <c r="AH22" s="152"/>
      <c r="AI22" s="152"/>
      <c r="AJ22" s="141" t="s">
        <v>262</v>
      </c>
      <c r="AK22" s="143" t="e">
        <f>AS6</f>
        <v>#REF!</v>
      </c>
      <c r="AL22" s="163" t="s">
        <v>263</v>
      </c>
      <c r="AM22" s="164" t="e">
        <f>AR6</f>
        <v>#REF!</v>
      </c>
      <c r="AN22" s="131"/>
      <c r="AO22" s="5924"/>
      <c r="AP22" s="165">
        <v>0.4</v>
      </c>
      <c r="AQ22" s="131"/>
      <c r="AR22" s="151"/>
      <c r="AS22" s="166"/>
      <c r="AT22" s="131"/>
      <c r="AU22" s="131"/>
      <c r="AV22" s="131"/>
      <c r="AW22" s="157"/>
      <c r="AX22" s="133"/>
      <c r="AY22" s="133"/>
      <c r="AZ22" s="133"/>
      <c r="BA22" s="133"/>
      <c r="BB22" s="133"/>
      <c r="BC22" s="133"/>
      <c r="BD22" s="133"/>
      <c r="BE22" s="133"/>
      <c r="BF22" s="133"/>
      <c r="BG22" s="241"/>
      <c r="BH22" s="241"/>
      <c r="BI22" s="241"/>
      <c r="BJ22" s="3"/>
      <c r="BK22" s="3"/>
      <c r="BL22" s="3"/>
      <c r="BM22" s="5913"/>
      <c r="BN22" s="5913"/>
      <c r="BO22" s="5913"/>
      <c r="BP22" s="257"/>
      <c r="BQ22" s="258"/>
      <c r="BR22" s="261"/>
      <c r="BS22" s="3"/>
      <c r="BT22" s="3"/>
      <c r="BU22" s="3"/>
      <c r="BV22" s="3"/>
      <c r="BW22" s="3"/>
      <c r="BX22" s="3"/>
      <c r="BY22" s="3"/>
      <c r="BZ22" s="3"/>
      <c r="CA22" s="3"/>
      <c r="CB22" s="3"/>
      <c r="CC22" s="3"/>
      <c r="CD22" s="3"/>
      <c r="CE22" s="3"/>
      <c r="CF22" s="3"/>
      <c r="CG22" s="3"/>
      <c r="CH22" s="3"/>
      <c r="CI22" s="3"/>
      <c r="CJ22" s="3"/>
      <c r="CK22" s="3"/>
      <c r="CL22" s="3"/>
    </row>
    <row r="23" spans="1:90" ht="15.95" customHeight="1">
      <c r="A23" s="384"/>
      <c r="B23" s="99"/>
      <c r="C23" s="3494" t="s">
        <v>493</v>
      </c>
      <c r="D23" s="6725" t="str">
        <f>'Old Tax Regime'!D23</f>
        <v>Interest from Deposit (Bank/Post Office/Cooperative Society)</v>
      </c>
      <c r="E23" s="6726"/>
      <c r="F23" s="6726"/>
      <c r="G23" s="6726"/>
      <c r="H23" s="6726"/>
      <c r="I23" s="6708"/>
      <c r="J23" s="3490" t="s">
        <v>5</v>
      </c>
      <c r="K23" s="3499">
        <f>'Old Tax Regime'!I23</f>
        <v>0</v>
      </c>
      <c r="L23" s="6715"/>
      <c r="M23" s="6716"/>
      <c r="N23" s="2990"/>
      <c r="O23" s="1830"/>
      <c r="P23" s="1830"/>
      <c r="Q23" s="1830"/>
      <c r="R23" s="1003"/>
      <c r="S23" s="1004"/>
      <c r="T23" s="991"/>
      <c r="U23" s="991"/>
      <c r="V23" s="991"/>
      <c r="W23" s="991"/>
      <c r="X23" s="991"/>
      <c r="Y23" s="991"/>
      <c r="Z23" s="991"/>
      <c r="AA23" s="152"/>
      <c r="AB23" s="152"/>
      <c r="AC23" s="152"/>
      <c r="AD23" s="152"/>
      <c r="AE23" s="152"/>
      <c r="AF23" s="152"/>
      <c r="AG23" s="152"/>
      <c r="AH23" s="152"/>
      <c r="AI23" s="152"/>
      <c r="AJ23" s="141" t="s">
        <v>264</v>
      </c>
      <c r="AK23" s="158" t="e">
        <f>SUM(AK22-AK14)</f>
        <v>#REF!</v>
      </c>
      <c r="AL23" s="167">
        <f>K11</f>
        <v>0</v>
      </c>
      <c r="AM23" s="168"/>
      <c r="AN23" s="169"/>
      <c r="AO23" s="5924"/>
      <c r="AP23" s="135" t="e">
        <f>ROUNDDOWN(#REF!*40%,0)</f>
        <v>#REF!</v>
      </c>
      <c r="AQ23" s="131"/>
      <c r="AR23" s="151"/>
      <c r="AS23" s="131"/>
      <c r="AT23" s="131"/>
      <c r="AU23" s="170"/>
      <c r="AV23" s="131"/>
      <c r="AW23" s="132"/>
      <c r="AX23" s="133"/>
      <c r="AY23" s="133"/>
      <c r="AZ23" s="133"/>
      <c r="BA23" s="133"/>
      <c r="BB23" s="133"/>
      <c r="BC23" s="133"/>
      <c r="BD23" s="133"/>
      <c r="BE23" s="133"/>
      <c r="BF23" s="133"/>
      <c r="BG23" s="241"/>
      <c r="BH23" s="241"/>
      <c r="BI23" s="241"/>
      <c r="BJ23" s="3"/>
      <c r="BK23" s="3"/>
      <c r="BL23" s="3"/>
      <c r="BM23" s="5913"/>
      <c r="BN23" s="5913"/>
      <c r="BO23" s="5913"/>
      <c r="BP23" s="259"/>
      <c r="BQ23" s="260"/>
      <c r="BR23" s="261"/>
      <c r="BS23" s="3"/>
      <c r="BT23" s="3"/>
      <c r="BU23" s="3"/>
      <c r="BV23" s="3"/>
      <c r="BW23" s="3"/>
      <c r="BX23" s="3"/>
      <c r="BY23" s="3"/>
      <c r="BZ23" s="3"/>
      <c r="CA23" s="3"/>
      <c r="CB23" s="3"/>
      <c r="CC23" s="3"/>
      <c r="CD23" s="3"/>
      <c r="CE23" s="3"/>
      <c r="CF23" s="3"/>
      <c r="CG23" s="3"/>
      <c r="CH23" s="3"/>
      <c r="CI23" s="3"/>
      <c r="CJ23" s="3"/>
      <c r="CK23" s="3"/>
      <c r="CL23" s="3"/>
    </row>
    <row r="24" spans="1:90" ht="15.95" customHeight="1">
      <c r="A24" s="384"/>
      <c r="B24" s="99"/>
      <c r="C24" s="3494" t="s">
        <v>597</v>
      </c>
      <c r="D24" s="6722" t="str">
        <f>'Old Tax Regime'!D24</f>
        <v>Interest from Income Tax Refund</v>
      </c>
      <c r="E24" s="6723"/>
      <c r="F24" s="6723"/>
      <c r="G24" s="6723"/>
      <c r="H24" s="6723"/>
      <c r="I24" s="6724"/>
      <c r="J24" s="3490" t="s">
        <v>5</v>
      </c>
      <c r="K24" s="3498">
        <f>'Old Tax Regime'!I24</f>
        <v>0</v>
      </c>
      <c r="L24" s="6717"/>
      <c r="M24" s="6718"/>
      <c r="N24" s="2990"/>
      <c r="O24" s="1830"/>
      <c r="P24" s="1830"/>
      <c r="Q24" s="1830"/>
      <c r="R24" s="1003"/>
      <c r="S24" s="1004"/>
      <c r="T24" s="991"/>
      <c r="U24" s="991"/>
      <c r="V24" s="991"/>
      <c r="W24" s="991"/>
      <c r="X24" s="991"/>
      <c r="Y24" s="991"/>
      <c r="Z24" s="991"/>
      <c r="AA24" s="152"/>
      <c r="AB24" s="152"/>
      <c r="AC24" s="152"/>
      <c r="AD24" s="152"/>
      <c r="AE24" s="152"/>
      <c r="AF24" s="152"/>
      <c r="AG24" s="152"/>
      <c r="AH24" s="152"/>
      <c r="AI24" s="152"/>
      <c r="AJ24" s="141"/>
      <c r="AK24" s="143"/>
      <c r="AL24" s="2656"/>
      <c r="AM24" s="168"/>
      <c r="AN24" s="169"/>
      <c r="AO24" s="2602"/>
      <c r="AP24" s="135"/>
      <c r="AQ24" s="131"/>
      <c r="AR24" s="151"/>
      <c r="AS24" s="131"/>
      <c r="AT24" s="131"/>
      <c r="AU24" s="170"/>
      <c r="AV24" s="131"/>
      <c r="AW24" s="132"/>
      <c r="AX24" s="133"/>
      <c r="AY24" s="133"/>
      <c r="AZ24" s="133"/>
      <c r="BA24" s="133"/>
      <c r="BB24" s="133"/>
      <c r="BC24" s="133"/>
      <c r="BD24" s="133"/>
      <c r="BE24" s="133"/>
      <c r="BF24" s="133"/>
      <c r="BG24" s="241"/>
      <c r="BH24" s="241"/>
      <c r="BI24" s="241"/>
      <c r="BJ24" s="3"/>
      <c r="BK24" s="3"/>
      <c r="BL24" s="3"/>
      <c r="BM24" s="254"/>
      <c r="BN24" s="254"/>
      <c r="BO24" s="254"/>
      <c r="BP24" s="259"/>
      <c r="BQ24" s="260"/>
      <c r="BR24" s="261"/>
      <c r="BS24" s="3"/>
      <c r="BT24" s="3"/>
      <c r="BU24" s="3"/>
      <c r="BV24" s="3"/>
      <c r="BW24" s="3"/>
      <c r="BX24" s="3"/>
      <c r="BY24" s="3"/>
      <c r="BZ24" s="3"/>
      <c r="CA24" s="3"/>
      <c r="CB24" s="3"/>
      <c r="CC24" s="3"/>
      <c r="CD24" s="3"/>
      <c r="CE24" s="3"/>
      <c r="CF24" s="3"/>
      <c r="CG24" s="3"/>
      <c r="CH24" s="3"/>
      <c r="CI24" s="3"/>
      <c r="CJ24" s="3"/>
      <c r="CK24" s="3"/>
      <c r="CL24" s="3"/>
    </row>
    <row r="25" spans="1:90" ht="21" customHeight="1">
      <c r="A25" s="384"/>
      <c r="B25" s="2589" t="s">
        <v>1553</v>
      </c>
      <c r="C25" s="6712" t="s">
        <v>1662</v>
      </c>
      <c r="D25" s="6712"/>
      <c r="E25" s="6712"/>
      <c r="F25" s="6712"/>
      <c r="G25" s="6712"/>
      <c r="H25" s="6712"/>
      <c r="I25" s="6712"/>
      <c r="J25" s="6712"/>
      <c r="K25" s="6712"/>
      <c r="L25" s="3500"/>
      <c r="M25" s="3064">
        <f>SUM(M19:M21)</f>
        <v>1686934</v>
      </c>
      <c r="N25" s="2990"/>
      <c r="O25" s="991"/>
      <c r="P25" s="6731" t="s">
        <v>661</v>
      </c>
      <c r="Q25" s="6732"/>
      <c r="R25" s="6732"/>
      <c r="S25" s="6732"/>
      <c r="T25" s="6733"/>
      <c r="U25" s="3485">
        <f>M25</f>
        <v>1686934</v>
      </c>
      <c r="V25" s="152"/>
      <c r="W25" s="152"/>
      <c r="X25" s="152"/>
      <c r="Y25" s="152"/>
      <c r="Z25" s="152"/>
      <c r="AA25" s="152"/>
      <c r="AB25" s="152"/>
      <c r="AC25" s="152"/>
      <c r="AD25" s="152"/>
      <c r="AE25" s="152"/>
      <c r="AF25" s="152"/>
      <c r="AG25" s="152"/>
      <c r="AH25" s="152"/>
      <c r="AI25" s="152"/>
      <c r="AJ25" s="5914"/>
      <c r="AK25" s="5914"/>
      <c r="AL25" s="5914"/>
      <c r="AM25" s="131"/>
      <c r="AN25" s="131"/>
      <c r="AO25" s="131"/>
      <c r="AP25" s="131"/>
      <c r="AQ25" s="131"/>
      <c r="AR25" s="131"/>
      <c r="AS25" s="131"/>
      <c r="AT25" s="131"/>
      <c r="AU25" s="131"/>
      <c r="AV25" s="131"/>
      <c r="AW25" s="131"/>
      <c r="AX25" s="173"/>
      <c r="AY25" s="173"/>
      <c r="AZ25" s="173"/>
      <c r="BA25" s="173"/>
      <c r="BB25" s="173"/>
      <c r="BC25" s="173"/>
      <c r="BD25" s="173"/>
      <c r="BE25" s="173"/>
      <c r="BF25" s="173"/>
      <c r="BG25" s="242"/>
      <c r="BH25" s="242"/>
      <c r="BI25" s="242"/>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row>
    <row r="26" spans="1:90" ht="18" customHeight="1">
      <c r="A26" s="384"/>
      <c r="B26" s="3390" t="s">
        <v>1663</v>
      </c>
      <c r="C26" s="6736" t="s">
        <v>1515</v>
      </c>
      <c r="D26" s="6737"/>
      <c r="E26" s="6737"/>
      <c r="F26" s="6737"/>
      <c r="G26" s="6737"/>
      <c r="H26" s="6737"/>
      <c r="I26" s="6737"/>
      <c r="J26" s="6737"/>
      <c r="K26" s="6738"/>
      <c r="L26" s="3500"/>
      <c r="M26" s="3391"/>
      <c r="N26" s="2990"/>
      <c r="O26" s="991"/>
      <c r="P26" s="6745" t="s">
        <v>1675</v>
      </c>
      <c r="Q26" s="6746"/>
      <c r="R26" s="6749" t="s">
        <v>1676</v>
      </c>
      <c r="S26" s="6750"/>
      <c r="T26" s="6743" t="s">
        <v>1674</v>
      </c>
      <c r="U26" s="6790" t="s">
        <v>1677</v>
      </c>
      <c r="V26" s="152"/>
      <c r="W26" s="152"/>
      <c r="X26" s="152"/>
      <c r="Y26" s="152"/>
      <c r="Z26" s="152"/>
      <c r="AA26" s="152"/>
      <c r="AB26" s="152"/>
      <c r="AC26" s="152"/>
      <c r="AD26" s="152"/>
      <c r="AE26" s="152"/>
      <c r="AF26" s="152"/>
      <c r="AG26" s="152"/>
      <c r="AH26" s="152"/>
      <c r="AI26" s="152"/>
      <c r="AJ26" s="171"/>
      <c r="AK26" s="171"/>
      <c r="AL26" s="131"/>
      <c r="AM26" s="131"/>
      <c r="AN26" s="5919"/>
      <c r="AO26" s="5919"/>
      <c r="AP26" s="5919"/>
      <c r="AQ26" s="131"/>
      <c r="AR26" s="131"/>
      <c r="AS26" s="176"/>
      <c r="AT26" s="176"/>
      <c r="AU26" s="131"/>
      <c r="AV26" s="131"/>
      <c r="AW26" s="131"/>
      <c r="AX26" s="173"/>
      <c r="AY26" s="173"/>
      <c r="AZ26" s="173"/>
      <c r="BA26" s="173"/>
      <c r="BB26" s="173"/>
      <c r="BC26" s="173"/>
      <c r="BD26" s="173"/>
      <c r="BE26" s="173"/>
      <c r="BF26" s="173"/>
      <c r="BG26" s="242"/>
      <c r="BH26" s="242"/>
      <c r="BI26" s="242"/>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row>
    <row r="27" spans="1:90" ht="18" customHeight="1">
      <c r="A27" s="384"/>
      <c r="B27" s="2589"/>
      <c r="C27" s="6736" t="s">
        <v>1041</v>
      </c>
      <c r="D27" s="6737"/>
      <c r="E27" s="6737"/>
      <c r="F27" s="6737"/>
      <c r="G27" s="6737"/>
      <c r="H27" s="6737"/>
      <c r="I27" s="3501" t="s">
        <v>1674</v>
      </c>
      <c r="J27" s="6687" t="s">
        <v>29</v>
      </c>
      <c r="K27" s="6688"/>
      <c r="L27" s="3500"/>
      <c r="M27" s="3391"/>
      <c r="N27" s="2990"/>
      <c r="O27" s="991"/>
      <c r="P27" s="6747"/>
      <c r="Q27" s="6748"/>
      <c r="R27" s="6751"/>
      <c r="S27" s="6752"/>
      <c r="T27" s="6744"/>
      <c r="U27" s="6791"/>
      <c r="V27" s="152"/>
      <c r="W27" s="152"/>
      <c r="X27" s="152"/>
      <c r="Y27" s="152"/>
      <c r="Z27" s="152"/>
      <c r="AA27" s="152"/>
      <c r="AB27" s="152"/>
      <c r="AC27" s="152"/>
      <c r="AD27" s="152"/>
      <c r="AE27" s="152"/>
      <c r="AF27" s="152"/>
      <c r="AG27" s="152"/>
      <c r="AH27" s="152"/>
      <c r="AI27" s="152"/>
      <c r="AJ27" s="171"/>
      <c r="AK27" s="171"/>
      <c r="AL27" s="131"/>
      <c r="AM27" s="131"/>
      <c r="AN27" s="376"/>
      <c r="AO27" s="376"/>
      <c r="AP27" s="376"/>
      <c r="AQ27" s="131"/>
      <c r="AR27" s="131"/>
      <c r="AS27" s="176"/>
      <c r="AT27" s="176"/>
      <c r="AU27" s="131"/>
      <c r="AV27" s="131"/>
      <c r="AW27" s="131"/>
      <c r="AX27" s="173"/>
      <c r="AY27" s="173"/>
      <c r="AZ27" s="173"/>
      <c r="BA27" s="173"/>
      <c r="BB27" s="173"/>
      <c r="BC27" s="173"/>
      <c r="BD27" s="173"/>
      <c r="BE27" s="173"/>
      <c r="BF27" s="173"/>
      <c r="BG27" s="242"/>
      <c r="BH27" s="242"/>
      <c r="BI27" s="242"/>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row>
    <row r="28" spans="1:90" ht="21" customHeight="1">
      <c r="A28" s="384"/>
      <c r="B28" s="99"/>
      <c r="C28" s="3502" t="s">
        <v>1</v>
      </c>
      <c r="D28" s="6792" t="s">
        <v>1706</v>
      </c>
      <c r="E28" s="6792"/>
      <c r="F28" s="6792"/>
      <c r="G28" s="6792"/>
      <c r="H28" s="6793"/>
      <c r="I28" s="3503">
        <v>0</v>
      </c>
      <c r="J28" s="6689"/>
      <c r="K28" s="6690"/>
      <c r="L28" s="3490" t="s">
        <v>5</v>
      </c>
      <c r="M28" s="973" t="str">
        <f t="shared" ref="M28:M42" si="0">U28</f>
        <v>NIL</v>
      </c>
      <c r="N28" s="2992"/>
      <c r="O28" s="1006"/>
      <c r="P28" s="6734" t="s">
        <v>1699</v>
      </c>
      <c r="Q28" s="6735"/>
      <c r="R28" s="6666">
        <f>IF(U25&gt;400000,400000,U25)</f>
        <v>400000</v>
      </c>
      <c r="S28" s="6667"/>
      <c r="T28" s="677">
        <v>0</v>
      </c>
      <c r="U28" s="544" t="s">
        <v>287</v>
      </c>
      <c r="V28" s="177"/>
      <c r="W28" s="177"/>
      <c r="X28" s="177"/>
      <c r="Y28" s="177"/>
      <c r="Z28" s="177"/>
      <c r="AA28" s="177"/>
      <c r="AB28" s="177"/>
      <c r="AC28" s="177"/>
      <c r="AD28" s="177"/>
      <c r="AE28" s="177"/>
      <c r="AF28" s="177"/>
      <c r="AG28" s="177"/>
      <c r="AH28" s="177"/>
      <c r="AI28" s="177"/>
      <c r="AJ28" s="178"/>
      <c r="AK28" s="171"/>
      <c r="AL28" s="179"/>
      <c r="AM28" s="131"/>
      <c r="AN28" s="131"/>
      <c r="AO28" s="131"/>
      <c r="AP28" s="131"/>
      <c r="AQ28" s="131"/>
      <c r="AR28" s="131"/>
      <c r="AS28" s="131"/>
      <c r="AT28" s="131"/>
      <c r="AU28" s="131"/>
      <c r="AV28" s="131"/>
      <c r="AW28" s="131"/>
      <c r="AX28" s="173"/>
      <c r="AY28" s="173"/>
      <c r="AZ28" s="173"/>
      <c r="BA28" s="173"/>
      <c r="BB28" s="173"/>
      <c r="BC28" s="173"/>
      <c r="BD28" s="173"/>
      <c r="BE28" s="173"/>
      <c r="BF28" s="173"/>
      <c r="BG28" s="242"/>
      <c r="BH28" s="242"/>
      <c r="BI28" s="242"/>
      <c r="BJ28" s="3"/>
      <c r="BK28" s="3"/>
      <c r="BL28" s="4528"/>
      <c r="BM28" s="4528"/>
      <c r="BN28" s="4528"/>
      <c r="BO28" s="4528"/>
      <c r="BP28" s="4528"/>
      <c r="BQ28" s="4528"/>
      <c r="BR28" s="402"/>
      <c r="BS28" s="3"/>
      <c r="BT28" s="3"/>
      <c r="BU28" s="3"/>
      <c r="BV28" s="3"/>
      <c r="BW28" s="3"/>
      <c r="BX28" s="3"/>
      <c r="BY28" s="3"/>
      <c r="BZ28" s="3"/>
      <c r="CA28" s="3"/>
      <c r="CB28" s="3"/>
      <c r="CC28" s="3"/>
      <c r="CD28" s="3"/>
      <c r="CE28" s="3"/>
      <c r="CF28" s="3"/>
      <c r="CG28" s="3"/>
      <c r="CH28" s="3"/>
      <c r="CI28" s="3"/>
      <c r="CJ28" s="3"/>
      <c r="CK28" s="3"/>
      <c r="CL28" s="3"/>
    </row>
    <row r="29" spans="1:90" ht="21" customHeight="1">
      <c r="A29" s="384"/>
      <c r="B29" s="99"/>
      <c r="C29" s="3382" t="s">
        <v>2</v>
      </c>
      <c r="D29" s="6679" t="s">
        <v>1707</v>
      </c>
      <c r="E29" s="6679"/>
      <c r="F29" s="6679"/>
      <c r="G29" s="6679"/>
      <c r="H29" s="6680"/>
      <c r="I29" s="3503">
        <v>0.05</v>
      </c>
      <c r="J29" s="6689"/>
      <c r="K29" s="6690"/>
      <c r="L29" s="3490" t="s">
        <v>5</v>
      </c>
      <c r="M29" s="3386">
        <f t="shared" si="0"/>
        <v>20000</v>
      </c>
      <c r="N29" s="2991"/>
      <c r="O29" s="1006"/>
      <c r="P29" s="6671" t="s">
        <v>1700</v>
      </c>
      <c r="Q29" s="5856"/>
      <c r="R29" s="5857">
        <f>IF(AND(U25&gt;800000),400000,IF(AND(U25&gt;400000,U25&lt;=800000),U25-400000,0))</f>
        <v>400000</v>
      </c>
      <c r="S29" s="5857"/>
      <c r="T29" s="677">
        <v>0.05</v>
      </c>
      <c r="U29" s="951">
        <f t="shared" ref="U29:U34" si="1">ROUND(R29*T29,0.1)</f>
        <v>20000</v>
      </c>
      <c r="V29" s="160"/>
      <c r="W29" s="160"/>
      <c r="X29" s="160"/>
      <c r="Y29" s="160"/>
      <c r="Z29" s="160"/>
      <c r="AA29" s="160"/>
      <c r="AB29" s="160"/>
      <c r="AC29" s="160"/>
      <c r="AD29" s="160"/>
      <c r="AE29" s="160"/>
      <c r="AF29" s="160"/>
      <c r="AG29" s="160"/>
      <c r="AH29" s="160"/>
      <c r="AI29" s="160"/>
      <c r="AJ29" s="180"/>
      <c r="AK29" s="181"/>
      <c r="AL29" s="182"/>
      <c r="AM29" s="131"/>
      <c r="AN29" s="131"/>
      <c r="AO29" s="131"/>
      <c r="AP29" s="131"/>
      <c r="AQ29" s="131"/>
      <c r="AR29" s="131"/>
      <c r="AS29" s="136"/>
      <c r="AT29" s="131"/>
      <c r="AU29" s="131"/>
      <c r="AV29" s="131"/>
      <c r="AW29" s="131"/>
      <c r="AX29" s="173"/>
      <c r="AY29" s="173"/>
      <c r="AZ29" s="173"/>
      <c r="BA29" s="173"/>
      <c r="BB29" s="173"/>
      <c r="BC29" s="173"/>
      <c r="BD29" s="173"/>
      <c r="BE29" s="173"/>
      <c r="BF29" s="173"/>
      <c r="BG29" s="242"/>
      <c r="BH29" s="242"/>
      <c r="BI29" s="242"/>
      <c r="BJ29" s="3"/>
      <c r="BK29" s="3"/>
      <c r="BL29" s="5910"/>
      <c r="BM29" s="5910"/>
      <c r="BN29" s="5910"/>
      <c r="BO29" s="5910"/>
      <c r="BP29" s="5910"/>
      <c r="BQ29" s="5910"/>
      <c r="BR29" s="292"/>
      <c r="BS29" s="3"/>
      <c r="BT29" s="3"/>
      <c r="BU29" s="3"/>
      <c r="BV29" s="3"/>
      <c r="BW29" s="3"/>
      <c r="BX29" s="3"/>
      <c r="BY29" s="3"/>
      <c r="BZ29" s="3"/>
      <c r="CA29" s="3"/>
      <c r="CB29" s="3"/>
      <c r="CC29" s="3"/>
      <c r="CD29" s="3"/>
      <c r="CE29" s="3"/>
      <c r="CF29" s="3"/>
      <c r="CG29" s="3"/>
      <c r="CH29" s="3"/>
      <c r="CI29" s="3"/>
      <c r="CJ29" s="3"/>
      <c r="CK29" s="3"/>
      <c r="CL29" s="3"/>
    </row>
    <row r="30" spans="1:90" ht="20.25" customHeight="1">
      <c r="A30" s="384"/>
      <c r="B30" s="99"/>
      <c r="C30" s="3382" t="s">
        <v>3</v>
      </c>
      <c r="D30" s="6679" t="s">
        <v>1708</v>
      </c>
      <c r="E30" s="6679"/>
      <c r="F30" s="6679"/>
      <c r="G30" s="6679"/>
      <c r="H30" s="6680"/>
      <c r="I30" s="3503">
        <v>0.1</v>
      </c>
      <c r="J30" s="6689"/>
      <c r="K30" s="6690"/>
      <c r="L30" s="3490" t="s">
        <v>5</v>
      </c>
      <c r="M30" s="3386">
        <f t="shared" si="0"/>
        <v>40000</v>
      </c>
      <c r="N30" s="2990"/>
      <c r="O30" s="1006"/>
      <c r="P30" s="6671" t="s">
        <v>1701</v>
      </c>
      <c r="Q30" s="5856"/>
      <c r="R30" s="5857">
        <f>IF(AND(U25&gt;1200000),400000,IF(AND(U25&gt;800000,U25&lt;=1200000),U25-800000,0))</f>
        <v>400000</v>
      </c>
      <c r="S30" s="5857"/>
      <c r="T30" s="677">
        <v>0.1</v>
      </c>
      <c r="U30" s="951">
        <f t="shared" si="1"/>
        <v>40000</v>
      </c>
      <c r="V30" s="152"/>
      <c r="W30" s="152"/>
      <c r="X30" s="152"/>
      <c r="Y30" s="152"/>
      <c r="Z30" s="152"/>
      <c r="AA30" s="152"/>
      <c r="AB30" s="152"/>
      <c r="AC30" s="152"/>
      <c r="AD30" s="152"/>
      <c r="AE30" s="152"/>
      <c r="AF30" s="152"/>
      <c r="AG30" s="152"/>
      <c r="AH30" s="152"/>
      <c r="AI30" s="152"/>
      <c r="AJ30" s="180"/>
      <c r="AK30" s="181"/>
      <c r="AL30" s="183" t="s">
        <v>266</v>
      </c>
      <c r="AM30" s="131"/>
      <c r="AN30" s="135" t="e">
        <f>IF(#REF!&gt;0,#REF!,0)</f>
        <v>#REF!</v>
      </c>
      <c r="AO30" s="131"/>
      <c r="AP30" s="131"/>
      <c r="AQ30" s="131"/>
      <c r="AR30" s="131"/>
      <c r="AS30" s="136"/>
      <c r="AT30" s="131"/>
      <c r="AU30" s="131"/>
      <c r="AV30" s="131" t="s">
        <v>267</v>
      </c>
      <c r="AW30" s="131"/>
      <c r="AX30" s="173"/>
      <c r="AY30" s="173"/>
      <c r="AZ30" s="173"/>
      <c r="BA30" s="173"/>
      <c r="BB30" s="184">
        <f>M29</f>
        <v>20000</v>
      </c>
      <c r="BC30" s="173"/>
      <c r="BD30" s="173"/>
      <c r="BE30" s="173"/>
      <c r="BF30" s="173"/>
      <c r="BG30" s="242"/>
      <c r="BH30" s="242"/>
      <c r="BI30" s="242"/>
      <c r="BJ30" s="3"/>
      <c r="BK30" s="3"/>
      <c r="BL30" s="4528"/>
      <c r="BM30" s="4528"/>
      <c r="BN30" s="4528"/>
      <c r="BO30" s="4528"/>
      <c r="BP30" s="4528"/>
      <c r="BQ30" s="4528"/>
      <c r="BR30" s="292"/>
      <c r="BS30" s="3"/>
      <c r="BT30" s="3"/>
      <c r="BU30" s="3"/>
      <c r="BV30" s="3"/>
      <c r="BW30" s="3"/>
      <c r="BX30" s="3"/>
      <c r="BY30" s="3"/>
      <c r="BZ30" s="3"/>
      <c r="CA30" s="3"/>
      <c r="CB30" s="3"/>
      <c r="CC30" s="3"/>
      <c r="CD30" s="3"/>
      <c r="CE30" s="3"/>
      <c r="CF30" s="3"/>
      <c r="CG30" s="3"/>
      <c r="CH30" s="3"/>
      <c r="CI30" s="3"/>
      <c r="CJ30" s="3"/>
      <c r="CK30" s="3"/>
      <c r="CL30" s="3"/>
    </row>
    <row r="31" spans="1:90" ht="19.5" customHeight="1">
      <c r="A31" s="384"/>
      <c r="B31" s="99"/>
      <c r="C31" s="3382" t="s">
        <v>4</v>
      </c>
      <c r="D31" s="6679" t="s">
        <v>1709</v>
      </c>
      <c r="E31" s="6679"/>
      <c r="F31" s="6679"/>
      <c r="G31" s="6679"/>
      <c r="H31" s="6680"/>
      <c r="I31" s="3503">
        <v>0.15</v>
      </c>
      <c r="J31" s="6689"/>
      <c r="K31" s="6690"/>
      <c r="L31" s="3490" t="s">
        <v>5</v>
      </c>
      <c r="M31" s="3386">
        <f t="shared" si="0"/>
        <v>60000</v>
      </c>
      <c r="N31" s="2990"/>
      <c r="O31" s="991"/>
      <c r="P31" s="6671" t="s">
        <v>1702</v>
      </c>
      <c r="Q31" s="5856"/>
      <c r="R31" s="6666">
        <f>IF(AND(U25&gt;1600000),400000,IF(AND(U25&gt;1200000,U25&lt;=1600000),U25-1200000,0))</f>
        <v>400000</v>
      </c>
      <c r="S31" s="6667"/>
      <c r="T31" s="677">
        <v>0.15</v>
      </c>
      <c r="U31" s="951">
        <f t="shared" si="1"/>
        <v>60000</v>
      </c>
      <c r="V31" s="152"/>
      <c r="W31" s="152"/>
      <c r="X31" s="152"/>
      <c r="Y31" s="152"/>
      <c r="Z31" s="152"/>
      <c r="AA31" s="152"/>
      <c r="AB31" s="152"/>
      <c r="AC31" s="152"/>
      <c r="AD31" s="152"/>
      <c r="AE31" s="152"/>
      <c r="AF31" s="152"/>
      <c r="AG31" s="152"/>
      <c r="AH31" s="152"/>
      <c r="AI31" s="152"/>
      <c r="AJ31" s="150"/>
      <c r="AK31" s="185"/>
      <c r="AL31" s="183" t="s">
        <v>269</v>
      </c>
      <c r="AM31" s="131"/>
      <c r="AN31" s="135" t="e">
        <f>IF(#REF!&gt;0,#REF!,0)</f>
        <v>#REF!</v>
      </c>
      <c r="AO31" s="131"/>
      <c r="AP31" s="131" t="s">
        <v>270</v>
      </c>
      <c r="AQ31" s="131"/>
      <c r="AR31" s="131"/>
      <c r="AS31" s="136" t="e">
        <f>SUM(AN30-AN31)</f>
        <v>#REF!</v>
      </c>
      <c r="AT31" s="131"/>
      <c r="AU31" s="131"/>
      <c r="AV31" s="131" t="s">
        <v>271</v>
      </c>
      <c r="AW31" s="131"/>
      <c r="AX31" s="173"/>
      <c r="AY31" s="173"/>
      <c r="AZ31" s="173"/>
      <c r="BA31" s="173"/>
      <c r="BB31" s="186" t="e">
        <f>#REF!</f>
        <v>#REF!</v>
      </c>
      <c r="BC31" s="173"/>
      <c r="BD31" s="173"/>
      <c r="BE31" s="173"/>
      <c r="BF31" s="173"/>
      <c r="BG31" s="242"/>
      <c r="BH31" s="242"/>
      <c r="BI31" s="242"/>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row>
    <row r="32" spans="1:90" ht="20.25" customHeight="1">
      <c r="A32" s="384"/>
      <c r="B32" s="99"/>
      <c r="C32" s="3382" t="s">
        <v>278</v>
      </c>
      <c r="D32" s="6679" t="s">
        <v>1710</v>
      </c>
      <c r="E32" s="6679"/>
      <c r="F32" s="6679"/>
      <c r="G32" s="6679"/>
      <c r="H32" s="6680"/>
      <c r="I32" s="3503">
        <v>0.2</v>
      </c>
      <c r="J32" s="6689"/>
      <c r="K32" s="6690"/>
      <c r="L32" s="3490" t="s">
        <v>5</v>
      </c>
      <c r="M32" s="3386">
        <f t="shared" si="0"/>
        <v>17387</v>
      </c>
      <c r="N32" s="2990"/>
      <c r="O32" s="991"/>
      <c r="P32" s="6671" t="s">
        <v>1703</v>
      </c>
      <c r="Q32" s="5856"/>
      <c r="R32" s="6663">
        <f>IF(AND(U25&gt;2000000),400000,IF(AND(U25&gt;1600000,U25&lt;=2000000),U25-1600000,0))</f>
        <v>86934</v>
      </c>
      <c r="S32" s="6664"/>
      <c r="T32" s="677">
        <v>0.2</v>
      </c>
      <c r="U32" s="951">
        <f t="shared" si="1"/>
        <v>17387</v>
      </c>
      <c r="V32" s="152"/>
      <c r="W32" s="152"/>
      <c r="X32" s="152"/>
      <c r="Y32" s="152"/>
      <c r="Z32" s="152"/>
      <c r="AA32" s="152"/>
      <c r="AB32" s="152"/>
      <c r="AC32" s="152"/>
      <c r="AD32" s="152"/>
      <c r="AE32" s="152"/>
      <c r="AF32" s="152"/>
      <c r="AG32" s="152"/>
      <c r="AH32" s="152"/>
      <c r="AI32" s="152"/>
      <c r="AJ32" s="131"/>
      <c r="AK32" s="182"/>
      <c r="AL32" s="183" t="s">
        <v>272</v>
      </c>
      <c r="AM32" s="131"/>
      <c r="AN32" s="135" t="e">
        <f>ROUND(AS31*30%,0)</f>
        <v>#REF!</v>
      </c>
      <c r="AO32" s="131"/>
      <c r="AP32" s="131" t="s">
        <v>273</v>
      </c>
      <c r="AQ32" s="131"/>
      <c r="AR32" s="131"/>
      <c r="AS32" s="136" t="e">
        <f>SUM(AS31-AN32)</f>
        <v>#REF!</v>
      </c>
      <c r="AT32" s="131"/>
      <c r="AU32" s="131"/>
      <c r="AV32" s="131" t="s">
        <v>274</v>
      </c>
      <c r="AW32" s="131"/>
      <c r="AX32" s="173"/>
      <c r="AY32" s="173"/>
      <c r="AZ32" s="173"/>
      <c r="BA32" s="173"/>
      <c r="BB32" s="184" t="e">
        <f>SUM(BB30-BB31)</f>
        <v>#REF!</v>
      </c>
      <c r="BC32" s="173"/>
      <c r="BD32" s="173"/>
      <c r="BE32" s="173"/>
      <c r="BF32" s="173"/>
      <c r="BG32" s="242"/>
      <c r="BH32" s="242"/>
      <c r="BI32" s="242"/>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row>
    <row r="33" spans="1:90" ht="20.25" customHeight="1">
      <c r="A33" s="384"/>
      <c r="B33" s="99"/>
      <c r="C33" s="3382" t="s">
        <v>282</v>
      </c>
      <c r="D33" s="6679" t="s">
        <v>1711</v>
      </c>
      <c r="E33" s="6679"/>
      <c r="F33" s="6679"/>
      <c r="G33" s="6679"/>
      <c r="H33" s="6680"/>
      <c r="I33" s="3554">
        <v>0.25</v>
      </c>
      <c r="J33" s="6689"/>
      <c r="K33" s="6691"/>
      <c r="L33" s="3490" t="s">
        <v>5</v>
      </c>
      <c r="M33" s="3386">
        <f t="shared" si="0"/>
        <v>0</v>
      </c>
      <c r="N33" s="2990"/>
      <c r="O33" s="991"/>
      <c r="P33" s="6671" t="s">
        <v>1704</v>
      </c>
      <c r="Q33" s="5856"/>
      <c r="R33" s="6694">
        <f>IF(AND(U25&gt;2400000),400000,IF(AND(U25&gt;2000000,U25&lt;=2400000),U25-2000000,0))</f>
        <v>0</v>
      </c>
      <c r="S33" s="6695"/>
      <c r="T33" s="677">
        <v>0.25</v>
      </c>
      <c r="U33" s="951">
        <f t="shared" si="1"/>
        <v>0</v>
      </c>
      <c r="V33" s="152"/>
      <c r="W33" s="152"/>
      <c r="X33" s="152"/>
      <c r="Y33" s="152"/>
      <c r="Z33" s="152"/>
      <c r="AA33" s="152"/>
      <c r="AB33" s="152"/>
      <c r="AC33" s="152"/>
      <c r="AD33" s="152"/>
      <c r="AE33" s="152"/>
      <c r="AF33" s="152"/>
      <c r="AG33" s="152"/>
      <c r="AH33" s="152"/>
      <c r="AI33" s="152"/>
      <c r="AJ33" s="131"/>
      <c r="AK33" s="182"/>
      <c r="AL33" s="183"/>
      <c r="AM33" s="131"/>
      <c r="AN33" s="135"/>
      <c r="AO33" s="131"/>
      <c r="AP33" s="131"/>
      <c r="AQ33" s="131"/>
      <c r="AR33" s="131"/>
      <c r="AS33" s="136"/>
      <c r="AT33" s="131"/>
      <c r="AU33" s="131"/>
      <c r="AV33" s="131"/>
      <c r="AW33" s="131"/>
      <c r="AX33" s="173"/>
      <c r="AY33" s="173"/>
      <c r="AZ33" s="173"/>
      <c r="BA33" s="173"/>
      <c r="BB33" s="184"/>
      <c r="BC33" s="173"/>
      <c r="BD33" s="173"/>
      <c r="BE33" s="173"/>
      <c r="BF33" s="173"/>
      <c r="BG33" s="242"/>
      <c r="BH33" s="242"/>
      <c r="BI33" s="242"/>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row>
    <row r="34" spans="1:90" ht="20.25" customHeight="1" thickBot="1">
      <c r="A34" s="384"/>
      <c r="B34" s="99"/>
      <c r="C34" s="3382" t="s">
        <v>283</v>
      </c>
      <c r="D34" s="6681" t="s">
        <v>1712</v>
      </c>
      <c r="E34" s="6681"/>
      <c r="F34" s="6681"/>
      <c r="G34" s="6681"/>
      <c r="H34" s="6682"/>
      <c r="I34" s="3503">
        <v>0.3</v>
      </c>
      <c r="J34" s="6692"/>
      <c r="K34" s="6693"/>
      <c r="L34" s="3490" t="s">
        <v>5</v>
      </c>
      <c r="M34" s="3387">
        <f t="shared" si="0"/>
        <v>0</v>
      </c>
      <c r="N34" s="2939"/>
      <c r="O34" s="152"/>
      <c r="P34" s="6665" t="s">
        <v>1705</v>
      </c>
      <c r="Q34" s="5866"/>
      <c r="R34" s="6666">
        <f>IF(AND(U25&gt;2400000),U25-2400000,0)</f>
        <v>0</v>
      </c>
      <c r="S34" s="6667"/>
      <c r="T34" s="677">
        <v>0.3</v>
      </c>
      <c r="U34" s="951">
        <f t="shared" si="1"/>
        <v>0</v>
      </c>
      <c r="V34" s="152"/>
      <c r="W34" s="6651" t="s">
        <v>661</v>
      </c>
      <c r="X34" s="6651"/>
      <c r="Y34" s="6651"/>
      <c r="Z34" s="3812">
        <f>U25</f>
        <v>1686934</v>
      </c>
      <c r="AA34" s="152"/>
      <c r="AB34" s="152"/>
      <c r="AC34" s="152"/>
      <c r="AD34" s="152"/>
      <c r="AE34" s="152"/>
      <c r="AF34" s="152"/>
      <c r="AG34" s="152"/>
      <c r="AH34" s="152"/>
      <c r="AI34" s="152"/>
      <c r="AJ34" s="187"/>
      <c r="AK34" s="166"/>
      <c r="AL34" s="183" t="s">
        <v>275</v>
      </c>
      <c r="AM34" s="131"/>
      <c r="AN34" s="135" t="e">
        <f>IF(#REF!&gt;0,#REF!,0)</f>
        <v>#REF!</v>
      </c>
      <c r="AO34" s="131"/>
      <c r="AP34" s="131" t="s">
        <v>276</v>
      </c>
      <c r="AQ34" s="131"/>
      <c r="AR34" s="131"/>
      <c r="AS34" s="131"/>
      <c r="AT34" s="188" t="e">
        <f>IF(AN34&gt;150000,150000,AN34)</f>
        <v>#REF!</v>
      </c>
      <c r="AU34" s="131"/>
      <c r="AV34" s="131" t="s">
        <v>277</v>
      </c>
      <c r="AW34" s="131"/>
      <c r="AX34" s="173"/>
      <c r="AY34" s="173"/>
      <c r="AZ34" s="173"/>
      <c r="BA34" s="173"/>
      <c r="BB34" s="184">
        <f>K49</f>
        <v>0</v>
      </c>
      <c r="BC34" s="173"/>
      <c r="BD34" s="173"/>
      <c r="BE34" s="173"/>
      <c r="BF34" s="173"/>
      <c r="BG34" s="242"/>
      <c r="BH34" s="242"/>
      <c r="BI34" s="242"/>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row>
    <row r="35" spans="1:90" ht="18" customHeight="1" thickBot="1">
      <c r="A35" s="384"/>
      <c r="B35" s="3390" t="s">
        <v>1516</v>
      </c>
      <c r="C35" s="6794" t="s">
        <v>0</v>
      </c>
      <c r="D35" s="6794"/>
      <c r="E35" s="6794"/>
      <c r="F35" s="6794"/>
      <c r="G35" s="6794"/>
      <c r="H35" s="6794"/>
      <c r="I35" s="6794"/>
      <c r="J35" s="6794"/>
      <c r="K35" s="6794"/>
      <c r="L35" s="975" t="s">
        <v>5</v>
      </c>
      <c r="M35" s="981">
        <f t="shared" si="0"/>
        <v>137387</v>
      </c>
      <c r="N35" s="2939"/>
      <c r="O35" s="152"/>
      <c r="P35" s="6795" t="s">
        <v>0</v>
      </c>
      <c r="Q35" s="6796"/>
      <c r="R35" s="6796"/>
      <c r="S35" s="6796"/>
      <c r="T35" s="6797"/>
      <c r="U35" s="547">
        <f>SUM(U29:U34)</f>
        <v>137387</v>
      </c>
      <c r="V35" s="152"/>
      <c r="W35" s="6642" t="s">
        <v>1761</v>
      </c>
      <c r="X35" s="6643"/>
      <c r="Y35" s="6644"/>
      <c r="Z35" s="3811">
        <f>U35</f>
        <v>137387</v>
      </c>
      <c r="AA35" s="152"/>
      <c r="AB35" s="152"/>
      <c r="AC35" s="152"/>
      <c r="AD35" s="152"/>
      <c r="AE35" s="152"/>
      <c r="AF35" s="152"/>
      <c r="AG35" s="152"/>
      <c r="AH35" s="152"/>
      <c r="AI35" s="152"/>
      <c r="AJ35" s="187"/>
      <c r="AK35" s="131"/>
      <c r="AL35" s="189"/>
      <c r="AM35" s="131"/>
      <c r="AN35" s="131"/>
      <c r="AO35" s="131"/>
      <c r="AP35" s="131"/>
      <c r="AQ35" s="131"/>
      <c r="AR35" s="131"/>
      <c r="AS35" s="131" t="e">
        <f>ABS(#REF!)</f>
        <v>#REF!</v>
      </c>
      <c r="AT35" s="131"/>
      <c r="AU35" s="131"/>
      <c r="AV35" s="6655" t="s">
        <v>279</v>
      </c>
      <c r="AW35" s="6655"/>
      <c r="AX35" s="6655"/>
      <c r="AY35" s="6655"/>
      <c r="AZ35" s="6655"/>
      <c r="BA35" s="6655"/>
      <c r="BB35" s="6655"/>
      <c r="BC35" s="173"/>
      <c r="BD35" s="173"/>
      <c r="BE35" s="173"/>
      <c r="BF35" s="173"/>
      <c r="BG35" s="242"/>
      <c r="BH35" s="242"/>
      <c r="BI35" s="242"/>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row>
    <row r="36" spans="1:90" ht="18" customHeight="1" thickBot="1">
      <c r="A36" s="384"/>
      <c r="B36" s="2589" t="s">
        <v>1517</v>
      </c>
      <c r="C36" s="3383" t="s">
        <v>8</v>
      </c>
      <c r="D36" s="2659"/>
      <c r="E36" s="2659"/>
      <c r="F36" s="6802" t="str">
        <f>IF(U36=0, "(No Tax Rebate)",  " (Rebate Upto Rs.60000/- Taxble Income)")</f>
        <v>(No Tax Rebate)</v>
      </c>
      <c r="G36" s="6802"/>
      <c r="H36" s="6802"/>
      <c r="I36" s="6802"/>
      <c r="J36" s="2467"/>
      <c r="K36" s="3504"/>
      <c r="L36" s="975" t="s">
        <v>5</v>
      </c>
      <c r="M36" s="1093">
        <f t="shared" si="0"/>
        <v>0</v>
      </c>
      <c r="N36" s="2939"/>
      <c r="O36" s="152"/>
      <c r="P36" s="6799" t="s">
        <v>666</v>
      </c>
      <c r="Q36" s="6800"/>
      <c r="R36" s="6800"/>
      <c r="S36" s="6800"/>
      <c r="T36" s="6801"/>
      <c r="U36" s="952">
        <f>IF(Z37&lt;0,0,Z37)</f>
        <v>0</v>
      </c>
      <c r="V36" s="152"/>
      <c r="W36" s="6645" t="s">
        <v>1762</v>
      </c>
      <c r="X36" s="6646"/>
      <c r="Y36" s="6647"/>
      <c r="Z36" s="3811">
        <f>IF(SUM(Z34-Z39)&lt;0,0,SUM(Z34-Z39))</f>
        <v>486934</v>
      </c>
      <c r="AA36" s="152"/>
      <c r="AB36" s="3813"/>
      <c r="AC36" s="152"/>
      <c r="AD36" s="152"/>
      <c r="AE36" s="152"/>
      <c r="AF36" s="152"/>
      <c r="AG36" s="152"/>
      <c r="AH36" s="152"/>
      <c r="AI36" s="152"/>
      <c r="AJ36" s="187"/>
      <c r="AK36" s="131"/>
      <c r="AL36" s="189"/>
      <c r="AM36" s="131"/>
      <c r="AN36" s="131"/>
      <c r="AO36" s="131"/>
      <c r="AP36" s="131"/>
      <c r="AQ36" s="131"/>
      <c r="AR36" s="131"/>
      <c r="AS36" s="131"/>
      <c r="AT36" s="131"/>
      <c r="AU36" s="131"/>
      <c r="AV36" s="188"/>
      <c r="AW36" s="188"/>
      <c r="AX36" s="188"/>
      <c r="AY36" s="188"/>
      <c r="AZ36" s="188"/>
      <c r="BA36" s="188"/>
      <c r="BB36" s="188"/>
      <c r="BC36" s="173"/>
      <c r="BD36" s="173"/>
      <c r="BE36" s="173"/>
      <c r="BF36" s="173"/>
      <c r="BG36" s="242"/>
      <c r="BH36" s="242"/>
      <c r="BI36" s="242"/>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row>
    <row r="37" spans="1:90" ht="18" customHeight="1" thickBot="1">
      <c r="A37" s="384"/>
      <c r="B37" s="2589" t="s">
        <v>1518</v>
      </c>
      <c r="C37" s="6803" t="s">
        <v>765</v>
      </c>
      <c r="D37" s="6679"/>
      <c r="E37" s="6679"/>
      <c r="F37" s="6679"/>
      <c r="G37" s="6679"/>
      <c r="H37" s="6679"/>
      <c r="I37" s="2466"/>
      <c r="J37" s="2467"/>
      <c r="K37" s="3504"/>
      <c r="L37" s="975" t="s">
        <v>5</v>
      </c>
      <c r="M37" s="1094">
        <f t="shared" si="0"/>
        <v>137387</v>
      </c>
      <c r="N37" s="2939"/>
      <c r="O37" s="152"/>
      <c r="P37" s="6795" t="s">
        <v>768</v>
      </c>
      <c r="Q37" s="6796"/>
      <c r="R37" s="6796"/>
      <c r="S37" s="6796"/>
      <c r="T37" s="6797"/>
      <c r="U37" s="1036">
        <f>SUM(U35-U36)</f>
        <v>137387</v>
      </c>
      <c r="V37" s="152"/>
      <c r="W37" s="6648" t="s">
        <v>1763</v>
      </c>
      <c r="X37" s="6649"/>
      <c r="Y37" s="6650"/>
      <c r="Z37" s="3814">
        <f>SUM(Z35-Z36)</f>
        <v>-349547</v>
      </c>
      <c r="AA37" s="152"/>
      <c r="AB37" s="152"/>
      <c r="AC37" s="152"/>
      <c r="AD37" s="152"/>
      <c r="AE37" s="152"/>
      <c r="AF37" s="152"/>
      <c r="AG37" s="152"/>
      <c r="AH37" s="152"/>
      <c r="AI37" s="152"/>
      <c r="AJ37" s="187"/>
      <c r="AK37" s="131"/>
      <c r="AL37" s="189"/>
      <c r="AM37" s="131"/>
      <c r="AN37" s="131"/>
      <c r="AO37" s="131"/>
      <c r="AP37" s="131"/>
      <c r="AQ37" s="131"/>
      <c r="AR37" s="131"/>
      <c r="AS37" s="131"/>
      <c r="AT37" s="131"/>
      <c r="AU37" s="131"/>
      <c r="AV37" s="188"/>
      <c r="AW37" s="188"/>
      <c r="AX37" s="188"/>
      <c r="AY37" s="188"/>
      <c r="AZ37" s="188"/>
      <c r="BA37" s="188"/>
      <c r="BB37" s="188"/>
      <c r="BC37" s="173"/>
      <c r="BD37" s="173"/>
      <c r="BE37" s="173"/>
      <c r="BF37" s="173"/>
      <c r="BG37" s="242"/>
      <c r="BH37" s="242"/>
      <c r="BI37" s="242"/>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row>
    <row r="38" spans="1:90" ht="18" customHeight="1" thickBot="1">
      <c r="A38" s="384"/>
      <c r="B38" s="2589" t="s">
        <v>1519</v>
      </c>
      <c r="C38" s="3482" t="s">
        <v>766</v>
      </c>
      <c r="D38" s="2660"/>
      <c r="E38" s="2660"/>
      <c r="F38" s="2660"/>
      <c r="G38" s="2660"/>
      <c r="H38" s="2660"/>
      <c r="I38" s="2466"/>
      <c r="J38" s="2467"/>
      <c r="K38" s="3504"/>
      <c r="L38" s="975" t="s">
        <v>5</v>
      </c>
      <c r="M38" s="1094">
        <f t="shared" si="0"/>
        <v>5495</v>
      </c>
      <c r="N38" s="2939"/>
      <c r="O38" s="152"/>
      <c r="P38" s="6795" t="s">
        <v>767</v>
      </c>
      <c r="Q38" s="6796"/>
      <c r="R38" s="6796"/>
      <c r="S38" s="6796"/>
      <c r="T38" s="6797"/>
      <c r="U38" s="1036">
        <f>ROUND(U37*4%,0.1)</f>
        <v>5495</v>
      </c>
      <c r="V38" s="152"/>
      <c r="W38" s="152"/>
      <c r="X38" s="152"/>
      <c r="Y38" s="152"/>
      <c r="Z38" s="152"/>
      <c r="AA38" s="152"/>
      <c r="AB38" s="152"/>
      <c r="AC38" s="152"/>
      <c r="AD38" s="152"/>
      <c r="AE38" s="152"/>
      <c r="AF38" s="152"/>
      <c r="AG38" s="152"/>
      <c r="AH38" s="152"/>
      <c r="AI38" s="152"/>
      <c r="AJ38" s="187"/>
      <c r="AK38" s="131"/>
      <c r="AL38" s="189"/>
      <c r="AM38" s="131"/>
      <c r="AN38" s="131"/>
      <c r="AO38" s="131"/>
      <c r="AP38" s="131"/>
      <c r="AQ38" s="131"/>
      <c r="AR38" s="131"/>
      <c r="AS38" s="131"/>
      <c r="AT38" s="131"/>
      <c r="AU38" s="131"/>
      <c r="AV38" s="188"/>
      <c r="AW38" s="188"/>
      <c r="AX38" s="188"/>
      <c r="AY38" s="188"/>
      <c r="AZ38" s="188"/>
      <c r="BA38" s="188"/>
      <c r="BB38" s="188"/>
      <c r="BC38" s="173"/>
      <c r="BD38" s="173"/>
      <c r="BE38" s="173"/>
      <c r="BF38" s="173"/>
      <c r="BG38" s="242"/>
      <c r="BH38" s="242"/>
      <c r="BI38" s="242"/>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row>
    <row r="39" spans="1:90" ht="18" customHeight="1" thickBot="1">
      <c r="A39" s="384"/>
      <c r="B39" s="2589" t="s">
        <v>1520</v>
      </c>
      <c r="C39" s="6686" t="s">
        <v>1664</v>
      </c>
      <c r="D39" s="5831"/>
      <c r="E39" s="5831"/>
      <c r="F39" s="5831"/>
      <c r="G39" s="5831"/>
      <c r="H39" s="5831"/>
      <c r="I39" s="3477"/>
      <c r="J39" s="2467"/>
      <c r="K39" s="3504"/>
      <c r="L39" s="975" t="s">
        <v>5</v>
      </c>
      <c r="M39" s="974">
        <f t="shared" si="0"/>
        <v>142882</v>
      </c>
      <c r="N39" s="2939"/>
      <c r="O39" s="152"/>
      <c r="P39" s="6795" t="s">
        <v>7</v>
      </c>
      <c r="Q39" s="6796"/>
      <c r="R39" s="6796"/>
      <c r="S39" s="6796"/>
      <c r="T39" s="6797"/>
      <c r="U39" s="1036">
        <f>SUM(U37+U38)</f>
        <v>142882</v>
      </c>
      <c r="V39" s="152"/>
      <c r="W39" s="152"/>
      <c r="X39" s="152"/>
      <c r="Y39" s="152"/>
      <c r="Z39" s="3813">
        <v>1200000</v>
      </c>
      <c r="AA39" s="152"/>
      <c r="AB39" s="152"/>
      <c r="AC39" s="152"/>
      <c r="AD39" s="152"/>
      <c r="AE39" s="152"/>
      <c r="AF39" s="152"/>
      <c r="AG39" s="152"/>
      <c r="AH39" s="152"/>
      <c r="AI39" s="152"/>
      <c r="AJ39" s="187"/>
      <c r="AK39" s="131"/>
      <c r="AL39" s="189"/>
      <c r="AM39" s="131"/>
      <c r="AN39" s="131"/>
      <c r="AO39" s="131"/>
      <c r="AP39" s="131"/>
      <c r="AQ39" s="131"/>
      <c r="AR39" s="131"/>
      <c r="AS39" s="131"/>
      <c r="AT39" s="131"/>
      <c r="AU39" s="131"/>
      <c r="AV39" s="188"/>
      <c r="AW39" s="188"/>
      <c r="AX39" s="188"/>
      <c r="AY39" s="188"/>
      <c r="AZ39" s="188"/>
      <c r="BA39" s="188"/>
      <c r="BB39" s="188"/>
      <c r="BC39" s="173"/>
      <c r="BD39" s="173"/>
      <c r="BE39" s="173"/>
      <c r="BF39" s="173"/>
      <c r="BG39" s="242"/>
      <c r="BH39" s="242"/>
      <c r="BI39" s="242"/>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row>
    <row r="40" spans="1:90" ht="15.75" thickBot="1">
      <c r="A40" s="384"/>
      <c r="B40" s="2589" t="s">
        <v>1522</v>
      </c>
      <c r="C40" s="6803" t="s">
        <v>775</v>
      </c>
      <c r="D40" s="6679"/>
      <c r="E40" s="6679"/>
      <c r="F40" s="6679"/>
      <c r="G40" s="6679"/>
      <c r="H40" s="2466"/>
      <c r="I40" s="2466"/>
      <c r="J40" s="2467"/>
      <c r="K40" s="3504"/>
      <c r="L40" s="975" t="s">
        <v>5</v>
      </c>
      <c r="M40" s="974">
        <f t="shared" si="0"/>
        <v>0</v>
      </c>
      <c r="N40" s="2939"/>
      <c r="O40" s="152"/>
      <c r="P40" s="6795" t="s">
        <v>777</v>
      </c>
      <c r="Q40" s="6796"/>
      <c r="R40" s="6796"/>
      <c r="S40" s="6796"/>
      <c r="T40" s="6797"/>
      <c r="U40" s="1037">
        <v>0</v>
      </c>
      <c r="V40" s="152"/>
      <c r="W40" s="152"/>
      <c r="X40" s="991"/>
      <c r="Y40" s="152"/>
      <c r="Z40" s="152"/>
      <c r="AA40" s="152"/>
      <c r="AB40" s="152"/>
      <c r="AC40" s="152"/>
      <c r="AD40" s="152"/>
      <c r="AE40" s="152"/>
      <c r="AF40" s="152"/>
      <c r="AG40" s="152"/>
      <c r="AH40" s="152"/>
      <c r="AI40" s="152"/>
      <c r="AJ40" s="187"/>
      <c r="AK40" s="131"/>
      <c r="AL40" s="189"/>
      <c r="AM40" s="131"/>
      <c r="AN40" s="131"/>
      <c r="AO40" s="131"/>
      <c r="AP40" s="131"/>
      <c r="AQ40" s="131"/>
      <c r="AR40" s="131"/>
      <c r="AS40" s="131"/>
      <c r="AT40" s="131"/>
      <c r="AU40" s="131"/>
      <c r="AV40" s="188"/>
      <c r="AW40" s="188"/>
      <c r="AX40" s="188"/>
      <c r="AY40" s="188"/>
      <c r="AZ40" s="188"/>
      <c r="BA40" s="188"/>
      <c r="BB40" s="188"/>
      <c r="BC40" s="173"/>
      <c r="BD40" s="173"/>
      <c r="BE40" s="173"/>
      <c r="BF40" s="173"/>
      <c r="BG40" s="242"/>
      <c r="BH40" s="242"/>
      <c r="BI40" s="242"/>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row>
    <row r="41" spans="1:90" ht="15.75" thickBot="1">
      <c r="A41" s="384"/>
      <c r="B41" s="2589" t="s">
        <v>1523</v>
      </c>
      <c r="C41" s="6683" t="s">
        <v>1665</v>
      </c>
      <c r="D41" s="6684"/>
      <c r="E41" s="6684"/>
      <c r="F41" s="3505"/>
      <c r="G41" s="3506"/>
      <c r="H41" s="2470"/>
      <c r="I41" s="2470"/>
      <c r="J41" s="2471"/>
      <c r="K41" s="2661"/>
      <c r="L41" s="975" t="s">
        <v>5</v>
      </c>
      <c r="M41" s="1651">
        <f t="shared" si="0"/>
        <v>142882</v>
      </c>
      <c r="N41" s="2939"/>
      <c r="O41" s="152"/>
      <c r="P41" s="6795" t="s">
        <v>776</v>
      </c>
      <c r="Q41" s="6796"/>
      <c r="R41" s="6796"/>
      <c r="S41" s="6796"/>
      <c r="T41" s="6797"/>
      <c r="U41" s="1039">
        <f>SUM(U39-U40)</f>
        <v>142882</v>
      </c>
      <c r="V41" s="152"/>
      <c r="W41" s="152"/>
      <c r="X41" s="152"/>
      <c r="Y41" s="152"/>
      <c r="Z41" s="152"/>
      <c r="AA41" s="152"/>
      <c r="AB41" s="152"/>
      <c r="AC41" s="152"/>
      <c r="AD41" s="152"/>
      <c r="AE41" s="152"/>
      <c r="AF41" s="152"/>
      <c r="AG41" s="152"/>
      <c r="AH41" s="152"/>
      <c r="AI41" s="152"/>
      <c r="AJ41" s="187"/>
      <c r="AK41" s="131"/>
      <c r="AL41" s="189"/>
      <c r="AM41" s="131"/>
      <c r="AN41" s="131"/>
      <c r="AO41" s="131"/>
      <c r="AP41" s="131"/>
      <c r="AQ41" s="131"/>
      <c r="AR41" s="131"/>
      <c r="AS41" s="131"/>
      <c r="AT41" s="131"/>
      <c r="AU41" s="131"/>
      <c r="AV41" s="188"/>
      <c r="AW41" s="188"/>
      <c r="AX41" s="188"/>
      <c r="AY41" s="188"/>
      <c r="AZ41" s="188"/>
      <c r="BA41" s="188"/>
      <c r="BB41" s="188"/>
      <c r="BC41" s="173"/>
      <c r="BD41" s="173"/>
      <c r="BE41" s="173"/>
      <c r="BF41" s="173"/>
      <c r="BG41" s="242"/>
      <c r="BH41" s="242"/>
      <c r="BI41" s="242"/>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row>
    <row r="42" spans="1:90" ht="15.75" thickBot="1">
      <c r="A42" s="384"/>
      <c r="B42" s="99"/>
      <c r="C42" s="6685" t="s">
        <v>290</v>
      </c>
      <c r="D42" s="6685"/>
      <c r="E42" s="6685"/>
      <c r="F42" s="6685"/>
      <c r="G42" s="6685"/>
      <c r="H42" s="6685"/>
      <c r="I42" s="6798" t="s">
        <v>668</v>
      </c>
      <c r="J42" s="6798"/>
      <c r="K42" s="6798"/>
      <c r="L42" s="975" t="s">
        <v>5</v>
      </c>
      <c r="M42" s="2664">
        <f t="shared" si="0"/>
        <v>194000</v>
      </c>
      <c r="N42" s="2939"/>
      <c r="O42" s="152"/>
      <c r="P42" s="6795" t="s">
        <v>545</v>
      </c>
      <c r="Q42" s="6796"/>
      <c r="R42" s="6796"/>
      <c r="S42" s="6796"/>
      <c r="T42" s="6797"/>
      <c r="U42" s="1142">
        <f>'Anexure-I'!U41</f>
        <v>194000</v>
      </c>
      <c r="V42" s="152"/>
      <c r="W42" s="152"/>
      <c r="X42" s="152"/>
      <c r="Y42" s="152"/>
      <c r="Z42" s="152"/>
      <c r="AA42" s="152"/>
      <c r="AB42" s="152"/>
      <c r="AC42" s="152"/>
      <c r="AD42" s="152"/>
      <c r="AE42" s="152"/>
      <c r="AF42" s="152"/>
      <c r="AG42" s="152"/>
      <c r="AH42" s="152"/>
      <c r="AI42" s="152"/>
      <c r="AJ42" s="171"/>
      <c r="AK42" s="171"/>
      <c r="AL42" s="136"/>
      <c r="AM42" s="151"/>
      <c r="AN42" s="131"/>
      <c r="AO42" s="131"/>
      <c r="AP42" s="131"/>
      <c r="AQ42" s="131"/>
      <c r="AR42" s="131"/>
      <c r="AS42" s="131"/>
      <c r="AT42" s="131"/>
      <c r="AU42" s="131"/>
      <c r="AV42" s="131" t="s">
        <v>280</v>
      </c>
      <c r="AW42" s="131"/>
      <c r="AX42" s="173"/>
      <c r="AY42" s="173"/>
      <c r="AZ42" s="173"/>
      <c r="BA42" s="173"/>
      <c r="BB42" s="184" t="e">
        <f>SUM(BB32-#REF!)</f>
        <v>#REF!</v>
      </c>
      <c r="BC42" s="173"/>
      <c r="BD42" s="173"/>
      <c r="BE42" s="173"/>
      <c r="BF42" s="173"/>
      <c r="BG42" s="242"/>
      <c r="BH42" s="242"/>
      <c r="BI42" s="242"/>
      <c r="BJ42" s="3"/>
      <c r="BK42" s="3"/>
      <c r="BL42" s="4528" t="s">
        <v>472</v>
      </c>
      <c r="BM42" s="4528"/>
      <c r="BN42" s="4528"/>
      <c r="BO42" s="403">
        <f>SUM(K46:K56)</f>
        <v>0</v>
      </c>
      <c r="BP42" s="3"/>
      <c r="BQ42" s="3"/>
      <c r="BR42" s="3"/>
      <c r="BS42" s="3"/>
      <c r="BT42" s="3"/>
      <c r="BU42" s="3"/>
      <c r="BV42" s="3"/>
      <c r="BW42" s="3"/>
      <c r="BX42" s="3"/>
      <c r="BY42" s="3"/>
      <c r="BZ42" s="3"/>
      <c r="CA42" s="3"/>
      <c r="CB42" s="3"/>
      <c r="CC42" s="3"/>
      <c r="CD42" s="3"/>
      <c r="CE42" s="3"/>
      <c r="CF42" s="3"/>
      <c r="CG42" s="3"/>
      <c r="CH42" s="3"/>
      <c r="CI42" s="3"/>
      <c r="CJ42" s="3"/>
      <c r="CK42" s="3"/>
      <c r="CL42" s="3"/>
    </row>
    <row r="43" spans="1:90" ht="18" customHeight="1">
      <c r="A43" s="384"/>
      <c r="B43" s="99"/>
      <c r="C43" s="3384" t="s">
        <v>1</v>
      </c>
      <c r="D43" s="3385">
        <v>45717</v>
      </c>
      <c r="E43" s="3384">
        <f>'Data Sheet-II'!M69</f>
        <v>20000</v>
      </c>
      <c r="F43" s="3478" t="s">
        <v>283</v>
      </c>
      <c r="G43" s="3385">
        <v>45901</v>
      </c>
      <c r="H43" s="3507">
        <f>'Data Sheet-II'!M75</f>
        <v>20000</v>
      </c>
      <c r="I43" s="6660" t="s">
        <v>797</v>
      </c>
      <c r="J43" s="6660"/>
      <c r="K43" s="6660"/>
      <c r="L43" s="6675"/>
      <c r="M43" s="6676"/>
      <c r="N43" s="2940"/>
      <c r="O43" s="160"/>
      <c r="P43" s="6795" t="str">
        <f>IF(U43&lt;0,CONCATENATE("Tax to be  Refundable "),CONCATENATE("Tax to be Paid Now"))</f>
        <v xml:space="preserve">Tax to be  Refundable </v>
      </c>
      <c r="Q43" s="6796"/>
      <c r="R43" s="6796"/>
      <c r="S43" s="6796"/>
      <c r="T43" s="6797"/>
      <c r="U43" s="1038">
        <f>SUM(U41-U42)</f>
        <v>-51118</v>
      </c>
      <c r="V43" s="160"/>
      <c r="W43" s="160"/>
      <c r="X43" s="160"/>
      <c r="Y43" s="160"/>
      <c r="Z43" s="160"/>
      <c r="AA43" s="160"/>
      <c r="AB43" s="160"/>
      <c r="AC43" s="160"/>
      <c r="AD43" s="160"/>
      <c r="AE43" s="160"/>
      <c r="AF43" s="160"/>
      <c r="AG43" s="160"/>
      <c r="AH43" s="160"/>
      <c r="AI43" s="160"/>
      <c r="AJ43" s="150"/>
      <c r="AK43" s="131"/>
      <c r="AL43" s="190"/>
      <c r="AM43" s="131"/>
      <c r="AN43" s="191"/>
      <c r="AO43" s="192"/>
      <c r="AP43" s="191"/>
      <c r="AQ43" s="131"/>
      <c r="AR43" s="131"/>
      <c r="AS43" s="131"/>
      <c r="AT43" s="131"/>
      <c r="AU43" s="131"/>
      <c r="AV43" s="131"/>
      <c r="AW43" s="131"/>
      <c r="AX43" s="173"/>
      <c r="AY43" s="173"/>
      <c r="AZ43" s="173"/>
      <c r="BA43" s="173"/>
      <c r="BB43" s="173"/>
      <c r="BC43" s="173"/>
      <c r="BD43" s="173"/>
      <c r="BE43" s="173"/>
      <c r="BF43" s="173"/>
      <c r="BG43" s="242"/>
      <c r="BH43" s="242"/>
      <c r="BI43" s="242"/>
      <c r="BJ43" s="3"/>
      <c r="BK43" s="3"/>
      <c r="BL43" s="4528" t="s">
        <v>473</v>
      </c>
      <c r="BM43" s="4528"/>
      <c r="BN43" s="4528"/>
      <c r="BO43" s="403">
        <f>K45</f>
        <v>0</v>
      </c>
      <c r="BP43" s="3"/>
      <c r="BQ43" s="3"/>
      <c r="BR43" s="3"/>
      <c r="BS43" s="3"/>
      <c r="BT43" s="3"/>
      <c r="BU43" s="3"/>
      <c r="BV43" s="3"/>
      <c r="BW43" s="3"/>
      <c r="BX43" s="3"/>
      <c r="BY43" s="3"/>
      <c r="BZ43" s="3"/>
      <c r="CA43" s="3"/>
      <c r="CB43" s="3"/>
      <c r="CC43" s="3"/>
      <c r="CD43" s="3"/>
      <c r="CE43" s="3"/>
      <c r="CF43" s="3"/>
      <c r="CG43" s="3"/>
      <c r="CH43" s="3"/>
      <c r="CI43" s="3"/>
      <c r="CJ43" s="3"/>
      <c r="CK43" s="3"/>
      <c r="CL43" s="3"/>
    </row>
    <row r="44" spans="1:90" ht="18" customHeight="1">
      <c r="A44" s="384"/>
      <c r="B44" s="99"/>
      <c r="C44" s="3508" t="s">
        <v>2</v>
      </c>
      <c r="D44" s="3509">
        <v>45748</v>
      </c>
      <c r="E44" s="3384">
        <f>'Data Sheet-II'!M70</f>
        <v>20000</v>
      </c>
      <c r="F44" s="3510" t="s">
        <v>284</v>
      </c>
      <c r="G44" s="3509">
        <v>45931</v>
      </c>
      <c r="H44" s="3507">
        <f>'Data Sheet-II'!M76</f>
        <v>20000</v>
      </c>
      <c r="I44" s="6660"/>
      <c r="J44" s="6660"/>
      <c r="K44" s="6660"/>
      <c r="L44" s="6677"/>
      <c r="M44" s="5896"/>
      <c r="N44" s="2939"/>
      <c r="O44" s="152"/>
      <c r="P44" s="1034"/>
      <c r="Q44" s="1034"/>
      <c r="R44" s="1034"/>
      <c r="S44" s="1034"/>
      <c r="T44" s="1034"/>
      <c r="U44" s="1035"/>
      <c r="V44" s="152"/>
      <c r="W44" s="152"/>
      <c r="X44" s="152"/>
      <c r="Y44" s="152"/>
      <c r="Z44" s="152"/>
      <c r="AA44" s="152"/>
      <c r="AB44" s="152"/>
      <c r="AC44" s="152"/>
      <c r="AD44" s="152"/>
      <c r="AE44" s="152"/>
      <c r="AF44" s="152"/>
      <c r="AG44" s="152"/>
      <c r="AH44" s="152"/>
      <c r="AI44" s="152"/>
      <c r="AJ44" s="171"/>
      <c r="AK44" s="171"/>
      <c r="AL44" s="193"/>
      <c r="AM44" s="131"/>
      <c r="AN44" s="131"/>
      <c r="AO44" s="131"/>
      <c r="AP44" s="131"/>
      <c r="AQ44" s="131"/>
      <c r="AR44" s="131"/>
      <c r="AS44" s="131"/>
      <c r="AT44" s="131"/>
      <c r="AU44" s="131"/>
      <c r="AV44" s="131"/>
      <c r="AW44" s="131"/>
      <c r="AX44" s="173"/>
      <c r="AY44" s="173"/>
      <c r="AZ44" s="173"/>
      <c r="BA44" s="173"/>
      <c r="BB44" s="173"/>
      <c r="BC44" s="173"/>
      <c r="BD44" s="173"/>
      <c r="BE44" s="173"/>
      <c r="BF44" s="173"/>
      <c r="BG44" s="242"/>
      <c r="BH44" s="242"/>
      <c r="BI44" s="242"/>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row>
    <row r="45" spans="1:90" ht="18" customHeight="1">
      <c r="A45" s="177"/>
      <c r="B45" s="99"/>
      <c r="C45" s="3508" t="s">
        <v>3</v>
      </c>
      <c r="D45" s="3385">
        <v>45778</v>
      </c>
      <c r="E45" s="3384">
        <f>'Data Sheet-II'!M71</f>
        <v>20000</v>
      </c>
      <c r="F45" s="3510" t="s">
        <v>285</v>
      </c>
      <c r="G45" s="3385">
        <v>45962</v>
      </c>
      <c r="H45" s="3507">
        <f>'Data Sheet-II'!M77</f>
        <v>20000</v>
      </c>
      <c r="I45" s="3292" t="str">
        <f>IF('Old Tax Regime'!I75&gt;0,'Old Tax Regime'!I75,"")</f>
        <v/>
      </c>
      <c r="J45" s="6661" t="str">
        <f>IF('Old Tax Regime'!J75&gt;0,'Old Tax Regime'!J75,"")</f>
        <v/>
      </c>
      <c r="K45" s="6662"/>
      <c r="L45" s="6677"/>
      <c r="M45" s="5896"/>
      <c r="N45" s="2939"/>
      <c r="O45" s="152"/>
      <c r="P45" s="152"/>
      <c r="Q45" s="152"/>
      <c r="R45" s="152"/>
      <c r="S45" s="152"/>
      <c r="T45" s="152"/>
      <c r="U45" s="152"/>
      <c r="V45" s="152"/>
      <c r="W45" s="152"/>
      <c r="X45" s="152"/>
      <c r="Y45" s="152"/>
      <c r="Z45" s="152"/>
      <c r="AA45" s="152"/>
      <c r="AB45" s="152"/>
      <c r="AC45" s="152"/>
      <c r="AD45" s="152"/>
      <c r="AE45" s="152"/>
      <c r="AF45" s="152"/>
      <c r="AG45" s="152"/>
      <c r="AH45" s="152"/>
      <c r="AI45" s="152"/>
      <c r="AJ45" s="194"/>
      <c r="AK45" s="195"/>
      <c r="AL45" s="182"/>
      <c r="AM45" s="182"/>
      <c r="AN45" s="182"/>
      <c r="AO45" s="182"/>
      <c r="AP45" s="182"/>
      <c r="AQ45" s="182"/>
      <c r="AR45" s="182"/>
      <c r="AS45" s="182"/>
      <c r="AT45" s="182"/>
      <c r="AU45" s="182"/>
      <c r="AV45" s="182"/>
      <c r="AW45" s="182"/>
      <c r="AX45" s="173"/>
      <c r="AY45" s="173"/>
      <c r="AZ45" s="173"/>
      <c r="BA45" s="173"/>
      <c r="BB45" s="173"/>
      <c r="BC45" s="173"/>
      <c r="BD45" s="173"/>
      <c r="BE45" s="173"/>
      <c r="BF45" s="173"/>
      <c r="BG45" s="242"/>
      <c r="BH45" s="242"/>
      <c r="BI45" s="242"/>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row>
    <row r="46" spans="1:90" ht="18" customHeight="1">
      <c r="A46" s="177"/>
      <c r="B46" s="99"/>
      <c r="C46" s="3508" t="s">
        <v>4</v>
      </c>
      <c r="D46" s="3509">
        <v>45809</v>
      </c>
      <c r="E46" s="3384">
        <f>'Data Sheet-II'!M72</f>
        <v>20000</v>
      </c>
      <c r="F46" s="3511" t="s">
        <v>542</v>
      </c>
      <c r="G46" s="3509">
        <v>45992</v>
      </c>
      <c r="H46" s="3507">
        <f>'Data Sheet-II'!M78</f>
        <v>14000</v>
      </c>
      <c r="I46" s="3494" t="str">
        <f>IF('Old Tax Regime'!I76&gt;0,'Old Tax Regime'!I76,"")</f>
        <v/>
      </c>
      <c r="J46" s="6661"/>
      <c r="K46" s="6662"/>
      <c r="L46" s="6677"/>
      <c r="M46" s="5896"/>
      <c r="N46" s="2939"/>
      <c r="O46" s="152"/>
      <c r="P46" s="152"/>
      <c r="Q46" s="152"/>
      <c r="R46" s="152"/>
      <c r="S46" s="152"/>
      <c r="T46" s="152"/>
      <c r="U46" s="152"/>
      <c r="V46" s="152"/>
      <c r="W46" s="152"/>
      <c r="X46" s="152"/>
      <c r="Y46" s="152"/>
      <c r="Z46" s="152"/>
      <c r="AA46" s="152"/>
      <c r="AB46" s="152"/>
      <c r="AC46" s="152"/>
      <c r="AD46" s="152"/>
      <c r="AE46" s="152"/>
      <c r="AF46" s="152"/>
      <c r="AG46" s="152"/>
      <c r="AH46" s="152"/>
      <c r="AI46" s="152"/>
      <c r="AJ46" s="194"/>
      <c r="AK46" s="194"/>
      <c r="AL46" s="182"/>
      <c r="AM46" s="182"/>
      <c r="AN46" s="182"/>
      <c r="AO46" s="182"/>
      <c r="AP46" s="196"/>
      <c r="AQ46" s="182"/>
      <c r="AR46" s="182"/>
      <c r="AS46" s="182"/>
      <c r="AT46" s="182"/>
      <c r="AU46" s="182"/>
      <c r="AV46" s="182"/>
      <c r="AW46" s="182"/>
      <c r="AX46" s="173"/>
      <c r="AY46" s="173"/>
      <c r="AZ46" s="173"/>
      <c r="BA46" s="173"/>
      <c r="BB46" s="173"/>
      <c r="BC46" s="173"/>
      <c r="BD46" s="173"/>
      <c r="BE46" s="173"/>
      <c r="BF46" s="173"/>
      <c r="BG46" s="242"/>
      <c r="BH46" s="242"/>
      <c r="BI46" s="242"/>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row>
    <row r="47" spans="1:90" ht="18" customHeight="1">
      <c r="A47" s="177"/>
      <c r="B47" s="99"/>
      <c r="C47" s="3508" t="s">
        <v>278</v>
      </c>
      <c r="D47" s="3385">
        <v>45839</v>
      </c>
      <c r="E47" s="3384">
        <f>'Data Sheet-II'!M73</f>
        <v>20000</v>
      </c>
      <c r="F47" s="3511" t="s">
        <v>543</v>
      </c>
      <c r="G47" s="3385">
        <v>46023</v>
      </c>
      <c r="H47" s="3507">
        <f>'Data Sheet-II'!M79</f>
        <v>0</v>
      </c>
      <c r="I47" s="3494" t="str">
        <f>IF('Old Tax Regime'!I77&gt;0,'Old Tax Regime'!I77,"")</f>
        <v/>
      </c>
      <c r="J47" s="6661"/>
      <c r="K47" s="6662"/>
      <c r="L47" s="6677"/>
      <c r="M47" s="5896"/>
      <c r="N47" s="2939"/>
      <c r="O47" s="152"/>
      <c r="P47" s="152"/>
      <c r="Q47" s="152"/>
      <c r="R47" s="152"/>
      <c r="S47" s="152"/>
      <c r="T47" s="152"/>
      <c r="U47" s="152"/>
      <c r="V47" s="152"/>
      <c r="W47" s="152"/>
      <c r="X47" s="152"/>
      <c r="Y47" s="152"/>
      <c r="Z47" s="152"/>
      <c r="AA47" s="152"/>
      <c r="AB47" s="152"/>
      <c r="AC47" s="152"/>
      <c r="AD47" s="152"/>
      <c r="AE47" s="152"/>
      <c r="AF47" s="152"/>
      <c r="AG47" s="152"/>
      <c r="AH47" s="152"/>
      <c r="AI47" s="152"/>
      <c r="AJ47" s="194"/>
      <c r="AK47" s="197"/>
      <c r="AL47" s="197"/>
      <c r="AM47" s="182"/>
      <c r="AN47" s="182"/>
      <c r="AO47" s="182"/>
      <c r="AP47" s="182"/>
      <c r="AQ47" s="182"/>
      <c r="AR47" s="182"/>
      <c r="AS47" s="182"/>
      <c r="AT47" s="182"/>
      <c r="AU47" s="182"/>
      <c r="AV47" s="182"/>
      <c r="AW47" s="182"/>
      <c r="AX47" s="173"/>
      <c r="AY47" s="173"/>
      <c r="AZ47" s="173"/>
      <c r="BA47" s="173"/>
      <c r="BB47" s="173"/>
      <c r="BC47" s="173"/>
      <c r="BD47" s="173"/>
      <c r="BE47" s="173"/>
      <c r="BF47" s="173"/>
      <c r="BG47" s="242"/>
      <c r="BH47" s="242"/>
      <c r="BI47" s="242"/>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row>
    <row r="48" spans="1:90" ht="18" customHeight="1" thickBot="1">
      <c r="A48" s="177"/>
      <c r="B48" s="99"/>
      <c r="C48" s="3508" t="s">
        <v>282</v>
      </c>
      <c r="D48" s="3509">
        <v>45870</v>
      </c>
      <c r="E48" s="3384">
        <f>'Data Sheet-II'!M74</f>
        <v>20000</v>
      </c>
      <c r="F48" s="3508" t="s">
        <v>544</v>
      </c>
      <c r="G48" s="3509">
        <v>46054</v>
      </c>
      <c r="H48" s="3507">
        <f>'Data Sheet-II'!M80</f>
        <v>0</v>
      </c>
      <c r="I48" s="3494" t="str">
        <f>IF('Old Tax Regime'!I78&gt;0,'Old Tax Regime'!I78,"")</f>
        <v/>
      </c>
      <c r="J48" s="6661"/>
      <c r="K48" s="6662"/>
      <c r="L48" s="6677"/>
      <c r="M48" s="5896"/>
      <c r="N48" s="2939"/>
      <c r="O48" s="152"/>
      <c r="P48" s="152"/>
      <c r="Q48" s="152"/>
      <c r="R48" s="3484"/>
      <c r="S48" s="152"/>
      <c r="T48" s="152"/>
      <c r="U48" s="152"/>
      <c r="V48" s="152"/>
      <c r="W48" s="152"/>
      <c r="X48" s="152"/>
      <c r="Y48" s="152"/>
      <c r="Z48" s="152"/>
      <c r="AA48" s="152"/>
      <c r="AB48" s="152"/>
      <c r="AC48" s="152"/>
      <c r="AD48" s="152"/>
      <c r="AE48" s="152"/>
      <c r="AF48" s="152"/>
      <c r="AG48" s="152"/>
      <c r="AH48" s="152"/>
      <c r="AI48" s="152"/>
      <c r="AJ48" s="194"/>
      <c r="AK48" s="182"/>
      <c r="AL48" s="198"/>
      <c r="AM48" s="182"/>
      <c r="AN48" s="182"/>
      <c r="AO48" s="198"/>
      <c r="AP48" s="198"/>
      <c r="AQ48" s="198"/>
      <c r="AR48" s="198"/>
      <c r="AS48" s="182"/>
      <c r="AT48" s="182"/>
      <c r="AU48" s="182"/>
      <c r="AV48" s="182"/>
      <c r="AW48" s="182"/>
      <c r="AX48" s="173"/>
      <c r="AY48" s="173"/>
      <c r="AZ48" s="173"/>
      <c r="BA48" s="173"/>
      <c r="BB48" s="173"/>
      <c r="BC48" s="173"/>
      <c r="BD48" s="173"/>
      <c r="BE48" s="173"/>
      <c r="BF48" s="173"/>
      <c r="BG48" s="242"/>
      <c r="BH48" s="242"/>
      <c r="BI48" s="242"/>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row>
    <row r="49" spans="1:90" ht="16.5" customHeight="1" thickTop="1" thickBot="1">
      <c r="A49" s="177"/>
      <c r="B49" s="99"/>
      <c r="C49" s="6672"/>
      <c r="D49" s="6673"/>
      <c r="E49" s="6674"/>
      <c r="F49" s="6706" t="s">
        <v>22</v>
      </c>
      <c r="G49" s="6707"/>
      <c r="H49" s="2665">
        <f>SUM(E43+E44+E45+E46+E47+E48+H43+H44+H45+H46+H47+H48)</f>
        <v>194000</v>
      </c>
      <c r="I49" s="3512"/>
      <c r="J49" s="6661"/>
      <c r="K49" s="6662"/>
      <c r="L49" s="6678"/>
      <c r="M49" s="5898"/>
      <c r="N49" s="2939"/>
      <c r="O49" s="152"/>
      <c r="P49" s="152"/>
      <c r="Q49" s="152"/>
      <c r="R49" s="152"/>
      <c r="S49" s="152"/>
      <c r="T49" s="152"/>
      <c r="U49" s="152"/>
      <c r="V49" s="152"/>
      <c r="W49" s="152"/>
      <c r="X49" s="152"/>
      <c r="Y49" s="152"/>
      <c r="Z49" s="152"/>
      <c r="AA49" s="152"/>
      <c r="AB49" s="152"/>
      <c r="AC49" s="152"/>
      <c r="AD49" s="152"/>
      <c r="AE49" s="152"/>
      <c r="AF49" s="152"/>
      <c r="AG49" s="152"/>
      <c r="AH49" s="152"/>
      <c r="AI49" s="152"/>
      <c r="AJ49" s="194"/>
      <c r="AK49" s="194"/>
      <c r="AL49" s="198"/>
      <c r="AM49" s="198"/>
      <c r="AN49" s="198"/>
      <c r="AO49" s="198"/>
      <c r="AP49" s="198"/>
      <c r="AQ49" s="198"/>
      <c r="AR49" s="198"/>
      <c r="AS49" s="182"/>
      <c r="AT49" s="182"/>
      <c r="AU49" s="182"/>
      <c r="AV49" s="182"/>
      <c r="AW49" s="182"/>
      <c r="AX49" s="173"/>
      <c r="AY49" s="173"/>
      <c r="AZ49" s="173"/>
      <c r="BA49" s="173"/>
      <c r="BB49" s="173"/>
      <c r="BC49" s="173"/>
      <c r="BD49" s="173"/>
      <c r="BE49" s="173"/>
      <c r="BF49" s="173"/>
      <c r="BG49" s="242"/>
      <c r="BH49" s="242"/>
      <c r="BI49" s="242"/>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row>
    <row r="50" spans="1:90" ht="16.5" customHeight="1" thickTop="1" thickBot="1">
      <c r="A50" s="177"/>
      <c r="B50" s="99"/>
      <c r="C50" s="3513"/>
      <c r="D50" s="3514"/>
      <c r="E50" s="3514"/>
      <c r="F50" s="6703"/>
      <c r="G50" s="6704"/>
      <c r="H50" s="6705"/>
      <c r="I50" s="6668" t="str">
        <f>IF(U43&lt;0,"Tax  To be  Refundable ","Tax To  be Paid  Now")</f>
        <v xml:space="preserve">Tax  To be  Refundable </v>
      </c>
      <c r="J50" s="6669"/>
      <c r="K50" s="6670"/>
      <c r="L50" s="2666" t="s">
        <v>5</v>
      </c>
      <c r="M50" s="2667">
        <f>IF(AND(U41&gt;=0,U43=0),"No Tax",IF(U43&gt;=0,U43,ABS(U43)))</f>
        <v>51118</v>
      </c>
      <c r="N50" s="2939"/>
      <c r="O50" s="152"/>
      <c r="P50" s="152"/>
      <c r="Q50" s="152"/>
      <c r="R50" s="152"/>
      <c r="S50" s="152"/>
      <c r="T50" s="152"/>
      <c r="U50" s="152"/>
      <c r="V50" s="152"/>
      <c r="W50" s="152"/>
      <c r="X50" s="152"/>
      <c r="Y50" s="152"/>
      <c r="Z50" s="152"/>
      <c r="AA50" s="152"/>
      <c r="AB50" s="152"/>
      <c r="AC50" s="152"/>
      <c r="AD50" s="152"/>
      <c r="AE50" s="152"/>
      <c r="AF50" s="152"/>
      <c r="AG50" s="152"/>
      <c r="AH50" s="152"/>
      <c r="AI50" s="152"/>
      <c r="AJ50" s="194"/>
      <c r="AK50" s="194"/>
      <c r="AL50" s="198"/>
      <c r="AM50" s="198"/>
      <c r="AN50" s="198"/>
      <c r="AO50" s="198"/>
      <c r="AP50" s="198"/>
      <c r="AQ50" s="198"/>
      <c r="AR50" s="198"/>
      <c r="AS50" s="182"/>
      <c r="AT50" s="182"/>
      <c r="AU50" s="182"/>
      <c r="AV50" s="182"/>
      <c r="AW50" s="182"/>
      <c r="AX50" s="173"/>
      <c r="AY50" s="173"/>
      <c r="AZ50" s="173"/>
      <c r="BA50" s="173"/>
      <c r="BB50" s="173"/>
      <c r="BC50" s="173"/>
      <c r="BD50" s="173"/>
      <c r="BE50" s="173"/>
      <c r="BF50" s="173"/>
      <c r="BG50" s="242"/>
      <c r="BH50" s="242"/>
      <c r="BI50" s="242"/>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row>
    <row r="51" spans="1:90" ht="20.25" customHeight="1">
      <c r="A51" s="177"/>
      <c r="B51" s="99"/>
      <c r="C51" s="3481"/>
      <c r="D51" s="1032"/>
      <c r="E51" s="1032"/>
      <c r="F51" s="2485"/>
      <c r="G51" s="2485"/>
      <c r="H51" s="2485"/>
      <c r="I51" s="3479"/>
      <c r="J51" s="3479"/>
      <c r="K51" s="3479"/>
      <c r="L51" s="3480"/>
      <c r="M51" s="2658"/>
      <c r="N51" s="2939"/>
      <c r="O51" s="152"/>
      <c r="P51" s="152"/>
      <c r="Q51" s="152"/>
      <c r="R51" s="152"/>
      <c r="S51" s="152"/>
      <c r="T51" s="152"/>
      <c r="U51" s="152"/>
      <c r="V51" s="152"/>
      <c r="W51" s="152"/>
      <c r="X51" s="152"/>
      <c r="Y51" s="152"/>
      <c r="Z51" s="152"/>
      <c r="AA51" s="152"/>
      <c r="AB51" s="152"/>
      <c r="AC51" s="152"/>
      <c r="AD51" s="152"/>
      <c r="AE51" s="152"/>
      <c r="AF51" s="152"/>
      <c r="AG51" s="152"/>
      <c r="AH51" s="152"/>
      <c r="AI51" s="152"/>
      <c r="AJ51" s="194"/>
      <c r="AK51" s="194"/>
      <c r="AL51" s="198"/>
      <c r="AM51" s="198"/>
      <c r="AN51" s="198"/>
      <c r="AO51" s="198"/>
      <c r="AP51" s="198"/>
      <c r="AQ51" s="198"/>
      <c r="AR51" s="198"/>
      <c r="AS51" s="182"/>
      <c r="AT51" s="182"/>
      <c r="AU51" s="182"/>
      <c r="AV51" s="182"/>
      <c r="AW51" s="182"/>
      <c r="AX51" s="173"/>
      <c r="AY51" s="173"/>
      <c r="AZ51" s="173"/>
      <c r="BA51" s="173"/>
      <c r="BB51" s="173"/>
      <c r="BC51" s="173"/>
      <c r="BD51" s="173"/>
      <c r="BE51" s="173"/>
      <c r="BF51" s="173"/>
      <c r="BG51" s="242"/>
      <c r="BH51" s="242"/>
      <c r="BI51" s="242"/>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row>
    <row r="52" spans="1:90" ht="21" customHeight="1" thickBot="1">
      <c r="A52" s="177"/>
      <c r="B52" s="1650"/>
      <c r="C52" s="6804" t="s">
        <v>32</v>
      </c>
      <c r="D52" s="6804"/>
      <c r="E52" s="6804"/>
      <c r="F52" s="6804"/>
      <c r="G52" s="6804"/>
      <c r="H52" s="1033"/>
      <c r="I52" s="6658" t="s">
        <v>30</v>
      </c>
      <c r="J52" s="6658"/>
      <c r="K52" s="6658"/>
      <c r="L52" s="6658"/>
      <c r="M52" s="6659"/>
      <c r="N52" s="2939"/>
      <c r="O52" s="152"/>
      <c r="P52" s="1086"/>
      <c r="Q52" s="1086"/>
      <c r="R52" s="1086"/>
      <c r="S52" s="1086"/>
      <c r="T52" s="1086"/>
      <c r="U52" s="993"/>
      <c r="V52" s="152"/>
      <c r="W52" s="152"/>
      <c r="X52" s="152"/>
      <c r="Y52" s="152"/>
      <c r="Z52" s="152"/>
      <c r="AA52" s="152"/>
      <c r="AB52" s="152"/>
      <c r="AC52" s="152"/>
      <c r="AD52" s="152"/>
      <c r="AE52" s="152"/>
      <c r="AF52" s="152"/>
      <c r="AG52" s="152"/>
      <c r="AH52" s="152"/>
      <c r="AI52" s="152"/>
      <c r="AJ52" s="194"/>
      <c r="AK52" s="194"/>
      <c r="AL52" s="198"/>
      <c r="AM52" s="198"/>
      <c r="AN52" s="198"/>
      <c r="AO52" s="198"/>
      <c r="AP52" s="198"/>
      <c r="AQ52" s="200"/>
      <c r="AR52" s="201"/>
      <c r="AS52" s="200"/>
      <c r="AT52" s="182"/>
      <c r="AU52" s="182"/>
      <c r="AV52" s="182"/>
      <c r="AW52" s="182"/>
      <c r="AX52" s="173"/>
      <c r="AY52" s="173"/>
      <c r="AZ52" s="173"/>
      <c r="BA52" s="173"/>
      <c r="BB52" s="173"/>
      <c r="BC52" s="173"/>
      <c r="BD52" s="173"/>
      <c r="BE52" s="173"/>
      <c r="BF52" s="173"/>
      <c r="BG52" s="242"/>
      <c r="BH52" s="242"/>
      <c r="BI52" s="242"/>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row>
    <row r="53" spans="1:90" ht="17.25" customHeight="1" thickTop="1">
      <c r="A53" s="1005"/>
      <c r="B53" s="3394"/>
      <c r="C53" s="3395"/>
      <c r="D53" s="3396"/>
      <c r="E53" s="3396"/>
      <c r="F53" s="3396"/>
      <c r="G53" s="3396"/>
      <c r="H53" s="3396"/>
      <c r="I53" s="3397"/>
      <c r="J53" s="3398"/>
      <c r="K53" s="3399"/>
      <c r="L53" s="3400"/>
      <c r="M53" s="3399"/>
      <c r="N53" s="991"/>
      <c r="O53" s="152"/>
      <c r="P53" s="1086"/>
      <c r="Q53" s="1086"/>
      <c r="R53" s="1086"/>
      <c r="S53" s="1086"/>
      <c r="T53" s="1009"/>
      <c r="U53" s="991"/>
      <c r="V53" s="152"/>
      <c r="W53" s="152"/>
      <c r="X53" s="152"/>
      <c r="Y53" s="152"/>
      <c r="Z53" s="152"/>
      <c r="AA53" s="152"/>
      <c r="AB53" s="152"/>
      <c r="AC53" s="152"/>
      <c r="AD53" s="152"/>
      <c r="AE53" s="152"/>
      <c r="AF53" s="152"/>
      <c r="AG53" s="152"/>
      <c r="AH53" s="152"/>
      <c r="AI53" s="152"/>
      <c r="AJ53" s="194"/>
      <c r="AK53" s="194"/>
      <c r="AL53" s="198"/>
      <c r="AM53" s="198"/>
      <c r="AN53" s="198"/>
      <c r="AO53" s="198"/>
      <c r="AP53" s="198"/>
      <c r="AQ53" s="200"/>
      <c r="AR53" s="200"/>
      <c r="AS53" s="200"/>
      <c r="AT53" s="182"/>
      <c r="AU53" s="182"/>
      <c r="AV53" s="182"/>
      <c r="AW53" s="182"/>
      <c r="AX53" s="173"/>
      <c r="AY53" s="173"/>
      <c r="AZ53" s="173"/>
      <c r="BA53" s="173"/>
      <c r="BB53" s="173"/>
      <c r="BC53" s="173"/>
      <c r="BD53" s="173"/>
      <c r="BE53" s="173"/>
      <c r="BF53" s="173"/>
      <c r="BG53" s="242"/>
      <c r="BH53" s="242"/>
      <c r="BI53" s="242"/>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row>
    <row r="54" spans="1:90" ht="20.100000000000001" hidden="1" customHeight="1">
      <c r="A54" s="1005"/>
      <c r="B54" s="1043"/>
      <c r="C54" s="1005"/>
      <c r="D54" s="1016"/>
      <c r="E54" s="1016"/>
      <c r="F54" s="1016"/>
      <c r="G54" s="1016"/>
      <c r="H54" s="1016"/>
      <c r="I54" s="1016"/>
      <c r="J54" s="1044"/>
      <c r="K54" s="991"/>
      <c r="L54" s="1045"/>
      <c r="M54" s="991"/>
      <c r="N54" s="991"/>
      <c r="O54" s="152"/>
      <c r="P54" s="1087"/>
      <c r="Q54" s="1087"/>
      <c r="R54" s="1088"/>
      <c r="S54" s="1088"/>
      <c r="T54" s="993"/>
      <c r="U54" s="993"/>
      <c r="V54" s="152"/>
      <c r="W54" s="152"/>
      <c r="X54" s="152"/>
      <c r="Y54" s="152"/>
      <c r="Z54" s="152"/>
      <c r="AA54" s="152"/>
      <c r="AB54" s="152"/>
      <c r="AC54" s="152"/>
      <c r="AD54" s="152"/>
      <c r="AE54" s="152"/>
      <c r="AF54" s="152"/>
      <c r="AG54" s="152"/>
      <c r="AH54" s="152"/>
      <c r="AI54" s="152"/>
      <c r="AJ54" s="194"/>
      <c r="AK54" s="194"/>
      <c r="AL54" s="198"/>
      <c r="AM54" s="198"/>
      <c r="AN54" s="202"/>
      <c r="AO54" s="198"/>
      <c r="AP54" s="198"/>
      <c r="AQ54" s="198"/>
      <c r="AR54" s="203"/>
      <c r="AS54" s="182"/>
      <c r="AT54" s="182"/>
      <c r="AU54" s="182"/>
      <c r="AV54" s="182"/>
      <c r="AW54" s="182"/>
      <c r="AX54" s="173"/>
      <c r="AY54" s="173"/>
      <c r="AZ54" s="173"/>
      <c r="BA54" s="173"/>
      <c r="BB54" s="173"/>
      <c r="BC54" s="173"/>
      <c r="BD54" s="173"/>
      <c r="BE54" s="173"/>
      <c r="BF54" s="173"/>
      <c r="BG54" s="242"/>
      <c r="BH54" s="242"/>
      <c r="BI54" s="242"/>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row>
    <row r="55" spans="1:90" ht="20.100000000000001" hidden="1" customHeight="1">
      <c r="A55" s="1005"/>
      <c r="B55" s="1043"/>
      <c r="C55" s="1005"/>
      <c r="D55" s="1016"/>
      <c r="E55" s="1016"/>
      <c r="F55" s="1016"/>
      <c r="G55" s="1016"/>
      <c r="H55" s="1016"/>
      <c r="I55" s="1016"/>
      <c r="J55" s="1044"/>
      <c r="K55" s="991"/>
      <c r="L55" s="1045"/>
      <c r="M55" s="991"/>
      <c r="N55" s="991"/>
      <c r="O55" s="152"/>
      <c r="P55" s="1089"/>
      <c r="Q55" s="1089"/>
      <c r="R55" s="1088"/>
      <c r="S55" s="1088"/>
      <c r="T55" s="1090"/>
      <c r="U55" s="1004"/>
      <c r="V55" s="152"/>
      <c r="W55" s="152"/>
      <c r="X55" s="152"/>
      <c r="Y55" s="152"/>
      <c r="Z55" s="152"/>
      <c r="AA55" s="152"/>
      <c r="AB55" s="152"/>
      <c r="AC55" s="152"/>
      <c r="AD55" s="152"/>
      <c r="AE55" s="152"/>
      <c r="AF55" s="152"/>
      <c r="AG55" s="152"/>
      <c r="AH55" s="152"/>
      <c r="AI55" s="152"/>
      <c r="AJ55" s="194"/>
      <c r="AK55" s="194"/>
      <c r="AL55" s="198"/>
      <c r="AM55" s="198"/>
      <c r="AN55" s="202"/>
      <c r="AO55" s="198"/>
      <c r="AP55" s="198"/>
      <c r="AQ55" s="198"/>
      <c r="AR55" s="203"/>
      <c r="AS55" s="182"/>
      <c r="AT55" s="182"/>
      <c r="AU55" s="182"/>
      <c r="AV55" s="182"/>
      <c r="AW55" s="182"/>
      <c r="AX55" s="173"/>
      <c r="AY55" s="173"/>
      <c r="AZ55" s="173"/>
      <c r="BA55" s="173"/>
      <c r="BB55" s="173"/>
      <c r="BC55" s="173"/>
      <c r="BD55" s="173"/>
      <c r="BE55" s="173"/>
      <c r="BF55" s="173"/>
      <c r="BG55" s="242"/>
      <c r="BH55" s="242"/>
      <c r="BI55" s="242"/>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row>
    <row r="56" spans="1:90" ht="20.100000000000001" hidden="1" customHeight="1">
      <c r="A56" s="1005"/>
      <c r="B56" s="1043"/>
      <c r="C56" s="1005"/>
      <c r="D56" s="1016"/>
      <c r="E56" s="1016"/>
      <c r="F56" s="1016"/>
      <c r="G56" s="1016"/>
      <c r="H56" s="1016"/>
      <c r="I56" s="1016"/>
      <c r="J56" s="1044"/>
      <c r="K56" s="991"/>
      <c r="L56" s="1045"/>
      <c r="M56" s="991"/>
      <c r="N56" s="991"/>
      <c r="O56" s="152"/>
      <c r="P56" s="1089"/>
      <c r="Q56" s="1089"/>
      <c r="R56" s="1088"/>
      <c r="S56" s="1088"/>
      <c r="T56" s="1090"/>
      <c r="U56" s="1004"/>
      <c r="V56" s="152"/>
      <c r="W56" s="152"/>
      <c r="X56" s="152"/>
      <c r="Y56" s="152"/>
      <c r="Z56" s="152"/>
      <c r="AA56" s="152"/>
      <c r="AB56" s="152"/>
      <c r="AC56" s="152"/>
      <c r="AD56" s="152"/>
      <c r="AE56" s="152"/>
      <c r="AF56" s="152"/>
      <c r="AG56" s="152"/>
      <c r="AH56" s="152"/>
      <c r="AI56" s="152"/>
      <c r="AJ56" s="194"/>
      <c r="AK56" s="194"/>
      <c r="AL56" s="198"/>
      <c r="AM56" s="198"/>
      <c r="AN56" s="202"/>
      <c r="AO56" s="198"/>
      <c r="AP56" s="198"/>
      <c r="AQ56" s="198"/>
      <c r="AR56" s="203"/>
      <c r="AS56" s="182"/>
      <c r="AT56" s="182"/>
      <c r="AU56" s="182"/>
      <c r="AV56" s="182"/>
      <c r="AW56" s="182"/>
      <c r="AX56" s="173"/>
      <c r="AY56" s="173"/>
      <c r="AZ56" s="173"/>
      <c r="BA56" s="173"/>
      <c r="BB56" s="173"/>
      <c r="BC56" s="173"/>
      <c r="BD56" s="173"/>
      <c r="BE56" s="173"/>
      <c r="BF56" s="173"/>
      <c r="BG56" s="242"/>
      <c r="BH56" s="242"/>
      <c r="BI56" s="242"/>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row>
    <row r="57" spans="1:90" ht="20.100000000000001" hidden="1" customHeight="1">
      <c r="A57" s="1046"/>
      <c r="B57" s="1043"/>
      <c r="C57" s="1047"/>
      <c r="D57" s="1047"/>
      <c r="E57" s="1047"/>
      <c r="F57" s="1047"/>
      <c r="G57" s="1048"/>
      <c r="H57" s="1048"/>
      <c r="I57" s="1016"/>
      <c r="J57" s="1044"/>
      <c r="K57" s="1049"/>
      <c r="L57" s="1050"/>
      <c r="M57" s="991"/>
      <c r="N57" s="991"/>
      <c r="O57" s="152"/>
      <c r="P57" s="1089"/>
      <c r="Q57" s="1089"/>
      <c r="R57" s="1088"/>
      <c r="S57" s="1088"/>
      <c r="T57" s="1090"/>
      <c r="U57" s="1004"/>
      <c r="V57" s="152"/>
      <c r="W57" s="152"/>
      <c r="X57" s="152"/>
      <c r="Y57" s="152"/>
      <c r="Z57" s="152"/>
      <c r="AA57" s="152"/>
      <c r="AB57" s="152"/>
      <c r="AC57" s="152"/>
      <c r="AD57" s="152"/>
      <c r="AE57" s="152"/>
      <c r="AF57" s="152"/>
      <c r="AG57" s="152"/>
      <c r="AH57" s="152"/>
      <c r="AI57" s="152"/>
      <c r="AJ57" s="195"/>
      <c r="AK57" s="204"/>
      <c r="AL57" s="205"/>
      <c r="AM57" s="206"/>
      <c r="AN57" s="206"/>
      <c r="AO57" s="206"/>
      <c r="AP57" s="170"/>
      <c r="AQ57" s="206"/>
      <c r="AR57" s="170"/>
      <c r="AS57" s="131"/>
      <c r="AT57" s="207"/>
      <c r="AU57" s="131"/>
      <c r="AV57" s="153"/>
      <c r="AW57" s="131"/>
      <c r="AX57" s="173"/>
      <c r="AY57" s="173"/>
      <c r="AZ57" s="173"/>
      <c r="BA57" s="173"/>
      <c r="BB57" s="173"/>
      <c r="BC57" s="173"/>
      <c r="BD57" s="173"/>
      <c r="BE57" s="173"/>
      <c r="BF57" s="173"/>
      <c r="BG57" s="242"/>
      <c r="BH57" s="242"/>
      <c r="BI57" s="242"/>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row>
    <row r="58" spans="1:90" ht="20.100000000000001" hidden="1" customHeight="1">
      <c r="A58" s="1046"/>
      <c r="B58" s="1043"/>
      <c r="C58" s="1051"/>
      <c r="D58" s="1051"/>
      <c r="E58" s="1051"/>
      <c r="F58" s="1048"/>
      <c r="G58" s="1048"/>
      <c r="H58" s="1048"/>
      <c r="I58" s="1016"/>
      <c r="J58" s="1044"/>
      <c r="K58" s="1049"/>
      <c r="L58" s="1050"/>
      <c r="M58" s="991"/>
      <c r="N58" s="991"/>
      <c r="O58" s="152"/>
      <c r="P58" s="1089"/>
      <c r="Q58" s="1089"/>
      <c r="R58" s="1091"/>
      <c r="S58" s="1091"/>
      <c r="T58" s="1090"/>
      <c r="U58" s="1004"/>
      <c r="V58" s="152"/>
      <c r="W58" s="152"/>
      <c r="X58" s="152"/>
      <c r="Y58" s="152"/>
      <c r="Z58" s="152"/>
      <c r="AA58" s="152"/>
      <c r="AB58" s="152"/>
      <c r="AC58" s="152"/>
      <c r="AD58" s="152"/>
      <c r="AE58" s="152"/>
      <c r="AF58" s="152"/>
      <c r="AG58" s="152"/>
      <c r="AH58" s="152"/>
      <c r="AI58" s="152"/>
      <c r="AJ58" s="195"/>
      <c r="AK58" s="204"/>
      <c r="AL58" s="205"/>
      <c r="AM58" s="206"/>
      <c r="AN58" s="206"/>
      <c r="AO58" s="206"/>
      <c r="AP58" s="170"/>
      <c r="AQ58" s="206"/>
      <c r="AR58" s="170"/>
      <c r="AS58" s="131"/>
      <c r="AT58" s="207"/>
      <c r="AU58" s="131"/>
      <c r="AV58" s="153"/>
      <c r="AW58" s="131"/>
      <c r="AX58" s="173"/>
      <c r="AY58" s="173"/>
      <c r="AZ58" s="173"/>
      <c r="BA58" s="173"/>
      <c r="BB58" s="173"/>
      <c r="BC58" s="173"/>
      <c r="BD58" s="173"/>
      <c r="BE58" s="173"/>
      <c r="BF58" s="173"/>
      <c r="BG58" s="242"/>
      <c r="BH58" s="242"/>
      <c r="BI58" s="242"/>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row>
    <row r="59" spans="1:90" ht="20.100000000000001" hidden="1" customHeight="1">
      <c r="A59" s="1046"/>
      <c r="B59" s="1043"/>
      <c r="C59" s="1048"/>
      <c r="D59" s="1048"/>
      <c r="E59" s="1048"/>
      <c r="F59" s="1048"/>
      <c r="G59" s="1048"/>
      <c r="H59" s="1048"/>
      <c r="I59" s="1016"/>
      <c r="J59" s="1044"/>
      <c r="K59" s="1052"/>
      <c r="L59" s="1050"/>
      <c r="M59" s="991"/>
      <c r="N59" s="991"/>
      <c r="O59" s="152"/>
      <c r="P59" s="1089"/>
      <c r="Q59" s="1089"/>
      <c r="R59" s="1088"/>
      <c r="S59" s="1088"/>
      <c r="T59" s="1090"/>
      <c r="U59" s="1004"/>
      <c r="V59" s="152"/>
      <c r="W59" s="152"/>
      <c r="X59" s="152"/>
      <c r="Y59" s="991"/>
      <c r="Z59" s="991"/>
      <c r="AA59" s="991"/>
      <c r="AB59" s="991"/>
      <c r="AC59" s="991"/>
      <c r="AD59" s="991"/>
      <c r="AE59" s="991"/>
      <c r="AF59" s="991"/>
      <c r="AG59" s="152"/>
      <c r="AH59" s="152"/>
      <c r="AI59" s="152"/>
      <c r="AJ59" s="195"/>
      <c r="AK59" s="204"/>
      <c r="AL59" s="205"/>
      <c r="AM59" s="206"/>
      <c r="AN59" s="206"/>
      <c r="AO59" s="206"/>
      <c r="AP59" s="170"/>
      <c r="AQ59" s="206"/>
      <c r="AR59" s="170"/>
      <c r="AS59" s="131"/>
      <c r="AT59" s="207"/>
      <c r="AU59" s="131"/>
      <c r="AV59" s="153"/>
      <c r="AW59" s="131"/>
      <c r="AX59" s="173"/>
      <c r="AY59" s="173"/>
      <c r="AZ59" s="173"/>
      <c r="BA59" s="173"/>
      <c r="BB59" s="173"/>
      <c r="BC59" s="173"/>
      <c r="BD59" s="173"/>
      <c r="BE59" s="173"/>
      <c r="BF59" s="173"/>
      <c r="BG59" s="242"/>
      <c r="BH59" s="242"/>
      <c r="BI59" s="242"/>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row>
    <row r="60" spans="1:90" ht="20.100000000000001" hidden="1" customHeight="1">
      <c r="A60" s="1046"/>
      <c r="B60" s="1043"/>
      <c r="C60" s="1048"/>
      <c r="D60" s="1048"/>
      <c r="E60" s="1048"/>
      <c r="F60" s="1048"/>
      <c r="G60" s="1048"/>
      <c r="H60" s="1048"/>
      <c r="I60" s="1016"/>
      <c r="J60" s="1044"/>
      <c r="K60" s="1049"/>
      <c r="L60" s="1050"/>
      <c r="M60" s="991"/>
      <c r="N60" s="991"/>
      <c r="O60" s="152"/>
      <c r="P60" s="1089"/>
      <c r="Q60" s="1089"/>
      <c r="R60" s="1088"/>
      <c r="S60" s="1088"/>
      <c r="T60" s="1090"/>
      <c r="U60" s="1004"/>
      <c r="V60" s="152"/>
      <c r="W60" s="152"/>
      <c r="X60" s="152"/>
      <c r="Y60" s="991"/>
      <c r="Z60" s="991"/>
      <c r="AA60" s="991"/>
      <c r="AB60" s="991"/>
      <c r="AC60" s="991"/>
      <c r="AD60" s="991"/>
      <c r="AE60" s="991"/>
      <c r="AF60" s="991"/>
      <c r="AG60" s="152"/>
      <c r="AH60" s="152"/>
      <c r="AI60" s="152"/>
      <c r="AJ60" s="195"/>
      <c r="AK60" s="204"/>
      <c r="AL60" s="205"/>
      <c r="AM60" s="206"/>
      <c r="AN60" s="206"/>
      <c r="AO60" s="206"/>
      <c r="AP60" s="170"/>
      <c r="AQ60" s="206"/>
      <c r="AR60" s="170"/>
      <c r="AS60" s="131"/>
      <c r="AT60" s="207"/>
      <c r="AU60" s="131"/>
      <c r="AV60" s="153"/>
      <c r="AW60" s="131"/>
      <c r="AX60" s="173"/>
      <c r="AY60" s="173"/>
      <c r="AZ60" s="173"/>
      <c r="BA60" s="173"/>
      <c r="BB60" s="173"/>
      <c r="BC60" s="173"/>
      <c r="BD60" s="173"/>
      <c r="BE60" s="173"/>
      <c r="BF60" s="173"/>
      <c r="BG60" s="242"/>
      <c r="BH60" s="242"/>
      <c r="BI60" s="242"/>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row>
    <row r="61" spans="1:90" ht="20.100000000000001" hidden="1" customHeight="1">
      <c r="A61" s="1046"/>
      <c r="B61" s="1043"/>
      <c r="C61" s="1043"/>
      <c r="D61" s="1053"/>
      <c r="E61" s="1053"/>
      <c r="F61" s="1053"/>
      <c r="G61" s="1053"/>
      <c r="H61" s="1053"/>
      <c r="I61" s="1016"/>
      <c r="J61" s="1044"/>
      <c r="K61" s="1049"/>
      <c r="L61" s="1050"/>
      <c r="M61" s="991"/>
      <c r="N61" s="991"/>
      <c r="O61" s="152"/>
      <c r="P61" s="1092"/>
      <c r="Q61" s="1092"/>
      <c r="R61" s="1092"/>
      <c r="S61" s="1092"/>
      <c r="T61" s="1092"/>
      <c r="U61" s="1004"/>
      <c r="V61" s="152"/>
      <c r="W61" s="152"/>
      <c r="X61" s="152"/>
      <c r="Y61" s="1019"/>
      <c r="Z61" s="1019"/>
      <c r="AA61" s="1019"/>
      <c r="AB61" s="1019"/>
      <c r="AC61" s="1019"/>
      <c r="AD61" s="1020"/>
      <c r="AE61" s="1020"/>
      <c r="AF61" s="991"/>
      <c r="AG61" s="152"/>
      <c r="AH61" s="152"/>
      <c r="AI61" s="152"/>
      <c r="AJ61" s="195"/>
      <c r="AK61" s="204"/>
      <c r="AL61" s="205"/>
      <c r="AM61" s="206"/>
      <c r="AN61" s="206"/>
      <c r="AO61" s="206"/>
      <c r="AP61" s="170"/>
      <c r="AQ61" s="206"/>
      <c r="AR61" s="170"/>
      <c r="AS61" s="131"/>
      <c r="AT61" s="207"/>
      <c r="AU61" s="131"/>
      <c r="AV61" s="153"/>
      <c r="AW61" s="131"/>
      <c r="AX61" s="173"/>
      <c r="AY61" s="173"/>
      <c r="AZ61" s="173"/>
      <c r="BA61" s="173"/>
      <c r="BB61" s="173"/>
      <c r="BC61" s="173"/>
      <c r="BD61" s="173"/>
      <c r="BE61" s="173"/>
      <c r="BF61" s="173"/>
      <c r="BG61" s="242"/>
      <c r="BH61" s="242"/>
      <c r="BI61" s="242"/>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row>
    <row r="62" spans="1:90" ht="20.100000000000001" hidden="1" customHeight="1">
      <c r="A62" s="1046"/>
      <c r="B62" s="1043"/>
      <c r="C62" s="1043"/>
      <c r="D62" s="1053"/>
      <c r="E62" s="1053"/>
      <c r="F62" s="1053"/>
      <c r="G62" s="1053"/>
      <c r="H62" s="1053"/>
      <c r="I62" s="1016"/>
      <c r="J62" s="1044"/>
      <c r="K62" s="1049"/>
      <c r="L62" s="1050"/>
      <c r="M62" s="991"/>
      <c r="N62" s="991"/>
      <c r="O62" s="152"/>
      <c r="P62" s="991"/>
      <c r="Q62" s="991"/>
      <c r="R62" s="991"/>
      <c r="S62" s="991"/>
      <c r="T62" s="991"/>
      <c r="U62" s="991"/>
      <c r="V62" s="152"/>
      <c r="W62" s="152"/>
      <c r="X62" s="152"/>
      <c r="Y62" s="1019"/>
      <c r="Z62" s="1019"/>
      <c r="AA62" s="1019"/>
      <c r="AB62" s="1019"/>
      <c r="AC62" s="1019"/>
      <c r="AD62" s="1020"/>
      <c r="AE62" s="1020"/>
      <c r="AF62" s="991"/>
      <c r="AG62" s="152"/>
      <c r="AH62" s="152"/>
      <c r="AI62" s="152"/>
      <c r="AJ62" s="195"/>
      <c r="AK62" s="204"/>
      <c r="AL62" s="205"/>
      <c r="AM62" s="206"/>
      <c r="AN62" s="206"/>
      <c r="AO62" s="206"/>
      <c r="AP62" s="170"/>
      <c r="AQ62" s="206"/>
      <c r="AR62" s="170"/>
      <c r="AS62" s="131"/>
      <c r="AT62" s="207"/>
      <c r="AU62" s="131"/>
      <c r="AV62" s="153"/>
      <c r="AW62" s="131"/>
      <c r="AX62" s="173"/>
      <c r="AY62" s="173"/>
      <c r="AZ62" s="173"/>
      <c r="BA62" s="173"/>
      <c r="BB62" s="173"/>
      <c r="BC62" s="173"/>
      <c r="BD62" s="173"/>
      <c r="BE62" s="173"/>
      <c r="BF62" s="173"/>
      <c r="BG62" s="242"/>
      <c r="BH62" s="242"/>
      <c r="BI62" s="242"/>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row>
    <row r="63" spans="1:90" ht="12.95" hidden="1" customHeight="1">
      <c r="A63" s="1046"/>
      <c r="B63" s="1043"/>
      <c r="C63" s="1043"/>
      <c r="D63" s="1054"/>
      <c r="E63" s="1054"/>
      <c r="F63" s="1054"/>
      <c r="G63" s="1054"/>
      <c r="H63" s="1054"/>
      <c r="I63" s="1016"/>
      <c r="J63" s="1044"/>
      <c r="K63" s="1049"/>
      <c r="L63" s="1050"/>
      <c r="M63" s="991"/>
      <c r="N63" s="991"/>
      <c r="O63" s="152"/>
      <c r="P63" s="152"/>
      <c r="Q63" s="152"/>
      <c r="R63" s="152"/>
      <c r="S63" s="152"/>
      <c r="T63" s="152"/>
      <c r="U63" s="152"/>
      <c r="V63" s="152"/>
      <c r="W63" s="152"/>
      <c r="X63" s="152"/>
      <c r="Y63" s="1007"/>
      <c r="Z63" s="1008"/>
      <c r="AA63" s="1007"/>
      <c r="AB63" s="1007"/>
      <c r="AC63" s="1007"/>
      <c r="AD63" s="1021"/>
      <c r="AE63" s="1021"/>
      <c r="AF63" s="991"/>
      <c r="AG63" s="152"/>
      <c r="AH63" s="152"/>
      <c r="AI63" s="152"/>
      <c r="AJ63" s="195"/>
      <c r="AK63" s="204"/>
      <c r="AL63" s="205"/>
      <c r="AM63" s="206"/>
      <c r="AN63" s="206"/>
      <c r="AO63" s="206"/>
      <c r="AP63" s="170"/>
      <c r="AQ63" s="206"/>
      <c r="AR63" s="170"/>
      <c r="AS63" s="131"/>
      <c r="AT63" s="207"/>
      <c r="AU63" s="131"/>
      <c r="AV63" s="153"/>
      <c r="AW63" s="131"/>
      <c r="AX63" s="173"/>
      <c r="AY63" s="173"/>
      <c r="AZ63" s="173"/>
      <c r="BA63" s="173"/>
      <c r="BB63" s="173"/>
      <c r="BC63" s="173"/>
      <c r="BD63" s="173"/>
      <c r="BE63" s="173"/>
      <c r="BF63" s="173"/>
      <c r="BG63" s="242"/>
      <c r="BH63" s="242"/>
      <c r="BI63" s="242"/>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row>
    <row r="64" spans="1:90" ht="18.75" hidden="1">
      <c r="A64" s="1046"/>
      <c r="B64" s="1043"/>
      <c r="C64" s="1051"/>
      <c r="D64" s="1051"/>
      <c r="E64" s="1051"/>
      <c r="F64" s="1051"/>
      <c r="G64" s="1051"/>
      <c r="H64" s="1051"/>
      <c r="I64" s="1051"/>
      <c r="J64" s="1044"/>
      <c r="K64" s="1055"/>
      <c r="L64" s="1050"/>
      <c r="M64" s="997"/>
      <c r="N64" s="997"/>
      <c r="O64" s="543"/>
      <c r="P64" s="977"/>
      <c r="Q64" s="977"/>
      <c r="R64" s="977"/>
      <c r="S64" s="977"/>
      <c r="T64" s="263"/>
      <c r="U64" s="160"/>
      <c r="V64" s="160"/>
      <c r="W64" s="160"/>
      <c r="X64" s="160"/>
      <c r="Y64" s="1022"/>
      <c r="Z64" s="1022"/>
      <c r="AA64" s="1022"/>
      <c r="AB64" s="1022"/>
      <c r="AC64" s="1022"/>
      <c r="AD64" s="1022"/>
      <c r="AE64" s="1022"/>
      <c r="AF64" s="997"/>
      <c r="AG64" s="160"/>
      <c r="AH64" s="160"/>
      <c r="AI64" s="160"/>
      <c r="AJ64" s="150"/>
      <c r="AK64" s="6767" t="s">
        <v>286</v>
      </c>
      <c r="AL64" s="6767"/>
      <c r="AM64" s="6767"/>
      <c r="AN64" s="6770">
        <f>M64</f>
        <v>0</v>
      </c>
      <c r="AO64" s="6770"/>
      <c r="AP64" s="6770"/>
      <c r="AQ64" s="170"/>
      <c r="AR64" s="170"/>
      <c r="AS64" s="131"/>
      <c r="AT64" s="208"/>
      <c r="AU64" s="131"/>
      <c r="AV64" s="151"/>
      <c r="AW64" s="131"/>
      <c r="AX64" s="173"/>
      <c r="AY64" s="173"/>
      <c r="AZ64" s="173"/>
      <c r="BA64" s="173"/>
      <c r="BB64" s="173"/>
      <c r="BC64" s="173"/>
      <c r="BD64" s="173"/>
      <c r="BE64" s="173"/>
      <c r="BF64" s="173"/>
      <c r="BG64" s="242"/>
      <c r="BH64" s="242"/>
      <c r="BI64" s="242"/>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row>
    <row r="65" spans="1:90" hidden="1">
      <c r="A65" s="1046"/>
      <c r="B65" s="1043"/>
      <c r="C65" s="1051"/>
      <c r="D65" s="1051"/>
      <c r="E65" s="1051"/>
      <c r="F65" s="1051"/>
      <c r="G65" s="1051"/>
      <c r="H65" s="1051"/>
      <c r="I65" s="1048"/>
      <c r="J65" s="1044"/>
      <c r="K65" s="1056"/>
      <c r="L65" s="1057"/>
      <c r="M65" s="1009"/>
      <c r="N65" s="1009"/>
      <c r="O65" s="209"/>
      <c r="P65" s="209"/>
      <c r="Q65" s="209"/>
      <c r="R65" s="230"/>
      <c r="S65" s="230"/>
      <c r="T65" s="209"/>
      <c r="U65" s="209"/>
      <c r="V65" s="209"/>
      <c r="W65" s="209"/>
      <c r="X65" s="209"/>
      <c r="Y65" s="1022"/>
      <c r="Z65" s="1022"/>
      <c r="AA65" s="1022"/>
      <c r="AB65" s="1022"/>
      <c r="AC65" s="1022"/>
      <c r="AD65" s="1022"/>
      <c r="AE65" s="1022"/>
      <c r="AF65" s="1009"/>
      <c r="AG65" s="209"/>
      <c r="AH65" s="209"/>
      <c r="AI65" s="209"/>
      <c r="AJ65" s="210"/>
      <c r="AK65" s="316"/>
      <c r="AL65" s="215"/>
      <c r="AM65" s="220"/>
      <c r="AN65" s="155"/>
      <c r="AO65" s="155"/>
      <c r="AP65" s="155"/>
      <c r="AQ65" s="206"/>
      <c r="AR65" s="170"/>
      <c r="AS65" s="131"/>
      <c r="AT65" s="207"/>
      <c r="AU65" s="131"/>
      <c r="AV65" s="131"/>
      <c r="AW65" s="131"/>
      <c r="AX65" s="173"/>
      <c r="AY65" s="173"/>
      <c r="AZ65" s="173"/>
      <c r="BA65" s="173"/>
      <c r="BB65" s="173"/>
      <c r="BC65" s="173"/>
      <c r="BD65" s="173"/>
      <c r="BE65" s="173"/>
      <c r="BF65" s="173"/>
      <c r="BG65" s="242"/>
      <c r="BH65" s="242"/>
      <c r="BI65" s="242"/>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row>
    <row r="66" spans="1:90" ht="16.5" hidden="1" customHeight="1">
      <c r="A66" s="1046"/>
      <c r="B66" s="1043"/>
      <c r="C66" s="1005"/>
      <c r="D66" s="1016"/>
      <c r="E66" s="1016"/>
      <c r="F66" s="1016"/>
      <c r="G66" s="1016"/>
      <c r="H66" s="1016"/>
      <c r="I66" s="1016"/>
      <c r="J66" s="1044"/>
      <c r="K66" s="1056"/>
      <c r="L66" s="1009"/>
      <c r="M66" s="1058"/>
      <c r="N66" s="1010"/>
      <c r="O66" s="540"/>
      <c r="P66" s="978"/>
      <c r="Q66" s="978"/>
      <c r="R66" s="979"/>
      <c r="S66" s="979"/>
      <c r="T66" s="244"/>
      <c r="U66" s="211"/>
      <c r="V66" s="211"/>
      <c r="W66" s="211"/>
      <c r="X66" s="211"/>
      <c r="Y66" s="1023"/>
      <c r="Z66" s="1023"/>
      <c r="AA66" s="1023"/>
      <c r="AB66" s="1023"/>
      <c r="AC66" s="1023"/>
      <c r="AD66" s="1024"/>
      <c r="AE66" s="1024"/>
      <c r="AF66" s="1010"/>
      <c r="AG66" s="211"/>
      <c r="AH66" s="211"/>
      <c r="AI66" s="211"/>
      <c r="AJ66" s="212"/>
      <c r="AK66" s="6767">
        <f>D66</f>
        <v>0</v>
      </c>
      <c r="AL66" s="6767"/>
      <c r="AM66" s="6767"/>
      <c r="AN66" s="206"/>
      <c r="AO66" s="6769" t="str">
        <f>IF(AN64&lt;=250000," ",0)</f>
        <v xml:space="preserve"> </v>
      </c>
      <c r="AP66" s="6769"/>
      <c r="AQ66" s="6654" t="s">
        <v>287</v>
      </c>
      <c r="AR66" s="6654"/>
      <c r="AS66" s="5789"/>
      <c r="AT66" s="5789"/>
      <c r="AU66" s="131"/>
      <c r="AV66" s="131"/>
      <c r="AW66" s="131"/>
      <c r="AX66" s="173"/>
      <c r="AY66" s="173"/>
      <c r="AZ66" s="173"/>
      <c r="BA66" s="173"/>
      <c r="BB66" s="173"/>
      <c r="BC66" s="173"/>
      <c r="BD66" s="173"/>
      <c r="BE66" s="173"/>
      <c r="BF66" s="173"/>
      <c r="BG66" s="242"/>
      <c r="BH66" s="242"/>
      <c r="BI66" s="242"/>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row>
    <row r="67" spans="1:90" ht="18" hidden="1" customHeight="1">
      <c r="A67" s="1046"/>
      <c r="B67" s="1043"/>
      <c r="C67" s="1005"/>
      <c r="D67" s="1016"/>
      <c r="E67" s="1016"/>
      <c r="F67" s="1016"/>
      <c r="G67" s="1046"/>
      <c r="H67" s="1046"/>
      <c r="I67" s="1046"/>
      <c r="J67" s="1044"/>
      <c r="K67" s="1044"/>
      <c r="L67" s="1044"/>
      <c r="M67" s="1058"/>
      <c r="N67" s="1011"/>
      <c r="O67" s="542"/>
      <c r="P67" s="980"/>
      <c r="Q67" s="980"/>
      <c r="R67" s="979"/>
      <c r="S67" s="979"/>
      <c r="T67" s="246"/>
      <c r="U67" s="213"/>
      <c r="V67" s="213"/>
      <c r="W67" s="213"/>
      <c r="X67" s="213"/>
      <c r="Y67" s="1007"/>
      <c r="Z67" s="1007"/>
      <c r="AA67" s="1007"/>
      <c r="AB67" s="1007"/>
      <c r="AC67" s="1007"/>
      <c r="AD67" s="1007"/>
      <c r="AE67" s="1007"/>
      <c r="AF67" s="1011"/>
      <c r="AG67" s="213"/>
      <c r="AH67" s="213"/>
      <c r="AI67" s="213"/>
      <c r="AJ67" s="214"/>
      <c r="AK67" s="210"/>
      <c r="AL67" s="208"/>
      <c r="AM67" s="215"/>
      <c r="AN67" s="155"/>
      <c r="AO67" s="6773"/>
      <c r="AP67" s="6773"/>
      <c r="AQ67" s="6653"/>
      <c r="AR67" s="6653"/>
      <c r="AS67" s="5789"/>
      <c r="AT67" s="5789"/>
      <c r="AU67" s="131"/>
      <c r="AV67" s="131"/>
      <c r="AW67" s="131"/>
      <c r="AX67" s="173"/>
      <c r="AY67" s="173"/>
      <c r="AZ67" s="173"/>
      <c r="BA67" s="173"/>
      <c r="BB67" s="173"/>
      <c r="BC67" s="173"/>
      <c r="BD67" s="173"/>
      <c r="BE67" s="173"/>
      <c r="BF67" s="173"/>
      <c r="BG67" s="242"/>
      <c r="BH67" s="242"/>
      <c r="BI67" s="242"/>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row>
    <row r="68" spans="1:90" ht="14.25" hidden="1" customHeight="1">
      <c r="A68" s="1046"/>
      <c r="B68" s="1043"/>
      <c r="C68" s="1005"/>
      <c r="D68" s="1016"/>
      <c r="E68" s="1016"/>
      <c r="F68" s="1016"/>
      <c r="G68" s="1016"/>
      <c r="H68" s="1046"/>
      <c r="I68" s="1016"/>
      <c r="J68" s="1044"/>
      <c r="K68" s="1059"/>
      <c r="L68" s="1044"/>
      <c r="M68" s="1058"/>
      <c r="N68" s="1012"/>
      <c r="O68" s="542"/>
      <c r="P68" s="980"/>
      <c r="Q68" s="980"/>
      <c r="R68" s="979"/>
      <c r="S68" s="979"/>
      <c r="T68" s="246"/>
      <c r="U68" s="216"/>
      <c r="V68" s="216"/>
      <c r="W68" s="216"/>
      <c r="X68" s="216"/>
      <c r="Y68" s="1007"/>
      <c r="Z68" s="1007"/>
      <c r="AA68" s="1007"/>
      <c r="AB68" s="1007"/>
      <c r="AC68" s="1007"/>
      <c r="AD68" s="1025"/>
      <c r="AE68" s="1025"/>
      <c r="AF68" s="1012"/>
      <c r="AG68" s="216"/>
      <c r="AH68" s="216"/>
      <c r="AI68" s="216"/>
      <c r="AJ68" s="217"/>
      <c r="AK68" s="6767">
        <f>D67</f>
        <v>0</v>
      </c>
      <c r="AL68" s="6767"/>
      <c r="AM68" s="6767"/>
      <c r="AN68" s="218"/>
      <c r="AO68" s="6768">
        <f>IF(AND(AN64&gt;500000),250000,IF(AND(AN64&gt;250000,AN64&lt;=500000),AN64-250000,0))</f>
        <v>0</v>
      </c>
      <c r="AP68" s="6768"/>
      <c r="AQ68" s="6656">
        <f>ROUND(AO68*5%,0.1)</f>
        <v>0</v>
      </c>
      <c r="AR68" s="6656"/>
      <c r="AS68" s="5789"/>
      <c r="AT68" s="5789"/>
      <c r="AU68" s="131"/>
      <c r="AV68" s="131"/>
      <c r="AW68" s="131"/>
      <c r="AX68" s="173"/>
      <c r="AY68" s="173"/>
      <c r="AZ68" s="173"/>
      <c r="BA68" s="173"/>
      <c r="BB68" s="173"/>
      <c r="BC68" s="173"/>
      <c r="BD68" s="173"/>
      <c r="BE68" s="173"/>
      <c r="BF68" s="173"/>
      <c r="BG68" s="242"/>
      <c r="BH68" s="242"/>
      <c r="BI68" s="242"/>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row>
    <row r="69" spans="1:90" ht="14.25" hidden="1" customHeight="1">
      <c r="A69" s="1046"/>
      <c r="B69" s="1043"/>
      <c r="C69" s="1005"/>
      <c r="D69" s="1016"/>
      <c r="E69" s="1016"/>
      <c r="F69" s="1016"/>
      <c r="G69" s="1016"/>
      <c r="H69" s="1046"/>
      <c r="I69" s="1016"/>
      <c r="J69" s="1044"/>
      <c r="K69" s="1060"/>
      <c r="L69" s="1061"/>
      <c r="M69" s="1058"/>
      <c r="N69" s="1013"/>
      <c r="O69" s="542"/>
      <c r="P69" s="980"/>
      <c r="Q69" s="980"/>
      <c r="R69" s="979"/>
      <c r="S69" s="979"/>
      <c r="T69" s="246"/>
      <c r="U69" s="219"/>
      <c r="V69" s="219"/>
      <c r="W69" s="219"/>
      <c r="X69" s="219"/>
      <c r="Y69" s="1007"/>
      <c r="Z69" s="1007"/>
      <c r="AA69" s="1007"/>
      <c r="AB69" s="1007"/>
      <c r="AC69" s="1007"/>
      <c r="AD69" s="1007"/>
      <c r="AE69" s="1007"/>
      <c r="AF69" s="1013"/>
      <c r="AG69" s="219"/>
      <c r="AH69" s="219"/>
      <c r="AI69" s="219"/>
      <c r="AJ69" s="220"/>
      <c r="AK69" s="210"/>
      <c r="AL69" s="208"/>
      <c r="AM69" s="215"/>
      <c r="AN69" s="221"/>
      <c r="AO69" s="6766"/>
      <c r="AP69" s="6766"/>
      <c r="AQ69" s="6653"/>
      <c r="AR69" s="6653"/>
      <c r="AS69" s="5789"/>
      <c r="AT69" s="5789"/>
      <c r="AU69" s="131"/>
      <c r="AV69" s="131"/>
      <c r="AW69" s="131"/>
      <c r="AX69" s="173"/>
      <c r="AY69" s="173"/>
      <c r="AZ69" s="173"/>
      <c r="BA69" s="173"/>
      <c r="BB69" s="173"/>
      <c r="BC69" s="173"/>
      <c r="BD69" s="173"/>
      <c r="BE69" s="173"/>
      <c r="BF69" s="173"/>
      <c r="BG69" s="242"/>
      <c r="BH69" s="242"/>
      <c r="BI69" s="242"/>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row>
    <row r="70" spans="1:90" ht="18.75" hidden="1" customHeight="1">
      <c r="A70" s="1046"/>
      <c r="B70" s="1043"/>
      <c r="C70" s="1047"/>
      <c r="D70" s="1016"/>
      <c r="E70" s="1016"/>
      <c r="F70" s="1016"/>
      <c r="G70" s="1016"/>
      <c r="H70" s="1016"/>
      <c r="I70" s="1016"/>
      <c r="J70" s="1044"/>
      <c r="K70" s="1060"/>
      <c r="L70" s="1061"/>
      <c r="M70" s="1005"/>
      <c r="N70" s="1014"/>
      <c r="O70" s="536"/>
      <c r="P70" s="536"/>
      <c r="Q70" s="536"/>
      <c r="R70" s="536"/>
      <c r="S70" s="536"/>
      <c r="T70" s="953"/>
      <c r="U70" s="222"/>
      <c r="V70" s="222"/>
      <c r="W70" s="222"/>
      <c r="X70" s="222"/>
      <c r="Y70" s="1007"/>
      <c r="Z70" s="1007"/>
      <c r="AA70" s="1007"/>
      <c r="AB70" s="1007"/>
      <c r="AC70" s="1007"/>
      <c r="AD70" s="1026"/>
      <c r="AE70" s="1026"/>
      <c r="AF70" s="1014"/>
      <c r="AG70" s="222"/>
      <c r="AH70" s="222"/>
      <c r="AI70" s="222"/>
      <c r="AJ70" s="220"/>
      <c r="AK70" s="6772">
        <f>D68</f>
        <v>0</v>
      </c>
      <c r="AL70" s="6772"/>
      <c r="AM70" s="6772"/>
      <c r="AN70" s="221"/>
      <c r="AO70" s="6768">
        <f>IF(AND(AN64&gt;1000000),500000,IF(AND(AN64&gt;500000,AN64&lt;=1000000),AN64-500000,0))</f>
        <v>0</v>
      </c>
      <c r="AP70" s="6768"/>
      <c r="AQ70" s="6656">
        <f>ROUND(AO70*20%,0.1)</f>
        <v>0</v>
      </c>
      <c r="AR70" s="6656"/>
      <c r="AS70" s="5789"/>
      <c r="AT70" s="5789"/>
      <c r="AU70" s="131"/>
      <c r="AV70" s="131"/>
      <c r="AW70" s="131"/>
      <c r="AX70" s="173"/>
      <c r="AY70" s="173"/>
      <c r="AZ70" s="173"/>
      <c r="BA70" s="173"/>
      <c r="BB70" s="173"/>
      <c r="BC70" s="173"/>
      <c r="BD70" s="173"/>
      <c r="BE70" s="173"/>
      <c r="BF70" s="173"/>
      <c r="BG70" s="242"/>
      <c r="BH70" s="242"/>
      <c r="BI70" s="242"/>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row>
    <row r="71" spans="1:90" ht="15" hidden="1" customHeight="1">
      <c r="A71" s="1046"/>
      <c r="B71" s="1043"/>
      <c r="C71" s="1051"/>
      <c r="D71" s="1051"/>
      <c r="E71" s="1051"/>
      <c r="F71" s="1016"/>
      <c r="G71" s="1016"/>
      <c r="H71" s="1016"/>
      <c r="I71" s="1016"/>
      <c r="J71" s="1044"/>
      <c r="K71" s="1060"/>
      <c r="L71" s="1061"/>
      <c r="M71" s="1062"/>
      <c r="N71" s="1015"/>
      <c r="O71" s="536"/>
      <c r="P71" s="536"/>
      <c r="Q71" s="536"/>
      <c r="R71" s="536"/>
      <c r="S71" s="536"/>
      <c r="T71" s="953"/>
      <c r="U71" s="223"/>
      <c r="V71" s="223"/>
      <c r="W71" s="223"/>
      <c r="X71" s="223"/>
      <c r="Y71" s="1027"/>
      <c r="Z71" s="1027"/>
      <c r="AA71" s="1027"/>
      <c r="AB71" s="1027"/>
      <c r="AC71" s="1027"/>
      <c r="AD71" s="1028"/>
      <c r="AE71" s="1028"/>
      <c r="AF71" s="1015"/>
      <c r="AG71" s="223"/>
      <c r="AH71" s="223"/>
      <c r="AI71" s="223"/>
      <c r="AJ71" s="135"/>
      <c r="AK71" s="135"/>
      <c r="AL71" s="224"/>
      <c r="AM71" s="135"/>
      <c r="AN71" s="221"/>
      <c r="AO71" s="6766"/>
      <c r="AP71" s="6766"/>
      <c r="AQ71" s="6657"/>
      <c r="AR71" s="6657"/>
      <c r="AS71" s="5789"/>
      <c r="AT71" s="5789"/>
      <c r="AU71" s="131"/>
      <c r="AV71" s="131"/>
      <c r="AW71" s="131"/>
      <c r="AX71" s="173"/>
      <c r="AY71" s="173"/>
      <c r="AZ71" s="173"/>
      <c r="BA71" s="173"/>
      <c r="BB71" s="173"/>
      <c r="BC71" s="173"/>
      <c r="BD71" s="173"/>
      <c r="BE71" s="173"/>
      <c r="BF71" s="173"/>
      <c r="BG71" s="242"/>
      <c r="BH71" s="242"/>
      <c r="BI71" s="242"/>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row>
    <row r="72" spans="1:90" ht="15.75" hidden="1">
      <c r="A72" s="1046"/>
      <c r="B72" s="1043"/>
      <c r="C72" s="1016"/>
      <c r="D72" s="1016"/>
      <c r="E72" s="1016"/>
      <c r="F72" s="1016"/>
      <c r="G72" s="1016"/>
      <c r="H72" s="1016"/>
      <c r="I72" s="1016"/>
      <c r="J72" s="1044"/>
      <c r="K72" s="1045"/>
      <c r="L72" s="991"/>
      <c r="M72" s="1063"/>
      <c r="N72" s="1016"/>
      <c r="O72" s="537"/>
      <c r="P72" s="536"/>
      <c r="Q72" s="536"/>
      <c r="R72" s="536"/>
      <c r="S72" s="536"/>
      <c r="T72" s="246"/>
      <c r="U72" s="225"/>
      <c r="V72" s="225"/>
      <c r="W72" s="225"/>
      <c r="X72" s="225"/>
      <c r="Y72" s="1007"/>
      <c r="Z72" s="1007"/>
      <c r="AA72" s="1007"/>
      <c r="AB72" s="1007"/>
      <c r="AC72" s="1007"/>
      <c r="AD72" s="1029"/>
      <c r="AE72" s="1029"/>
      <c r="AF72" s="1016"/>
      <c r="AG72" s="225"/>
      <c r="AH72" s="225"/>
      <c r="AI72" s="225"/>
      <c r="AJ72" s="135"/>
      <c r="AK72" s="6771">
        <f>D69</f>
        <v>0</v>
      </c>
      <c r="AL72" s="6771"/>
      <c r="AM72" s="6771"/>
      <c r="AN72" s="221"/>
      <c r="AO72" s="6768">
        <f>IF(AND(AN64&gt;1000000),AN64-1000000,0)</f>
        <v>0</v>
      </c>
      <c r="AP72" s="6768"/>
      <c r="AQ72" s="6656">
        <f>ROUND(AO72*30%,0.1)</f>
        <v>0</v>
      </c>
      <c r="AR72" s="6656"/>
      <c r="AS72" s="5789"/>
      <c r="AT72" s="5789"/>
      <c r="AU72" s="131"/>
      <c r="AV72" s="131"/>
      <c r="AW72" s="131"/>
      <c r="AX72" s="173"/>
      <c r="AY72" s="173"/>
      <c r="AZ72" s="173"/>
      <c r="BA72" s="173"/>
      <c r="BB72" s="173"/>
      <c r="BC72" s="173"/>
      <c r="BD72" s="173"/>
      <c r="BE72" s="173"/>
      <c r="BF72" s="173"/>
      <c r="BG72" s="242"/>
      <c r="BH72" s="242"/>
      <c r="BI72" s="242"/>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row>
    <row r="73" spans="1:90" ht="15.75" hidden="1">
      <c r="A73" s="1046"/>
      <c r="B73" s="1043"/>
      <c r="C73" s="1064"/>
      <c r="D73" s="1064"/>
      <c r="E73" s="1064"/>
      <c r="F73" s="1064"/>
      <c r="G73" s="1064"/>
      <c r="H73" s="1064"/>
      <c r="I73" s="1016"/>
      <c r="J73" s="1044"/>
      <c r="K73" s="1065"/>
      <c r="L73" s="1065"/>
      <c r="M73" s="1063"/>
      <c r="N73" s="1016"/>
      <c r="O73" s="537"/>
      <c r="P73" s="536"/>
      <c r="Q73" s="536"/>
      <c r="R73" s="536"/>
      <c r="S73" s="536"/>
      <c r="T73" s="246"/>
      <c r="U73" s="225"/>
      <c r="V73" s="225"/>
      <c r="W73" s="225"/>
      <c r="X73" s="225"/>
      <c r="Y73" s="1007"/>
      <c r="Z73" s="1007"/>
      <c r="AA73" s="1007"/>
      <c r="AB73" s="1007"/>
      <c r="AC73" s="1007"/>
      <c r="AD73" s="1029"/>
      <c r="AE73" s="1029"/>
      <c r="AF73" s="1016"/>
      <c r="AG73" s="225"/>
      <c r="AH73" s="225"/>
      <c r="AI73" s="225"/>
      <c r="AJ73" s="135"/>
      <c r="AK73" s="226"/>
      <c r="AL73" s="220"/>
      <c r="AM73" s="221"/>
      <c r="AN73" s="221"/>
      <c r="AO73" s="6779" t="s">
        <v>196</v>
      </c>
      <c r="AP73" s="6779"/>
      <c r="AQ73" s="6779">
        <f>SUM(AQ68+AQ70+AQ72)</f>
        <v>0</v>
      </c>
      <c r="AR73" s="6779"/>
      <c r="AS73" s="131"/>
      <c r="AT73" s="131"/>
      <c r="AU73" s="131"/>
      <c r="AV73" s="131"/>
      <c r="AW73" s="131"/>
      <c r="AX73" s="173"/>
      <c r="AY73" s="173"/>
      <c r="AZ73" s="173"/>
      <c r="BA73" s="173"/>
      <c r="BB73" s="173"/>
      <c r="BC73" s="173"/>
      <c r="BD73" s="173"/>
      <c r="BE73" s="173"/>
      <c r="BF73" s="173"/>
      <c r="BG73" s="242"/>
      <c r="BH73" s="242"/>
      <c r="BI73" s="242"/>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row>
    <row r="74" spans="1:90" ht="15.75" hidden="1" customHeight="1">
      <c r="A74" s="1046"/>
      <c r="B74" s="1043"/>
      <c r="C74" s="1051"/>
      <c r="D74" s="1051"/>
      <c r="E74" s="1051"/>
      <c r="F74" s="1051"/>
      <c r="G74" s="1051"/>
      <c r="H74" s="1051"/>
      <c r="I74" s="1048"/>
      <c r="J74" s="1044"/>
      <c r="K74" s="1045"/>
      <c r="L74" s="991"/>
      <c r="M74" s="1066"/>
      <c r="N74" s="1017"/>
      <c r="O74" s="538"/>
      <c r="P74" s="536"/>
      <c r="Q74" s="536"/>
      <c r="R74" s="536"/>
      <c r="S74" s="536"/>
      <c r="T74" s="246"/>
      <c r="U74" s="227"/>
      <c r="V74" s="227"/>
      <c r="W74" s="227"/>
      <c r="X74" s="227"/>
      <c r="Y74" s="1007"/>
      <c r="Z74" s="1007"/>
      <c r="AA74" s="1007"/>
      <c r="AB74" s="1007"/>
      <c r="AC74" s="1007"/>
      <c r="AD74" s="1029"/>
      <c r="AE74" s="1029"/>
      <c r="AF74" s="1017"/>
      <c r="AG74" s="227"/>
      <c r="AH74" s="227"/>
      <c r="AI74" s="227"/>
      <c r="AJ74" s="135"/>
      <c r="AK74" s="6780">
        <f>F71</f>
        <v>0</v>
      </c>
      <c r="AL74" s="6780"/>
      <c r="AM74" s="6780"/>
      <c r="AN74" s="221"/>
      <c r="AO74" s="6779"/>
      <c r="AP74" s="6779"/>
      <c r="AQ74" s="6781">
        <f>IF(AN64&lt;=500000,IF(AQ73&gt;12500, 12500, AQ73),0)</f>
        <v>0</v>
      </c>
      <c r="AR74" s="6781"/>
      <c r="AS74" s="131"/>
      <c r="AT74" s="131"/>
      <c r="AU74" s="131"/>
      <c r="AV74" s="131"/>
      <c r="AW74" s="131"/>
      <c r="AX74" s="173"/>
      <c r="AY74" s="173"/>
      <c r="AZ74" s="173"/>
      <c r="BA74" s="173"/>
      <c r="BB74" s="173"/>
      <c r="BC74" s="173"/>
      <c r="BD74" s="173"/>
      <c r="BE74" s="173"/>
      <c r="BF74" s="173"/>
      <c r="BG74" s="242"/>
      <c r="BH74" s="242"/>
      <c r="BI74" s="242"/>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row>
    <row r="75" spans="1:90" ht="15.75" hidden="1" customHeight="1">
      <c r="A75" s="1046"/>
      <c r="B75" s="1043"/>
      <c r="C75" s="1016"/>
      <c r="D75" s="1016"/>
      <c r="E75" s="1016"/>
      <c r="F75" s="1016"/>
      <c r="G75" s="1016"/>
      <c r="H75" s="1067"/>
      <c r="I75" s="1048"/>
      <c r="J75" s="1044"/>
      <c r="K75" s="1050"/>
      <c r="L75" s="1050"/>
      <c r="M75" s="1068"/>
      <c r="N75" s="1017"/>
      <c r="O75" s="538"/>
      <c r="P75" s="536"/>
      <c r="Q75" s="536"/>
      <c r="R75" s="536"/>
      <c r="S75" s="536"/>
      <c r="T75" s="976"/>
      <c r="U75" s="227"/>
      <c r="V75" s="227"/>
      <c r="W75" s="227"/>
      <c r="X75" s="227"/>
      <c r="Y75" s="1007"/>
      <c r="Z75" s="1007"/>
      <c r="AA75" s="1007"/>
      <c r="AB75" s="1007"/>
      <c r="AC75" s="1007"/>
      <c r="AD75" s="1030"/>
      <c r="AE75" s="1030"/>
      <c r="AF75" s="1017"/>
      <c r="AG75" s="227"/>
      <c r="AH75" s="227"/>
      <c r="AI75" s="227"/>
      <c r="AJ75" s="135"/>
      <c r="AK75" s="200"/>
      <c r="AL75" s="200"/>
      <c r="AM75" s="200"/>
      <c r="AN75" s="221"/>
      <c r="AO75" s="6770" t="s">
        <v>6</v>
      </c>
      <c r="AP75" s="6770"/>
      <c r="AQ75" s="6782">
        <f>SUM(AQ73-AQ74)</f>
        <v>0</v>
      </c>
      <c r="AR75" s="6775"/>
      <c r="AS75" s="131"/>
      <c r="AT75" s="131"/>
      <c r="AU75" s="131"/>
      <c r="AV75" s="131"/>
      <c r="AW75" s="131"/>
      <c r="AX75" s="173"/>
      <c r="AY75" s="173"/>
      <c r="AZ75" s="173"/>
      <c r="BA75" s="173"/>
      <c r="BB75" s="173"/>
      <c r="BC75" s="173"/>
      <c r="BD75" s="173"/>
      <c r="BE75" s="173"/>
      <c r="BF75" s="173"/>
      <c r="BG75" s="242"/>
      <c r="BH75" s="242"/>
      <c r="BI75" s="242"/>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row>
    <row r="76" spans="1:90" ht="13.5" hidden="1" customHeight="1">
      <c r="A76" s="1046"/>
      <c r="B76" s="1043"/>
      <c r="C76" s="1051"/>
      <c r="D76" s="1051"/>
      <c r="E76" s="1051"/>
      <c r="F76" s="1069"/>
      <c r="G76" s="1070"/>
      <c r="H76" s="1069"/>
      <c r="I76" s="1048"/>
      <c r="J76" s="1044"/>
      <c r="K76" s="1050"/>
      <c r="L76" s="1050"/>
      <c r="M76" s="1068"/>
      <c r="N76" s="1017"/>
      <c r="O76" s="538"/>
      <c r="P76" s="536"/>
      <c r="Q76" s="536"/>
      <c r="R76" s="536"/>
      <c r="S76" s="536"/>
      <c r="T76" s="976"/>
      <c r="U76" s="227"/>
      <c r="V76" s="227"/>
      <c r="W76" s="227"/>
      <c r="X76" s="227"/>
      <c r="Y76" s="1007"/>
      <c r="Z76" s="1007"/>
      <c r="AA76" s="1007"/>
      <c r="AB76" s="1007"/>
      <c r="AC76" s="1007"/>
      <c r="AD76" s="1031"/>
      <c r="AE76" s="1031"/>
      <c r="AF76" s="1017"/>
      <c r="AG76" s="227"/>
      <c r="AH76" s="227"/>
      <c r="AI76" s="227"/>
      <c r="AJ76" s="135"/>
      <c r="AK76" s="200"/>
      <c r="AL76" s="200"/>
      <c r="AM76" s="5803" t="s">
        <v>767</v>
      </c>
      <c r="AN76" s="5803"/>
      <c r="AO76" s="5803"/>
      <c r="AP76" s="6783"/>
      <c r="AQ76" s="6776">
        <f>ROUND(AQ75*4%,0.1)</f>
        <v>0</v>
      </c>
      <c r="AR76" s="6775"/>
      <c r="AS76" s="131"/>
      <c r="AT76" s="131"/>
      <c r="AU76" s="131"/>
      <c r="AV76" s="131"/>
      <c r="AW76" s="131"/>
      <c r="AX76" s="173"/>
      <c r="AY76" s="173"/>
      <c r="AZ76" s="173"/>
      <c r="BA76" s="173"/>
      <c r="BB76" s="173"/>
      <c r="BC76" s="173"/>
      <c r="BD76" s="173"/>
      <c r="BE76" s="173"/>
      <c r="BF76" s="173"/>
      <c r="BG76" s="242"/>
      <c r="BH76" s="242"/>
      <c r="BI76" s="242"/>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row>
    <row r="77" spans="1:90" ht="15.75" hidden="1">
      <c r="A77" s="1046"/>
      <c r="B77" s="1043"/>
      <c r="C77" s="1067"/>
      <c r="D77" s="1067"/>
      <c r="E77" s="1067"/>
      <c r="F77" s="1067"/>
      <c r="G77" s="1067"/>
      <c r="H77" s="1067"/>
      <c r="I77" s="1048"/>
      <c r="J77" s="1044"/>
      <c r="K77" s="1050"/>
      <c r="L77" s="1050"/>
      <c r="M77" s="1066"/>
      <c r="N77" s="1017"/>
      <c r="O77" s="538"/>
      <c r="P77" s="536"/>
      <c r="Q77" s="536"/>
      <c r="R77" s="536"/>
      <c r="S77" s="536"/>
      <c r="T77" s="976"/>
      <c r="U77" s="227"/>
      <c r="V77" s="227"/>
      <c r="W77" s="227"/>
      <c r="X77" s="227"/>
      <c r="Y77" s="1007"/>
      <c r="Z77" s="1007"/>
      <c r="AA77" s="1007"/>
      <c r="AB77" s="1007"/>
      <c r="AC77" s="1007"/>
      <c r="AD77" s="1031"/>
      <c r="AE77" s="1031"/>
      <c r="AF77" s="1017"/>
      <c r="AG77" s="227"/>
      <c r="AH77" s="227"/>
      <c r="AI77" s="227"/>
      <c r="AJ77" s="210"/>
      <c r="AK77" s="143"/>
      <c r="AL77" s="220"/>
      <c r="AM77" s="130"/>
      <c r="AN77" s="5914" t="s">
        <v>7</v>
      </c>
      <c r="AO77" s="5914"/>
      <c r="AP77" s="6784"/>
      <c r="AQ77" s="6777">
        <f>SUM(AQ75+AQ76)</f>
        <v>0</v>
      </c>
      <c r="AR77" s="6778"/>
      <c r="AS77" s="131"/>
      <c r="AT77" s="228"/>
      <c r="AU77" s="228"/>
      <c r="AV77" s="228"/>
      <c r="AW77" s="228"/>
      <c r="AX77" s="173"/>
      <c r="AY77" s="173"/>
      <c r="AZ77" s="173"/>
      <c r="BA77" s="173"/>
      <c r="BB77" s="173"/>
      <c r="BC77" s="173"/>
      <c r="BD77" s="173"/>
      <c r="BE77" s="173"/>
      <c r="BF77" s="173"/>
      <c r="BG77" s="242"/>
      <c r="BH77" s="242"/>
      <c r="BI77" s="242"/>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row>
    <row r="78" spans="1:90" ht="15.75" hidden="1">
      <c r="A78" s="1046"/>
      <c r="B78" s="1071"/>
      <c r="C78" s="1069"/>
      <c r="D78" s="1072"/>
      <c r="E78" s="1069"/>
      <c r="F78" s="1069"/>
      <c r="G78" s="1070"/>
      <c r="H78" s="1069"/>
      <c r="I78" s="1073"/>
      <c r="J78" s="1018"/>
      <c r="K78" s="1018"/>
      <c r="L78" s="1018"/>
      <c r="M78" s="1018"/>
      <c r="N78" s="1018"/>
      <c r="O78" s="539"/>
      <c r="P78" s="536"/>
      <c r="Q78" s="536"/>
      <c r="R78" s="536"/>
      <c r="S78" s="536"/>
      <c r="T78" s="976"/>
      <c r="U78" s="229"/>
      <c r="V78" s="229"/>
      <c r="W78" s="229"/>
      <c r="X78" s="229"/>
      <c r="Y78" s="1007"/>
      <c r="Z78" s="1007"/>
      <c r="AA78" s="1007"/>
      <c r="AB78" s="1007"/>
      <c r="AC78" s="1007"/>
      <c r="AD78" s="1031"/>
      <c r="AE78" s="1031"/>
      <c r="AF78" s="1018"/>
      <c r="AG78" s="229"/>
      <c r="AH78" s="229"/>
      <c r="AI78" s="229"/>
      <c r="AJ78" s="210"/>
      <c r="AK78" s="220"/>
      <c r="AL78" s="220"/>
      <c r="AM78" s="5803" t="s">
        <v>777</v>
      </c>
      <c r="AN78" s="5803"/>
      <c r="AO78" s="5803"/>
      <c r="AP78" s="6783"/>
      <c r="AQ78" s="6777">
        <f>M75</f>
        <v>0</v>
      </c>
      <c r="AR78" s="6788"/>
      <c r="AS78" s="131"/>
      <c r="AT78" s="228"/>
      <c r="AU78" s="228"/>
      <c r="AV78" s="228"/>
      <c r="AW78" s="228"/>
      <c r="AX78" s="173"/>
      <c r="AY78" s="173"/>
      <c r="AZ78" s="173"/>
      <c r="BA78" s="173"/>
      <c r="BB78" s="173"/>
      <c r="BC78" s="173"/>
      <c r="BD78" s="173"/>
      <c r="BE78" s="173"/>
      <c r="BF78" s="173"/>
      <c r="BG78" s="242"/>
      <c r="BH78" s="242"/>
      <c r="BI78" s="242"/>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row>
    <row r="79" spans="1:90" hidden="1">
      <c r="A79" s="1046"/>
      <c r="B79" s="1071"/>
      <c r="C79" s="1069"/>
      <c r="D79" s="1072"/>
      <c r="E79" s="1069"/>
      <c r="F79" s="1069"/>
      <c r="G79" s="1070"/>
      <c r="H79" s="1069"/>
      <c r="I79" s="1073"/>
      <c r="J79" s="1051"/>
      <c r="K79" s="1051"/>
      <c r="L79" s="1051"/>
      <c r="M79" s="1074"/>
      <c r="N79" s="1074"/>
      <c r="O79" s="230"/>
      <c r="P79" s="6765"/>
      <c r="Q79" s="6765"/>
      <c r="R79" s="6765"/>
      <c r="S79" s="6765"/>
      <c r="T79" s="230"/>
      <c r="U79" s="230"/>
      <c r="V79" s="230"/>
      <c r="W79" s="230"/>
      <c r="X79" s="230"/>
      <c r="Y79" s="5798"/>
      <c r="Z79" s="5798"/>
      <c r="AA79" s="5798"/>
      <c r="AB79" s="5798"/>
      <c r="AC79" s="5798"/>
      <c r="AD79" s="5799"/>
      <c r="AE79" s="5799"/>
      <c r="AF79" s="230"/>
      <c r="AG79" s="230"/>
      <c r="AH79" s="230"/>
      <c r="AI79" s="230"/>
      <c r="AJ79" s="171"/>
      <c r="AK79" s="150"/>
      <c r="AL79" s="220"/>
      <c r="AM79" s="130"/>
      <c r="AN79" s="5790" t="s">
        <v>778</v>
      </c>
      <c r="AO79" s="5790"/>
      <c r="AP79" s="5790"/>
      <c r="AQ79" s="6774">
        <f>SUM(AQ77-AQ78)</f>
        <v>0</v>
      </c>
      <c r="AR79" s="6775"/>
      <c r="AS79" s="131"/>
      <c r="AT79" s="188"/>
      <c r="AU79" s="131"/>
      <c r="AV79" s="131"/>
      <c r="AW79" s="131"/>
      <c r="AX79" s="173"/>
      <c r="AY79" s="173"/>
      <c r="AZ79" s="173"/>
      <c r="BA79" s="173"/>
      <c r="BB79" s="173"/>
      <c r="BC79" s="173"/>
      <c r="BD79" s="173"/>
      <c r="BE79" s="173"/>
      <c r="BF79" s="173"/>
      <c r="BG79" s="242"/>
      <c r="BH79" s="242"/>
      <c r="BI79" s="242"/>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row>
    <row r="80" spans="1:90" hidden="1">
      <c r="A80" s="1046"/>
      <c r="B80" s="1071"/>
      <c r="C80" s="1069"/>
      <c r="D80" s="1072"/>
      <c r="E80" s="1069"/>
      <c r="F80" s="1069"/>
      <c r="G80" s="1070"/>
      <c r="H80" s="1069"/>
      <c r="I80" s="1005"/>
      <c r="J80" s="1043"/>
      <c r="K80" s="1043"/>
      <c r="L80" s="1043"/>
      <c r="M80" s="1074"/>
      <c r="N80" s="1074"/>
      <c r="O80" s="230"/>
      <c r="P80" s="536"/>
      <c r="Q80" s="536"/>
      <c r="R80" s="536"/>
      <c r="S80" s="536"/>
      <c r="T80" s="230"/>
      <c r="U80" s="230"/>
      <c r="V80" s="230"/>
      <c r="W80" s="230"/>
      <c r="X80" s="230"/>
      <c r="Y80" s="584"/>
      <c r="Z80" s="584"/>
      <c r="AA80" s="584"/>
      <c r="AB80" s="584"/>
      <c r="AC80" s="584"/>
      <c r="AD80" s="584"/>
      <c r="AE80" s="584"/>
      <c r="AF80" s="230"/>
      <c r="AG80" s="230"/>
      <c r="AH80" s="230"/>
      <c r="AI80" s="230"/>
      <c r="AJ80" s="171"/>
      <c r="AK80" s="150"/>
      <c r="AL80" s="220"/>
      <c r="AM80" s="130"/>
      <c r="AN80" s="5790" t="s">
        <v>545</v>
      </c>
      <c r="AO80" s="5790"/>
      <c r="AP80" s="5790"/>
      <c r="AQ80" s="6785">
        <f>'Anexure-I'!U41</f>
        <v>194000</v>
      </c>
      <c r="AR80" s="6786"/>
      <c r="AS80" s="131"/>
      <c r="AT80" s="188"/>
      <c r="AU80" s="131"/>
      <c r="AV80" s="131"/>
      <c r="AW80" s="131"/>
      <c r="AX80" s="173"/>
      <c r="AY80" s="173"/>
      <c r="AZ80" s="173"/>
      <c r="BA80" s="173"/>
      <c r="BB80" s="173"/>
      <c r="BC80" s="173"/>
      <c r="BD80" s="173"/>
      <c r="BE80" s="173"/>
      <c r="BF80" s="173"/>
      <c r="BG80" s="242"/>
      <c r="BH80" s="242"/>
      <c r="BI80" s="242"/>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row>
    <row r="81" spans="1:90" hidden="1">
      <c r="A81" s="1046"/>
      <c r="B81" s="1071"/>
      <c r="C81" s="1069"/>
      <c r="D81" s="1072"/>
      <c r="E81" s="1069"/>
      <c r="F81" s="1069"/>
      <c r="G81" s="1070"/>
      <c r="H81" s="1069"/>
      <c r="I81" s="1016"/>
      <c r="J81" s="1051"/>
      <c r="K81" s="1051"/>
      <c r="L81" s="1051"/>
      <c r="M81" s="1005"/>
      <c r="N81" s="1074"/>
      <c r="O81" s="230"/>
      <c r="P81" s="536"/>
      <c r="Q81" s="536"/>
      <c r="R81" s="536"/>
      <c r="S81" s="536"/>
      <c r="T81" s="230"/>
      <c r="U81" s="230"/>
      <c r="V81" s="230"/>
      <c r="W81" s="230"/>
      <c r="X81" s="230"/>
      <c r="Y81" s="584"/>
      <c r="Z81" s="584"/>
      <c r="AA81" s="584"/>
      <c r="AB81" s="584"/>
      <c r="AC81" s="584"/>
      <c r="AD81" s="584"/>
      <c r="AE81" s="584"/>
      <c r="AF81" s="230"/>
      <c r="AG81" s="230"/>
      <c r="AH81" s="230"/>
      <c r="AI81" s="230"/>
      <c r="AJ81" s="171"/>
      <c r="AK81" s="150"/>
      <c r="AL81" s="220"/>
      <c r="AM81" s="130"/>
      <c r="AN81" s="5790" t="s">
        <v>546</v>
      </c>
      <c r="AO81" s="5790"/>
      <c r="AP81" s="5790"/>
      <c r="AQ81" s="6774">
        <f>SUM(AQ79-AQ80)</f>
        <v>-194000</v>
      </c>
      <c r="AR81" s="6787"/>
      <c r="AS81" s="131"/>
      <c r="AT81" s="188"/>
      <c r="AU81" s="131"/>
      <c r="AV81" s="131"/>
      <c r="AW81" s="131"/>
      <c r="AX81" s="173"/>
      <c r="AY81" s="173"/>
      <c r="AZ81" s="173"/>
      <c r="BA81" s="173"/>
      <c r="BB81" s="173"/>
      <c r="BC81" s="173"/>
      <c r="BD81" s="173"/>
      <c r="BE81" s="173"/>
      <c r="BF81" s="173"/>
      <c r="BG81" s="242"/>
      <c r="BH81" s="242"/>
      <c r="BI81" s="242"/>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row>
    <row r="82" spans="1:90" hidden="1">
      <c r="A82" s="1075"/>
      <c r="B82" s="1076"/>
      <c r="C82" s="1069"/>
      <c r="D82" s="1072"/>
      <c r="E82" s="1069"/>
      <c r="F82" s="1069"/>
      <c r="G82" s="1070"/>
      <c r="H82" s="1069"/>
      <c r="I82" s="1076"/>
      <c r="J82" s="1076"/>
      <c r="K82" s="1076"/>
      <c r="L82" s="1076"/>
      <c r="M82" s="1076"/>
      <c r="N82" s="1077"/>
      <c r="O82" s="231"/>
      <c r="P82" s="231"/>
      <c r="Q82" s="231"/>
      <c r="R82" s="231"/>
      <c r="S82" s="231"/>
      <c r="T82" s="231"/>
      <c r="U82" s="231"/>
      <c r="V82" s="231"/>
      <c r="W82" s="231"/>
      <c r="X82" s="231"/>
      <c r="Y82" s="584"/>
      <c r="Z82" s="584"/>
      <c r="AA82" s="584"/>
      <c r="AB82" s="584"/>
      <c r="AC82" s="584"/>
      <c r="AD82" s="584"/>
      <c r="AE82" s="584"/>
      <c r="AF82" s="231"/>
      <c r="AG82" s="231"/>
      <c r="AH82" s="231"/>
      <c r="AI82" s="231"/>
      <c r="AJ82" s="171"/>
      <c r="AK82" s="221"/>
      <c r="AL82" s="208"/>
      <c r="AM82" s="208"/>
      <c r="AN82" s="5790"/>
      <c r="AO82" s="5790"/>
      <c r="AP82" s="5790"/>
      <c r="AQ82" s="6789"/>
      <c r="AR82" s="6789"/>
      <c r="AS82" s="131"/>
      <c r="AT82" s="131"/>
      <c r="AU82" s="131"/>
      <c r="AV82" s="131"/>
      <c r="AW82" s="131"/>
      <c r="AX82" s="173"/>
      <c r="AY82" s="173"/>
      <c r="AZ82" s="173"/>
      <c r="BA82" s="173"/>
      <c r="BB82" s="173"/>
      <c r="BC82" s="173"/>
      <c r="BD82" s="173"/>
      <c r="BE82" s="173"/>
      <c r="BF82" s="173"/>
      <c r="BG82" s="242"/>
      <c r="BH82" s="242"/>
      <c r="BI82" s="242"/>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row>
    <row r="83" spans="1:90" ht="16.5" hidden="1" customHeight="1">
      <c r="A83" s="1075"/>
      <c r="B83" s="1076"/>
      <c r="C83" s="1069"/>
      <c r="D83" s="1072"/>
      <c r="E83" s="1069"/>
      <c r="F83" s="1069"/>
      <c r="G83" s="1070"/>
      <c r="H83" s="1069"/>
      <c r="I83" s="1076"/>
      <c r="J83" s="1014"/>
      <c r="K83" s="1014"/>
      <c r="L83" s="1014"/>
      <c r="M83" s="1078"/>
      <c r="N83" s="1077"/>
      <c r="O83" s="541"/>
      <c r="P83" s="541"/>
      <c r="Q83" s="6765"/>
      <c r="R83" s="6765"/>
      <c r="S83" s="6765"/>
      <c r="T83" s="6765"/>
      <c r="U83" s="541"/>
      <c r="V83" s="541"/>
      <c r="W83" s="541"/>
      <c r="X83" s="231"/>
      <c r="Y83" s="577"/>
      <c r="Z83" s="577"/>
      <c r="AA83" s="577"/>
      <c r="AB83" s="577"/>
      <c r="AC83" s="577"/>
      <c r="AD83" s="577"/>
      <c r="AE83" s="577"/>
      <c r="AF83" s="231"/>
      <c r="AG83" s="231"/>
      <c r="AH83" s="577"/>
      <c r="AI83" s="577"/>
      <c r="AJ83" s="577"/>
      <c r="AK83" s="577"/>
      <c r="AL83" s="577"/>
      <c r="AM83" s="577"/>
      <c r="AN83" s="577"/>
      <c r="AO83" s="207"/>
      <c r="AP83" s="208"/>
      <c r="AQ83" s="131"/>
      <c r="AR83" s="131"/>
      <c r="AS83" s="131"/>
      <c r="AT83" s="131"/>
      <c r="AU83" s="131"/>
      <c r="AV83" s="131"/>
      <c r="AW83" s="131"/>
      <c r="AX83" s="173"/>
      <c r="AY83" s="173"/>
      <c r="AZ83" s="173"/>
      <c r="BA83" s="173"/>
      <c r="BB83" s="173"/>
      <c r="BC83" s="173"/>
      <c r="BD83" s="173"/>
      <c r="BE83" s="173"/>
      <c r="BF83" s="173"/>
      <c r="BG83" s="242"/>
      <c r="BH83" s="242"/>
      <c r="BI83" s="242"/>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row>
    <row r="84" spans="1:90" ht="0.75" hidden="1" customHeight="1">
      <c r="A84" s="1075"/>
      <c r="B84" s="1079"/>
      <c r="C84" s="1079"/>
      <c r="D84" s="1079"/>
      <c r="E84" s="1079"/>
      <c r="F84" s="1079"/>
      <c r="G84" s="1079"/>
      <c r="H84" s="1079"/>
      <c r="I84" s="1079"/>
      <c r="J84" s="1079"/>
      <c r="K84" s="1079"/>
      <c r="L84" s="1079"/>
      <c r="M84" s="1079"/>
      <c r="N84" s="1080"/>
      <c r="O84" s="233"/>
      <c r="P84" s="233"/>
      <c r="Q84" s="233"/>
      <c r="R84" s="233"/>
      <c r="S84" s="233"/>
      <c r="T84" s="233"/>
      <c r="U84" s="233"/>
      <c r="V84" s="233"/>
      <c r="W84" s="233"/>
      <c r="X84" s="233"/>
      <c r="Y84" s="577"/>
      <c r="Z84" s="577"/>
      <c r="AA84" s="577"/>
      <c r="AB84" s="577"/>
      <c r="AC84" s="577"/>
      <c r="AD84" s="577"/>
      <c r="AE84" s="577"/>
      <c r="AF84" s="233"/>
      <c r="AG84" s="233"/>
      <c r="AH84" s="577"/>
      <c r="AI84" s="577"/>
      <c r="AJ84" s="577"/>
      <c r="AK84" s="577"/>
      <c r="AL84" s="577"/>
      <c r="AM84" s="577"/>
      <c r="AN84" s="577"/>
      <c r="AO84" s="208"/>
      <c r="AP84" s="208"/>
      <c r="AQ84" s="131"/>
      <c r="AR84" s="131"/>
      <c r="AS84" s="131"/>
      <c r="AT84" s="131"/>
      <c r="AU84" s="131"/>
      <c r="AV84" s="131"/>
      <c r="AW84" s="131"/>
      <c r="AX84" s="173"/>
      <c r="AY84" s="173"/>
      <c r="AZ84" s="173"/>
      <c r="BA84" s="173"/>
      <c r="BB84" s="173"/>
      <c r="BC84" s="173"/>
      <c r="BD84" s="173"/>
      <c r="BE84" s="173"/>
      <c r="BF84" s="173"/>
      <c r="BG84" s="242"/>
      <c r="BH84" s="242"/>
      <c r="BI84" s="242"/>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row>
    <row r="85" spans="1:90" ht="9.75" hidden="1" customHeight="1">
      <c r="A85" s="1075"/>
      <c r="B85" s="1079"/>
      <c r="C85" s="1081"/>
      <c r="D85" s="1081"/>
      <c r="E85" s="1081"/>
      <c r="F85" s="1081"/>
      <c r="G85" s="1081"/>
      <c r="H85" s="1079"/>
      <c r="I85" s="1079"/>
      <c r="J85" s="1082"/>
      <c r="K85" s="1082"/>
      <c r="L85" s="1082"/>
      <c r="M85" s="1082"/>
      <c r="N85" s="1080"/>
      <c r="O85" s="233"/>
      <c r="P85" s="233"/>
      <c r="Q85" s="233"/>
      <c r="R85" s="233"/>
      <c r="S85" s="233"/>
      <c r="T85" s="233"/>
      <c r="U85" s="233"/>
      <c r="V85" s="233"/>
      <c r="W85" s="233"/>
      <c r="X85" s="233"/>
      <c r="Y85" s="577"/>
      <c r="Z85" s="577"/>
      <c r="AA85" s="577"/>
      <c r="AB85" s="577"/>
      <c r="AC85" s="577"/>
      <c r="AD85" s="577"/>
      <c r="AE85" s="577"/>
      <c r="AF85" s="233"/>
      <c r="AG85" s="233"/>
      <c r="AH85" s="577"/>
      <c r="AI85" s="577"/>
      <c r="AJ85" s="577"/>
      <c r="AK85" s="577"/>
      <c r="AL85" s="577"/>
      <c r="AM85" s="577"/>
      <c r="AN85" s="577"/>
      <c r="AO85" s="131"/>
      <c r="AP85" s="131"/>
      <c r="AQ85" s="131"/>
      <c r="AR85" s="131"/>
      <c r="AS85" s="131"/>
      <c r="AT85" s="131"/>
      <c r="AU85" s="131"/>
      <c r="AV85" s="131"/>
      <c r="AW85" s="131"/>
      <c r="AX85" s="173"/>
      <c r="AY85" s="173"/>
      <c r="AZ85" s="173"/>
      <c r="BA85" s="173"/>
      <c r="BB85" s="173"/>
      <c r="BC85" s="173"/>
      <c r="BD85" s="173"/>
      <c r="BE85" s="173"/>
      <c r="BF85" s="173"/>
      <c r="BG85" s="242"/>
      <c r="BH85" s="242"/>
      <c r="BI85" s="242"/>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row>
    <row r="86" spans="1:90" ht="19.5" hidden="1" customHeight="1">
      <c r="A86" s="1075"/>
      <c r="B86" s="1046"/>
      <c r="C86" s="1081"/>
      <c r="D86" s="1081"/>
      <c r="E86" s="1081"/>
      <c r="F86" s="1081"/>
      <c r="G86" s="1081"/>
      <c r="H86" s="1083"/>
      <c r="I86" s="1083"/>
      <c r="J86" s="1084"/>
      <c r="K86" s="1084"/>
      <c r="L86" s="1084"/>
      <c r="M86" s="1084"/>
      <c r="N86" s="1085"/>
      <c r="O86" s="234"/>
      <c r="P86" s="234"/>
      <c r="Q86" s="234"/>
      <c r="R86" s="234"/>
      <c r="S86" s="234"/>
      <c r="T86" s="234"/>
      <c r="U86" s="234"/>
      <c r="V86" s="234"/>
      <c r="W86" s="234"/>
      <c r="X86" s="234"/>
      <c r="Y86" s="577"/>
      <c r="Z86" s="577"/>
      <c r="AA86" s="577"/>
      <c r="AB86" s="577"/>
      <c r="AC86" s="577"/>
      <c r="AD86" s="577"/>
      <c r="AE86" s="577"/>
      <c r="AF86" s="234"/>
      <c r="AG86" s="234"/>
      <c r="AH86" s="577"/>
      <c r="AI86" s="577"/>
      <c r="AJ86" s="577"/>
      <c r="AK86" s="577"/>
      <c r="AL86" s="577"/>
      <c r="AM86" s="577"/>
      <c r="AN86" s="577"/>
      <c r="AO86" s="131"/>
      <c r="AP86" s="131"/>
      <c r="AQ86" s="131"/>
      <c r="AR86" s="131"/>
      <c r="AS86" s="131"/>
      <c r="AT86" s="131"/>
      <c r="AU86" s="131"/>
      <c r="AV86" s="131"/>
      <c r="AW86" s="131"/>
      <c r="AX86" s="173"/>
      <c r="AY86" s="173"/>
      <c r="AZ86" s="173"/>
      <c r="BA86" s="173"/>
      <c r="BB86" s="173"/>
      <c r="BC86" s="173"/>
      <c r="BD86" s="173"/>
      <c r="BE86" s="173"/>
      <c r="BF86" s="173"/>
      <c r="BG86" s="242"/>
      <c r="BH86" s="242"/>
      <c r="BI86" s="242"/>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row>
    <row r="87" spans="1:90" ht="19.5" hidden="1" customHeight="1">
      <c r="A87" s="383"/>
      <c r="B87" s="384"/>
      <c r="C87" s="1040"/>
      <c r="D87" s="1040"/>
      <c r="E87" s="1040"/>
      <c r="F87" s="1040"/>
      <c r="G87" s="1040"/>
      <c r="H87" s="1041"/>
      <c r="I87" s="1041"/>
      <c r="J87" s="1042"/>
      <c r="K87" s="1042"/>
      <c r="L87" s="1042"/>
      <c r="M87" s="1042"/>
      <c r="N87" s="234"/>
      <c r="O87" s="234"/>
      <c r="P87" s="234"/>
      <c r="Q87" s="234"/>
      <c r="R87" s="234"/>
      <c r="S87" s="234"/>
      <c r="T87" s="234"/>
      <c r="U87" s="234"/>
      <c r="V87" s="234"/>
      <c r="W87" s="234"/>
      <c r="X87" s="234"/>
      <c r="Y87" s="577"/>
      <c r="Z87" s="577"/>
      <c r="AA87" s="577"/>
      <c r="AB87" s="577"/>
      <c r="AC87" s="577"/>
      <c r="AD87" s="577"/>
      <c r="AE87" s="577"/>
      <c r="AF87" s="234"/>
      <c r="AG87" s="234"/>
      <c r="AH87" s="577"/>
      <c r="AI87" s="577"/>
      <c r="AJ87" s="577"/>
      <c r="AK87" s="577"/>
      <c r="AL87" s="577"/>
      <c r="AM87" s="577"/>
      <c r="AN87" s="577"/>
      <c r="AO87" s="131"/>
      <c r="AP87" s="131"/>
      <c r="AQ87" s="131"/>
      <c r="AR87" s="131"/>
      <c r="AS87" s="131"/>
      <c r="AT87" s="131"/>
      <c r="AU87" s="131"/>
      <c r="AV87" s="131"/>
      <c r="AW87" s="131"/>
      <c r="AX87" s="173"/>
      <c r="AY87" s="173"/>
      <c r="AZ87" s="173"/>
      <c r="BA87" s="173"/>
      <c r="BB87" s="173"/>
      <c r="BC87" s="173"/>
      <c r="BD87" s="173"/>
      <c r="BE87" s="173"/>
      <c r="BF87" s="173"/>
      <c r="BG87" s="242"/>
      <c r="BH87" s="242"/>
      <c r="BI87" s="242"/>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row>
    <row r="88" spans="1:90" ht="15.75" hidden="1">
      <c r="A88" s="383"/>
      <c r="B88" s="385" t="s">
        <v>29</v>
      </c>
      <c r="C88" s="5793" t="s">
        <v>29</v>
      </c>
      <c r="D88" s="5793"/>
      <c r="E88" s="5793"/>
      <c r="F88" s="5793"/>
      <c r="G88" s="5793"/>
      <c r="H88" s="5793"/>
      <c r="I88" s="385"/>
      <c r="J88" s="385"/>
      <c r="K88" s="5793" t="s">
        <v>29</v>
      </c>
      <c r="L88" s="5793"/>
      <c r="M88" s="5793"/>
      <c r="N88" s="233"/>
      <c r="O88" s="233"/>
      <c r="P88" s="233"/>
      <c r="Q88" s="233"/>
      <c r="R88" s="233"/>
      <c r="S88" s="233"/>
      <c r="T88" s="233"/>
      <c r="U88" s="233"/>
      <c r="V88" s="233"/>
      <c r="W88" s="233"/>
      <c r="X88" s="233"/>
      <c r="Y88" s="233"/>
      <c r="Z88" s="233"/>
      <c r="AA88" s="233"/>
      <c r="AB88" s="233"/>
      <c r="AC88" s="233"/>
      <c r="AD88" s="233"/>
      <c r="AE88" s="233"/>
      <c r="AF88" s="233"/>
      <c r="AG88" s="233"/>
      <c r="AH88" s="233"/>
      <c r="AI88" s="233"/>
      <c r="AJ88" s="235"/>
      <c r="AK88" s="232"/>
      <c r="AL88" s="232"/>
      <c r="AM88" s="232"/>
      <c r="AN88" s="236"/>
      <c r="AO88" s="131"/>
      <c r="AP88" s="131"/>
      <c r="AQ88" s="131"/>
      <c r="AR88" s="131"/>
      <c r="AS88" s="131"/>
      <c r="AT88" s="131"/>
      <c r="AU88" s="131"/>
      <c r="AV88" s="131"/>
      <c r="AW88" s="131"/>
      <c r="AX88" s="173"/>
      <c r="AY88" s="173"/>
      <c r="AZ88" s="173"/>
      <c r="BA88" s="173"/>
      <c r="BB88" s="173"/>
      <c r="BC88" s="173"/>
      <c r="BD88" s="173"/>
      <c r="BE88" s="173"/>
      <c r="BF88" s="173"/>
      <c r="BG88" s="242"/>
      <c r="BH88" s="242"/>
      <c r="BI88" s="242"/>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row>
    <row r="89" spans="1:90" hidden="1">
      <c r="A89" s="383"/>
      <c r="B89" s="5794"/>
      <c r="C89" s="5794"/>
      <c r="D89" s="5794"/>
      <c r="E89" s="5794"/>
      <c r="F89" s="5794"/>
      <c r="G89" s="5794"/>
      <c r="H89" s="5795"/>
      <c r="I89" s="5796"/>
      <c r="J89" s="5796"/>
      <c r="K89" s="5796"/>
      <c r="L89" s="5796"/>
      <c r="M89" s="5796"/>
      <c r="N89" s="237"/>
      <c r="O89" s="237"/>
      <c r="P89" s="237"/>
      <c r="Q89" s="237"/>
      <c r="R89" s="237"/>
      <c r="S89" s="237"/>
      <c r="T89" s="237"/>
      <c r="U89" s="237"/>
      <c r="V89" s="237"/>
      <c r="W89" s="237"/>
      <c r="X89" s="237"/>
      <c r="Y89" s="237"/>
      <c r="Z89" s="237"/>
      <c r="AA89" s="237"/>
      <c r="AB89" s="237"/>
      <c r="AC89" s="237"/>
      <c r="AD89" s="237"/>
      <c r="AE89" s="237"/>
      <c r="AF89" s="237"/>
      <c r="AG89" s="237"/>
      <c r="AH89" s="237"/>
      <c r="AI89" s="237"/>
      <c r="AJ89" s="136"/>
      <c r="AK89" s="136"/>
      <c r="AL89" s="208"/>
      <c r="AM89" s="131"/>
      <c r="AN89" s="238"/>
      <c r="AO89" s="238"/>
      <c r="AP89" s="238"/>
      <c r="AQ89" s="238"/>
      <c r="AR89" s="131"/>
      <c r="AS89" s="131"/>
      <c r="AT89" s="131"/>
      <c r="AU89" s="131"/>
      <c r="AV89" s="131"/>
      <c r="AW89" s="131"/>
      <c r="AX89" s="173"/>
      <c r="AY89" s="173"/>
      <c r="AZ89" s="173"/>
      <c r="BA89" s="173"/>
      <c r="BB89" s="173"/>
      <c r="BC89" s="173"/>
      <c r="BD89" s="173"/>
      <c r="BE89" s="173"/>
      <c r="BF89" s="173"/>
      <c r="BG89" s="242"/>
      <c r="BH89" s="242"/>
      <c r="BI89" s="242"/>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row>
    <row r="90" spans="1:90" hidden="1">
      <c r="A90" s="383"/>
      <c r="B90" s="386"/>
      <c r="C90" s="386"/>
      <c r="D90" s="386"/>
      <c r="E90" s="386"/>
      <c r="F90" s="386"/>
      <c r="G90" s="386"/>
      <c r="H90" s="386"/>
      <c r="I90" s="386"/>
      <c r="J90" s="386"/>
      <c r="K90" s="386"/>
      <c r="L90" s="239"/>
      <c r="M90" s="239"/>
      <c r="N90" s="239"/>
      <c r="O90" s="239"/>
      <c r="P90" s="239"/>
      <c r="Q90" s="239"/>
      <c r="R90" s="239"/>
      <c r="S90" s="239"/>
      <c r="T90" s="239"/>
      <c r="U90" s="239"/>
      <c r="V90" s="239"/>
      <c r="W90" s="239"/>
      <c r="X90" s="239"/>
      <c r="Y90" s="239"/>
      <c r="Z90" s="239"/>
      <c r="AA90" s="239"/>
      <c r="AB90" s="239"/>
      <c r="AC90" s="239"/>
      <c r="AD90" s="239"/>
      <c r="AE90" s="239"/>
      <c r="AF90" s="239"/>
      <c r="AG90" s="239"/>
      <c r="AH90" s="239"/>
      <c r="AI90" s="239"/>
      <c r="AJ90" s="136"/>
      <c r="AK90" s="136"/>
      <c r="AL90" s="131"/>
      <c r="AM90" s="131"/>
      <c r="AN90" s="240"/>
      <c r="AO90" s="240"/>
      <c r="AP90" s="240"/>
      <c r="AQ90" s="240"/>
      <c r="AR90" s="240"/>
      <c r="AS90" s="240"/>
      <c r="AT90" s="240"/>
      <c r="AU90" s="240"/>
      <c r="AV90" s="240"/>
      <c r="AW90" s="240"/>
      <c r="AX90" s="173"/>
      <c r="AY90" s="173"/>
      <c r="AZ90" s="173"/>
      <c r="BA90" s="173"/>
      <c r="BB90" s="173"/>
      <c r="BC90" s="173"/>
      <c r="BD90" s="173"/>
      <c r="BE90" s="1"/>
      <c r="BF90" s="1"/>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row>
    <row r="91" spans="1:90" hidden="1">
      <c r="A91" s="383"/>
      <c r="B91" s="387"/>
      <c r="C91" s="387"/>
      <c r="D91" s="387"/>
      <c r="E91" s="387"/>
      <c r="F91" s="387"/>
      <c r="G91" s="387"/>
      <c r="H91" s="387"/>
      <c r="I91" s="387"/>
      <c r="J91" s="387"/>
      <c r="K91" s="387"/>
      <c r="L91" s="388"/>
      <c r="M91" s="388"/>
      <c r="N91" s="388"/>
      <c r="O91" s="388"/>
      <c r="P91" s="388"/>
      <c r="Q91" s="388"/>
      <c r="R91" s="388"/>
      <c r="S91" s="388"/>
      <c r="T91" s="388"/>
      <c r="U91" s="388"/>
      <c r="V91" s="388"/>
      <c r="W91" s="388"/>
      <c r="X91" s="388"/>
      <c r="Y91" s="388"/>
      <c r="Z91" s="388"/>
      <c r="AA91" s="388"/>
      <c r="AB91" s="388"/>
      <c r="AC91" s="388"/>
      <c r="AD91" s="388"/>
      <c r="AE91" s="388"/>
      <c r="AF91" s="388"/>
      <c r="AG91" s="388"/>
      <c r="AH91" s="388"/>
      <c r="AI91" s="388"/>
      <c r="AJ91" s="389"/>
      <c r="AK91" s="389"/>
      <c r="AL91" s="131"/>
      <c r="AM91" s="200"/>
      <c r="AN91" s="130"/>
      <c r="AO91" s="206"/>
      <c r="AP91" s="206"/>
      <c r="AQ91" s="240"/>
      <c r="AR91" s="240"/>
      <c r="AS91" s="240"/>
      <c r="AT91" s="240"/>
      <c r="AU91" s="106"/>
      <c r="AV91" s="106"/>
      <c r="AW91" s="106"/>
      <c r="AX91" s="105"/>
      <c r="AY91" s="105"/>
      <c r="AZ91" s="105"/>
      <c r="BA91" s="105"/>
      <c r="BB91" s="105"/>
      <c r="BC91" s="105"/>
      <c r="BD91" s="105"/>
    </row>
    <row r="92" spans="1:90" hidden="1">
      <c r="A92" s="383"/>
      <c r="B92" s="387"/>
      <c r="C92" s="383"/>
      <c r="D92" s="383"/>
      <c r="E92" s="383"/>
      <c r="F92" s="383"/>
      <c r="G92" s="383"/>
      <c r="H92" s="383"/>
      <c r="I92" s="383"/>
      <c r="J92" s="383"/>
      <c r="K92" s="383"/>
      <c r="L92" s="383"/>
      <c r="M92" s="383"/>
      <c r="N92" s="383"/>
      <c r="O92" s="390"/>
      <c r="P92" s="383"/>
      <c r="Q92" s="383"/>
      <c r="R92" s="383"/>
      <c r="S92" s="383"/>
      <c r="T92" s="383"/>
      <c r="U92" s="383"/>
      <c r="V92" s="383"/>
      <c r="W92" s="383"/>
      <c r="X92" s="383"/>
      <c r="Y92" s="383"/>
      <c r="Z92" s="383"/>
      <c r="AA92" s="383"/>
      <c r="AB92" s="383"/>
      <c r="AC92" s="383"/>
      <c r="AD92" s="383"/>
      <c r="AE92" s="383"/>
      <c r="AF92" s="383"/>
      <c r="AG92" s="383"/>
      <c r="AH92" s="383"/>
      <c r="AI92" s="383"/>
      <c r="AJ92" s="391"/>
      <c r="AK92" s="131"/>
      <c r="AL92" s="131"/>
      <c r="AM92" s="5803"/>
      <c r="AN92" s="5803"/>
      <c r="AO92" s="5803"/>
      <c r="AP92" s="5803"/>
      <c r="AQ92" s="131"/>
      <c r="AR92" s="131"/>
      <c r="AS92" s="131"/>
      <c r="AT92" s="131"/>
      <c r="AU92" s="104"/>
      <c r="AV92" s="104"/>
      <c r="AW92" s="104"/>
      <c r="AX92" s="105"/>
      <c r="AY92" s="105"/>
      <c r="AZ92" s="105"/>
      <c r="BA92" s="105"/>
      <c r="BB92" s="105"/>
      <c r="BC92" s="105"/>
      <c r="BD92" s="105"/>
    </row>
    <row r="93" spans="1:90" hidden="1">
      <c r="A93" s="383"/>
      <c r="B93" s="387"/>
      <c r="C93" s="383"/>
      <c r="D93" s="383"/>
      <c r="E93" s="383"/>
      <c r="F93" s="383"/>
      <c r="G93" s="383"/>
      <c r="H93" s="383"/>
      <c r="I93" s="383"/>
      <c r="J93" s="383"/>
      <c r="K93" s="383"/>
      <c r="L93" s="383"/>
      <c r="M93" s="383"/>
      <c r="N93" s="383"/>
      <c r="O93" s="390"/>
      <c r="P93" s="383"/>
      <c r="Q93" s="383"/>
      <c r="R93" s="383"/>
      <c r="S93" s="383"/>
      <c r="T93" s="383"/>
      <c r="U93" s="383"/>
      <c r="V93" s="383"/>
      <c r="W93" s="383"/>
      <c r="X93" s="383"/>
      <c r="Y93" s="383"/>
      <c r="Z93" s="383"/>
      <c r="AA93" s="383"/>
      <c r="AB93" s="383"/>
      <c r="AC93" s="383"/>
      <c r="AD93" s="383"/>
      <c r="AE93" s="383"/>
      <c r="AF93" s="383"/>
      <c r="AG93" s="383"/>
      <c r="AH93" s="383"/>
      <c r="AI93" s="383"/>
      <c r="AJ93" s="391"/>
      <c r="AK93" s="131"/>
      <c r="AL93" s="131"/>
      <c r="AM93" s="376"/>
      <c r="AN93" s="130"/>
      <c r="AO93" s="210"/>
      <c r="AP93" s="130"/>
      <c r="AQ93" s="131"/>
      <c r="AR93" s="131"/>
      <c r="AS93" s="131"/>
      <c r="AT93" s="131"/>
      <c r="AU93" s="104"/>
      <c r="AV93" s="104"/>
      <c r="AW93" s="104"/>
      <c r="AX93" s="105"/>
      <c r="AY93" s="105"/>
      <c r="AZ93" s="105"/>
      <c r="BA93" s="105"/>
      <c r="BB93" s="105"/>
      <c r="BC93" s="105"/>
      <c r="BD93" s="105"/>
    </row>
    <row r="94" spans="1:90" hidden="1">
      <c r="A94" s="383"/>
      <c r="B94" s="387"/>
      <c r="C94" s="383"/>
      <c r="D94" s="383"/>
      <c r="E94" s="383"/>
      <c r="F94" s="383"/>
      <c r="G94" s="383"/>
      <c r="H94" s="383"/>
      <c r="I94" s="383"/>
      <c r="J94" s="383"/>
      <c r="K94" s="383"/>
      <c r="L94" s="383"/>
      <c r="M94" s="383"/>
      <c r="N94" s="383"/>
      <c r="O94" s="390"/>
      <c r="P94" s="383"/>
      <c r="Q94" s="383"/>
      <c r="R94" s="383"/>
      <c r="S94" s="383"/>
      <c r="T94" s="383"/>
      <c r="U94" s="383"/>
      <c r="V94" s="383"/>
      <c r="W94" s="383"/>
      <c r="X94" s="383"/>
      <c r="Y94" s="383"/>
      <c r="Z94" s="383"/>
      <c r="AA94" s="383"/>
      <c r="AB94" s="383"/>
      <c r="AC94" s="383"/>
      <c r="AD94" s="383"/>
      <c r="AE94" s="383"/>
      <c r="AF94" s="383"/>
      <c r="AG94" s="383"/>
      <c r="AH94" s="383"/>
      <c r="AI94" s="383"/>
      <c r="AJ94" s="391"/>
      <c r="AK94" s="131"/>
      <c r="AL94" s="131"/>
      <c r="AM94" s="5803"/>
      <c r="AN94" s="5803"/>
      <c r="AO94" s="5803"/>
      <c r="AP94" s="5803"/>
      <c r="AQ94" s="131"/>
      <c r="AR94" s="131"/>
      <c r="AS94" s="131"/>
      <c r="AT94" s="131"/>
      <c r="AU94" s="104"/>
      <c r="AV94" s="104"/>
      <c r="AW94" s="104"/>
      <c r="AX94" s="105"/>
      <c r="AY94" s="105"/>
      <c r="AZ94" s="105"/>
      <c r="BA94" s="105"/>
      <c r="BB94" s="105"/>
      <c r="BC94" s="105"/>
      <c r="BD94" s="105"/>
    </row>
    <row r="95" spans="1:90" hidden="1">
      <c r="A95" s="383"/>
      <c r="B95" s="387"/>
      <c r="C95" s="383"/>
      <c r="D95" s="383"/>
      <c r="E95" s="383"/>
      <c r="F95" s="383"/>
      <c r="G95" s="383"/>
      <c r="H95" s="383"/>
      <c r="I95" s="383"/>
      <c r="J95" s="383"/>
      <c r="K95" s="383"/>
      <c r="L95" s="383"/>
      <c r="M95" s="383"/>
      <c r="N95" s="383"/>
      <c r="O95" s="390"/>
      <c r="P95" s="383"/>
      <c r="Q95" s="383"/>
      <c r="R95" s="383"/>
      <c r="S95" s="383"/>
      <c r="T95" s="383"/>
      <c r="U95" s="383"/>
      <c r="V95" s="383"/>
      <c r="W95" s="383"/>
      <c r="X95" s="383"/>
      <c r="Y95" s="383"/>
      <c r="Z95" s="383"/>
      <c r="AA95" s="383"/>
      <c r="AB95" s="383"/>
      <c r="AC95" s="383"/>
      <c r="AD95" s="383"/>
      <c r="AE95" s="383"/>
      <c r="AF95" s="383"/>
      <c r="AG95" s="383"/>
      <c r="AH95" s="383"/>
      <c r="AI95" s="383"/>
      <c r="AJ95" s="131"/>
      <c r="AK95" s="131"/>
      <c r="AL95" s="131"/>
      <c r="AM95" s="215"/>
      <c r="AN95" s="215"/>
      <c r="AO95" s="210"/>
      <c r="AP95" s="215"/>
      <c r="AQ95" s="131"/>
      <c r="AR95" s="131"/>
      <c r="AS95" s="131"/>
      <c r="AT95" s="131"/>
      <c r="AU95" s="104"/>
      <c r="AV95" s="104"/>
      <c r="AW95" s="104"/>
      <c r="AX95" s="105"/>
      <c r="AY95" s="105"/>
      <c r="AZ95" s="105"/>
      <c r="BA95" s="105"/>
      <c r="BB95" s="105"/>
      <c r="BC95" s="105"/>
      <c r="BD95" s="105"/>
    </row>
    <row r="96" spans="1:90" hidden="1">
      <c r="A96" s="383"/>
      <c r="B96" s="387"/>
      <c r="C96" s="387"/>
      <c r="D96" s="387"/>
      <c r="E96" s="383"/>
      <c r="F96" s="387"/>
      <c r="G96" s="387"/>
      <c r="H96" s="387"/>
      <c r="I96" s="387"/>
      <c r="J96" s="387"/>
      <c r="K96" s="387"/>
      <c r="L96" s="387"/>
      <c r="M96" s="387"/>
      <c r="N96" s="387"/>
      <c r="O96" s="392"/>
      <c r="P96" s="387"/>
      <c r="Q96" s="387"/>
      <c r="R96" s="387"/>
      <c r="S96" s="387"/>
      <c r="T96" s="387"/>
      <c r="U96" s="387"/>
      <c r="V96" s="387"/>
      <c r="W96" s="387"/>
      <c r="X96" s="387"/>
      <c r="Y96" s="387"/>
      <c r="Z96" s="387"/>
      <c r="AA96" s="387"/>
      <c r="AB96" s="387"/>
      <c r="AC96" s="387"/>
      <c r="AD96" s="387"/>
      <c r="AE96" s="387"/>
      <c r="AF96" s="387"/>
      <c r="AG96" s="387"/>
      <c r="AH96" s="387"/>
      <c r="AI96" s="387"/>
      <c r="AJ96" s="393"/>
      <c r="AK96" s="393"/>
      <c r="AL96" s="131"/>
      <c r="AM96" s="215"/>
      <c r="AN96" s="5788"/>
      <c r="AO96" s="5788"/>
      <c r="AP96" s="5788"/>
      <c r="AQ96" s="131"/>
      <c r="AR96" s="131"/>
      <c r="AS96" s="131"/>
      <c r="AT96" s="131"/>
      <c r="AU96" s="104"/>
      <c r="AV96" s="104"/>
      <c r="AW96" s="104"/>
      <c r="AX96" s="105"/>
      <c r="AY96" s="105"/>
      <c r="AZ96" s="105"/>
      <c r="BA96" s="105"/>
      <c r="BB96" s="105"/>
      <c r="BC96" s="105"/>
      <c r="BD96" s="105"/>
    </row>
    <row r="97" spans="1:56" hidden="1">
      <c r="A97" s="350"/>
      <c r="B97" s="350"/>
      <c r="C97" s="350"/>
      <c r="D97" s="350"/>
      <c r="E97" s="350"/>
      <c r="F97" s="350"/>
      <c r="G97" s="350"/>
      <c r="H97" s="350"/>
      <c r="I97" s="350"/>
      <c r="J97" s="350"/>
      <c r="K97" s="350"/>
      <c r="L97" s="350"/>
      <c r="M97" s="383"/>
      <c r="N97" s="350"/>
      <c r="O97" s="350"/>
      <c r="P97" s="350"/>
      <c r="Q97" s="350"/>
      <c r="R97" s="350"/>
      <c r="S97" s="350"/>
      <c r="T97" s="350"/>
      <c r="U97" s="350"/>
      <c r="V97" s="350"/>
      <c r="W97" s="350"/>
      <c r="X97" s="350"/>
      <c r="Y97" s="350"/>
      <c r="Z97" s="350"/>
      <c r="AA97" s="350"/>
      <c r="AB97" s="350"/>
      <c r="AC97" s="350"/>
      <c r="AD97" s="350"/>
      <c r="AE97" s="350"/>
      <c r="AF97" s="350"/>
      <c r="AG97" s="350"/>
      <c r="AH97" s="350"/>
      <c r="AI97" s="350"/>
      <c r="AJ97" s="131"/>
      <c r="AK97" s="131"/>
      <c r="AL97" s="131"/>
      <c r="AM97" s="208"/>
      <c r="AN97" s="5789"/>
      <c r="AO97" s="5789"/>
      <c r="AP97" s="5789"/>
      <c r="AQ97" s="131"/>
      <c r="AR97" s="131"/>
      <c r="AS97" s="131"/>
      <c r="AT97" s="131"/>
      <c r="AU97" s="104"/>
      <c r="AV97" s="104"/>
      <c r="AW97" s="104"/>
      <c r="AX97" s="105"/>
      <c r="AY97" s="105"/>
      <c r="AZ97" s="105"/>
      <c r="BA97" s="105"/>
      <c r="BB97" s="105"/>
      <c r="BC97" s="105"/>
      <c r="BD97" s="105"/>
    </row>
    <row r="98" spans="1:56" hidden="1">
      <c r="A98" s="350"/>
      <c r="B98" s="350"/>
      <c r="C98" s="350"/>
      <c r="D98" s="350"/>
      <c r="E98" s="350"/>
      <c r="F98" s="350"/>
      <c r="G98" s="350"/>
      <c r="H98" s="350"/>
      <c r="I98" s="350"/>
      <c r="J98" s="350"/>
      <c r="K98" s="350"/>
      <c r="L98" s="350"/>
      <c r="M98" s="350"/>
      <c r="N98" s="350"/>
      <c r="O98" s="350"/>
      <c r="P98" s="350"/>
      <c r="Q98" s="350"/>
      <c r="R98" s="350"/>
      <c r="S98" s="350"/>
      <c r="T98" s="350"/>
      <c r="U98" s="350"/>
      <c r="V98" s="350"/>
      <c r="W98" s="350"/>
      <c r="X98" s="350"/>
      <c r="Y98" s="350"/>
      <c r="Z98" s="350"/>
      <c r="AA98" s="350"/>
      <c r="AB98" s="350"/>
      <c r="AC98" s="350"/>
      <c r="AD98" s="350"/>
      <c r="AE98" s="350"/>
      <c r="AF98" s="350"/>
      <c r="AG98" s="350"/>
      <c r="AH98" s="350"/>
      <c r="AI98" s="350"/>
      <c r="AJ98" s="131"/>
      <c r="AK98" s="131"/>
      <c r="AL98" s="131"/>
      <c r="AM98" s="131"/>
      <c r="AN98" s="131"/>
      <c r="AO98" s="131"/>
      <c r="AP98" s="131"/>
      <c r="AQ98" s="131"/>
      <c r="AR98" s="131"/>
      <c r="AS98" s="131"/>
      <c r="AT98" s="131"/>
      <c r="AU98" s="104"/>
      <c r="AV98" s="104"/>
      <c r="AW98" s="104"/>
      <c r="AX98" s="105"/>
      <c r="AY98" s="105"/>
      <c r="AZ98" s="105"/>
      <c r="BA98" s="105"/>
      <c r="BB98" s="105"/>
      <c r="BC98" s="105"/>
      <c r="BD98" s="105"/>
    </row>
    <row r="99" spans="1:56" hidden="1">
      <c r="A99" s="350"/>
      <c r="B99" s="350"/>
      <c r="C99" s="350"/>
      <c r="D99" s="350"/>
      <c r="E99" s="350"/>
      <c r="F99" s="350"/>
      <c r="G99" s="350"/>
      <c r="H99" s="350"/>
      <c r="I99" s="350"/>
      <c r="J99" s="350"/>
      <c r="K99" s="350"/>
      <c r="L99" s="350"/>
      <c r="M99" s="350"/>
      <c r="N99" s="350"/>
      <c r="O99" s="350"/>
      <c r="P99" s="350"/>
      <c r="Q99" s="350"/>
      <c r="R99" s="350"/>
      <c r="S99" s="350"/>
      <c r="T99" s="350"/>
      <c r="U99" s="350"/>
      <c r="V99" s="350"/>
      <c r="W99" s="350"/>
      <c r="X99" s="350"/>
      <c r="Y99" s="350"/>
      <c r="Z99" s="350"/>
      <c r="AA99" s="350"/>
      <c r="AB99" s="350"/>
      <c r="AC99" s="350"/>
      <c r="AD99" s="350"/>
      <c r="AE99" s="350"/>
      <c r="AF99" s="350"/>
      <c r="AG99" s="350"/>
      <c r="AH99" s="350"/>
      <c r="AI99" s="350"/>
      <c r="AJ99" s="131"/>
      <c r="AK99" s="131"/>
      <c r="AL99" s="131"/>
      <c r="AM99" s="131"/>
      <c r="AN99" s="131"/>
      <c r="AO99" s="131"/>
      <c r="AP99" s="131"/>
      <c r="AQ99" s="131"/>
      <c r="AR99" s="131"/>
      <c r="AS99" s="131"/>
      <c r="AT99" s="131"/>
      <c r="AU99" s="104"/>
      <c r="AV99" s="104"/>
      <c r="AW99" s="104"/>
      <c r="AX99" s="105"/>
      <c r="AY99" s="105"/>
      <c r="AZ99" s="105"/>
      <c r="BA99" s="105"/>
      <c r="BB99" s="105"/>
      <c r="BC99" s="105"/>
      <c r="BD99" s="105"/>
    </row>
    <row r="100" spans="1:56" hidden="1">
      <c r="A100" s="350"/>
      <c r="B100" s="350"/>
      <c r="C100" s="350"/>
      <c r="D100" s="350"/>
      <c r="E100" s="350"/>
      <c r="F100" s="350"/>
      <c r="G100" s="350"/>
      <c r="H100" s="350"/>
      <c r="I100" s="350"/>
      <c r="J100" s="350"/>
      <c r="K100" s="350"/>
      <c r="L100" s="350"/>
      <c r="M100" s="350"/>
      <c r="N100" s="350"/>
      <c r="O100" s="350"/>
      <c r="P100" s="350"/>
      <c r="Q100" s="350"/>
      <c r="R100" s="350"/>
      <c r="S100" s="350"/>
      <c r="T100" s="350"/>
      <c r="U100" s="350"/>
      <c r="V100" s="350"/>
      <c r="W100" s="350"/>
      <c r="X100" s="350"/>
      <c r="Y100" s="350"/>
      <c r="Z100" s="350"/>
      <c r="AA100" s="350"/>
      <c r="AB100" s="350"/>
      <c r="AC100" s="350"/>
      <c r="AD100" s="350"/>
      <c r="AE100" s="350"/>
      <c r="AF100" s="350"/>
      <c r="AG100" s="350"/>
      <c r="AH100" s="350"/>
      <c r="AI100" s="350"/>
      <c r="AJ100" s="131"/>
      <c r="AK100" s="131"/>
      <c r="AL100" s="131"/>
      <c r="AM100" s="131"/>
      <c r="AN100" s="131"/>
      <c r="AO100" s="131"/>
      <c r="AP100" s="131"/>
      <c r="AQ100" s="131"/>
      <c r="AR100" s="131"/>
      <c r="AS100" s="131"/>
      <c r="AT100" s="131"/>
      <c r="AU100" s="104"/>
      <c r="AV100" s="104"/>
      <c r="AW100" s="104"/>
      <c r="AX100" s="105"/>
      <c r="AY100" s="105"/>
      <c r="AZ100" s="105"/>
      <c r="BA100" s="105"/>
      <c r="BB100" s="105"/>
      <c r="BC100" s="105"/>
      <c r="BD100" s="105"/>
    </row>
    <row r="101" spans="1:56" hidden="1">
      <c r="A101" s="350"/>
      <c r="B101" s="350"/>
      <c r="C101" s="350"/>
      <c r="D101" s="350"/>
      <c r="E101" s="350"/>
      <c r="F101" s="350"/>
      <c r="G101" s="350"/>
      <c r="H101" s="350"/>
      <c r="I101" s="350"/>
      <c r="J101" s="350"/>
      <c r="K101" s="350"/>
      <c r="L101" s="350"/>
      <c r="M101" s="350"/>
      <c r="N101" s="350"/>
      <c r="O101" s="350"/>
      <c r="P101" s="350"/>
      <c r="Q101" s="350"/>
      <c r="R101" s="350"/>
      <c r="S101" s="350"/>
      <c r="T101" s="350"/>
      <c r="U101" s="350"/>
      <c r="V101" s="350"/>
      <c r="W101" s="350"/>
      <c r="X101" s="350"/>
      <c r="Y101" s="350"/>
      <c r="Z101" s="350"/>
      <c r="AA101" s="350"/>
      <c r="AB101" s="350"/>
      <c r="AC101" s="350"/>
      <c r="AD101" s="350"/>
      <c r="AE101" s="350"/>
      <c r="AF101" s="350"/>
      <c r="AG101" s="350"/>
      <c r="AH101" s="350"/>
      <c r="AI101" s="350"/>
      <c r="AJ101" s="131"/>
      <c r="AK101" s="131"/>
      <c r="AL101" s="170"/>
      <c r="AM101" s="394"/>
      <c r="AN101" s="131"/>
      <c r="AO101" s="395"/>
      <c r="AP101" s="232"/>
      <c r="AQ101" s="396"/>
      <c r="AR101" s="396"/>
      <c r="AS101" s="131"/>
      <c r="AT101" s="131"/>
      <c r="AU101" s="104"/>
      <c r="AV101" s="104"/>
      <c r="AW101" s="104"/>
      <c r="AX101" s="105"/>
      <c r="AY101" s="105"/>
      <c r="AZ101" s="105"/>
      <c r="BA101" s="105"/>
      <c r="BB101" s="105"/>
      <c r="BC101" s="105"/>
      <c r="BD101" s="105"/>
    </row>
    <row r="102" spans="1:56" hidden="1">
      <c r="A102" s="350"/>
      <c r="B102" s="350"/>
      <c r="C102" s="350"/>
      <c r="D102" s="350"/>
      <c r="E102" s="350"/>
      <c r="F102" s="350"/>
      <c r="G102" s="350"/>
      <c r="H102" s="350"/>
      <c r="I102" s="350"/>
      <c r="J102" s="350"/>
      <c r="K102" s="350"/>
      <c r="L102" s="350"/>
      <c r="M102" s="350"/>
      <c r="N102" s="350"/>
      <c r="O102" s="350"/>
      <c r="P102" s="350"/>
      <c r="Q102" s="350"/>
      <c r="R102" s="350"/>
      <c r="S102" s="350"/>
      <c r="T102" s="350"/>
      <c r="U102" s="350"/>
      <c r="V102" s="350"/>
      <c r="W102" s="350"/>
      <c r="X102" s="350"/>
      <c r="Y102" s="350"/>
      <c r="Z102" s="350"/>
      <c r="AA102" s="350"/>
      <c r="AB102" s="350"/>
      <c r="AC102" s="350"/>
      <c r="AD102" s="350"/>
      <c r="AE102" s="350"/>
      <c r="AF102" s="350"/>
      <c r="AG102" s="350"/>
      <c r="AH102" s="350"/>
      <c r="AI102" s="350"/>
      <c r="AJ102" s="131"/>
      <c r="AK102" s="131"/>
      <c r="AL102" s="170"/>
      <c r="AM102" s="397"/>
      <c r="AN102" s="131"/>
      <c r="AO102" s="395"/>
      <c r="AP102" s="232"/>
      <c r="AQ102" s="396"/>
      <c r="AR102" s="396"/>
      <c r="AS102" s="131"/>
      <c r="AT102" s="131"/>
      <c r="AU102" s="104"/>
      <c r="AV102" s="104"/>
      <c r="AW102" s="104"/>
      <c r="AX102" s="105"/>
      <c r="AY102" s="105"/>
      <c r="AZ102" s="105"/>
      <c r="BA102" s="105"/>
      <c r="BB102" s="105"/>
      <c r="BC102" s="105"/>
      <c r="BD102" s="105"/>
    </row>
    <row r="103" spans="1:56" hidden="1">
      <c r="A103" s="350"/>
      <c r="B103" s="350"/>
      <c r="C103" s="350"/>
      <c r="D103" s="350"/>
      <c r="E103" s="350"/>
      <c r="F103" s="350"/>
      <c r="G103" s="350"/>
      <c r="H103" s="350"/>
      <c r="I103" s="350"/>
      <c r="J103" s="350"/>
      <c r="K103" s="350"/>
      <c r="L103" s="350"/>
      <c r="M103" s="350"/>
      <c r="N103" s="350"/>
      <c r="O103" s="350"/>
      <c r="P103" s="350"/>
      <c r="Q103" s="350"/>
      <c r="R103" s="350"/>
      <c r="S103" s="350"/>
      <c r="T103" s="350"/>
      <c r="U103" s="350"/>
      <c r="V103" s="350"/>
      <c r="W103" s="350"/>
      <c r="X103" s="350"/>
      <c r="Y103" s="350"/>
      <c r="Z103" s="350"/>
      <c r="AA103" s="350"/>
      <c r="AB103" s="350"/>
      <c r="AC103" s="350"/>
      <c r="AD103" s="350"/>
      <c r="AE103" s="350"/>
      <c r="AF103" s="350"/>
      <c r="AG103" s="350"/>
      <c r="AH103" s="350"/>
      <c r="AI103" s="350"/>
      <c r="AJ103" s="131"/>
      <c r="AK103" s="131"/>
      <c r="AL103" s="131"/>
      <c r="AM103" s="131"/>
      <c r="AN103" s="131"/>
      <c r="AO103" s="131"/>
      <c r="AP103" s="131"/>
      <c r="AQ103" s="131"/>
      <c r="AR103" s="131"/>
      <c r="AS103" s="131"/>
      <c r="AT103" s="131"/>
      <c r="AU103" s="104"/>
      <c r="AV103" s="104"/>
      <c r="AW103" s="104"/>
      <c r="AX103" s="105"/>
      <c r="AY103" s="105"/>
      <c r="AZ103" s="105"/>
      <c r="BA103" s="105"/>
      <c r="BB103" s="105"/>
      <c r="BC103" s="105"/>
      <c r="BD103" s="105"/>
    </row>
    <row r="104" spans="1:56" hidden="1">
      <c r="A104" s="350"/>
      <c r="B104" s="350"/>
      <c r="C104" s="350"/>
      <c r="D104" s="350"/>
      <c r="E104" s="350"/>
      <c r="F104" s="350"/>
      <c r="G104" s="350"/>
      <c r="H104" s="350"/>
      <c r="I104" s="350"/>
      <c r="J104" s="350"/>
      <c r="K104" s="350"/>
      <c r="L104" s="350"/>
      <c r="M104" s="350"/>
      <c r="N104" s="350"/>
      <c r="O104" s="350"/>
      <c r="P104" s="350"/>
      <c r="Q104" s="350"/>
      <c r="R104" s="350"/>
      <c r="S104" s="350"/>
      <c r="T104" s="350"/>
      <c r="U104" s="350"/>
      <c r="V104" s="350"/>
      <c r="W104" s="350"/>
      <c r="X104" s="350"/>
      <c r="Y104" s="350"/>
      <c r="Z104" s="350"/>
      <c r="AA104" s="350"/>
      <c r="AB104" s="350"/>
      <c r="AC104" s="350"/>
      <c r="AD104" s="350"/>
      <c r="AE104" s="350"/>
      <c r="AF104" s="350"/>
      <c r="AG104" s="350"/>
      <c r="AH104" s="350"/>
      <c r="AI104" s="350"/>
      <c r="AJ104" s="131"/>
      <c r="AK104" s="208"/>
      <c r="AL104" s="398"/>
      <c r="AM104" s="131"/>
      <c r="AN104" s="131"/>
      <c r="AO104" s="131"/>
      <c r="AP104" s="131"/>
      <c r="AQ104" s="131"/>
      <c r="AR104" s="131"/>
      <c r="AS104" s="131"/>
      <c r="AT104" s="131"/>
      <c r="AU104" s="104"/>
      <c r="AV104" s="104"/>
      <c r="AW104" s="104"/>
      <c r="AX104" s="105"/>
      <c r="AY104" s="105"/>
      <c r="AZ104" s="105"/>
      <c r="BA104" s="105"/>
      <c r="BB104" s="105"/>
      <c r="BC104" s="105"/>
      <c r="BD104" s="105"/>
    </row>
    <row r="105" spans="1:56" hidden="1">
      <c r="A105" s="350"/>
      <c r="B105" s="350"/>
      <c r="C105" s="350"/>
      <c r="D105" s="350"/>
      <c r="E105" s="350"/>
      <c r="F105" s="350"/>
      <c r="G105" s="350"/>
      <c r="H105" s="350"/>
      <c r="I105" s="350"/>
      <c r="J105" s="350"/>
      <c r="K105" s="350"/>
      <c r="L105" s="350"/>
      <c r="M105" s="350"/>
      <c r="N105" s="350"/>
      <c r="O105" s="350"/>
      <c r="P105" s="350"/>
      <c r="Q105" s="350"/>
      <c r="R105" s="350"/>
      <c r="S105" s="350"/>
      <c r="T105" s="350"/>
      <c r="U105" s="350"/>
      <c r="V105" s="350"/>
      <c r="W105" s="350"/>
      <c r="X105" s="350"/>
      <c r="Y105" s="350"/>
      <c r="Z105" s="350"/>
      <c r="AA105" s="350"/>
      <c r="AB105" s="350"/>
      <c r="AC105" s="350"/>
      <c r="AD105" s="350"/>
      <c r="AE105" s="350"/>
      <c r="AF105" s="350"/>
      <c r="AG105" s="350"/>
      <c r="AH105" s="350"/>
      <c r="AI105" s="350"/>
      <c r="AJ105" s="131"/>
      <c r="AK105" s="208"/>
      <c r="AL105" s="398"/>
      <c r="AM105" s="131"/>
      <c r="AN105" s="176"/>
      <c r="AO105" s="131"/>
      <c r="AP105" s="131"/>
      <c r="AQ105" s="131"/>
      <c r="AR105" s="131"/>
      <c r="AS105" s="131"/>
      <c r="AT105" s="131"/>
      <c r="AU105" s="104"/>
      <c r="AV105" s="104"/>
      <c r="AW105" s="104"/>
      <c r="AX105" s="105"/>
      <c r="AY105" s="105"/>
      <c r="AZ105" s="105"/>
      <c r="BA105" s="105"/>
      <c r="BB105" s="105"/>
      <c r="BC105" s="105"/>
      <c r="BD105" s="105"/>
    </row>
    <row r="106" spans="1:56" hidden="1">
      <c r="A106" s="350"/>
      <c r="B106" s="350"/>
      <c r="C106" s="350"/>
      <c r="D106" s="350"/>
      <c r="E106" s="350"/>
      <c r="F106" s="350"/>
      <c r="G106" s="350"/>
      <c r="H106" s="350"/>
      <c r="I106" s="350"/>
      <c r="J106" s="350"/>
      <c r="K106" s="350"/>
      <c r="L106" s="350"/>
      <c r="M106" s="350"/>
      <c r="N106" s="350"/>
      <c r="O106" s="350"/>
      <c r="P106" s="350"/>
      <c r="Q106" s="350"/>
      <c r="R106" s="350"/>
      <c r="S106" s="350"/>
      <c r="T106" s="350"/>
      <c r="U106" s="350"/>
      <c r="V106" s="350"/>
      <c r="W106" s="350"/>
      <c r="X106" s="350"/>
      <c r="Y106" s="350"/>
      <c r="Z106" s="350"/>
      <c r="AA106" s="350"/>
      <c r="AB106" s="350"/>
      <c r="AC106" s="350"/>
      <c r="AD106" s="350"/>
      <c r="AE106" s="350"/>
      <c r="AF106" s="350"/>
      <c r="AG106" s="350"/>
      <c r="AH106" s="350"/>
      <c r="AI106" s="350"/>
      <c r="AJ106" s="131"/>
      <c r="AK106" s="208"/>
      <c r="AL106" s="398"/>
      <c r="AM106" s="131"/>
      <c r="AN106" s="176"/>
      <c r="AO106" s="131"/>
      <c r="AP106" s="131"/>
      <c r="AQ106" s="131"/>
      <c r="AR106" s="131"/>
      <c r="AS106" s="131"/>
      <c r="AT106" s="131"/>
      <c r="AU106" s="104"/>
      <c r="AV106" s="104"/>
      <c r="AW106" s="104"/>
      <c r="AX106" s="105"/>
      <c r="AY106" s="105"/>
      <c r="AZ106" s="105"/>
      <c r="BA106" s="105"/>
      <c r="BB106" s="105"/>
      <c r="BC106" s="105"/>
      <c r="BD106" s="105"/>
    </row>
    <row r="107" spans="1:56" hidden="1">
      <c r="A107" s="350"/>
      <c r="B107" s="350"/>
      <c r="C107" s="350"/>
      <c r="D107" s="350"/>
      <c r="E107" s="350"/>
      <c r="F107" s="350"/>
      <c r="G107" s="350"/>
      <c r="H107" s="350"/>
      <c r="I107" s="350"/>
      <c r="J107" s="350"/>
      <c r="K107" s="350"/>
      <c r="L107" s="350"/>
      <c r="M107" s="350"/>
      <c r="N107" s="350"/>
      <c r="O107" s="350"/>
      <c r="P107" s="350"/>
      <c r="Q107" s="350"/>
      <c r="R107" s="350"/>
      <c r="S107" s="350"/>
      <c r="T107" s="350"/>
      <c r="U107" s="350"/>
      <c r="V107" s="350"/>
      <c r="W107" s="350"/>
      <c r="X107" s="350"/>
      <c r="Y107" s="350"/>
      <c r="Z107" s="350"/>
      <c r="AA107" s="350"/>
      <c r="AB107" s="350"/>
      <c r="AC107" s="350"/>
      <c r="AD107" s="350"/>
      <c r="AE107" s="350"/>
      <c r="AF107" s="350"/>
      <c r="AG107" s="350"/>
      <c r="AH107" s="350"/>
      <c r="AI107" s="350"/>
      <c r="AJ107" s="131"/>
      <c r="AK107" s="208"/>
      <c r="AL107" s="398"/>
      <c r="AM107" s="131"/>
      <c r="AN107" s="131"/>
      <c r="AO107" s="131"/>
      <c r="AP107" s="131"/>
      <c r="AQ107" s="131"/>
      <c r="AR107" s="131"/>
      <c r="AS107" s="131"/>
      <c r="AT107" s="131"/>
      <c r="AU107" s="104"/>
      <c r="AV107" s="104"/>
      <c r="AW107" s="104"/>
      <c r="AX107" s="105"/>
      <c r="AY107" s="105"/>
      <c r="AZ107" s="105"/>
      <c r="BA107" s="105"/>
      <c r="BB107" s="105"/>
      <c r="BC107" s="105"/>
      <c r="BD107" s="105"/>
    </row>
    <row r="108" spans="1:56" hidden="1">
      <c r="A108" s="350"/>
      <c r="B108" s="350"/>
      <c r="C108" s="350"/>
      <c r="D108" s="350"/>
      <c r="E108" s="350"/>
      <c r="F108" s="350"/>
      <c r="G108" s="350"/>
      <c r="H108" s="350"/>
      <c r="I108" s="350"/>
      <c r="J108" s="350"/>
      <c r="K108" s="350"/>
      <c r="L108" s="350"/>
      <c r="M108" s="350"/>
      <c r="N108" s="350"/>
      <c r="O108" s="350"/>
      <c r="P108" s="350"/>
      <c r="Q108" s="350"/>
      <c r="R108" s="350"/>
      <c r="S108" s="350"/>
      <c r="T108" s="350"/>
      <c r="U108" s="350"/>
      <c r="V108" s="350"/>
      <c r="W108" s="350"/>
      <c r="X108" s="350"/>
      <c r="Y108" s="350"/>
      <c r="Z108" s="350"/>
      <c r="AA108" s="350"/>
      <c r="AB108" s="350"/>
      <c r="AC108" s="350"/>
      <c r="AD108" s="350"/>
      <c r="AE108" s="350"/>
      <c r="AF108" s="350"/>
      <c r="AG108" s="350"/>
      <c r="AH108" s="350"/>
      <c r="AI108" s="350"/>
      <c r="AJ108" s="131"/>
      <c r="AK108" s="208"/>
      <c r="AL108" s="398"/>
      <c r="AM108" s="131"/>
      <c r="AN108" s="131"/>
      <c r="AO108" s="131"/>
      <c r="AP108" s="131"/>
      <c r="AQ108" s="131"/>
      <c r="AR108" s="131"/>
      <c r="AS108" s="131"/>
      <c r="AT108" s="131"/>
      <c r="AU108" s="104"/>
      <c r="AV108" s="104"/>
      <c r="AW108" s="104"/>
      <c r="AX108" s="105"/>
      <c r="AY108" s="105"/>
      <c r="AZ108" s="105"/>
      <c r="BA108" s="105"/>
      <c r="BB108" s="105"/>
      <c r="BC108" s="105"/>
      <c r="BD108" s="105"/>
    </row>
    <row r="109" spans="1:56" hidden="1">
      <c r="A109" s="350"/>
      <c r="B109" s="350"/>
      <c r="C109" s="350"/>
      <c r="D109" s="350"/>
      <c r="E109" s="350"/>
      <c r="F109" s="350"/>
      <c r="G109" s="350"/>
      <c r="H109" s="350"/>
      <c r="I109" s="350"/>
      <c r="J109" s="350"/>
      <c r="K109" s="350"/>
      <c r="L109" s="350"/>
      <c r="M109" s="350"/>
      <c r="N109" s="350"/>
      <c r="O109" s="350"/>
      <c r="P109" s="350"/>
      <c r="Q109" s="350"/>
      <c r="R109" s="350"/>
      <c r="S109" s="350"/>
      <c r="T109" s="350"/>
      <c r="U109" s="350"/>
      <c r="V109" s="350"/>
      <c r="W109" s="350"/>
      <c r="X109" s="350"/>
      <c r="Y109" s="350"/>
      <c r="Z109" s="350"/>
      <c r="AA109" s="350"/>
      <c r="AB109" s="350"/>
      <c r="AC109" s="350"/>
      <c r="AD109" s="350"/>
      <c r="AE109" s="350"/>
      <c r="AF109" s="350"/>
      <c r="AG109" s="350"/>
      <c r="AH109" s="350"/>
      <c r="AI109" s="350"/>
      <c r="AJ109" s="131"/>
      <c r="AK109" s="131"/>
      <c r="AL109" s="131"/>
      <c r="AM109" s="131"/>
      <c r="AN109" s="176"/>
      <c r="AO109" s="131"/>
      <c r="AP109" s="131"/>
      <c r="AQ109" s="131"/>
      <c r="AR109" s="131"/>
      <c r="AS109" s="131"/>
      <c r="AT109" s="131"/>
      <c r="AU109" s="104"/>
      <c r="AV109" s="104"/>
      <c r="AW109" s="104"/>
      <c r="AX109" s="105"/>
      <c r="AY109" s="105"/>
      <c r="AZ109" s="105"/>
      <c r="BA109" s="105"/>
      <c r="BB109" s="105"/>
      <c r="BC109" s="105"/>
      <c r="BD109" s="105"/>
    </row>
    <row r="110" spans="1:56" hidden="1">
      <c r="A110" s="350"/>
      <c r="B110" s="350"/>
      <c r="C110" s="350"/>
      <c r="D110" s="350"/>
      <c r="E110" s="350"/>
      <c r="F110" s="350"/>
      <c r="G110" s="350"/>
      <c r="H110" s="350"/>
      <c r="I110" s="350"/>
      <c r="J110" s="350"/>
      <c r="K110" s="350"/>
      <c r="L110" s="350"/>
      <c r="M110" s="350"/>
      <c r="N110" s="350"/>
      <c r="O110" s="350"/>
      <c r="P110" s="350"/>
      <c r="Q110" s="350"/>
      <c r="R110" s="350"/>
      <c r="S110" s="350"/>
      <c r="T110" s="350"/>
      <c r="U110" s="350"/>
      <c r="V110" s="350"/>
      <c r="W110" s="350"/>
      <c r="X110" s="350"/>
      <c r="Y110" s="350"/>
      <c r="Z110" s="350"/>
      <c r="AA110" s="350"/>
      <c r="AB110" s="350"/>
      <c r="AC110" s="350"/>
      <c r="AD110" s="350"/>
      <c r="AE110" s="350"/>
      <c r="AF110" s="350"/>
      <c r="AG110" s="350"/>
      <c r="AH110" s="350"/>
      <c r="AI110" s="350"/>
      <c r="AJ110" s="131"/>
      <c r="AK110" s="131"/>
      <c r="AL110" s="131"/>
      <c r="AM110" s="131"/>
      <c r="AN110" s="131"/>
      <c r="AO110" s="131"/>
      <c r="AP110" s="131"/>
      <c r="AQ110" s="131"/>
      <c r="AR110" s="131"/>
      <c r="AS110" s="131"/>
      <c r="AT110" s="131"/>
      <c r="AU110" s="104"/>
      <c r="AV110" s="104"/>
      <c r="AW110" s="104"/>
      <c r="AX110" s="105"/>
      <c r="AY110" s="105"/>
      <c r="AZ110" s="105"/>
      <c r="BA110" s="105"/>
      <c r="BB110" s="105"/>
      <c r="BC110" s="105"/>
      <c r="BD110" s="105"/>
    </row>
    <row r="111" spans="1:56" hidden="1">
      <c r="A111" s="350"/>
      <c r="B111" s="350"/>
      <c r="C111" s="350"/>
      <c r="D111" s="350"/>
      <c r="E111" s="350"/>
      <c r="F111" s="350"/>
      <c r="G111" s="350"/>
      <c r="H111" s="350"/>
      <c r="I111" s="350"/>
      <c r="J111" s="350"/>
      <c r="K111" s="350"/>
      <c r="L111" s="350"/>
      <c r="M111" s="350"/>
      <c r="N111" s="350"/>
      <c r="O111" s="350"/>
      <c r="P111" s="350"/>
      <c r="Q111" s="350"/>
      <c r="R111" s="350"/>
      <c r="S111" s="350"/>
      <c r="T111" s="350"/>
      <c r="U111" s="350"/>
      <c r="V111" s="350"/>
      <c r="W111" s="350"/>
      <c r="X111" s="350"/>
      <c r="Y111" s="350"/>
      <c r="Z111" s="350"/>
      <c r="AA111" s="350"/>
      <c r="AB111" s="350"/>
      <c r="AC111" s="350"/>
      <c r="AD111" s="350"/>
      <c r="AE111" s="350"/>
      <c r="AF111" s="350"/>
      <c r="AG111" s="350"/>
      <c r="AH111" s="350"/>
      <c r="AI111" s="350"/>
      <c r="AJ111" s="131"/>
      <c r="AK111" s="131"/>
      <c r="AL111" s="131"/>
      <c r="AM111" s="131"/>
      <c r="AN111" s="131"/>
      <c r="AO111" s="131"/>
      <c r="AP111" s="131"/>
      <c r="AQ111" s="131"/>
      <c r="AR111" s="131"/>
      <c r="AS111" s="131"/>
      <c r="AT111" s="131"/>
      <c r="AU111" s="104"/>
      <c r="AV111" s="104"/>
      <c r="AW111" s="104"/>
      <c r="AX111" s="105"/>
      <c r="AY111" s="105"/>
      <c r="AZ111" s="105"/>
      <c r="BA111" s="105"/>
      <c r="BB111" s="105"/>
      <c r="BC111" s="105"/>
      <c r="BD111" s="105"/>
    </row>
    <row r="112" spans="1:56" hidden="1">
      <c r="A112" s="350"/>
      <c r="B112" s="350"/>
      <c r="C112" s="350"/>
      <c r="D112" s="350"/>
      <c r="E112" s="350"/>
      <c r="F112" s="350"/>
      <c r="G112" s="350"/>
      <c r="H112" s="350"/>
      <c r="I112" s="350"/>
      <c r="J112" s="350"/>
      <c r="K112" s="350"/>
      <c r="L112" s="350"/>
      <c r="M112" s="350"/>
      <c r="N112" s="350"/>
      <c r="O112" s="350"/>
      <c r="P112" s="350"/>
      <c r="Q112" s="350"/>
      <c r="R112" s="350"/>
      <c r="S112" s="350"/>
      <c r="T112" s="350"/>
      <c r="U112" s="350"/>
      <c r="V112" s="350"/>
      <c r="W112" s="350"/>
      <c r="X112" s="350"/>
      <c r="Y112" s="350"/>
      <c r="Z112" s="350"/>
      <c r="AA112" s="350"/>
      <c r="AB112" s="350"/>
      <c r="AC112" s="350"/>
      <c r="AD112" s="350"/>
      <c r="AE112" s="350"/>
      <c r="AF112" s="350"/>
      <c r="AG112" s="350"/>
      <c r="AH112" s="350"/>
      <c r="AI112" s="350"/>
      <c r="AJ112" s="131"/>
      <c r="AK112" s="131"/>
      <c r="AL112" s="131"/>
      <c r="AM112" s="131"/>
      <c r="AN112" s="131"/>
      <c r="AO112" s="131"/>
      <c r="AP112" s="131"/>
      <c r="AQ112" s="131"/>
      <c r="AR112" s="131"/>
      <c r="AS112" s="131"/>
      <c r="AT112" s="131"/>
      <c r="AU112" s="104"/>
      <c r="AV112" s="104"/>
      <c r="AW112" s="104"/>
      <c r="AX112" s="105"/>
      <c r="AY112" s="105"/>
      <c r="AZ112" s="105"/>
      <c r="BA112" s="105"/>
      <c r="BB112" s="105"/>
      <c r="BC112" s="105"/>
      <c r="BD112" s="105"/>
    </row>
    <row r="113" spans="1:56" hidden="1">
      <c r="A113" s="350"/>
      <c r="B113" s="350"/>
      <c r="C113" s="350"/>
      <c r="D113" s="350"/>
      <c r="E113" s="350"/>
      <c r="F113" s="350"/>
      <c r="G113" s="350"/>
      <c r="H113" s="350"/>
      <c r="I113" s="350"/>
      <c r="J113" s="350"/>
      <c r="K113" s="350"/>
      <c r="L113" s="350"/>
      <c r="M113" s="350"/>
      <c r="N113" s="350"/>
      <c r="O113" s="350"/>
      <c r="P113" s="350"/>
      <c r="Q113" s="350"/>
      <c r="R113" s="350"/>
      <c r="S113" s="350"/>
      <c r="T113" s="350"/>
      <c r="U113" s="350"/>
      <c r="V113" s="350"/>
      <c r="W113" s="350"/>
      <c r="X113" s="350"/>
      <c r="Y113" s="350"/>
      <c r="Z113" s="350"/>
      <c r="AA113" s="350"/>
      <c r="AB113" s="350"/>
      <c r="AC113" s="350"/>
      <c r="AD113" s="350"/>
      <c r="AE113" s="350"/>
      <c r="AF113" s="350"/>
      <c r="AG113" s="350"/>
      <c r="AH113" s="350"/>
      <c r="AI113" s="350"/>
      <c r="AJ113" s="131"/>
      <c r="AK113" s="131"/>
      <c r="AL113" s="131"/>
      <c r="AM113" s="5790"/>
      <c r="AN113" s="5790"/>
      <c r="AO113" s="5790"/>
      <c r="AP113" s="5790"/>
      <c r="AQ113" s="5790"/>
      <c r="AR113" s="131"/>
      <c r="AS113" s="136"/>
      <c r="AT113" s="136"/>
      <c r="AU113" s="104"/>
      <c r="AV113" s="104"/>
      <c r="AW113" s="104"/>
      <c r="AX113" s="105"/>
      <c r="AY113" s="105"/>
      <c r="AZ113" s="105"/>
      <c r="BA113" s="105"/>
      <c r="BB113" s="105"/>
      <c r="BC113" s="105"/>
      <c r="BD113" s="105"/>
    </row>
    <row r="114" spans="1:56" hidden="1">
      <c r="A114" s="350"/>
      <c r="B114" s="350"/>
      <c r="C114" s="350"/>
      <c r="D114" s="350"/>
      <c r="E114" s="350"/>
      <c r="F114" s="350"/>
      <c r="G114" s="350"/>
      <c r="H114" s="350"/>
      <c r="I114" s="350"/>
      <c r="J114" s="350"/>
      <c r="K114" s="350"/>
      <c r="L114" s="350"/>
      <c r="M114" s="350"/>
      <c r="N114" s="350"/>
      <c r="O114" s="350"/>
      <c r="P114" s="350"/>
      <c r="Q114" s="350"/>
      <c r="R114" s="350"/>
      <c r="S114" s="350"/>
      <c r="T114" s="350"/>
      <c r="U114" s="350"/>
      <c r="V114" s="350"/>
      <c r="W114" s="350"/>
      <c r="X114" s="350"/>
      <c r="Y114" s="350"/>
      <c r="Z114" s="350"/>
      <c r="AA114" s="350"/>
      <c r="AB114" s="350"/>
      <c r="AC114" s="350"/>
      <c r="AD114" s="350"/>
      <c r="AE114" s="350"/>
      <c r="AF114" s="350"/>
      <c r="AG114" s="350"/>
      <c r="AH114" s="350"/>
      <c r="AI114" s="350"/>
      <c r="AJ114" s="131"/>
      <c r="AK114" s="131"/>
      <c r="AL114" s="131"/>
      <c r="AM114" s="136"/>
      <c r="AN114" s="136"/>
      <c r="AO114" s="136"/>
      <c r="AP114" s="136"/>
      <c r="AQ114" s="136"/>
      <c r="AR114" s="131"/>
      <c r="AS114" s="136"/>
      <c r="AT114" s="136"/>
      <c r="AU114" s="104"/>
      <c r="AV114" s="104"/>
      <c r="AW114" s="104"/>
      <c r="AX114" s="105"/>
      <c r="AY114" s="105"/>
      <c r="AZ114" s="105"/>
      <c r="BA114" s="105"/>
      <c r="BB114" s="105"/>
      <c r="BC114" s="105"/>
      <c r="BD114" s="105"/>
    </row>
    <row r="115" spans="1:56" hidden="1">
      <c r="A115" s="350"/>
      <c r="B115" s="350"/>
      <c r="C115" s="350"/>
      <c r="D115" s="350"/>
      <c r="E115" s="350"/>
      <c r="F115" s="350"/>
      <c r="G115" s="350"/>
      <c r="H115" s="350"/>
      <c r="I115" s="350"/>
      <c r="J115" s="350"/>
      <c r="K115" s="350"/>
      <c r="L115" s="350"/>
      <c r="M115" s="350"/>
      <c r="N115" s="350"/>
      <c r="O115" s="350"/>
      <c r="P115" s="350"/>
      <c r="Q115" s="350"/>
      <c r="R115" s="350"/>
      <c r="S115" s="350"/>
      <c r="T115" s="350"/>
      <c r="U115" s="350"/>
      <c r="V115" s="350"/>
      <c r="W115" s="350"/>
      <c r="X115" s="350"/>
      <c r="Y115" s="350"/>
      <c r="Z115" s="350"/>
      <c r="AA115" s="350"/>
      <c r="AB115" s="350"/>
      <c r="AC115" s="350"/>
      <c r="AD115" s="350"/>
      <c r="AE115" s="350"/>
      <c r="AF115" s="350"/>
      <c r="AG115" s="350"/>
      <c r="AH115" s="350"/>
      <c r="AI115" s="350"/>
      <c r="AJ115" s="131"/>
      <c r="AK115" s="131"/>
      <c r="AL115" s="131"/>
      <c r="AM115" s="136"/>
      <c r="AN115" s="131"/>
      <c r="AO115" s="136"/>
      <c r="AP115" s="131"/>
      <c r="AQ115" s="131"/>
      <c r="AR115" s="131"/>
      <c r="AS115" s="131"/>
      <c r="AT115" s="131"/>
      <c r="AU115" s="104"/>
      <c r="AV115" s="104"/>
      <c r="AW115" s="104"/>
      <c r="AX115" s="105"/>
      <c r="AY115" s="105"/>
      <c r="AZ115" s="105"/>
      <c r="BA115" s="105"/>
      <c r="BB115" s="105"/>
      <c r="BC115" s="105"/>
      <c r="BD115" s="105"/>
    </row>
    <row r="116" spans="1:56" hidden="1">
      <c r="A116" s="350"/>
      <c r="B116" s="350"/>
      <c r="C116" s="350"/>
      <c r="D116" s="350"/>
      <c r="E116" s="350"/>
      <c r="F116" s="350"/>
      <c r="G116" s="350"/>
      <c r="H116" s="350"/>
      <c r="I116" s="350"/>
      <c r="J116" s="350"/>
      <c r="K116" s="350"/>
      <c r="L116" s="350"/>
      <c r="M116" s="350"/>
      <c r="N116" s="350"/>
      <c r="O116" s="350"/>
      <c r="P116" s="350"/>
      <c r="Q116" s="350"/>
      <c r="R116" s="350"/>
      <c r="S116" s="350"/>
      <c r="T116" s="350"/>
      <c r="U116" s="350"/>
      <c r="V116" s="350"/>
      <c r="W116" s="350"/>
      <c r="X116" s="350"/>
      <c r="Y116" s="350"/>
      <c r="Z116" s="350"/>
      <c r="AA116" s="350"/>
      <c r="AB116" s="350"/>
      <c r="AC116" s="350"/>
      <c r="AD116" s="350"/>
      <c r="AE116" s="350"/>
      <c r="AF116" s="350"/>
      <c r="AG116" s="350"/>
      <c r="AH116" s="350"/>
      <c r="AI116" s="350"/>
      <c r="AJ116" s="131"/>
      <c r="AK116" s="131"/>
      <c r="AL116" s="131"/>
      <c r="AM116" s="136"/>
      <c r="AN116" s="131"/>
      <c r="AO116" s="130"/>
      <c r="AP116" s="131"/>
      <c r="AQ116" s="131"/>
      <c r="AR116" s="131"/>
      <c r="AS116" s="131"/>
      <c r="AT116" s="131"/>
      <c r="AU116" s="104"/>
      <c r="AV116" s="104"/>
      <c r="AW116" s="104"/>
      <c r="AX116" s="105"/>
      <c r="AY116" s="105"/>
      <c r="AZ116" s="105"/>
      <c r="BA116" s="105"/>
      <c r="BB116" s="105"/>
      <c r="BC116" s="105"/>
      <c r="BD116" s="105"/>
    </row>
    <row r="117" spans="1:56" hidden="1">
      <c r="A117" s="350"/>
      <c r="B117" s="350"/>
      <c r="C117" s="350"/>
      <c r="D117" s="350"/>
      <c r="E117" s="350"/>
      <c r="F117" s="350"/>
      <c r="G117" s="350"/>
      <c r="H117" s="350"/>
      <c r="I117" s="350"/>
      <c r="J117" s="350"/>
      <c r="K117" s="350"/>
      <c r="L117" s="350"/>
      <c r="M117" s="350"/>
      <c r="N117" s="350"/>
      <c r="O117" s="350"/>
      <c r="P117" s="350"/>
      <c r="Q117" s="350"/>
      <c r="R117" s="350"/>
      <c r="S117" s="350"/>
      <c r="T117" s="350"/>
      <c r="U117" s="350"/>
      <c r="V117" s="350"/>
      <c r="W117" s="350"/>
      <c r="X117" s="350"/>
      <c r="Y117" s="350"/>
      <c r="Z117" s="350"/>
      <c r="AA117" s="350"/>
      <c r="AB117" s="350"/>
      <c r="AC117" s="350"/>
      <c r="AD117" s="350"/>
      <c r="AE117" s="350"/>
      <c r="AF117" s="350"/>
      <c r="AG117" s="350"/>
      <c r="AH117" s="350"/>
      <c r="AI117" s="350"/>
      <c r="AJ117" s="131"/>
      <c r="AK117" s="131"/>
      <c r="AL117" s="131"/>
      <c r="AM117" s="136"/>
      <c r="AN117" s="136"/>
      <c r="AO117" s="136"/>
      <c r="AP117" s="136"/>
      <c r="AQ117" s="136"/>
      <c r="AR117" s="131"/>
      <c r="AS117" s="131"/>
      <c r="AT117" s="131"/>
      <c r="AU117" s="104"/>
      <c r="AV117" s="104"/>
      <c r="AW117" s="104"/>
      <c r="AX117" s="105"/>
      <c r="AY117" s="105"/>
      <c r="AZ117" s="105"/>
      <c r="BA117" s="105"/>
      <c r="BB117" s="105"/>
      <c r="BC117" s="105"/>
      <c r="BD117" s="105"/>
    </row>
    <row r="118" spans="1:56" hidden="1">
      <c r="A118" s="350"/>
      <c r="B118" s="350"/>
      <c r="C118" s="350"/>
      <c r="D118" s="350"/>
      <c r="E118" s="350"/>
      <c r="F118" s="350"/>
      <c r="G118" s="350"/>
      <c r="H118" s="350"/>
      <c r="I118" s="350"/>
      <c r="J118" s="350"/>
      <c r="K118" s="350"/>
      <c r="L118" s="350"/>
      <c r="M118" s="350"/>
      <c r="N118" s="350"/>
      <c r="O118" s="350"/>
      <c r="P118" s="350"/>
      <c r="Q118" s="350"/>
      <c r="R118" s="350"/>
      <c r="S118" s="350"/>
      <c r="T118" s="350"/>
      <c r="U118" s="350"/>
      <c r="V118" s="350"/>
      <c r="W118" s="350"/>
      <c r="X118" s="350"/>
      <c r="Y118" s="350"/>
      <c r="Z118" s="350"/>
      <c r="AA118" s="350"/>
      <c r="AB118" s="350"/>
      <c r="AC118" s="350"/>
      <c r="AD118" s="350"/>
      <c r="AE118" s="350"/>
      <c r="AF118" s="350"/>
      <c r="AG118" s="350"/>
      <c r="AH118" s="350"/>
      <c r="AI118" s="350"/>
      <c r="AJ118" s="131"/>
      <c r="AK118" s="131"/>
      <c r="AL118" s="131"/>
      <c r="AM118" s="131"/>
      <c r="AN118" s="131"/>
      <c r="AO118" s="136"/>
      <c r="AP118" s="131"/>
      <c r="AQ118" s="131"/>
      <c r="AR118" s="131"/>
      <c r="AS118" s="131"/>
      <c r="AT118" s="131"/>
      <c r="AU118" s="104"/>
      <c r="AV118" s="104"/>
      <c r="AW118" s="104"/>
      <c r="AX118" s="105"/>
      <c r="AY118" s="105"/>
      <c r="AZ118" s="105"/>
      <c r="BA118" s="105"/>
      <c r="BB118" s="105"/>
      <c r="BC118" s="105"/>
      <c r="BD118" s="105"/>
    </row>
    <row r="119" spans="1:56" hidden="1">
      <c r="A119" s="350"/>
      <c r="B119" s="350"/>
      <c r="C119" s="350"/>
      <c r="D119" s="350"/>
      <c r="E119" s="350"/>
      <c r="F119" s="350"/>
      <c r="G119" s="350"/>
      <c r="H119" s="350"/>
      <c r="I119" s="350"/>
      <c r="J119" s="350"/>
      <c r="K119" s="350"/>
      <c r="L119" s="350"/>
      <c r="M119" s="350"/>
      <c r="N119" s="350"/>
      <c r="O119" s="350"/>
      <c r="P119" s="350"/>
      <c r="Q119" s="350"/>
      <c r="R119" s="350"/>
      <c r="S119" s="350"/>
      <c r="T119" s="350"/>
      <c r="U119" s="350"/>
      <c r="V119" s="350"/>
      <c r="W119" s="350"/>
      <c r="X119" s="350"/>
      <c r="Y119" s="350"/>
      <c r="Z119" s="350"/>
      <c r="AA119" s="350"/>
      <c r="AB119" s="350"/>
      <c r="AC119" s="350"/>
      <c r="AD119" s="350"/>
      <c r="AE119" s="350"/>
      <c r="AF119" s="350"/>
      <c r="AG119" s="350"/>
      <c r="AH119" s="350"/>
      <c r="AI119" s="350"/>
      <c r="AJ119" s="131"/>
      <c r="AK119" s="131"/>
      <c r="AL119" s="131"/>
      <c r="AM119" s="131"/>
      <c r="AN119" s="131"/>
      <c r="AO119" s="131"/>
      <c r="AP119" s="131"/>
      <c r="AQ119" s="131"/>
      <c r="AR119" s="131"/>
      <c r="AS119" s="131"/>
      <c r="AT119" s="398"/>
      <c r="AU119" s="104"/>
      <c r="AV119" s="104"/>
      <c r="AW119" s="104"/>
      <c r="AX119" s="105"/>
      <c r="AY119" s="105"/>
      <c r="AZ119" s="105"/>
      <c r="BA119" s="105"/>
      <c r="BB119" s="105"/>
      <c r="BC119" s="105"/>
      <c r="BD119" s="105"/>
    </row>
    <row r="120" spans="1:56" hidden="1">
      <c r="A120" s="350"/>
      <c r="B120" s="350"/>
      <c r="C120" s="350"/>
      <c r="D120" s="350"/>
      <c r="E120" s="350"/>
      <c r="F120" s="350"/>
      <c r="G120" s="350"/>
      <c r="H120" s="350"/>
      <c r="I120" s="350"/>
      <c r="J120" s="350"/>
      <c r="K120" s="350"/>
      <c r="L120" s="350"/>
      <c r="M120" s="350"/>
      <c r="N120" s="350"/>
      <c r="O120" s="350"/>
      <c r="P120" s="350"/>
      <c r="Q120" s="350"/>
      <c r="R120" s="350"/>
      <c r="S120" s="350"/>
      <c r="T120" s="350"/>
      <c r="U120" s="350"/>
      <c r="V120" s="350"/>
      <c r="W120" s="350"/>
      <c r="X120" s="350"/>
      <c r="Y120" s="350"/>
      <c r="Z120" s="350"/>
      <c r="AA120" s="350"/>
      <c r="AB120" s="350"/>
      <c r="AC120" s="350"/>
      <c r="AD120" s="350"/>
      <c r="AE120" s="350"/>
      <c r="AF120" s="350"/>
      <c r="AG120" s="350"/>
      <c r="AH120" s="350"/>
      <c r="AI120" s="350"/>
      <c r="AJ120" s="131"/>
      <c r="AK120" s="131"/>
      <c r="AL120" s="131"/>
      <c r="AM120" s="131"/>
      <c r="AN120" s="131"/>
      <c r="AO120" s="131"/>
      <c r="AP120" s="131"/>
      <c r="AQ120" s="131"/>
      <c r="AR120" s="131"/>
      <c r="AS120" s="131"/>
      <c r="AT120" s="398"/>
      <c r="AU120" s="104"/>
      <c r="AV120" s="104"/>
      <c r="AW120" s="104"/>
      <c r="AX120" s="105"/>
      <c r="AY120" s="105"/>
      <c r="AZ120" s="105"/>
      <c r="BA120" s="105"/>
      <c r="BB120" s="105"/>
      <c r="BC120" s="105"/>
      <c r="BD120" s="105"/>
    </row>
    <row r="121" spans="1:56" hidden="1">
      <c r="A121" s="350"/>
      <c r="B121" s="350"/>
      <c r="C121" s="350"/>
      <c r="D121" s="350"/>
      <c r="E121" s="350"/>
      <c r="F121" s="350"/>
      <c r="G121" s="350"/>
      <c r="H121" s="350"/>
      <c r="I121" s="350"/>
      <c r="J121" s="350"/>
      <c r="K121" s="350"/>
      <c r="L121" s="350"/>
      <c r="M121" s="350"/>
      <c r="N121" s="350"/>
      <c r="O121" s="350"/>
      <c r="P121" s="350"/>
      <c r="Q121" s="350"/>
      <c r="R121" s="350"/>
      <c r="S121" s="350"/>
      <c r="T121" s="350"/>
      <c r="U121" s="350"/>
      <c r="V121" s="350"/>
      <c r="W121" s="350"/>
      <c r="X121" s="350"/>
      <c r="Y121" s="350"/>
      <c r="Z121" s="350"/>
      <c r="AA121" s="350"/>
      <c r="AB121" s="350"/>
      <c r="AC121" s="350"/>
      <c r="AD121" s="350"/>
      <c r="AE121" s="350"/>
      <c r="AF121" s="350"/>
      <c r="AG121" s="350"/>
      <c r="AH121" s="350"/>
      <c r="AI121" s="350"/>
      <c r="AJ121" s="131"/>
      <c r="AK121" s="131"/>
      <c r="AL121" s="131"/>
      <c r="AM121" s="131"/>
      <c r="AN121" s="131"/>
      <c r="AO121" s="131"/>
      <c r="AP121" s="131"/>
      <c r="AQ121" s="131"/>
      <c r="AR121" s="131"/>
      <c r="AS121" s="131"/>
      <c r="AT121" s="131"/>
      <c r="AU121" s="104"/>
      <c r="AV121" s="104"/>
      <c r="AW121" s="104"/>
      <c r="AX121" s="105"/>
      <c r="AY121" s="105"/>
      <c r="AZ121" s="105"/>
      <c r="BA121" s="105"/>
      <c r="BB121" s="105"/>
      <c r="BC121" s="105"/>
      <c r="BD121" s="105"/>
    </row>
    <row r="122" spans="1:56" hidden="1">
      <c r="A122" s="350"/>
      <c r="B122" s="350"/>
      <c r="C122" s="350"/>
      <c r="D122" s="350"/>
      <c r="E122" s="350"/>
      <c r="F122" s="350"/>
      <c r="G122" s="350"/>
      <c r="H122" s="350"/>
      <c r="I122" s="350"/>
      <c r="J122" s="350"/>
      <c r="K122" s="350"/>
      <c r="L122" s="350"/>
      <c r="M122" s="350"/>
      <c r="N122" s="350"/>
      <c r="O122" s="350"/>
      <c r="P122" s="350"/>
      <c r="Q122" s="350"/>
      <c r="R122" s="350"/>
      <c r="S122" s="350"/>
      <c r="T122" s="350"/>
      <c r="U122" s="350"/>
      <c r="V122" s="350"/>
      <c r="W122" s="350"/>
      <c r="X122" s="350"/>
      <c r="Y122" s="350"/>
      <c r="Z122" s="350"/>
      <c r="AA122" s="350"/>
      <c r="AB122" s="350"/>
      <c r="AC122" s="350"/>
      <c r="AD122" s="350"/>
      <c r="AE122" s="350"/>
      <c r="AF122" s="350"/>
      <c r="AG122" s="350"/>
      <c r="AH122" s="350"/>
      <c r="AI122" s="350"/>
      <c r="AJ122" s="131"/>
      <c r="AK122" s="131"/>
      <c r="AL122" s="131"/>
      <c r="AM122" s="131"/>
      <c r="AN122" s="131"/>
      <c r="AO122" s="131"/>
      <c r="AP122" s="131"/>
      <c r="AQ122" s="131"/>
      <c r="AR122" s="131"/>
      <c r="AS122" s="131"/>
      <c r="AT122" s="131"/>
      <c r="AU122" s="104"/>
      <c r="AV122" s="104"/>
      <c r="AW122" s="104"/>
      <c r="AX122" s="105"/>
      <c r="AY122" s="105"/>
      <c r="AZ122" s="105"/>
      <c r="BA122" s="105"/>
      <c r="BB122" s="105"/>
      <c r="BC122" s="105"/>
      <c r="BD122" s="105"/>
    </row>
    <row r="123" spans="1:56" hidden="1">
      <c r="A123" s="350"/>
      <c r="B123" s="350"/>
      <c r="C123" s="350"/>
      <c r="D123" s="350"/>
      <c r="E123" s="350"/>
      <c r="F123" s="350"/>
      <c r="G123" s="350"/>
      <c r="H123" s="350"/>
      <c r="I123" s="350"/>
      <c r="J123" s="350"/>
      <c r="K123" s="350"/>
      <c r="L123" s="350"/>
      <c r="M123" s="350"/>
      <c r="N123" s="350"/>
      <c r="O123" s="350"/>
      <c r="P123" s="350"/>
      <c r="Q123" s="350"/>
      <c r="R123" s="350"/>
      <c r="S123" s="350"/>
      <c r="T123" s="350"/>
      <c r="U123" s="350"/>
      <c r="V123" s="350"/>
      <c r="W123" s="350"/>
      <c r="X123" s="350"/>
      <c r="Y123" s="350"/>
      <c r="Z123" s="350"/>
      <c r="AA123" s="350"/>
      <c r="AB123" s="350"/>
      <c r="AC123" s="350"/>
      <c r="AD123" s="350"/>
      <c r="AE123" s="350"/>
      <c r="AF123" s="350"/>
      <c r="AG123" s="350"/>
      <c r="AH123" s="350"/>
      <c r="AI123" s="350"/>
      <c r="AJ123" s="131"/>
      <c r="AK123" s="131"/>
      <c r="AL123" s="131"/>
      <c r="AM123" s="131"/>
      <c r="AN123" s="131"/>
      <c r="AO123" s="131"/>
      <c r="AP123" s="131"/>
      <c r="AQ123" s="131"/>
      <c r="AR123" s="182"/>
      <c r="AS123" s="131"/>
      <c r="AT123" s="131"/>
      <c r="AU123" s="104"/>
      <c r="AV123" s="104"/>
      <c r="AW123" s="104"/>
      <c r="AX123" s="105"/>
      <c r="AY123" s="105"/>
      <c r="AZ123" s="105"/>
      <c r="BA123" s="105"/>
      <c r="BB123" s="105"/>
      <c r="BC123" s="105"/>
      <c r="BD123" s="105"/>
    </row>
    <row r="124" spans="1:56" hidden="1">
      <c r="A124" s="350"/>
      <c r="B124" s="350"/>
      <c r="C124" s="350"/>
      <c r="D124" s="350"/>
      <c r="E124" s="350"/>
      <c r="F124" s="350"/>
      <c r="G124" s="350"/>
      <c r="H124" s="350"/>
      <c r="I124" s="350"/>
      <c r="J124" s="350"/>
      <c r="K124" s="350"/>
      <c r="L124" s="350"/>
      <c r="M124" s="350"/>
      <c r="N124" s="350"/>
      <c r="O124" s="350"/>
      <c r="P124" s="350"/>
      <c r="Q124" s="350"/>
      <c r="R124" s="350"/>
      <c r="S124" s="350"/>
      <c r="T124" s="350"/>
      <c r="U124" s="350"/>
      <c r="V124" s="350"/>
      <c r="W124" s="350"/>
      <c r="X124" s="350"/>
      <c r="Y124" s="350"/>
      <c r="Z124" s="350"/>
      <c r="AA124" s="350"/>
      <c r="AB124" s="350"/>
      <c r="AC124" s="350"/>
      <c r="AD124" s="350"/>
      <c r="AE124" s="350"/>
      <c r="AF124" s="350"/>
      <c r="AG124" s="350"/>
      <c r="AH124" s="350"/>
      <c r="AI124" s="350"/>
      <c r="AJ124" s="131"/>
      <c r="AK124" s="131"/>
      <c r="AL124" s="131"/>
      <c r="AM124" s="131"/>
      <c r="AN124" s="131"/>
      <c r="AO124" s="131"/>
      <c r="AP124" s="131"/>
      <c r="AQ124" s="131"/>
      <c r="AR124" s="131"/>
      <c r="AS124" s="131"/>
      <c r="AT124" s="188"/>
      <c r="AU124" s="104"/>
      <c r="AV124" s="104"/>
      <c r="AW124" s="104"/>
      <c r="AX124" s="105"/>
      <c r="AY124" s="105"/>
      <c r="AZ124" s="105"/>
      <c r="BA124" s="105"/>
      <c r="BB124" s="105"/>
      <c r="BC124" s="105"/>
      <c r="BD124" s="105"/>
    </row>
    <row r="125" spans="1:56" hidden="1">
      <c r="A125" s="350"/>
      <c r="B125" s="350"/>
      <c r="C125" s="350"/>
      <c r="D125" s="350"/>
      <c r="E125" s="350"/>
      <c r="F125" s="350"/>
      <c r="G125" s="350"/>
      <c r="H125" s="350"/>
      <c r="I125" s="350"/>
      <c r="J125" s="350"/>
      <c r="K125" s="350"/>
      <c r="L125" s="350"/>
      <c r="M125" s="350"/>
      <c r="N125" s="350"/>
      <c r="O125" s="350"/>
      <c r="P125" s="350"/>
      <c r="Q125" s="350"/>
      <c r="R125" s="350"/>
      <c r="S125" s="350"/>
      <c r="T125" s="350"/>
      <c r="U125" s="350"/>
      <c r="V125" s="350"/>
      <c r="W125" s="350"/>
      <c r="X125" s="350"/>
      <c r="Y125" s="350"/>
      <c r="Z125" s="350"/>
      <c r="AA125" s="350"/>
      <c r="AB125" s="350"/>
      <c r="AC125" s="350"/>
      <c r="AD125" s="350"/>
      <c r="AE125" s="350"/>
      <c r="AF125" s="350"/>
      <c r="AG125" s="350"/>
      <c r="AH125" s="350"/>
      <c r="AI125" s="350"/>
      <c r="AJ125" s="131"/>
      <c r="AK125" s="131"/>
      <c r="AL125" s="131"/>
      <c r="AM125" s="208"/>
      <c r="AN125" s="131"/>
      <c r="AO125" s="131"/>
      <c r="AP125" s="131"/>
      <c r="AQ125" s="131"/>
      <c r="AR125" s="131"/>
      <c r="AS125" s="131"/>
      <c r="AT125" s="131"/>
      <c r="AU125" s="104"/>
      <c r="AV125" s="104"/>
      <c r="AW125" s="104"/>
      <c r="AX125" s="105"/>
      <c r="AY125" s="105"/>
      <c r="AZ125" s="105"/>
      <c r="BA125" s="105"/>
      <c r="BB125" s="105"/>
      <c r="BC125" s="105"/>
      <c r="BD125" s="105"/>
    </row>
    <row r="126" spans="1:56" hidden="1">
      <c r="A126" s="350"/>
      <c r="B126" s="350"/>
      <c r="C126" s="350"/>
      <c r="D126" s="350"/>
      <c r="E126" s="350"/>
      <c r="F126" s="350"/>
      <c r="G126" s="350"/>
      <c r="H126" s="350"/>
      <c r="I126" s="350"/>
      <c r="J126" s="350"/>
      <c r="K126" s="350"/>
      <c r="L126" s="350"/>
      <c r="M126" s="350"/>
      <c r="N126" s="350"/>
      <c r="O126" s="350"/>
      <c r="P126" s="350"/>
      <c r="Q126" s="350"/>
      <c r="R126" s="350"/>
      <c r="S126" s="350"/>
      <c r="T126" s="350"/>
      <c r="U126" s="350"/>
      <c r="V126" s="350"/>
      <c r="W126" s="350"/>
      <c r="X126" s="350"/>
      <c r="Y126" s="350"/>
      <c r="Z126" s="350"/>
      <c r="AA126" s="350"/>
      <c r="AB126" s="350"/>
      <c r="AC126" s="350"/>
      <c r="AD126" s="350"/>
      <c r="AE126" s="350"/>
      <c r="AF126" s="350"/>
      <c r="AG126" s="350"/>
      <c r="AH126" s="350"/>
      <c r="AI126" s="350"/>
      <c r="AJ126" s="131"/>
      <c r="AK126" s="131"/>
      <c r="AL126" s="131"/>
      <c r="AM126" s="131"/>
      <c r="AN126" s="131"/>
      <c r="AO126" s="131"/>
      <c r="AP126" s="208"/>
      <c r="AQ126" s="188"/>
      <c r="AR126" s="131"/>
      <c r="AS126" s="131"/>
      <c r="AT126" s="393"/>
      <c r="AU126" s="104"/>
      <c r="AV126" s="104"/>
      <c r="AW126" s="104"/>
      <c r="AX126" s="105"/>
      <c r="AY126" s="105"/>
      <c r="AZ126" s="105"/>
      <c r="BA126" s="105"/>
      <c r="BB126" s="105"/>
      <c r="BC126" s="105"/>
      <c r="BD126" s="105"/>
    </row>
    <row r="127" spans="1:56" hidden="1">
      <c r="A127" s="350"/>
      <c r="B127" s="350"/>
      <c r="C127" s="350"/>
      <c r="D127" s="350"/>
      <c r="E127" s="350"/>
      <c r="F127" s="350"/>
      <c r="G127" s="350"/>
      <c r="H127" s="350"/>
      <c r="I127" s="350"/>
      <c r="J127" s="350"/>
      <c r="K127" s="350"/>
      <c r="L127" s="350"/>
      <c r="M127" s="350"/>
      <c r="N127" s="350"/>
      <c r="O127" s="350"/>
      <c r="P127" s="350"/>
      <c r="Q127" s="350"/>
      <c r="R127" s="350"/>
      <c r="S127" s="350"/>
      <c r="T127" s="350"/>
      <c r="U127" s="350"/>
      <c r="V127" s="350"/>
      <c r="W127" s="350"/>
      <c r="X127" s="350"/>
      <c r="Y127" s="350"/>
      <c r="Z127" s="350"/>
      <c r="AA127" s="350"/>
      <c r="AB127" s="350"/>
      <c r="AC127" s="350"/>
      <c r="AD127" s="350"/>
      <c r="AE127" s="350"/>
      <c r="AF127" s="350"/>
      <c r="AG127" s="350"/>
      <c r="AH127" s="350"/>
      <c r="AI127" s="350"/>
      <c r="AJ127" s="131"/>
      <c r="AK127" s="131"/>
      <c r="AL127" s="131"/>
      <c r="AM127" s="131"/>
      <c r="AN127" s="131"/>
      <c r="AO127" s="131"/>
      <c r="AP127" s="131"/>
      <c r="AQ127" s="131"/>
      <c r="AR127" s="131"/>
      <c r="AS127" s="131"/>
      <c r="AT127" s="131"/>
      <c r="AU127" s="104"/>
      <c r="AV127" s="104"/>
      <c r="AW127" s="104"/>
      <c r="AX127" s="105"/>
      <c r="AY127" s="105"/>
      <c r="AZ127" s="105"/>
      <c r="BA127" s="105"/>
      <c r="BB127" s="105"/>
      <c r="BC127" s="105"/>
      <c r="BD127" s="105"/>
    </row>
    <row r="128" spans="1:56" hidden="1">
      <c r="A128" s="350"/>
      <c r="B128" s="350"/>
      <c r="C128" s="350"/>
      <c r="D128" s="350"/>
      <c r="E128" s="350"/>
      <c r="F128" s="350"/>
      <c r="G128" s="350"/>
      <c r="H128" s="350"/>
      <c r="I128" s="350"/>
      <c r="J128" s="350"/>
      <c r="K128" s="350"/>
      <c r="L128" s="350"/>
      <c r="M128" s="350"/>
      <c r="N128" s="350"/>
      <c r="O128" s="350"/>
      <c r="P128" s="350"/>
      <c r="Q128" s="350"/>
      <c r="R128" s="350"/>
      <c r="S128" s="350"/>
      <c r="T128" s="350"/>
      <c r="U128" s="350"/>
      <c r="V128" s="350"/>
      <c r="W128" s="350"/>
      <c r="X128" s="350"/>
      <c r="Y128" s="350"/>
      <c r="Z128" s="350"/>
      <c r="AA128" s="350"/>
      <c r="AB128" s="350"/>
      <c r="AC128" s="350"/>
      <c r="AD128" s="350"/>
      <c r="AE128" s="350"/>
      <c r="AF128" s="350"/>
      <c r="AG128" s="350"/>
      <c r="AH128" s="350"/>
      <c r="AI128" s="350"/>
      <c r="AJ128" s="131"/>
      <c r="AK128" s="131"/>
      <c r="AL128" s="131"/>
      <c r="AM128" s="131"/>
      <c r="AN128" s="131"/>
      <c r="AO128" s="131"/>
      <c r="AP128" s="208"/>
      <c r="AQ128" s="398"/>
      <c r="AR128" s="131"/>
      <c r="AS128" s="131"/>
      <c r="AT128" s="131"/>
      <c r="AU128" s="104"/>
      <c r="AV128" s="104"/>
      <c r="AW128" s="104"/>
      <c r="AX128" s="105"/>
      <c r="AY128" s="105"/>
      <c r="AZ128" s="105"/>
      <c r="BA128" s="105"/>
      <c r="BB128" s="105"/>
      <c r="BC128" s="105"/>
      <c r="BD128" s="105"/>
    </row>
    <row r="129" spans="1:56" hidden="1">
      <c r="A129" s="350"/>
      <c r="B129" s="350"/>
      <c r="C129" s="350"/>
      <c r="D129" s="350"/>
      <c r="E129" s="350"/>
      <c r="F129" s="350"/>
      <c r="G129" s="350"/>
      <c r="H129" s="350"/>
      <c r="I129" s="350"/>
      <c r="J129" s="350"/>
      <c r="K129" s="350"/>
      <c r="L129" s="350"/>
      <c r="M129" s="350"/>
      <c r="N129" s="350"/>
      <c r="O129" s="350"/>
      <c r="P129" s="350"/>
      <c r="Q129" s="350"/>
      <c r="R129" s="350"/>
      <c r="S129" s="350"/>
      <c r="T129" s="350"/>
      <c r="U129" s="350"/>
      <c r="V129" s="350"/>
      <c r="W129" s="350"/>
      <c r="X129" s="350"/>
      <c r="Y129" s="350"/>
      <c r="Z129" s="350"/>
      <c r="AA129" s="350"/>
      <c r="AB129" s="350"/>
      <c r="AC129" s="350"/>
      <c r="AD129" s="350"/>
      <c r="AE129" s="350"/>
      <c r="AF129" s="350"/>
      <c r="AG129" s="350"/>
      <c r="AH129" s="350"/>
      <c r="AI129" s="350"/>
      <c r="AJ129" s="131"/>
      <c r="AK129" s="131"/>
      <c r="AL129" s="131"/>
      <c r="AM129" s="131"/>
      <c r="AN129" s="131"/>
      <c r="AO129" s="131"/>
      <c r="AP129" s="131"/>
      <c r="AQ129" s="131"/>
      <c r="AR129" s="131"/>
      <c r="AS129" s="131"/>
      <c r="AT129" s="131"/>
      <c r="AU129" s="104"/>
      <c r="AV129" s="104"/>
      <c r="AW129" s="104"/>
      <c r="AX129" s="105"/>
      <c r="AY129" s="105"/>
      <c r="AZ129" s="105"/>
      <c r="BA129" s="105"/>
      <c r="BB129" s="105"/>
      <c r="BC129" s="105"/>
      <c r="BD129" s="105"/>
    </row>
    <row r="130" spans="1:56" hidden="1">
      <c r="A130" s="350"/>
      <c r="B130" s="350"/>
      <c r="C130" s="350"/>
      <c r="D130" s="350"/>
      <c r="E130" s="350"/>
      <c r="F130" s="350"/>
      <c r="G130" s="350"/>
      <c r="H130" s="350"/>
      <c r="I130" s="350"/>
      <c r="J130" s="350"/>
      <c r="K130" s="350"/>
      <c r="L130" s="350"/>
      <c r="M130" s="350"/>
      <c r="N130" s="350"/>
      <c r="O130" s="350"/>
      <c r="P130" s="350"/>
      <c r="Q130" s="350"/>
      <c r="R130" s="350"/>
      <c r="S130" s="350"/>
      <c r="T130" s="350"/>
      <c r="U130" s="350"/>
      <c r="V130" s="350"/>
      <c r="W130" s="350"/>
      <c r="X130" s="350"/>
      <c r="Y130" s="350"/>
      <c r="Z130" s="350"/>
      <c r="AA130" s="350"/>
      <c r="AB130" s="350"/>
      <c r="AC130" s="350"/>
      <c r="AD130" s="350"/>
      <c r="AE130" s="350"/>
      <c r="AF130" s="350"/>
      <c r="AG130" s="350"/>
      <c r="AH130" s="350"/>
      <c r="AI130" s="350"/>
      <c r="AJ130" s="131"/>
      <c r="AK130" s="131"/>
      <c r="AL130" s="131"/>
      <c r="AM130" s="131"/>
      <c r="AN130" s="131"/>
      <c r="AO130" s="131"/>
      <c r="AP130" s="208"/>
      <c r="AQ130" s="398"/>
      <c r="AR130" s="131"/>
      <c r="AS130" s="131"/>
      <c r="AT130" s="131"/>
      <c r="AU130" s="104"/>
      <c r="AV130" s="104"/>
      <c r="AW130" s="104"/>
      <c r="AX130" s="105"/>
      <c r="AY130" s="105"/>
      <c r="AZ130" s="105"/>
      <c r="BA130" s="105"/>
      <c r="BB130" s="105"/>
      <c r="BC130" s="105"/>
      <c r="BD130" s="105"/>
    </row>
    <row r="131" spans="1:56" hidden="1">
      <c r="A131" s="350"/>
      <c r="B131" s="350"/>
      <c r="C131" s="350"/>
      <c r="D131" s="350"/>
      <c r="E131" s="350"/>
      <c r="F131" s="350"/>
      <c r="G131" s="350"/>
      <c r="H131" s="350"/>
      <c r="I131" s="350"/>
      <c r="J131" s="350"/>
      <c r="K131" s="350"/>
      <c r="L131" s="350"/>
      <c r="M131" s="350"/>
      <c r="N131" s="350"/>
      <c r="O131" s="350"/>
      <c r="P131" s="350"/>
      <c r="Q131" s="350"/>
      <c r="R131" s="350"/>
      <c r="S131" s="350"/>
      <c r="T131" s="350"/>
      <c r="U131" s="350"/>
      <c r="V131" s="350"/>
      <c r="W131" s="350"/>
      <c r="X131" s="350"/>
      <c r="Y131" s="350"/>
      <c r="Z131" s="350"/>
      <c r="AA131" s="350"/>
      <c r="AB131" s="350"/>
      <c r="AC131" s="350"/>
      <c r="AD131" s="350"/>
      <c r="AE131" s="350"/>
      <c r="AF131" s="350"/>
      <c r="AG131" s="350"/>
      <c r="AH131" s="350"/>
      <c r="AI131" s="350"/>
      <c r="AJ131" s="131"/>
      <c r="AK131" s="131"/>
      <c r="AL131" s="131"/>
      <c r="AM131" s="131"/>
      <c r="AN131" s="131"/>
      <c r="AO131" s="131"/>
      <c r="AP131" s="131"/>
      <c r="AQ131" s="131"/>
      <c r="AR131" s="131"/>
      <c r="AS131" s="131"/>
      <c r="AT131" s="131"/>
      <c r="AU131" s="104"/>
      <c r="AV131" s="104"/>
      <c r="AW131" s="104"/>
      <c r="AX131" s="105"/>
      <c r="AY131" s="105"/>
      <c r="AZ131" s="105"/>
      <c r="BA131" s="105"/>
      <c r="BB131" s="105"/>
      <c r="BC131" s="105"/>
      <c r="BD131" s="105"/>
    </row>
    <row r="132" spans="1:56" hidden="1">
      <c r="A132" s="350"/>
      <c r="B132" s="350"/>
      <c r="C132" s="350"/>
      <c r="D132" s="350"/>
      <c r="E132" s="350"/>
      <c r="F132" s="350"/>
      <c r="G132" s="350"/>
      <c r="H132" s="350"/>
      <c r="I132" s="350"/>
      <c r="J132" s="350"/>
      <c r="K132" s="350"/>
      <c r="L132" s="350"/>
      <c r="M132" s="350"/>
      <c r="N132" s="350"/>
      <c r="O132" s="350"/>
      <c r="P132" s="350"/>
      <c r="Q132" s="350"/>
      <c r="R132" s="350"/>
      <c r="S132" s="350"/>
      <c r="T132" s="350"/>
      <c r="U132" s="350"/>
      <c r="V132" s="350"/>
      <c r="W132" s="350"/>
      <c r="X132" s="350"/>
      <c r="Y132" s="350"/>
      <c r="Z132" s="350"/>
      <c r="AA132" s="350"/>
      <c r="AB132" s="350"/>
      <c r="AC132" s="350"/>
      <c r="AD132" s="350"/>
      <c r="AE132" s="350"/>
      <c r="AF132" s="350"/>
      <c r="AG132" s="350"/>
      <c r="AH132" s="350"/>
      <c r="AI132" s="350"/>
      <c r="AJ132" s="131"/>
      <c r="AK132" s="131"/>
      <c r="AL132" s="131"/>
      <c r="AM132" s="131"/>
      <c r="AN132" s="131"/>
      <c r="AO132" s="131"/>
      <c r="AP132" s="208"/>
      <c r="AQ132" s="188"/>
      <c r="AR132" s="188"/>
      <c r="AS132" s="131"/>
      <c r="AT132" s="131"/>
      <c r="AU132" s="104"/>
      <c r="AV132" s="104"/>
      <c r="AW132" s="104"/>
      <c r="AX132" s="105"/>
      <c r="AY132" s="105"/>
      <c r="AZ132" s="105"/>
      <c r="BA132" s="105"/>
      <c r="BB132" s="105"/>
      <c r="BC132" s="105"/>
      <c r="BD132" s="105"/>
    </row>
    <row r="133" spans="1:56" hidden="1">
      <c r="A133" s="350"/>
      <c r="B133" s="350"/>
      <c r="C133" s="350"/>
      <c r="D133" s="350"/>
      <c r="E133" s="350"/>
      <c r="F133" s="350"/>
      <c r="G133" s="350"/>
      <c r="H133" s="350"/>
      <c r="I133" s="350"/>
      <c r="J133" s="350"/>
      <c r="K133" s="350"/>
      <c r="L133" s="350"/>
      <c r="M133" s="350"/>
      <c r="N133" s="350"/>
      <c r="O133" s="350"/>
      <c r="P133" s="350"/>
      <c r="Q133" s="350"/>
      <c r="R133" s="350"/>
      <c r="S133" s="350"/>
      <c r="T133" s="350"/>
      <c r="U133" s="350"/>
      <c r="V133" s="350"/>
      <c r="W133" s="350"/>
      <c r="X133" s="350"/>
      <c r="Y133" s="350"/>
      <c r="Z133" s="350"/>
      <c r="AA133" s="350"/>
      <c r="AB133" s="350"/>
      <c r="AC133" s="350"/>
      <c r="AD133" s="350"/>
      <c r="AE133" s="350"/>
      <c r="AF133" s="350"/>
      <c r="AG133" s="350"/>
      <c r="AH133" s="350"/>
      <c r="AI133" s="350"/>
      <c r="AJ133" s="131"/>
      <c r="AK133" s="131"/>
      <c r="AL133" s="131"/>
      <c r="AM133" s="131"/>
      <c r="AN133" s="131"/>
      <c r="AO133" s="131"/>
      <c r="AP133" s="131"/>
      <c r="AQ133" s="131"/>
      <c r="AR133" s="131"/>
      <c r="AS133" s="131"/>
      <c r="AT133" s="131"/>
      <c r="AU133" s="104"/>
      <c r="AV133" s="104"/>
      <c r="AW133" s="104"/>
      <c r="AX133" s="105"/>
      <c r="AY133" s="105"/>
      <c r="AZ133" s="105"/>
      <c r="BA133" s="105"/>
      <c r="BB133" s="105"/>
      <c r="BC133" s="105"/>
      <c r="BD133" s="105"/>
    </row>
    <row r="134" spans="1:56" hidden="1">
      <c r="A134" s="350"/>
      <c r="B134" s="350"/>
      <c r="C134" s="350"/>
      <c r="D134" s="350"/>
      <c r="E134" s="350"/>
      <c r="F134" s="350"/>
      <c r="G134" s="350"/>
      <c r="H134" s="350"/>
      <c r="I134" s="350"/>
      <c r="J134" s="350"/>
      <c r="K134" s="350"/>
      <c r="L134" s="350"/>
      <c r="M134" s="350"/>
      <c r="N134" s="350"/>
      <c r="O134" s="350"/>
      <c r="P134" s="350"/>
      <c r="Q134" s="350"/>
      <c r="R134" s="350"/>
      <c r="S134" s="350"/>
      <c r="T134" s="350"/>
      <c r="U134" s="350"/>
      <c r="V134" s="350"/>
      <c r="W134" s="350"/>
      <c r="X134" s="350"/>
      <c r="Y134" s="350"/>
      <c r="Z134" s="350"/>
      <c r="AA134" s="350"/>
      <c r="AB134" s="350"/>
      <c r="AC134" s="350"/>
      <c r="AD134" s="350"/>
      <c r="AE134" s="350"/>
      <c r="AF134" s="350"/>
      <c r="AG134" s="350"/>
      <c r="AH134" s="350"/>
      <c r="AI134" s="350"/>
      <c r="AJ134" s="131"/>
      <c r="AK134" s="131"/>
      <c r="AL134" s="131"/>
      <c r="AM134" s="131"/>
      <c r="AN134" s="131"/>
      <c r="AO134" s="131"/>
      <c r="AP134" s="131"/>
      <c r="AQ134" s="131"/>
      <c r="AR134" s="131"/>
      <c r="AS134" s="131"/>
      <c r="AT134" s="131"/>
      <c r="AU134" s="104"/>
      <c r="AV134" s="104"/>
      <c r="AW134" s="104"/>
      <c r="AX134" s="105"/>
      <c r="AY134" s="105"/>
      <c r="AZ134" s="105"/>
      <c r="BA134" s="105"/>
      <c r="BB134" s="105"/>
      <c r="BC134" s="105"/>
      <c r="BD134" s="105"/>
    </row>
    <row r="135" spans="1:56" hidden="1">
      <c r="A135" s="350"/>
      <c r="B135" s="350"/>
      <c r="C135" s="350"/>
      <c r="D135" s="350"/>
      <c r="E135" s="350"/>
      <c r="F135" s="350"/>
      <c r="G135" s="350"/>
      <c r="H135" s="350"/>
      <c r="I135" s="350"/>
      <c r="J135" s="350"/>
      <c r="K135" s="350"/>
      <c r="L135" s="350"/>
      <c r="M135" s="350"/>
      <c r="N135" s="350"/>
      <c r="O135" s="350"/>
      <c r="P135" s="350"/>
      <c r="Q135" s="350"/>
      <c r="R135" s="350"/>
      <c r="S135" s="350"/>
      <c r="T135" s="350"/>
      <c r="U135" s="350"/>
      <c r="V135" s="350"/>
      <c r="W135" s="350"/>
      <c r="X135" s="350"/>
      <c r="Y135" s="350"/>
      <c r="Z135" s="350"/>
      <c r="AA135" s="350"/>
      <c r="AB135" s="350"/>
      <c r="AC135" s="350"/>
      <c r="AD135" s="350"/>
      <c r="AE135" s="350"/>
      <c r="AF135" s="350"/>
      <c r="AG135" s="350"/>
      <c r="AH135" s="350"/>
      <c r="AI135" s="350"/>
      <c r="AJ135" s="131"/>
      <c r="AK135" s="131"/>
      <c r="AL135" s="131"/>
      <c r="AM135" s="131"/>
      <c r="AN135" s="131"/>
      <c r="AO135" s="131"/>
      <c r="AP135" s="131"/>
      <c r="AQ135" s="131"/>
      <c r="AR135" s="131"/>
      <c r="AS135" s="131"/>
      <c r="AT135" s="131"/>
      <c r="AU135" s="104"/>
      <c r="AV135" s="104"/>
      <c r="AW135" s="104"/>
      <c r="AX135" s="105"/>
      <c r="AY135" s="105"/>
      <c r="AZ135" s="105"/>
      <c r="BA135" s="105"/>
      <c r="BB135" s="105"/>
      <c r="BC135" s="105"/>
      <c r="BD135" s="105"/>
    </row>
    <row r="136" spans="1:56" hidden="1">
      <c r="A136" s="350"/>
      <c r="B136" s="350"/>
      <c r="C136" s="350"/>
      <c r="D136" s="350"/>
      <c r="E136" s="350"/>
      <c r="F136" s="350"/>
      <c r="G136" s="350"/>
      <c r="H136" s="350"/>
      <c r="I136" s="350"/>
      <c r="J136" s="350"/>
      <c r="K136" s="350"/>
      <c r="L136" s="350"/>
      <c r="M136" s="350"/>
      <c r="N136" s="350"/>
      <c r="O136" s="350"/>
      <c r="P136" s="350"/>
      <c r="Q136" s="350"/>
      <c r="R136" s="350"/>
      <c r="S136" s="350"/>
      <c r="T136" s="350"/>
      <c r="U136" s="350"/>
      <c r="V136" s="350"/>
      <c r="W136" s="350"/>
      <c r="X136" s="350"/>
      <c r="Y136" s="350"/>
      <c r="Z136" s="350"/>
      <c r="AA136" s="350"/>
      <c r="AB136" s="350"/>
      <c r="AC136" s="350"/>
      <c r="AD136" s="350"/>
      <c r="AE136" s="350"/>
      <c r="AF136" s="350"/>
      <c r="AG136" s="350"/>
      <c r="AH136" s="350"/>
      <c r="AI136" s="350"/>
      <c r="AJ136" s="131"/>
      <c r="AK136" s="131"/>
      <c r="AL136" s="131"/>
      <c r="AM136" s="131"/>
      <c r="AN136" s="131"/>
      <c r="AO136" s="238"/>
      <c r="AP136" s="131"/>
      <c r="AQ136" s="131"/>
      <c r="AR136" s="131"/>
      <c r="AS136" s="131"/>
      <c r="AT136" s="131"/>
      <c r="AU136" s="104"/>
      <c r="AV136" s="104"/>
      <c r="AW136" s="104"/>
      <c r="AX136" s="105"/>
      <c r="AY136" s="105"/>
      <c r="AZ136" s="105"/>
      <c r="BA136" s="105"/>
      <c r="BB136" s="105"/>
      <c r="BC136" s="105"/>
      <c r="BD136" s="105"/>
    </row>
    <row r="137" spans="1:56" hidden="1">
      <c r="A137" s="350"/>
      <c r="B137" s="350"/>
      <c r="C137" s="350"/>
      <c r="D137" s="350"/>
      <c r="E137" s="350"/>
      <c r="F137" s="350"/>
      <c r="G137" s="350"/>
      <c r="H137" s="350"/>
      <c r="I137" s="350"/>
      <c r="J137" s="350"/>
      <c r="K137" s="350"/>
      <c r="L137" s="350"/>
      <c r="M137" s="350"/>
      <c r="N137" s="350"/>
      <c r="O137" s="350"/>
      <c r="P137" s="350"/>
      <c r="Q137" s="350"/>
      <c r="R137" s="350"/>
      <c r="S137" s="350"/>
      <c r="T137" s="350"/>
      <c r="U137" s="350"/>
      <c r="V137" s="350"/>
      <c r="W137" s="350"/>
      <c r="X137" s="350"/>
      <c r="Y137" s="350"/>
      <c r="Z137" s="350"/>
      <c r="AA137" s="350"/>
      <c r="AB137" s="350"/>
      <c r="AC137" s="350"/>
      <c r="AD137" s="350"/>
      <c r="AE137" s="350"/>
      <c r="AF137" s="350"/>
      <c r="AG137" s="350"/>
      <c r="AH137" s="350"/>
      <c r="AI137" s="350"/>
      <c r="AJ137" s="131"/>
      <c r="AK137" s="131"/>
      <c r="AL137" s="131"/>
      <c r="AM137" s="131"/>
      <c r="AN137" s="131"/>
      <c r="AO137" s="240"/>
      <c r="AP137" s="131"/>
      <c r="AQ137" s="131"/>
      <c r="AR137" s="131"/>
      <c r="AS137" s="131"/>
      <c r="AT137" s="131"/>
      <c r="AU137" s="104"/>
      <c r="AV137" s="104"/>
      <c r="AW137" s="104"/>
      <c r="AX137" s="105"/>
      <c r="AY137" s="105"/>
      <c r="AZ137" s="105"/>
      <c r="BA137" s="105"/>
      <c r="BB137" s="105"/>
      <c r="BC137" s="105"/>
      <c r="BD137" s="105"/>
    </row>
    <row r="138" spans="1:56" hidden="1">
      <c r="A138" s="350"/>
      <c r="B138" s="350"/>
      <c r="C138" s="350"/>
      <c r="D138" s="350"/>
      <c r="E138" s="350"/>
      <c r="F138" s="350"/>
      <c r="G138" s="350"/>
      <c r="H138" s="350"/>
      <c r="I138" s="350"/>
      <c r="J138" s="350"/>
      <c r="K138" s="350"/>
      <c r="L138" s="350"/>
      <c r="M138" s="350"/>
      <c r="N138" s="350"/>
      <c r="O138" s="350"/>
      <c r="P138" s="350"/>
      <c r="Q138" s="350"/>
      <c r="R138" s="350"/>
      <c r="S138" s="350"/>
      <c r="T138" s="350"/>
      <c r="U138" s="350"/>
      <c r="V138" s="350"/>
      <c r="W138" s="350"/>
      <c r="X138" s="350"/>
      <c r="Y138" s="350"/>
      <c r="Z138" s="350"/>
      <c r="AA138" s="350"/>
      <c r="AB138" s="350"/>
      <c r="AC138" s="350"/>
      <c r="AD138" s="350"/>
      <c r="AE138" s="350"/>
      <c r="AF138" s="350"/>
      <c r="AG138" s="350"/>
      <c r="AH138" s="350"/>
      <c r="AI138" s="350"/>
      <c r="AJ138" s="131"/>
      <c r="AK138" s="131"/>
      <c r="AL138" s="131"/>
      <c r="AM138" s="131"/>
      <c r="AN138" s="131"/>
      <c r="AO138" s="399"/>
      <c r="AP138" s="131"/>
      <c r="AQ138" s="131"/>
      <c r="AR138" s="131"/>
      <c r="AS138" s="131"/>
      <c r="AT138" s="131"/>
      <c r="AU138" s="104"/>
      <c r="AV138" s="104"/>
      <c r="AW138" s="104"/>
      <c r="AX138" s="105"/>
      <c r="AY138" s="105"/>
      <c r="AZ138" s="105"/>
      <c r="BA138" s="105"/>
      <c r="BB138" s="105"/>
      <c r="BC138" s="105"/>
      <c r="BD138" s="105"/>
    </row>
    <row r="139" spans="1:56" hidden="1">
      <c r="A139" s="350"/>
      <c r="B139" s="350"/>
      <c r="C139" s="350"/>
      <c r="D139" s="350"/>
      <c r="E139" s="350"/>
      <c r="F139" s="350"/>
      <c r="G139" s="350"/>
      <c r="H139" s="350"/>
      <c r="I139" s="350"/>
      <c r="J139" s="350"/>
      <c r="K139" s="350"/>
      <c r="L139" s="350"/>
      <c r="M139" s="350"/>
      <c r="N139" s="350"/>
      <c r="O139" s="350"/>
      <c r="P139" s="350"/>
      <c r="Q139" s="350"/>
      <c r="R139" s="350"/>
      <c r="S139" s="350"/>
      <c r="T139" s="350"/>
      <c r="U139" s="350"/>
      <c r="V139" s="350"/>
      <c r="W139" s="350"/>
      <c r="X139" s="350"/>
      <c r="Y139" s="350"/>
      <c r="Z139" s="350"/>
      <c r="AA139" s="350"/>
      <c r="AB139" s="350"/>
      <c r="AC139" s="350"/>
      <c r="AD139" s="350"/>
      <c r="AE139" s="350"/>
      <c r="AF139" s="350"/>
      <c r="AG139" s="350"/>
      <c r="AH139" s="350"/>
      <c r="AI139" s="350"/>
      <c r="AJ139" s="131"/>
      <c r="AK139" s="131"/>
      <c r="AL139" s="131"/>
      <c r="AM139" s="131"/>
      <c r="AN139" s="131"/>
      <c r="AO139" s="400"/>
      <c r="AP139" s="131"/>
      <c r="AQ139" s="131"/>
      <c r="AR139" s="131"/>
      <c r="AS139" s="131"/>
      <c r="AT139" s="131"/>
      <c r="AU139" s="104"/>
      <c r="AV139" s="104"/>
      <c r="AW139" s="104"/>
      <c r="AX139" s="105"/>
      <c r="AY139" s="105"/>
      <c r="AZ139" s="105"/>
      <c r="BA139" s="105"/>
      <c r="BB139" s="105"/>
      <c r="BC139" s="105"/>
      <c r="BD139" s="105"/>
    </row>
    <row r="140" spans="1:56" hidden="1">
      <c r="A140" s="350"/>
      <c r="B140" s="350"/>
      <c r="C140" s="350"/>
      <c r="D140" s="350"/>
      <c r="E140" s="350"/>
      <c r="F140" s="350"/>
      <c r="G140" s="350"/>
      <c r="H140" s="350"/>
      <c r="I140" s="350"/>
      <c r="J140" s="350"/>
      <c r="K140" s="350"/>
      <c r="L140" s="350"/>
      <c r="M140" s="350"/>
      <c r="N140" s="350"/>
      <c r="O140" s="350"/>
      <c r="P140" s="350"/>
      <c r="Q140" s="350"/>
      <c r="R140" s="350"/>
      <c r="S140" s="350"/>
      <c r="T140" s="350"/>
      <c r="U140" s="350"/>
      <c r="V140" s="350"/>
      <c r="W140" s="350"/>
      <c r="X140" s="350"/>
      <c r="Y140" s="350"/>
      <c r="Z140" s="350"/>
      <c r="AA140" s="350"/>
      <c r="AB140" s="350"/>
      <c r="AC140" s="350"/>
      <c r="AD140" s="350"/>
      <c r="AE140" s="350"/>
      <c r="AF140" s="350"/>
      <c r="AG140" s="350"/>
      <c r="AH140" s="350"/>
      <c r="AI140" s="350"/>
      <c r="AJ140" s="131"/>
      <c r="AK140" s="131"/>
      <c r="AL140" s="131"/>
      <c r="AM140" s="131"/>
      <c r="AN140" s="131"/>
      <c r="AO140" s="400"/>
      <c r="AP140" s="131"/>
      <c r="AQ140" s="131"/>
      <c r="AR140" s="131"/>
      <c r="AS140" s="131"/>
      <c r="AT140" s="131"/>
      <c r="AU140" s="104"/>
      <c r="AV140" s="104"/>
      <c r="AW140" s="104"/>
      <c r="AX140" s="105"/>
      <c r="AY140" s="105"/>
      <c r="AZ140" s="105"/>
      <c r="BA140" s="105"/>
      <c r="BB140" s="105"/>
      <c r="BC140" s="105"/>
      <c r="BD140" s="105"/>
    </row>
    <row r="141" spans="1:56" hidden="1">
      <c r="A141" s="350"/>
      <c r="B141" s="350"/>
      <c r="C141" s="350"/>
      <c r="D141" s="350"/>
      <c r="E141" s="350"/>
      <c r="F141" s="350"/>
      <c r="G141" s="350"/>
      <c r="H141" s="350"/>
      <c r="I141" s="350"/>
      <c r="J141" s="350"/>
      <c r="K141" s="350"/>
      <c r="L141" s="350"/>
      <c r="M141" s="350"/>
      <c r="N141" s="350"/>
      <c r="O141" s="350"/>
      <c r="P141" s="350"/>
      <c r="Q141" s="350"/>
      <c r="R141" s="350"/>
      <c r="S141" s="350"/>
      <c r="T141" s="350"/>
      <c r="U141" s="350"/>
      <c r="V141" s="350"/>
      <c r="W141" s="350"/>
      <c r="X141" s="350"/>
      <c r="Y141" s="350"/>
      <c r="Z141" s="350"/>
      <c r="AA141" s="350"/>
      <c r="AB141" s="350"/>
      <c r="AC141" s="350"/>
      <c r="AD141" s="350"/>
      <c r="AE141" s="350"/>
      <c r="AF141" s="350"/>
      <c r="AG141" s="350"/>
      <c r="AH141" s="350"/>
      <c r="AI141" s="350"/>
      <c r="AJ141" s="131"/>
      <c r="AK141" s="131"/>
      <c r="AL141" s="131"/>
      <c r="AM141" s="131"/>
      <c r="AN141" s="131"/>
      <c r="AO141" s="131"/>
      <c r="AP141" s="131"/>
      <c r="AQ141" s="131"/>
      <c r="AR141" s="131"/>
      <c r="AS141" s="131"/>
      <c r="AT141" s="131"/>
      <c r="AU141" s="104"/>
      <c r="AV141" s="104"/>
      <c r="AW141" s="104"/>
      <c r="AX141" s="105"/>
      <c r="AY141" s="105"/>
      <c r="AZ141" s="105"/>
      <c r="BA141" s="105"/>
      <c r="BB141" s="105"/>
      <c r="BC141" s="105"/>
      <c r="BD141" s="105"/>
    </row>
    <row r="142" spans="1:56" hidden="1">
      <c r="A142" s="350"/>
      <c r="B142" s="350"/>
      <c r="C142" s="350"/>
      <c r="D142" s="350"/>
      <c r="E142" s="350"/>
      <c r="F142" s="350"/>
      <c r="G142" s="350"/>
      <c r="H142" s="350"/>
      <c r="I142" s="350"/>
      <c r="J142" s="350"/>
      <c r="K142" s="350"/>
      <c r="L142" s="350"/>
      <c r="M142" s="350"/>
      <c r="N142" s="350"/>
      <c r="O142" s="350"/>
      <c r="P142" s="350"/>
      <c r="Q142" s="350"/>
      <c r="R142" s="350"/>
      <c r="S142" s="350"/>
      <c r="T142" s="350"/>
      <c r="U142" s="350"/>
      <c r="V142" s="350"/>
      <c r="W142" s="350"/>
      <c r="X142" s="350"/>
      <c r="Y142" s="350"/>
      <c r="Z142" s="350"/>
      <c r="AA142" s="350"/>
      <c r="AB142" s="350"/>
      <c r="AC142" s="350"/>
      <c r="AD142" s="350"/>
      <c r="AE142" s="350"/>
      <c r="AF142" s="350"/>
      <c r="AG142" s="350"/>
      <c r="AH142" s="350"/>
      <c r="AI142" s="350"/>
      <c r="AJ142" s="131"/>
      <c r="AK142" s="131"/>
      <c r="AL142" s="131"/>
      <c r="AM142" s="131"/>
      <c r="AN142" s="131"/>
      <c r="AO142" s="131"/>
      <c r="AP142" s="131"/>
      <c r="AQ142" s="131"/>
      <c r="AR142" s="131"/>
      <c r="AS142" s="131"/>
      <c r="AT142" s="131"/>
      <c r="AU142" s="104"/>
      <c r="AV142" s="104"/>
      <c r="AW142" s="104"/>
      <c r="AX142" s="105"/>
      <c r="AY142" s="105"/>
      <c r="AZ142" s="105"/>
      <c r="BA142" s="105"/>
      <c r="BB142" s="105"/>
      <c r="BC142" s="105"/>
      <c r="BD142" s="105"/>
    </row>
    <row r="143" spans="1:56" hidden="1">
      <c r="A143" s="350"/>
      <c r="B143" s="350"/>
      <c r="C143" s="350"/>
      <c r="D143" s="350"/>
      <c r="E143" s="350"/>
      <c r="F143" s="350"/>
      <c r="G143" s="350"/>
      <c r="H143" s="350"/>
      <c r="I143" s="350"/>
      <c r="J143" s="350"/>
      <c r="K143" s="350"/>
      <c r="L143" s="350"/>
      <c r="M143" s="350"/>
      <c r="N143" s="350"/>
      <c r="O143" s="350"/>
      <c r="P143" s="350"/>
      <c r="Q143" s="350"/>
      <c r="R143" s="350"/>
      <c r="S143" s="350"/>
      <c r="T143" s="350"/>
      <c r="U143" s="350"/>
      <c r="V143" s="350"/>
      <c r="W143" s="350"/>
      <c r="X143" s="350"/>
      <c r="Y143" s="350"/>
      <c r="Z143" s="350"/>
      <c r="AA143" s="350"/>
      <c r="AB143" s="350"/>
      <c r="AC143" s="350"/>
      <c r="AD143" s="350"/>
      <c r="AE143" s="350"/>
      <c r="AF143" s="350"/>
      <c r="AG143" s="350"/>
      <c r="AH143" s="350"/>
      <c r="AI143" s="350"/>
      <c r="AJ143" s="131"/>
      <c r="AK143" s="131"/>
      <c r="AL143" s="131"/>
      <c r="AM143" s="131"/>
      <c r="AN143" s="131"/>
      <c r="AO143" s="131"/>
      <c r="AP143" s="131"/>
      <c r="AQ143" s="131"/>
      <c r="AR143" s="131"/>
      <c r="AS143" s="131"/>
      <c r="AT143" s="131"/>
      <c r="AU143" s="104"/>
      <c r="AV143" s="104"/>
      <c r="AW143" s="104"/>
      <c r="AX143" s="105"/>
      <c r="AY143" s="105"/>
      <c r="AZ143" s="105"/>
      <c r="BA143" s="105"/>
      <c r="BB143" s="105"/>
      <c r="BC143" s="105"/>
      <c r="BD143" s="105"/>
    </row>
    <row r="144" spans="1:56" hidden="1">
      <c r="A144" s="350"/>
      <c r="B144" s="350"/>
      <c r="C144" s="350"/>
      <c r="D144" s="350"/>
      <c r="E144" s="350"/>
      <c r="F144" s="350"/>
      <c r="G144" s="350"/>
      <c r="H144" s="350"/>
      <c r="I144" s="350"/>
      <c r="J144" s="350"/>
      <c r="K144" s="350"/>
      <c r="L144" s="350"/>
      <c r="M144" s="350"/>
      <c r="N144" s="350"/>
      <c r="O144" s="350"/>
      <c r="P144" s="350"/>
      <c r="Q144" s="350"/>
      <c r="R144" s="350"/>
      <c r="S144" s="350"/>
      <c r="T144" s="350"/>
      <c r="U144" s="350"/>
      <c r="V144" s="350"/>
      <c r="W144" s="350"/>
      <c r="X144" s="350"/>
      <c r="Y144" s="350"/>
      <c r="Z144" s="350"/>
      <c r="AA144" s="350"/>
      <c r="AB144" s="350"/>
      <c r="AC144" s="350"/>
      <c r="AD144" s="350"/>
      <c r="AE144" s="350"/>
      <c r="AF144" s="350"/>
      <c r="AG144" s="350"/>
      <c r="AH144" s="350"/>
      <c r="AI144" s="350"/>
      <c r="AJ144" s="131"/>
      <c r="AK144" s="131"/>
      <c r="AL144" s="396"/>
      <c r="AM144" s="396"/>
      <c r="AN144" s="396"/>
      <c r="AO144" s="159"/>
      <c r="AP144" s="393"/>
      <c r="AQ144" s="393"/>
      <c r="AR144" s="389"/>
      <c r="AS144" s="393"/>
      <c r="AT144" s="131"/>
      <c r="AU144" s="104"/>
      <c r="AV144" s="104"/>
      <c r="AW144" s="107"/>
      <c r="AX144" s="105"/>
      <c r="AY144" s="105"/>
      <c r="AZ144" s="105"/>
      <c r="BA144" s="105"/>
      <c r="BB144" s="105"/>
      <c r="BC144" s="105"/>
      <c r="BD144" s="105"/>
    </row>
    <row r="145" spans="1:56" hidden="1">
      <c r="A145" s="350"/>
      <c r="B145" s="350"/>
      <c r="C145" s="350"/>
      <c r="D145" s="350"/>
      <c r="E145" s="350"/>
      <c r="F145" s="350"/>
      <c r="G145" s="350"/>
      <c r="H145" s="350"/>
      <c r="I145" s="350"/>
      <c r="J145" s="350"/>
      <c r="K145" s="350"/>
      <c r="L145" s="350"/>
      <c r="M145" s="350"/>
      <c r="N145" s="350"/>
      <c r="O145" s="350"/>
      <c r="P145" s="350"/>
      <c r="Q145" s="350"/>
      <c r="R145" s="350"/>
      <c r="S145" s="350"/>
      <c r="T145" s="350"/>
      <c r="U145" s="350"/>
      <c r="V145" s="350"/>
      <c r="W145" s="350"/>
      <c r="X145" s="350"/>
      <c r="Y145" s="350"/>
      <c r="Z145" s="350"/>
      <c r="AA145" s="350"/>
      <c r="AB145" s="350"/>
      <c r="AC145" s="350"/>
      <c r="AD145" s="350"/>
      <c r="AE145" s="350"/>
      <c r="AF145" s="350"/>
      <c r="AG145" s="350"/>
      <c r="AH145" s="350"/>
      <c r="AI145" s="350"/>
      <c r="AJ145" s="131"/>
      <c r="AK145" s="131"/>
      <c r="AL145" s="401"/>
      <c r="AM145" s="401"/>
      <c r="AN145" s="401"/>
      <c r="AO145" s="401"/>
      <c r="AP145" s="401"/>
      <c r="AQ145" s="401"/>
      <c r="AR145" s="389"/>
      <c r="AS145" s="393"/>
      <c r="AT145" s="393"/>
      <c r="AU145" s="107"/>
      <c r="AV145" s="107"/>
      <c r="AW145" s="107"/>
      <c r="AX145" s="105"/>
      <c r="AY145" s="105"/>
      <c r="AZ145" s="105"/>
      <c r="BA145" s="105"/>
      <c r="BB145" s="105"/>
      <c r="BC145" s="105"/>
      <c r="BD145" s="105"/>
    </row>
    <row r="146" spans="1:56" hidden="1">
      <c r="A146" s="350"/>
      <c r="B146" s="350"/>
      <c r="C146" s="350"/>
      <c r="D146" s="350"/>
      <c r="E146" s="350"/>
      <c r="F146" s="350"/>
      <c r="G146" s="350"/>
      <c r="H146" s="350"/>
      <c r="I146" s="350"/>
      <c r="J146" s="350"/>
      <c r="K146" s="350"/>
      <c r="L146" s="350"/>
      <c r="M146" s="350"/>
      <c r="N146" s="350"/>
      <c r="O146" s="350"/>
      <c r="P146" s="350"/>
      <c r="Q146" s="350"/>
      <c r="R146" s="350"/>
      <c r="S146" s="350"/>
      <c r="T146" s="350"/>
      <c r="U146" s="350"/>
      <c r="V146" s="350"/>
      <c r="W146" s="350"/>
      <c r="X146" s="350"/>
      <c r="Y146" s="350"/>
      <c r="Z146" s="350"/>
      <c r="AA146" s="350"/>
      <c r="AB146" s="350"/>
      <c r="AC146" s="350"/>
      <c r="AD146" s="350"/>
      <c r="AE146" s="350"/>
      <c r="AF146" s="350"/>
      <c r="AG146" s="350"/>
      <c r="AH146" s="350"/>
      <c r="AI146" s="350"/>
      <c r="AJ146" s="131"/>
      <c r="AK146" s="131"/>
      <c r="AL146" s="400"/>
      <c r="AM146" s="400"/>
      <c r="AN146" s="400"/>
      <c r="AO146" s="131"/>
      <c r="AP146" s="400"/>
      <c r="AQ146" s="393"/>
      <c r="AR146" s="393"/>
      <c r="AS146" s="393"/>
      <c r="AT146" s="393"/>
      <c r="AU146" s="108"/>
      <c r="AV146" s="104"/>
      <c r="AW146" s="108"/>
      <c r="AX146" s="105"/>
      <c r="AY146" s="105"/>
      <c r="AZ146" s="105"/>
      <c r="BA146" s="105"/>
      <c r="BB146" s="105"/>
      <c r="BC146" s="105"/>
      <c r="BD146" s="105"/>
    </row>
    <row r="147" spans="1:56" hidden="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73"/>
      <c r="AK147" s="173"/>
      <c r="AL147" s="173"/>
      <c r="AM147" s="173"/>
      <c r="AN147" s="173"/>
      <c r="AO147" s="173"/>
      <c r="AP147" s="173"/>
      <c r="AQ147" s="173"/>
      <c r="AR147" s="173"/>
      <c r="AS147" s="173"/>
      <c r="AT147" s="173"/>
      <c r="AU147" s="105"/>
      <c r="AV147" s="105"/>
      <c r="AW147" s="105"/>
      <c r="AX147" s="105"/>
      <c r="AY147" s="105"/>
      <c r="AZ147" s="105"/>
      <c r="BA147" s="105"/>
      <c r="BB147" s="105"/>
      <c r="BC147" s="105"/>
      <c r="BD147" s="105"/>
    </row>
    <row r="148" spans="1:56" hidden="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73"/>
      <c r="AK148" s="173"/>
      <c r="AL148" s="173"/>
      <c r="AM148" s="173"/>
      <c r="AN148" s="173"/>
      <c r="AO148" s="173"/>
      <c r="AP148" s="173"/>
      <c r="AQ148" s="173"/>
      <c r="AR148" s="173"/>
      <c r="AS148" s="173"/>
      <c r="AT148" s="173"/>
      <c r="AU148" s="105"/>
      <c r="AV148" s="105"/>
      <c r="AW148" s="105"/>
      <c r="AX148" s="105"/>
      <c r="AY148" s="105"/>
      <c r="AZ148" s="105"/>
      <c r="BA148" s="105"/>
      <c r="BB148" s="105"/>
      <c r="BC148" s="105"/>
      <c r="BD148" s="105"/>
    </row>
    <row r="149" spans="1:56" hidden="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row>
    <row r="150" spans="1:56" hidden="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row>
    <row r="151" spans="1:56" hidden="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row>
    <row r="152" spans="1:56" hidden="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row>
    <row r="153" spans="1:56" hidden="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row>
    <row r="154" spans="1:56" hidden="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row>
    <row r="155" spans="1:56" hidden="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row>
    <row r="156" spans="1:56" hidden="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row>
    <row r="157" spans="1:56" hidden="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row>
    <row r="158" spans="1:56" hidden="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row>
    <row r="159" spans="1:56" hidden="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row>
    <row r="160" spans="1:56" hidden="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row>
    <row r="161" spans="1:70" hidden="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row>
    <row r="162" spans="1:70" hidden="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row>
    <row r="163" spans="1:70" hidden="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row>
    <row r="164" spans="1:70" hidden="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row>
    <row r="165" spans="1:70" hidden="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row>
    <row r="166" spans="1:70" hidden="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row>
    <row r="167" spans="1:70" hidden="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row>
    <row r="168" spans="1:70" hidden="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row>
    <row r="169" spans="1:70" hidden="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row>
    <row r="170" spans="1:70" hidden="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row>
    <row r="171" spans="1:70" hidden="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row>
    <row r="172" spans="1:70" hidden="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row>
    <row r="173" spans="1:70" hidden="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row>
  </sheetData>
  <sheetProtection algorithmName="SHA-512" hashValue="zr8WykYjLUxwU1hB8TbIIxWhwRwxo6BHdkmqsVMT00VQg/tOP7B8oksJV9YR2LP9lwFab9+W4YfNfK3gBZ9wiQ==" saltValue="rPsqCmDxTI63xuh/WC1FpQ==" spinCount="100000" sheet="1" formatColumns="0" formatRows="0" selectLockedCells="1"/>
  <protectedRanges>
    <protectedRange sqref="AK71" name="Range6"/>
    <protectedRange sqref="D85:H85 D86:G86" name="Range4"/>
    <protectedRange sqref="AL28" name="Range1"/>
    <protectedRange sqref="AK31" name="Range2"/>
    <protectedRange sqref="AK34" name="Range3"/>
    <protectedRange sqref="M71:O71 T71:X71 M72:M73 AF71:AI71" name="Range5"/>
    <protectedRange sqref="Y71:AE71" name="Range5_1"/>
    <protectedRange sqref="U36" name="Range5_3"/>
  </protectedRanges>
  <customSheetViews>
    <customSheetView guid="{DDA22D69-94B5-45BC-9EE2-6055A845129B}" scale="112" hiddenRows="1" hiddenColumns="1" topLeftCell="A49">
      <selection activeCell="N47" sqref="N47"/>
      <pageMargins left="0.9055118110236221" right="0.78740157480314965" top="0.55118110236220474" bottom="0.27559055118110237" header="0.31496062992125984" footer="0.31496062992125984"/>
      <pageSetup paperSize="9" scale="76" orientation="portrait" r:id="rId1"/>
    </customSheetView>
    <customSheetView guid="{1B7577DB-E3C4-4E68-B7CF-8F86FF7C5A82}" scale="112" hiddenRows="1" hiddenColumns="1" topLeftCell="A31">
      <selection activeCell="N15" sqref="N15"/>
      <pageMargins left="0.9055118110236221" right="0.78740157480314965" top="0.55118110236220474" bottom="0.27559055118110237" header="0.31496062992125984" footer="0.31496062992125984"/>
      <pageSetup paperSize="9" scale="76" orientation="portrait" r:id="rId2"/>
    </customSheetView>
    <customSheetView guid="{2BE9587E-F957-49DF-9716-3F2B35B49DC1}" scale="112" hiddenRows="1" hiddenColumns="1" topLeftCell="D20">
      <selection activeCell="S14" sqref="S14"/>
      <pageMargins left="0.75" right="0.8" top="0.15" bottom="0.28999999999999998" header="0.3" footer="0.3"/>
      <pageSetup paperSize="9" scale="79" orientation="portrait" r:id="rId3"/>
    </customSheetView>
    <customSheetView guid="{60E5615C-64A2-4675-848A-970A515EAF91}" scale="112" printArea="1" hiddenRows="1" hiddenColumns="1" topLeftCell="D14">
      <selection activeCell="S14" sqref="S14"/>
      <pageMargins left="0.92" right="0.8" top="0.15" bottom="0.28999999999999998" header="0.3" footer="0.3"/>
      <pageSetup paperSize="9" scale="76" orientation="portrait" r:id="rId4"/>
    </customSheetView>
    <customSheetView guid="{E7B1C62B-1F1D-4A62-BD87-EE62D3A36B6C}" scale="112" hiddenRows="1" hiddenColumns="1" topLeftCell="J34">
      <selection activeCell="N47" sqref="N47"/>
      <pageMargins left="0.9055118110236221" right="0.78740157480314965" top="0.55118110236220474" bottom="0.27559055118110237" header="0.31496062992125984" footer="0.31496062992125984"/>
      <pageSetup paperSize="9" scale="76" orientation="portrait" r:id="rId5"/>
    </customSheetView>
  </customSheetViews>
  <mergeCells count="182">
    <mergeCell ref="U26:U27"/>
    <mergeCell ref="B89:G89"/>
    <mergeCell ref="H89:M89"/>
    <mergeCell ref="D28:H28"/>
    <mergeCell ref="D29:H29"/>
    <mergeCell ref="D30:H30"/>
    <mergeCell ref="C35:K35"/>
    <mergeCell ref="P35:T35"/>
    <mergeCell ref="I42:K42"/>
    <mergeCell ref="P36:T36"/>
    <mergeCell ref="P37:T37"/>
    <mergeCell ref="P38:T38"/>
    <mergeCell ref="P39:T39"/>
    <mergeCell ref="P40:T40"/>
    <mergeCell ref="P41:T41"/>
    <mergeCell ref="P42:T42"/>
    <mergeCell ref="P43:T43"/>
    <mergeCell ref="F36:I36"/>
    <mergeCell ref="C37:H37"/>
    <mergeCell ref="C40:G40"/>
    <mergeCell ref="P29:Q29"/>
    <mergeCell ref="C88:H88"/>
    <mergeCell ref="K88:M88"/>
    <mergeCell ref="C52:G52"/>
    <mergeCell ref="AQ79:AR79"/>
    <mergeCell ref="AQ76:AR76"/>
    <mergeCell ref="AQ77:AR77"/>
    <mergeCell ref="AS72:AT72"/>
    <mergeCell ref="AO73:AP73"/>
    <mergeCell ref="AQ73:AR73"/>
    <mergeCell ref="AN82:AP82"/>
    <mergeCell ref="AK74:AM74"/>
    <mergeCell ref="AO74:AP74"/>
    <mergeCell ref="AQ74:AR74"/>
    <mergeCell ref="AO75:AP75"/>
    <mergeCell ref="AQ75:AR75"/>
    <mergeCell ref="AM76:AP76"/>
    <mergeCell ref="AN77:AP77"/>
    <mergeCell ref="AM78:AP78"/>
    <mergeCell ref="AQ80:AR80"/>
    <mergeCell ref="AQ81:AR81"/>
    <mergeCell ref="AN80:AP80"/>
    <mergeCell ref="AN81:AP81"/>
    <mergeCell ref="AQ78:AR78"/>
    <mergeCell ref="AN79:AP79"/>
    <mergeCell ref="AQ82:AR82"/>
    <mergeCell ref="AM113:AQ113"/>
    <mergeCell ref="AM94:AP94"/>
    <mergeCell ref="AN96:AP96"/>
    <mergeCell ref="AN97:AP97"/>
    <mergeCell ref="AM92:AP92"/>
    <mergeCell ref="Q83:T83"/>
    <mergeCell ref="AD79:AE79"/>
    <mergeCell ref="AO71:AP71"/>
    <mergeCell ref="AK64:AM64"/>
    <mergeCell ref="AK68:AM68"/>
    <mergeCell ref="AO69:AP69"/>
    <mergeCell ref="AO68:AP68"/>
    <mergeCell ref="AO66:AP66"/>
    <mergeCell ref="AN64:AP64"/>
    <mergeCell ref="AO72:AP72"/>
    <mergeCell ref="AQ72:AR72"/>
    <mergeCell ref="AK66:AM66"/>
    <mergeCell ref="AK72:AM72"/>
    <mergeCell ref="AK70:AM70"/>
    <mergeCell ref="Y79:AC79"/>
    <mergeCell ref="P79:S79"/>
    <mergeCell ref="AO67:AP67"/>
    <mergeCell ref="AO70:AP70"/>
    <mergeCell ref="AQ70:AR70"/>
    <mergeCell ref="AJ2:AK2"/>
    <mergeCell ref="B3:D3"/>
    <mergeCell ref="F3:K3"/>
    <mergeCell ref="L3:M3"/>
    <mergeCell ref="O3:Q4"/>
    <mergeCell ref="E4:G4"/>
    <mergeCell ref="R3:S4"/>
    <mergeCell ref="I4:M4"/>
    <mergeCell ref="B5:D5"/>
    <mergeCell ref="E5:G5"/>
    <mergeCell ref="I5:M5"/>
    <mergeCell ref="B4:D4"/>
    <mergeCell ref="B2:E2"/>
    <mergeCell ref="F2:K2"/>
    <mergeCell ref="L2:M2"/>
    <mergeCell ref="D18:H18"/>
    <mergeCell ref="P25:T25"/>
    <mergeCell ref="P28:Q28"/>
    <mergeCell ref="R28:S28"/>
    <mergeCell ref="R29:S29"/>
    <mergeCell ref="P30:Q30"/>
    <mergeCell ref="C26:K26"/>
    <mergeCell ref="C19:K19"/>
    <mergeCell ref="C20:K20"/>
    <mergeCell ref="C21:K21"/>
    <mergeCell ref="T26:T27"/>
    <mergeCell ref="R30:S30"/>
    <mergeCell ref="C27:H27"/>
    <mergeCell ref="P26:Q27"/>
    <mergeCell ref="R26:S27"/>
    <mergeCell ref="B6:D6"/>
    <mergeCell ref="E6:G6"/>
    <mergeCell ref="L6:M6"/>
    <mergeCell ref="I6:J6"/>
    <mergeCell ref="D8:H8"/>
    <mergeCell ref="C7:I7"/>
    <mergeCell ref="F50:H50"/>
    <mergeCell ref="F49:G49"/>
    <mergeCell ref="P31:Q31"/>
    <mergeCell ref="D9:H9"/>
    <mergeCell ref="D10:H10"/>
    <mergeCell ref="D11:J11"/>
    <mergeCell ref="D12:J12"/>
    <mergeCell ref="C13:J13"/>
    <mergeCell ref="C25:K25"/>
    <mergeCell ref="L22:M24"/>
    <mergeCell ref="M16:M18"/>
    <mergeCell ref="D22:I22"/>
    <mergeCell ref="D23:I23"/>
    <mergeCell ref="D24:I24"/>
    <mergeCell ref="C14:J14"/>
    <mergeCell ref="D16:H16"/>
    <mergeCell ref="C15:K15"/>
    <mergeCell ref="D17:H17"/>
    <mergeCell ref="R31:S31"/>
    <mergeCell ref="P32:Q32"/>
    <mergeCell ref="C49:E49"/>
    <mergeCell ref="L43:M49"/>
    <mergeCell ref="D31:H31"/>
    <mergeCell ref="D32:H32"/>
    <mergeCell ref="D34:H34"/>
    <mergeCell ref="C41:E41"/>
    <mergeCell ref="C42:H42"/>
    <mergeCell ref="C39:H39"/>
    <mergeCell ref="J27:K34"/>
    <mergeCell ref="D33:H33"/>
    <mergeCell ref="P33:Q33"/>
    <mergeCell ref="R33:S33"/>
    <mergeCell ref="I52:M52"/>
    <mergeCell ref="I43:K44"/>
    <mergeCell ref="J45:K45"/>
    <mergeCell ref="J46:K46"/>
    <mergeCell ref="J47:K47"/>
    <mergeCell ref="J48:K48"/>
    <mergeCell ref="J49:K49"/>
    <mergeCell ref="R32:S32"/>
    <mergeCell ref="P34:Q34"/>
    <mergeCell ref="R34:S34"/>
    <mergeCell ref="I50:K50"/>
    <mergeCell ref="AS66:AT66"/>
    <mergeCell ref="AQ67:AR67"/>
    <mergeCell ref="AS67:AT67"/>
    <mergeCell ref="AQ66:AR66"/>
    <mergeCell ref="AV35:BB35"/>
    <mergeCell ref="AS71:AT71"/>
    <mergeCell ref="AS68:AT68"/>
    <mergeCell ref="AS69:AT69"/>
    <mergeCell ref="AS70:AT70"/>
    <mergeCell ref="AQ69:AR69"/>
    <mergeCell ref="AQ68:AR68"/>
    <mergeCell ref="AQ71:AR71"/>
    <mergeCell ref="BL43:BN43"/>
    <mergeCell ref="BL42:BN42"/>
    <mergeCell ref="BL28:BQ28"/>
    <mergeCell ref="BL29:BQ29"/>
    <mergeCell ref="BL30:BQ30"/>
    <mergeCell ref="AN26:AP26"/>
    <mergeCell ref="AJ25:AL25"/>
    <mergeCell ref="BM13:BO13"/>
    <mergeCell ref="BM14:BO14"/>
    <mergeCell ref="BM22:BO22"/>
    <mergeCell ref="BM23:BO23"/>
    <mergeCell ref="AO22:AO23"/>
    <mergeCell ref="W35:Y35"/>
    <mergeCell ref="W36:Y36"/>
    <mergeCell ref="W37:Y37"/>
    <mergeCell ref="W34:Y34"/>
    <mergeCell ref="BM6:BR6"/>
    <mergeCell ref="BM10:BO10"/>
    <mergeCell ref="BM11:BO11"/>
    <mergeCell ref="BM12:BO12"/>
    <mergeCell ref="AJ7:AK10"/>
  </mergeCells>
  <pageMargins left="0.9055118110236221" right="0.78740157480314965" top="0.55118110236220474" bottom="0.27559055118110237" header="0.31496062992125984" footer="0.31496062992125984"/>
  <pageSetup paperSize="9" scale="76" orientation="portrait" r:id="rId6"/>
  <ignoredErrors>
    <ignoredError sqref="AQ79:AQ80 U42" formula="1"/>
  </ignoredErrors>
  <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E6DB2-2428-4F44-94EF-4EE3DBE057A5}">
  <sheetPr>
    <tabColor rgb="FF7030A0"/>
  </sheetPr>
  <dimension ref="A1:EA256"/>
  <sheetViews>
    <sheetView topLeftCell="A62" workbookViewId="0">
      <selection activeCell="R72" sqref="R72"/>
    </sheetView>
  </sheetViews>
  <sheetFormatPr defaultColWidth="0" defaultRowHeight="15" customHeight="1" zeroHeight="1"/>
  <cols>
    <col min="1" max="1" width="3.140625" customWidth="1"/>
    <col min="2" max="2" width="1.7109375" customWidth="1"/>
    <col min="3" max="3" width="4.42578125" customWidth="1"/>
    <col min="4" max="4" width="4" customWidth="1"/>
    <col min="5" max="5" width="3.7109375" customWidth="1"/>
    <col min="6" max="6" width="8.140625" customWidth="1"/>
    <col min="7" max="7" width="9.140625" customWidth="1"/>
    <col min="8" max="8" width="23" customWidth="1"/>
    <col min="9" max="9" width="9.140625" customWidth="1"/>
    <col min="10" max="10" width="8.42578125" customWidth="1"/>
    <col min="11" max="11" width="13.42578125" customWidth="1"/>
    <col min="12" max="12" width="6.7109375" customWidth="1"/>
    <col min="13" max="13" width="11.28515625" customWidth="1"/>
    <col min="14" max="14" width="8.42578125" customWidth="1"/>
    <col min="15" max="15" width="10.85546875" customWidth="1"/>
    <col min="16" max="16" width="4.140625" customWidth="1"/>
    <col min="17" max="17" width="11.85546875" customWidth="1"/>
    <col min="18" max="23" width="9.140625" customWidth="1"/>
    <col min="24" max="16384" width="9.140625" hidden="1"/>
  </cols>
  <sheetData>
    <row r="1" spans="1:131" ht="12.75" customHeight="1">
      <c r="A1" s="345"/>
      <c r="B1" s="345"/>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c r="AE1" s="345"/>
      <c r="AF1" s="345"/>
      <c r="AG1" s="345"/>
      <c r="AH1" s="345"/>
      <c r="AI1" s="345"/>
      <c r="AJ1" s="345"/>
      <c r="AK1" s="345"/>
      <c r="AL1" s="345"/>
      <c r="AM1" s="345"/>
      <c r="AN1" s="345"/>
      <c r="AO1" s="345"/>
      <c r="AP1" s="345"/>
      <c r="AQ1" s="345"/>
      <c r="AR1" s="345"/>
      <c r="AS1" s="345"/>
      <c r="AT1" s="345"/>
      <c r="AU1" s="345"/>
      <c r="AV1" s="345"/>
      <c r="AW1" s="345"/>
      <c r="AX1" s="345"/>
      <c r="AY1" s="345"/>
      <c r="AZ1" s="345"/>
      <c r="BA1" s="345"/>
      <c r="BB1" s="345"/>
      <c r="BC1" s="345"/>
      <c r="BD1" s="345"/>
      <c r="BE1" s="345"/>
      <c r="BF1" s="345"/>
      <c r="BG1" s="345"/>
      <c r="BH1" s="345"/>
      <c r="BI1" s="345"/>
      <c r="BJ1" s="345"/>
      <c r="BK1" s="345"/>
      <c r="BL1" s="345"/>
      <c r="BM1" s="345"/>
      <c r="BN1" s="345"/>
      <c r="BO1" s="345"/>
      <c r="BP1" s="345"/>
      <c r="BQ1" s="345"/>
      <c r="BR1" s="345"/>
      <c r="BS1" s="345"/>
      <c r="BT1" s="345"/>
      <c r="BU1" s="345"/>
      <c r="BV1" s="345"/>
      <c r="BW1" s="345"/>
      <c r="BX1" s="345"/>
      <c r="BY1" s="345"/>
      <c r="BZ1" s="345"/>
      <c r="CA1" s="345"/>
      <c r="CB1" s="345"/>
      <c r="CC1" s="345"/>
      <c r="CD1" s="345"/>
      <c r="CE1" s="345"/>
      <c r="CF1" s="345"/>
      <c r="CG1" s="345"/>
      <c r="CH1" s="345"/>
      <c r="CI1" s="345"/>
      <c r="CJ1" s="345"/>
      <c r="CK1" s="345"/>
      <c r="CL1" s="345"/>
      <c r="CM1" s="345"/>
      <c r="CN1" s="345"/>
      <c r="CO1" s="345"/>
      <c r="CP1" s="345"/>
      <c r="CQ1" s="345"/>
      <c r="CR1" s="345"/>
      <c r="CS1" s="345"/>
      <c r="CT1" s="345"/>
      <c r="CU1" s="345"/>
      <c r="CV1" s="345"/>
      <c r="CW1" s="345"/>
      <c r="CX1" s="345"/>
      <c r="CY1" s="345"/>
      <c r="CZ1" s="345"/>
      <c r="DA1" s="345"/>
      <c r="DB1" s="345"/>
      <c r="DC1" s="345"/>
      <c r="DD1" s="345"/>
      <c r="DE1" s="345"/>
      <c r="DF1" s="345"/>
      <c r="DG1" s="345"/>
      <c r="DH1" s="345"/>
      <c r="DI1" s="345"/>
      <c r="DJ1" s="345"/>
      <c r="DK1" s="345"/>
      <c r="DL1" s="345"/>
      <c r="DM1" s="345"/>
      <c r="DN1" s="345"/>
      <c r="DO1" s="345"/>
      <c r="DP1" s="345"/>
      <c r="DQ1" s="345"/>
      <c r="DR1" s="345"/>
      <c r="DS1" s="345"/>
      <c r="DT1" s="345"/>
      <c r="DU1" s="345"/>
      <c r="DV1" s="345"/>
      <c r="DW1" s="345"/>
      <c r="DX1" s="345"/>
      <c r="DY1" s="345"/>
      <c r="DZ1" s="345"/>
      <c r="EA1" s="345"/>
    </row>
    <row r="2" spans="1:131" ht="7.5" customHeight="1" thickBot="1">
      <c r="A2" s="345"/>
      <c r="B2" s="345"/>
      <c r="C2" s="345"/>
      <c r="D2" s="345"/>
      <c r="E2" s="345"/>
      <c r="F2" s="345"/>
      <c r="G2" s="345"/>
      <c r="H2" s="345"/>
      <c r="I2" s="345"/>
      <c r="J2" s="345"/>
      <c r="K2" s="345"/>
      <c r="L2" s="345"/>
      <c r="M2" s="345"/>
      <c r="N2" s="345"/>
      <c r="O2" s="345"/>
      <c r="P2" s="345"/>
      <c r="Q2" s="345"/>
      <c r="R2" s="345"/>
      <c r="S2" s="345"/>
      <c r="T2" s="345"/>
      <c r="U2" s="345"/>
      <c r="V2" s="345"/>
      <c r="W2" s="345"/>
      <c r="X2" s="345"/>
      <c r="Y2" s="345"/>
      <c r="Z2" s="345"/>
      <c r="AA2" s="345"/>
      <c r="AB2" s="345"/>
      <c r="AC2" s="345"/>
      <c r="AD2" s="345"/>
      <c r="AE2" s="345"/>
      <c r="AF2" s="345"/>
      <c r="AG2" s="345"/>
      <c r="AH2" s="345"/>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c r="BH2" s="345"/>
      <c r="BI2" s="345"/>
      <c r="BJ2" s="345"/>
      <c r="BK2" s="345"/>
      <c r="BL2" s="345"/>
      <c r="BM2" s="345"/>
      <c r="BN2" s="345"/>
      <c r="BO2" s="345"/>
      <c r="BP2" s="345"/>
      <c r="BQ2" s="345"/>
      <c r="BR2" s="345"/>
      <c r="BS2" s="345"/>
      <c r="BT2" s="345"/>
      <c r="BU2" s="345"/>
      <c r="BV2" s="345"/>
      <c r="BW2" s="345"/>
      <c r="BX2" s="345"/>
      <c r="BY2" s="345"/>
      <c r="BZ2" s="345"/>
      <c r="CA2" s="345"/>
      <c r="CB2" s="345"/>
      <c r="CC2" s="345"/>
      <c r="CD2" s="345"/>
      <c r="CE2" s="345"/>
      <c r="CF2" s="345"/>
      <c r="CG2" s="345"/>
      <c r="CH2" s="345"/>
      <c r="CI2" s="345"/>
      <c r="CJ2" s="345"/>
      <c r="CK2" s="345"/>
      <c r="CL2" s="345"/>
      <c r="CM2" s="345"/>
      <c r="CN2" s="345"/>
      <c r="CO2" s="345"/>
      <c r="CP2" s="345"/>
      <c r="CQ2" s="345"/>
      <c r="CR2" s="345"/>
      <c r="CS2" s="345"/>
      <c r="CT2" s="345"/>
      <c r="CU2" s="345"/>
      <c r="CV2" s="345"/>
      <c r="CW2" s="345"/>
      <c r="CX2" s="345"/>
      <c r="CY2" s="345"/>
      <c r="CZ2" s="345"/>
      <c r="DA2" s="345"/>
      <c r="DB2" s="345"/>
      <c r="DC2" s="345"/>
      <c r="DD2" s="345"/>
      <c r="DE2" s="345"/>
      <c r="DF2" s="345"/>
      <c r="DG2" s="345"/>
      <c r="DH2" s="345"/>
      <c r="DI2" s="345"/>
      <c r="DJ2" s="345"/>
      <c r="DK2" s="345"/>
      <c r="DL2" s="345"/>
      <c r="DM2" s="345"/>
      <c r="DN2" s="345"/>
      <c r="DO2" s="345"/>
      <c r="DP2" s="345"/>
      <c r="DQ2" s="345"/>
      <c r="DR2" s="345"/>
      <c r="DS2" s="345"/>
      <c r="DT2" s="345"/>
      <c r="DU2" s="345"/>
      <c r="DV2" s="345"/>
      <c r="DW2" s="345"/>
      <c r="DX2" s="345"/>
      <c r="DY2" s="345"/>
      <c r="DZ2" s="345"/>
      <c r="EA2" s="345"/>
    </row>
    <row r="3" spans="1:131" ht="21" customHeight="1" thickTop="1">
      <c r="A3" s="345"/>
      <c r="B3" s="345"/>
      <c r="C3" s="2446"/>
      <c r="D3" s="6115" t="s">
        <v>291</v>
      </c>
      <c r="E3" s="6116"/>
      <c r="F3" s="6116"/>
      <c r="G3" s="6116"/>
      <c r="H3" s="6116"/>
      <c r="I3" s="6116"/>
      <c r="J3" s="6116"/>
      <c r="K3" s="6116"/>
      <c r="L3" s="6116"/>
      <c r="M3" s="6116"/>
      <c r="N3" s="6116"/>
      <c r="O3" s="6116"/>
      <c r="P3" s="6116"/>
      <c r="Q3" s="6117"/>
      <c r="R3" s="345"/>
      <c r="S3" s="345"/>
      <c r="T3" s="345"/>
      <c r="U3" s="345"/>
      <c r="V3" s="345"/>
      <c r="W3" s="345"/>
      <c r="X3" s="345"/>
      <c r="Y3" s="345"/>
      <c r="Z3" s="345"/>
      <c r="AA3" s="345"/>
      <c r="AB3" s="345"/>
      <c r="AC3" s="345"/>
      <c r="AD3" s="345"/>
      <c r="AE3" s="345"/>
      <c r="AF3" s="345"/>
      <c r="AG3" s="345"/>
      <c r="AH3" s="345"/>
      <c r="AI3" s="345"/>
      <c r="AJ3" s="345"/>
      <c r="AK3" s="345"/>
      <c r="AL3" s="345"/>
      <c r="AM3" s="345"/>
      <c r="AN3" s="345"/>
      <c r="AO3" s="345"/>
      <c r="AP3" s="345"/>
      <c r="AQ3" s="345"/>
      <c r="AR3" s="345"/>
      <c r="AS3" s="345"/>
      <c r="AT3" s="345"/>
      <c r="AU3" s="345"/>
      <c r="AV3" s="345"/>
      <c r="AW3" s="345"/>
      <c r="AX3" s="345"/>
      <c r="AY3" s="345"/>
      <c r="AZ3" s="345"/>
      <c r="BA3" s="345"/>
      <c r="BB3" s="345"/>
      <c r="BC3" s="345"/>
      <c r="BD3" s="345"/>
      <c r="BE3" s="345"/>
      <c r="BF3" s="345"/>
      <c r="BG3" s="345"/>
      <c r="BH3" s="345"/>
      <c r="BI3" s="345"/>
      <c r="BJ3" s="345"/>
      <c r="BK3" s="345"/>
      <c r="BL3" s="345"/>
      <c r="BM3" s="345"/>
      <c r="BN3" s="345"/>
      <c r="BO3" s="345"/>
      <c r="BP3" s="345"/>
      <c r="BQ3" s="345"/>
      <c r="BR3" s="345"/>
      <c r="BS3" s="345"/>
      <c r="BT3" s="345"/>
      <c r="BU3" s="345"/>
      <c r="BV3" s="345"/>
      <c r="BW3" s="345"/>
      <c r="BX3" s="345"/>
      <c r="BY3" s="345"/>
      <c r="BZ3" s="345"/>
      <c r="CA3" s="345"/>
      <c r="CB3" s="345"/>
      <c r="CC3" s="345"/>
      <c r="CD3" s="345"/>
      <c r="CE3" s="345"/>
      <c r="CF3" s="345"/>
      <c r="CG3" s="345"/>
      <c r="CH3" s="345"/>
      <c r="CI3" s="345"/>
      <c r="CJ3" s="345"/>
      <c r="CK3" s="345"/>
      <c r="CL3" s="345"/>
      <c r="CM3" s="345"/>
      <c r="CN3" s="345"/>
      <c r="CO3" s="345"/>
      <c r="CP3" s="345"/>
      <c r="CQ3" s="345"/>
      <c r="CR3" s="345"/>
      <c r="CS3" s="345"/>
      <c r="CT3" s="345"/>
      <c r="CU3" s="345"/>
      <c r="CV3" s="345"/>
      <c r="CW3" s="345"/>
      <c r="CX3" s="345"/>
      <c r="CY3" s="345"/>
      <c r="CZ3" s="345"/>
      <c r="DA3" s="345"/>
      <c r="DB3" s="345"/>
      <c r="DC3" s="345"/>
      <c r="DD3" s="345"/>
      <c r="DE3" s="345"/>
      <c r="DF3" s="345"/>
      <c r="DG3" s="345"/>
      <c r="DH3" s="345"/>
      <c r="DI3" s="345"/>
      <c r="DJ3" s="345"/>
      <c r="DK3" s="345"/>
      <c r="DL3" s="345"/>
      <c r="DM3" s="345"/>
      <c r="DN3" s="345"/>
      <c r="DO3" s="345"/>
      <c r="DP3" s="345"/>
      <c r="DQ3" s="345"/>
      <c r="DR3" s="345"/>
      <c r="DS3" s="345"/>
      <c r="DT3" s="345"/>
      <c r="DU3" s="345"/>
      <c r="DV3" s="345"/>
      <c r="DW3" s="345"/>
      <c r="DX3" s="345"/>
      <c r="DY3" s="345"/>
      <c r="DZ3" s="345"/>
      <c r="EA3" s="345"/>
    </row>
    <row r="4" spans="1:131">
      <c r="A4" s="345"/>
      <c r="B4" s="345"/>
      <c r="C4" s="2447"/>
      <c r="D4" s="6118" t="s">
        <v>292</v>
      </c>
      <c r="E4" s="6118"/>
      <c r="F4" s="6118"/>
      <c r="G4" s="6118"/>
      <c r="H4" s="6118"/>
      <c r="I4" s="6118"/>
      <c r="J4" s="6118"/>
      <c r="K4" s="6118"/>
      <c r="L4" s="6118"/>
      <c r="M4" s="6118"/>
      <c r="N4" s="6118"/>
      <c r="O4" s="6118"/>
      <c r="P4" s="6118"/>
      <c r="Q4" s="6119"/>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5"/>
      <c r="BD4" s="345"/>
      <c r="BE4" s="345"/>
      <c r="BF4" s="345"/>
      <c r="BG4" s="345"/>
      <c r="BH4" s="345"/>
      <c r="BI4" s="345"/>
      <c r="BJ4" s="345"/>
      <c r="BK4" s="345"/>
      <c r="BL4" s="345"/>
      <c r="BM4" s="345"/>
      <c r="BN4" s="345"/>
      <c r="BO4" s="345"/>
      <c r="BP4" s="345"/>
      <c r="BQ4" s="345"/>
      <c r="BR4" s="345"/>
      <c r="BS4" s="345"/>
      <c r="BT4" s="345"/>
      <c r="BU4" s="345"/>
      <c r="BV4" s="345"/>
      <c r="BW4" s="345"/>
      <c r="BX4" s="345"/>
      <c r="BY4" s="345"/>
      <c r="BZ4" s="345"/>
      <c r="CA4" s="345"/>
      <c r="CB4" s="345"/>
      <c r="CC4" s="345"/>
      <c r="CD4" s="345"/>
      <c r="CE4" s="345"/>
      <c r="CF4" s="345"/>
      <c r="CG4" s="345"/>
      <c r="CH4" s="345"/>
      <c r="CI4" s="345"/>
      <c r="CJ4" s="345"/>
      <c r="CK4" s="345"/>
      <c r="CL4" s="345"/>
      <c r="CM4" s="345"/>
      <c r="CN4" s="345"/>
      <c r="CO4" s="345"/>
      <c r="CP4" s="345"/>
      <c r="CQ4" s="345"/>
      <c r="CR4" s="345"/>
      <c r="CS4" s="345"/>
      <c r="CT4" s="345"/>
      <c r="CU4" s="345"/>
      <c r="CV4" s="345"/>
      <c r="CW4" s="345"/>
      <c r="CX4" s="345"/>
      <c r="CY4" s="345"/>
      <c r="CZ4" s="345"/>
      <c r="DA4" s="345"/>
      <c r="DB4" s="345"/>
      <c r="DC4" s="345"/>
      <c r="DD4" s="345"/>
      <c r="DE4" s="345"/>
      <c r="DF4" s="345"/>
      <c r="DG4" s="345"/>
      <c r="DH4" s="345"/>
      <c r="DI4" s="345"/>
      <c r="DJ4" s="345"/>
      <c r="DK4" s="345"/>
      <c r="DL4" s="345"/>
      <c r="DM4" s="345"/>
      <c r="DN4" s="345"/>
      <c r="DO4" s="345"/>
      <c r="DP4" s="345"/>
      <c r="DQ4" s="345"/>
      <c r="DR4" s="345"/>
      <c r="DS4" s="345"/>
      <c r="DT4" s="345"/>
      <c r="DU4" s="345"/>
      <c r="DV4" s="345"/>
      <c r="DW4" s="345"/>
      <c r="DX4" s="345"/>
      <c r="DY4" s="345"/>
      <c r="DZ4" s="345"/>
      <c r="EA4" s="345"/>
    </row>
    <row r="5" spans="1:131">
      <c r="A5" s="345"/>
      <c r="B5" s="345"/>
      <c r="C5" s="2447"/>
      <c r="D5" s="6120" t="s">
        <v>293</v>
      </c>
      <c r="E5" s="6120"/>
      <c r="F5" s="6120"/>
      <c r="G5" s="6120"/>
      <c r="H5" s="6120"/>
      <c r="I5" s="6120"/>
      <c r="J5" s="6120"/>
      <c r="K5" s="6120"/>
      <c r="L5" s="6120"/>
      <c r="M5" s="6120"/>
      <c r="N5" s="6120"/>
      <c r="O5" s="6120"/>
      <c r="P5" s="6120"/>
      <c r="Q5" s="6121"/>
      <c r="R5" s="345"/>
      <c r="S5" s="345"/>
      <c r="T5" s="345"/>
      <c r="U5" s="345"/>
      <c r="V5" s="345"/>
      <c r="W5" s="345"/>
      <c r="X5" s="345"/>
      <c r="Y5" s="345"/>
      <c r="Z5" s="345"/>
      <c r="AA5" s="345"/>
      <c r="AB5" s="345"/>
      <c r="AC5" s="345"/>
      <c r="AD5" s="345"/>
      <c r="AE5" s="345"/>
      <c r="AF5" s="345"/>
      <c r="AG5" s="345"/>
      <c r="AH5" s="345"/>
      <c r="AI5" s="345"/>
      <c r="AJ5" s="345"/>
      <c r="AK5" s="345"/>
      <c r="AL5" s="345"/>
      <c r="AM5" s="345"/>
      <c r="AN5" s="345"/>
      <c r="AO5" s="345"/>
      <c r="AP5" s="345"/>
      <c r="AQ5" s="345"/>
      <c r="AR5" s="345"/>
      <c r="AS5" s="345"/>
      <c r="AT5" s="345"/>
      <c r="AU5" s="345"/>
      <c r="AV5" s="345"/>
      <c r="AW5" s="345"/>
      <c r="AX5" s="345"/>
      <c r="AY5" s="345"/>
      <c r="AZ5" s="345"/>
      <c r="BA5" s="345"/>
      <c r="BB5" s="345"/>
      <c r="BC5" s="345"/>
      <c r="BD5" s="345"/>
      <c r="BE5" s="345"/>
      <c r="BF5" s="345"/>
      <c r="BG5" s="345"/>
      <c r="BH5" s="345"/>
      <c r="BI5" s="345"/>
      <c r="BJ5" s="345"/>
      <c r="BK5" s="345"/>
      <c r="BL5" s="345"/>
      <c r="BM5" s="345"/>
      <c r="BN5" s="345"/>
      <c r="BO5" s="345"/>
      <c r="BP5" s="345"/>
      <c r="BQ5" s="345"/>
      <c r="BR5" s="345"/>
      <c r="BS5" s="345"/>
      <c r="BT5" s="345"/>
      <c r="BU5" s="345"/>
      <c r="BV5" s="345"/>
      <c r="BW5" s="345"/>
      <c r="BX5" s="345"/>
      <c r="BY5" s="345"/>
      <c r="BZ5" s="345"/>
      <c r="CA5" s="345"/>
      <c r="CB5" s="345"/>
      <c r="CC5" s="345"/>
      <c r="CD5" s="345"/>
      <c r="CE5" s="345"/>
      <c r="CF5" s="345"/>
      <c r="CG5" s="345"/>
      <c r="CH5" s="345"/>
      <c r="CI5" s="345"/>
      <c r="CJ5" s="345"/>
      <c r="CK5" s="345"/>
      <c r="CL5" s="345"/>
      <c r="CM5" s="345"/>
      <c r="CN5" s="345"/>
      <c r="CO5" s="345"/>
      <c r="CP5" s="345"/>
      <c r="CQ5" s="345"/>
      <c r="CR5" s="345"/>
      <c r="CS5" s="345"/>
      <c r="CT5" s="345"/>
      <c r="CU5" s="345"/>
      <c r="CV5" s="345"/>
      <c r="CW5" s="345"/>
      <c r="CX5" s="345"/>
      <c r="CY5" s="345"/>
      <c r="CZ5" s="345"/>
      <c r="DA5" s="345"/>
      <c r="DB5" s="345"/>
      <c r="DC5" s="345"/>
      <c r="DD5" s="345"/>
      <c r="DE5" s="345"/>
      <c r="DF5" s="345"/>
      <c r="DG5" s="345"/>
      <c r="DH5" s="345"/>
      <c r="DI5" s="345"/>
      <c r="DJ5" s="345"/>
      <c r="DK5" s="345"/>
      <c r="DL5" s="345"/>
      <c r="DM5" s="345"/>
      <c r="DN5" s="345"/>
      <c r="DO5" s="345"/>
      <c r="DP5" s="345"/>
      <c r="DQ5" s="345"/>
      <c r="DR5" s="345"/>
      <c r="DS5" s="345"/>
      <c r="DT5" s="345"/>
      <c r="DU5" s="345"/>
      <c r="DV5" s="345"/>
      <c r="DW5" s="345"/>
      <c r="DX5" s="345"/>
      <c r="DY5" s="345"/>
      <c r="DZ5" s="345"/>
      <c r="EA5" s="345"/>
    </row>
    <row r="6" spans="1:131">
      <c r="A6" s="345"/>
      <c r="B6" s="345"/>
      <c r="C6" s="2447"/>
      <c r="D6" s="5884" t="s">
        <v>294</v>
      </c>
      <c r="E6" s="5826"/>
      <c r="F6" s="5826"/>
      <c r="G6" s="5826"/>
      <c r="H6" s="5826"/>
      <c r="I6" s="5826"/>
      <c r="J6" s="5826"/>
      <c r="K6" s="5826"/>
      <c r="L6" s="5884" t="s">
        <v>295</v>
      </c>
      <c r="M6" s="5826"/>
      <c r="N6" s="5826"/>
      <c r="O6" s="5826"/>
      <c r="P6" s="5826"/>
      <c r="Q6" s="6122"/>
      <c r="R6" s="345"/>
      <c r="S6" s="345"/>
      <c r="T6" s="345"/>
      <c r="U6" s="345"/>
      <c r="V6" s="345"/>
      <c r="W6" s="345"/>
      <c r="X6" s="345"/>
      <c r="Y6" s="345"/>
      <c r="Z6" s="345"/>
      <c r="AA6" s="345"/>
      <c r="AB6" s="345"/>
      <c r="AC6" s="345"/>
      <c r="AD6" s="345"/>
      <c r="AE6" s="345"/>
      <c r="AF6" s="345"/>
      <c r="AG6" s="345"/>
      <c r="AH6" s="345"/>
      <c r="AI6" s="345"/>
      <c r="AJ6" s="345"/>
      <c r="AK6" s="345"/>
      <c r="AL6" s="345"/>
      <c r="AM6" s="345"/>
      <c r="AN6" s="345"/>
      <c r="AO6" s="345"/>
      <c r="AP6" s="345"/>
      <c r="AQ6" s="345"/>
      <c r="AR6" s="345"/>
      <c r="AS6" s="345"/>
      <c r="AT6" s="345"/>
      <c r="AU6" s="345"/>
      <c r="AV6" s="345"/>
      <c r="AW6" s="345"/>
      <c r="AX6" s="345"/>
      <c r="AY6" s="345"/>
      <c r="AZ6" s="345"/>
      <c r="BA6" s="345"/>
      <c r="BB6" s="345"/>
      <c r="BC6" s="345"/>
      <c r="BD6" s="345"/>
      <c r="BE6" s="345"/>
      <c r="BF6" s="345"/>
      <c r="BG6" s="345"/>
      <c r="BH6" s="345"/>
      <c r="BI6" s="345"/>
      <c r="BJ6" s="345"/>
      <c r="BK6" s="345"/>
      <c r="BL6" s="345"/>
      <c r="BM6" s="345"/>
      <c r="BN6" s="345"/>
      <c r="BO6" s="345"/>
      <c r="BP6" s="345"/>
      <c r="BQ6" s="345"/>
      <c r="BR6" s="345"/>
      <c r="BS6" s="345"/>
      <c r="BT6" s="345"/>
      <c r="BU6" s="345"/>
      <c r="BV6" s="345"/>
      <c r="BW6" s="345"/>
      <c r="BX6" s="345"/>
      <c r="BY6" s="345"/>
      <c r="BZ6" s="345"/>
      <c r="CA6" s="345"/>
      <c r="CB6" s="345"/>
      <c r="CC6" s="345"/>
      <c r="CD6" s="345"/>
      <c r="CE6" s="345"/>
      <c r="CF6" s="345"/>
      <c r="CG6" s="345"/>
      <c r="CH6" s="345"/>
      <c r="CI6" s="345"/>
      <c r="CJ6" s="345"/>
      <c r="CK6" s="345"/>
      <c r="CL6" s="345"/>
      <c r="CM6" s="345"/>
      <c r="CN6" s="345"/>
      <c r="CO6" s="345"/>
      <c r="CP6" s="345"/>
      <c r="CQ6" s="345"/>
      <c r="CR6" s="345"/>
      <c r="CS6" s="345"/>
      <c r="CT6" s="345"/>
      <c r="CU6" s="345"/>
      <c r="CV6" s="345"/>
      <c r="CW6" s="345"/>
      <c r="CX6" s="345"/>
      <c r="CY6" s="345"/>
      <c r="CZ6" s="345"/>
      <c r="DA6" s="345"/>
      <c r="DB6" s="345"/>
      <c r="DC6" s="345"/>
      <c r="DD6" s="345"/>
      <c r="DE6" s="345"/>
      <c r="DF6" s="345"/>
      <c r="DG6" s="345"/>
      <c r="DH6" s="345"/>
      <c r="DI6" s="345"/>
      <c r="DJ6" s="345"/>
      <c r="DK6" s="345"/>
      <c r="DL6" s="345"/>
      <c r="DM6" s="345"/>
      <c r="DN6" s="345"/>
      <c r="DO6" s="345"/>
      <c r="DP6" s="345"/>
      <c r="DQ6" s="345"/>
      <c r="DR6" s="345"/>
      <c r="DS6" s="345"/>
      <c r="DT6" s="345"/>
      <c r="DU6" s="345"/>
      <c r="DV6" s="345"/>
      <c r="DW6" s="345"/>
      <c r="DX6" s="345"/>
      <c r="DY6" s="345"/>
      <c r="DZ6" s="345"/>
      <c r="EA6" s="345"/>
    </row>
    <row r="7" spans="1:131" ht="16.5">
      <c r="A7" s="345"/>
      <c r="B7" s="345"/>
      <c r="C7" s="2447"/>
      <c r="D7" s="6101" t="str">
        <f>CONCATENATE(Formula!FQ9, " ",'Data Sheet-II'!L22)</f>
        <v>Sri. G.Hadasa Rani</v>
      </c>
      <c r="E7" s="6101"/>
      <c r="F7" s="6101"/>
      <c r="G7" s="6101"/>
      <c r="H7" s="6101"/>
      <c r="I7" s="6101"/>
      <c r="J7" s="6101"/>
      <c r="K7" s="6101"/>
      <c r="L7" s="6102" t="str">
        <f>CONCATENATE(Formula!FQ8," ",'Data Sheet-II'!L8)</f>
        <v>Sri. B.Saidi Reddy</v>
      </c>
      <c r="M7" s="6101"/>
      <c r="N7" s="6101"/>
      <c r="O7" s="6101"/>
      <c r="P7" s="6101"/>
      <c r="Q7" s="6103"/>
      <c r="R7" s="345"/>
      <c r="S7" s="345"/>
      <c r="T7" s="345"/>
      <c r="U7" s="345"/>
      <c r="V7" s="345"/>
      <c r="W7" s="345"/>
      <c r="X7" s="345"/>
      <c r="Y7" s="345"/>
      <c r="Z7" s="345"/>
      <c r="AA7" s="345"/>
      <c r="AB7" s="345"/>
      <c r="AC7" s="345"/>
      <c r="AD7" s="345"/>
      <c r="AE7" s="345"/>
      <c r="AF7" s="345"/>
      <c r="AG7" s="345"/>
      <c r="AH7" s="345"/>
      <c r="AI7" s="345"/>
      <c r="AJ7" s="345"/>
      <c r="AK7" s="345"/>
      <c r="AL7" s="345"/>
      <c r="AM7" s="345"/>
      <c r="AN7" s="345"/>
      <c r="AO7" s="345"/>
      <c r="AP7" s="345"/>
      <c r="AQ7" s="345"/>
      <c r="AR7" s="345"/>
      <c r="AS7" s="345"/>
      <c r="AT7" s="345"/>
      <c r="AU7" s="345"/>
      <c r="AV7" s="345"/>
      <c r="AW7" s="345"/>
      <c r="AX7" s="345"/>
      <c r="AY7" s="345"/>
      <c r="AZ7" s="345"/>
      <c r="BA7" s="345"/>
      <c r="BB7" s="345"/>
      <c r="BC7" s="345"/>
      <c r="BD7" s="345"/>
      <c r="BE7" s="345"/>
      <c r="BF7" s="345"/>
      <c r="BG7" s="345"/>
      <c r="BH7" s="345"/>
      <c r="BI7" s="345"/>
      <c r="BJ7" s="345"/>
      <c r="BK7" s="345"/>
      <c r="BL7" s="345"/>
      <c r="BM7" s="345"/>
      <c r="BN7" s="345"/>
      <c r="BO7" s="345"/>
      <c r="BP7" s="345"/>
      <c r="BQ7" s="345"/>
      <c r="BR7" s="345"/>
      <c r="BS7" s="345"/>
      <c r="BT7" s="345"/>
      <c r="BU7" s="345"/>
      <c r="BV7" s="345"/>
      <c r="BW7" s="345"/>
      <c r="BX7" s="345"/>
      <c r="BY7" s="345"/>
      <c r="BZ7" s="345"/>
      <c r="CA7" s="345"/>
      <c r="CB7" s="345"/>
      <c r="CC7" s="345"/>
      <c r="CD7" s="345"/>
      <c r="CE7" s="345"/>
      <c r="CF7" s="345"/>
      <c r="CG7" s="345"/>
      <c r="CH7" s="345"/>
      <c r="CI7" s="345"/>
      <c r="CJ7" s="345"/>
      <c r="CK7" s="345"/>
      <c r="CL7" s="345"/>
      <c r="CM7" s="345"/>
      <c r="CN7" s="345"/>
      <c r="CO7" s="345"/>
      <c r="CP7" s="345"/>
      <c r="CQ7" s="345"/>
      <c r="CR7" s="345"/>
      <c r="CS7" s="345"/>
      <c r="CT7" s="345"/>
      <c r="CU7" s="345"/>
      <c r="CV7" s="345"/>
      <c r="CW7" s="345"/>
      <c r="CX7" s="345"/>
      <c r="CY7" s="345"/>
      <c r="CZ7" s="345"/>
      <c r="DA7" s="345"/>
      <c r="DB7" s="345"/>
      <c r="DC7" s="345"/>
      <c r="DD7" s="345"/>
      <c r="DE7" s="345"/>
      <c r="DF7" s="345"/>
      <c r="DG7" s="345"/>
      <c r="DH7" s="345"/>
      <c r="DI7" s="345"/>
      <c r="DJ7" s="345"/>
      <c r="DK7" s="345"/>
      <c r="DL7" s="345"/>
      <c r="DM7" s="345"/>
      <c r="DN7" s="345"/>
      <c r="DO7" s="345"/>
      <c r="DP7" s="345"/>
      <c r="DQ7" s="345"/>
      <c r="DR7" s="345"/>
      <c r="DS7" s="345"/>
      <c r="DT7" s="345"/>
      <c r="DU7" s="345"/>
      <c r="DV7" s="345"/>
      <c r="DW7" s="345"/>
      <c r="DX7" s="345"/>
      <c r="DY7" s="345"/>
      <c r="DZ7" s="345"/>
      <c r="EA7" s="345"/>
    </row>
    <row r="8" spans="1:131" ht="16.5">
      <c r="A8" s="345"/>
      <c r="B8" s="345"/>
      <c r="C8" s="1391"/>
      <c r="D8" s="6101" t="str">
        <f>CONCATENATE('Data Sheet-II'!L23)</f>
        <v>Principal</v>
      </c>
      <c r="E8" s="6101"/>
      <c r="F8" s="6101"/>
      <c r="G8" s="6101"/>
      <c r="H8" s="6101"/>
      <c r="I8" s="6101"/>
      <c r="J8" s="6101"/>
      <c r="K8" s="6101"/>
      <c r="L8" s="6101" t="str">
        <f>CONCATENATE('Data Sheet-II'!L9)</f>
        <v>Asst.Professor of Maths</v>
      </c>
      <c r="M8" s="6101"/>
      <c r="N8" s="6101"/>
      <c r="O8" s="6101"/>
      <c r="P8" s="6101"/>
      <c r="Q8" s="6103"/>
      <c r="R8" s="345"/>
      <c r="S8" s="345"/>
      <c r="T8" s="345"/>
      <c r="U8" s="345"/>
      <c r="V8" s="345"/>
      <c r="W8" s="345"/>
      <c r="X8" s="345"/>
      <c r="Y8" s="345"/>
      <c r="Z8" s="345"/>
      <c r="AA8" s="345"/>
      <c r="AB8" s="345"/>
      <c r="AC8" s="345"/>
      <c r="AD8" s="345"/>
      <c r="AE8" s="345"/>
      <c r="AF8" s="345"/>
      <c r="AG8" s="345"/>
      <c r="AH8" s="345"/>
      <c r="AI8" s="345"/>
      <c r="AJ8" s="345"/>
      <c r="AK8" s="345"/>
      <c r="AL8" s="345"/>
      <c r="AM8" s="345"/>
      <c r="AN8" s="345"/>
      <c r="AO8" s="345"/>
      <c r="AP8" s="345"/>
      <c r="AQ8" s="345"/>
      <c r="AR8" s="345"/>
      <c r="AS8" s="345"/>
      <c r="AT8" s="345"/>
      <c r="AU8" s="345"/>
      <c r="AV8" s="345"/>
      <c r="AW8" s="345"/>
      <c r="AX8" s="345"/>
      <c r="AY8" s="345"/>
      <c r="AZ8" s="345"/>
      <c r="BA8" s="345"/>
      <c r="BB8" s="345"/>
      <c r="BC8" s="345"/>
      <c r="BD8" s="345"/>
      <c r="BE8" s="345"/>
      <c r="BF8" s="345"/>
      <c r="BG8" s="345"/>
      <c r="BH8" s="345"/>
      <c r="BI8" s="345"/>
      <c r="BJ8" s="345"/>
      <c r="BK8" s="345"/>
      <c r="BL8" s="345"/>
      <c r="BM8" s="345"/>
      <c r="BN8" s="345"/>
      <c r="BO8" s="345"/>
      <c r="BP8" s="345"/>
      <c r="BQ8" s="345"/>
      <c r="BR8" s="345"/>
      <c r="BS8" s="345"/>
      <c r="BT8" s="345"/>
      <c r="BU8" s="345"/>
      <c r="BV8" s="345"/>
      <c r="BW8" s="345"/>
      <c r="BX8" s="345"/>
      <c r="BY8" s="345"/>
      <c r="BZ8" s="345"/>
      <c r="CA8" s="345"/>
      <c r="CB8" s="345"/>
      <c r="CC8" s="345"/>
      <c r="CD8" s="345"/>
      <c r="CE8" s="345"/>
      <c r="CF8" s="345"/>
      <c r="CG8" s="345"/>
      <c r="CH8" s="345"/>
      <c r="CI8" s="345"/>
      <c r="CJ8" s="345"/>
      <c r="CK8" s="345"/>
      <c r="CL8" s="345"/>
      <c r="CM8" s="345"/>
      <c r="CN8" s="345"/>
      <c r="CO8" s="345"/>
      <c r="CP8" s="345"/>
      <c r="CQ8" s="345"/>
      <c r="CR8" s="345"/>
      <c r="CS8" s="345"/>
      <c r="CT8" s="345"/>
      <c r="CU8" s="345"/>
      <c r="CV8" s="345"/>
      <c r="CW8" s="345"/>
      <c r="CX8" s="345"/>
      <c r="CY8" s="345"/>
      <c r="CZ8" s="345"/>
      <c r="DA8" s="345"/>
      <c r="DB8" s="345"/>
      <c r="DC8" s="345"/>
      <c r="DD8" s="345"/>
      <c r="DE8" s="345"/>
      <c r="DF8" s="345"/>
      <c r="DG8" s="345"/>
      <c r="DH8" s="345"/>
      <c r="DI8" s="345"/>
      <c r="DJ8" s="345"/>
      <c r="DK8" s="345"/>
      <c r="DL8" s="345"/>
      <c r="DM8" s="345"/>
      <c r="DN8" s="345"/>
      <c r="DO8" s="345"/>
      <c r="DP8" s="345"/>
      <c r="DQ8" s="345"/>
      <c r="DR8" s="345"/>
      <c r="DS8" s="345"/>
      <c r="DT8" s="345"/>
      <c r="DU8" s="345"/>
      <c r="DV8" s="345"/>
      <c r="DW8" s="345"/>
      <c r="DX8" s="345"/>
      <c r="DY8" s="345"/>
      <c r="DZ8" s="345"/>
      <c r="EA8" s="345"/>
    </row>
    <row r="9" spans="1:131" ht="16.5">
      <c r="A9" s="345"/>
      <c r="B9" s="345"/>
      <c r="C9" s="2447"/>
      <c r="D9" s="6101" t="str">
        <f>CONCATENATE('Data Sheet-II'!L31," ,",'Data Sheet-II'!L32)</f>
        <v>KRR Govt.Arts &amp; Science College(A) ,Kodad</v>
      </c>
      <c r="E9" s="6101"/>
      <c r="F9" s="6101"/>
      <c r="G9" s="6101"/>
      <c r="H9" s="6101"/>
      <c r="I9" s="6101"/>
      <c r="J9" s="6101"/>
      <c r="K9" s="6101"/>
      <c r="L9" s="6102" t="str">
        <f>CONCATENATE('Data Sheet-II'!L14," ",",",'Data Sheet-II'!L15)</f>
        <v>KRR Govt.Arts &amp; Science College(A) ,Kodad</v>
      </c>
      <c r="M9" s="6101"/>
      <c r="N9" s="6101"/>
      <c r="O9" s="6101"/>
      <c r="P9" s="6101"/>
      <c r="Q9" s="6103"/>
      <c r="R9" s="345"/>
      <c r="S9" s="345"/>
      <c r="T9" s="345"/>
      <c r="U9" s="345"/>
      <c r="V9" s="345"/>
      <c r="W9" s="345"/>
      <c r="X9" s="345"/>
      <c r="Y9" s="345"/>
      <c r="Z9" s="345"/>
      <c r="AA9" s="345"/>
      <c r="AB9" s="345"/>
      <c r="AC9" s="345"/>
      <c r="AD9" s="345"/>
      <c r="AE9" s="345"/>
      <c r="AF9" s="345"/>
      <c r="AG9" s="345"/>
      <c r="AH9" s="345"/>
      <c r="AI9" s="345"/>
      <c r="AJ9" s="345"/>
      <c r="AK9" s="345"/>
      <c r="AL9" s="345"/>
      <c r="AM9" s="345"/>
      <c r="AN9" s="345"/>
      <c r="AO9" s="345"/>
      <c r="AP9" s="345"/>
      <c r="AQ9" s="345"/>
      <c r="AR9" s="345"/>
      <c r="AS9" s="345"/>
      <c r="AT9" s="345"/>
      <c r="AU9" s="345"/>
      <c r="AV9" s="345"/>
      <c r="AW9" s="345"/>
      <c r="AX9" s="345"/>
      <c r="AY9" s="345"/>
      <c r="AZ9" s="345"/>
      <c r="BA9" s="345"/>
      <c r="BB9" s="345"/>
      <c r="BC9" s="345"/>
      <c r="BD9" s="345"/>
      <c r="BE9" s="345"/>
      <c r="BF9" s="345"/>
      <c r="BG9" s="345"/>
      <c r="BH9" s="345"/>
      <c r="BI9" s="345"/>
      <c r="BJ9" s="345"/>
      <c r="BK9" s="345"/>
      <c r="BL9" s="345"/>
      <c r="BM9" s="345"/>
      <c r="BN9" s="345"/>
      <c r="BO9" s="345"/>
      <c r="BP9" s="345"/>
      <c r="BQ9" s="345"/>
      <c r="BR9" s="345"/>
      <c r="BS9" s="345"/>
      <c r="BT9" s="345"/>
      <c r="BU9" s="345"/>
      <c r="BV9" s="345"/>
      <c r="BW9" s="345"/>
      <c r="BX9" s="345"/>
      <c r="BY9" s="345"/>
      <c r="BZ9" s="345"/>
      <c r="CA9" s="345"/>
      <c r="CB9" s="345"/>
      <c r="CC9" s="345"/>
      <c r="CD9" s="345"/>
      <c r="CE9" s="345"/>
      <c r="CF9" s="345"/>
      <c r="CG9" s="345"/>
      <c r="CH9" s="345"/>
      <c r="CI9" s="345"/>
      <c r="CJ9" s="345"/>
      <c r="CK9" s="345"/>
      <c r="CL9" s="345"/>
      <c r="CM9" s="345"/>
      <c r="CN9" s="345"/>
      <c r="CO9" s="345"/>
      <c r="CP9" s="345"/>
      <c r="CQ9" s="345"/>
      <c r="CR9" s="345"/>
      <c r="CS9" s="345"/>
      <c r="CT9" s="345"/>
      <c r="CU9" s="345"/>
      <c r="CV9" s="345"/>
      <c r="CW9" s="345"/>
      <c r="CX9" s="345"/>
      <c r="CY9" s="345"/>
      <c r="CZ9" s="345"/>
      <c r="DA9" s="345"/>
      <c r="DB9" s="345"/>
      <c r="DC9" s="345"/>
      <c r="DD9" s="345"/>
      <c r="DE9" s="345"/>
      <c r="DF9" s="345"/>
      <c r="DG9" s="345"/>
      <c r="DH9" s="345"/>
      <c r="DI9" s="345"/>
      <c r="DJ9" s="345"/>
      <c r="DK9" s="345"/>
      <c r="DL9" s="345"/>
      <c r="DM9" s="345"/>
      <c r="DN9" s="345"/>
      <c r="DO9" s="345"/>
      <c r="DP9" s="345"/>
      <c r="DQ9" s="345"/>
      <c r="DR9" s="345"/>
      <c r="DS9" s="345"/>
      <c r="DT9" s="345"/>
      <c r="DU9" s="345"/>
      <c r="DV9" s="345"/>
      <c r="DW9" s="345"/>
      <c r="DX9" s="345"/>
      <c r="DY9" s="345"/>
      <c r="DZ9" s="345"/>
      <c r="EA9" s="345"/>
    </row>
    <row r="10" spans="1:131" ht="16.5">
      <c r="A10" s="345"/>
      <c r="B10" s="345"/>
      <c r="C10" s="2447"/>
      <c r="D10" s="6101" t="str">
        <f>CONCATENATE('Data Sheet-II'!L33," ","(DIST)",",",'Data Sheet-II'!L34,"(STATE)")</f>
        <v>Suryapet (DIST),Telangana(STATE)</v>
      </c>
      <c r="E10" s="6101"/>
      <c r="F10" s="6101"/>
      <c r="G10" s="6101"/>
      <c r="H10" s="6101"/>
      <c r="I10" s="6101"/>
      <c r="J10" s="6101"/>
      <c r="K10" s="6101"/>
      <c r="L10" s="6102" t="str">
        <f>CONCATENATE('Data Sheet-II'!L16," ","(DIST)",",",'Data Sheet-II'!L17," ","(STATE)")</f>
        <v>Suryapet (DIST),Telangana (STATE)</v>
      </c>
      <c r="M10" s="6101"/>
      <c r="N10" s="6101"/>
      <c r="O10" s="6101"/>
      <c r="P10" s="6101"/>
      <c r="Q10" s="6103"/>
      <c r="R10" s="345"/>
      <c r="S10" s="345"/>
      <c r="T10" s="345"/>
      <c r="U10" s="345"/>
      <c r="V10" s="345"/>
      <c r="W10" s="345"/>
      <c r="X10" s="345"/>
      <c r="Y10" s="345"/>
      <c r="Z10" s="345"/>
      <c r="AA10" s="345"/>
      <c r="AB10" s="345"/>
      <c r="AC10" s="345"/>
      <c r="AD10" s="345"/>
      <c r="AE10" s="345"/>
      <c r="AF10" s="345"/>
      <c r="AG10" s="345"/>
      <c r="AH10" s="345"/>
      <c r="AI10" s="345"/>
      <c r="AJ10" s="345"/>
      <c r="AK10" s="345"/>
      <c r="AL10" s="345"/>
      <c r="AM10" s="345"/>
      <c r="AN10" s="345"/>
      <c r="AO10" s="345"/>
      <c r="AP10" s="345"/>
      <c r="AQ10" s="345"/>
      <c r="AR10" s="345"/>
      <c r="AS10" s="345"/>
      <c r="AT10" s="345"/>
      <c r="AU10" s="345"/>
      <c r="AV10" s="345"/>
      <c r="AW10" s="345"/>
      <c r="AX10" s="345"/>
      <c r="AY10" s="345"/>
      <c r="AZ10" s="345"/>
      <c r="BA10" s="345"/>
      <c r="BB10" s="345"/>
      <c r="BC10" s="345"/>
      <c r="BD10" s="345"/>
      <c r="BE10" s="345"/>
      <c r="BF10" s="345"/>
      <c r="BG10" s="345"/>
      <c r="BH10" s="345"/>
      <c r="BI10" s="345"/>
      <c r="BJ10" s="345"/>
      <c r="BK10" s="345"/>
      <c r="BL10" s="345"/>
      <c r="BM10" s="345"/>
      <c r="BN10" s="345"/>
      <c r="BO10" s="345"/>
      <c r="BP10" s="345"/>
      <c r="BQ10" s="345"/>
      <c r="BR10" s="345"/>
      <c r="BS10" s="345"/>
      <c r="BT10" s="345"/>
      <c r="BU10" s="345"/>
      <c r="BV10" s="345"/>
      <c r="BW10" s="345"/>
      <c r="BX10" s="345"/>
      <c r="BY10" s="345"/>
      <c r="BZ10" s="345"/>
      <c r="CA10" s="345"/>
      <c r="CB10" s="345"/>
      <c r="CC10" s="345"/>
      <c r="CD10" s="345"/>
      <c r="CE10" s="345"/>
      <c r="CF10" s="345"/>
      <c r="CG10" s="345"/>
      <c r="CH10" s="345"/>
      <c r="CI10" s="345"/>
      <c r="CJ10" s="345"/>
      <c r="CK10" s="345"/>
      <c r="CL10" s="345"/>
      <c r="CM10" s="345"/>
      <c r="CN10" s="345"/>
      <c r="CO10" s="345"/>
      <c r="CP10" s="345"/>
      <c r="CQ10" s="345"/>
      <c r="CR10" s="345"/>
      <c r="CS10" s="345"/>
      <c r="CT10" s="345"/>
      <c r="CU10" s="345"/>
      <c r="CV10" s="345"/>
      <c r="CW10" s="345"/>
      <c r="CX10" s="345"/>
      <c r="CY10" s="345"/>
      <c r="CZ10" s="345"/>
      <c r="DA10" s="345"/>
      <c r="DB10" s="345"/>
      <c r="DC10" s="345"/>
      <c r="DD10" s="345"/>
      <c r="DE10" s="345"/>
      <c r="DF10" s="345"/>
      <c r="DG10" s="345"/>
      <c r="DH10" s="345"/>
      <c r="DI10" s="345"/>
      <c r="DJ10" s="345"/>
      <c r="DK10" s="345"/>
      <c r="DL10" s="345"/>
      <c r="DM10" s="345"/>
      <c r="DN10" s="345"/>
      <c r="DO10" s="345"/>
      <c r="DP10" s="345"/>
      <c r="DQ10" s="345"/>
      <c r="DR10" s="345"/>
      <c r="DS10" s="345"/>
      <c r="DT10" s="345"/>
      <c r="DU10" s="345"/>
      <c r="DV10" s="345"/>
      <c r="DW10" s="345"/>
      <c r="DX10" s="345"/>
      <c r="DY10" s="345"/>
      <c r="DZ10" s="345"/>
      <c r="EA10" s="345"/>
    </row>
    <row r="11" spans="1:131">
      <c r="A11" s="345"/>
      <c r="B11" s="345"/>
      <c r="C11" s="2447"/>
      <c r="D11" s="6104" t="s">
        <v>296</v>
      </c>
      <c r="E11" s="6104"/>
      <c r="F11" s="6104"/>
      <c r="G11" s="6104"/>
      <c r="H11" s="6105" t="s">
        <v>297</v>
      </c>
      <c r="I11" s="6106"/>
      <c r="J11" s="6106"/>
      <c r="K11" s="6107"/>
      <c r="L11" s="6107" t="s">
        <v>298</v>
      </c>
      <c r="M11" s="6104"/>
      <c r="N11" s="6104"/>
      <c r="O11" s="6108" t="s">
        <v>299</v>
      </c>
      <c r="P11" s="6104"/>
      <c r="Q11" s="6109"/>
      <c r="R11" s="345"/>
      <c r="S11" s="345"/>
      <c r="T11" s="345"/>
      <c r="U11" s="345"/>
      <c r="V11" s="345"/>
      <c r="W11" s="345"/>
      <c r="X11" s="345"/>
      <c r="Y11" s="345"/>
      <c r="Z11" s="345"/>
      <c r="AA11" s="345"/>
      <c r="AB11" s="345"/>
      <c r="AC11" s="345"/>
      <c r="AD11" s="345"/>
      <c r="AE11" s="345"/>
      <c r="AF11" s="345"/>
      <c r="AG11" s="345"/>
      <c r="AH11" s="345"/>
      <c r="AI11" s="345"/>
      <c r="AJ11" s="345"/>
      <c r="AK11" s="345"/>
      <c r="AL11" s="345"/>
      <c r="AM11" s="345"/>
      <c r="AN11" s="345"/>
      <c r="AO11" s="345"/>
      <c r="AP11" s="345"/>
      <c r="AQ11" s="345"/>
      <c r="AR11" s="345"/>
      <c r="AS11" s="345"/>
      <c r="AT11" s="345"/>
      <c r="AU11" s="345"/>
      <c r="AV11" s="345"/>
      <c r="AW11" s="345"/>
      <c r="AX11" s="345"/>
      <c r="AY11" s="345"/>
      <c r="AZ11" s="345"/>
      <c r="BA11" s="345"/>
      <c r="BB11" s="345"/>
      <c r="BC11" s="345"/>
      <c r="BD11" s="345"/>
      <c r="BE11" s="345"/>
      <c r="BF11" s="345"/>
      <c r="BG11" s="345"/>
      <c r="BH11" s="345"/>
      <c r="BI11" s="345"/>
      <c r="BJ11" s="345"/>
      <c r="BK11" s="345"/>
      <c r="BL11" s="345"/>
      <c r="BM11" s="345"/>
      <c r="BN11" s="345"/>
      <c r="BO11" s="345"/>
      <c r="BP11" s="345"/>
      <c r="BQ11" s="345"/>
      <c r="BR11" s="345"/>
      <c r="BS11" s="345"/>
      <c r="BT11" s="345"/>
      <c r="BU11" s="345"/>
      <c r="BV11" s="345"/>
      <c r="BW11" s="345"/>
      <c r="BX11" s="345"/>
      <c r="BY11" s="345"/>
      <c r="BZ11" s="345"/>
      <c r="CA11" s="345"/>
      <c r="CB11" s="345"/>
      <c r="CC11" s="345"/>
      <c r="CD11" s="345"/>
      <c r="CE11" s="345"/>
      <c r="CF11" s="345"/>
      <c r="CG11" s="345"/>
      <c r="CH11" s="345"/>
      <c r="CI11" s="345"/>
      <c r="CJ11" s="345"/>
      <c r="CK11" s="345"/>
      <c r="CL11" s="345"/>
      <c r="CM11" s="345"/>
      <c r="CN11" s="345"/>
      <c r="CO11" s="345"/>
      <c r="CP11" s="345"/>
      <c r="CQ11" s="345"/>
      <c r="CR11" s="345"/>
      <c r="CS11" s="345"/>
      <c r="CT11" s="345"/>
      <c r="CU11" s="345"/>
      <c r="CV11" s="345"/>
      <c r="CW11" s="345"/>
      <c r="CX11" s="345"/>
      <c r="CY11" s="345"/>
      <c r="CZ11" s="345"/>
      <c r="DA11" s="345"/>
      <c r="DB11" s="345"/>
      <c r="DC11" s="345"/>
      <c r="DD11" s="345"/>
      <c r="DE11" s="345"/>
      <c r="DF11" s="345"/>
      <c r="DG11" s="345"/>
      <c r="DH11" s="345"/>
      <c r="DI11" s="345"/>
      <c r="DJ11" s="345"/>
      <c r="DK11" s="345"/>
      <c r="DL11" s="345"/>
      <c r="DM11" s="345"/>
      <c r="DN11" s="345"/>
      <c r="DO11" s="345"/>
      <c r="DP11" s="345"/>
      <c r="DQ11" s="345"/>
      <c r="DR11" s="345"/>
      <c r="DS11" s="345"/>
      <c r="DT11" s="345"/>
      <c r="DU11" s="345"/>
      <c r="DV11" s="345"/>
      <c r="DW11" s="345"/>
      <c r="DX11" s="345"/>
      <c r="DY11" s="345"/>
      <c r="DZ11" s="345"/>
      <c r="EA11" s="345"/>
    </row>
    <row r="12" spans="1:131">
      <c r="A12" s="345"/>
      <c r="B12" s="345"/>
      <c r="C12" s="2447"/>
      <c r="D12" s="6110" t="str">
        <f>CONCATENATE('Data Sheet-II'!L24)</f>
        <v>AAZZCC1235</v>
      </c>
      <c r="E12" s="6110"/>
      <c r="F12" s="6110"/>
      <c r="G12" s="6110"/>
      <c r="H12" s="6111" t="str">
        <f>CONCATENATE('Data Sheet-II'!L25)</f>
        <v>HYDG15207D</v>
      </c>
      <c r="I12" s="6110"/>
      <c r="J12" s="6110"/>
      <c r="K12" s="6112"/>
      <c r="L12" s="6113" t="str">
        <f>CONCATENATE('Data Sheet-II'!L11)</f>
        <v>BSEPP1245A</v>
      </c>
      <c r="M12" s="6110"/>
      <c r="N12" s="6110"/>
      <c r="O12" s="6111" t="str">
        <f>CONCATENATE('Data Sheet-II'!L10)</f>
        <v>2000083</v>
      </c>
      <c r="P12" s="6110"/>
      <c r="Q12" s="6114"/>
      <c r="R12" s="345"/>
      <c r="S12" s="345"/>
      <c r="T12" s="345"/>
      <c r="U12" s="345"/>
      <c r="V12" s="345"/>
      <c r="W12" s="345"/>
      <c r="X12" s="345"/>
      <c r="Y12" s="345"/>
      <c r="Z12" s="345"/>
      <c r="AA12" s="345"/>
      <c r="AB12" s="345"/>
      <c r="AC12" s="345"/>
      <c r="AD12" s="345"/>
      <c r="AE12" s="345"/>
      <c r="AF12" s="345"/>
      <c r="AG12" s="345"/>
      <c r="AH12" s="345"/>
      <c r="AI12" s="345"/>
      <c r="AJ12" s="345"/>
      <c r="AK12" s="345"/>
      <c r="AL12" s="345"/>
      <c r="AM12" s="345"/>
      <c r="AN12" s="345"/>
      <c r="AO12" s="345"/>
      <c r="AP12" s="345"/>
      <c r="AQ12" s="345"/>
      <c r="AR12" s="345"/>
      <c r="AS12" s="345"/>
      <c r="AT12" s="345"/>
      <c r="AU12" s="345"/>
      <c r="AV12" s="345"/>
      <c r="AW12" s="345"/>
      <c r="AX12" s="345"/>
      <c r="AY12" s="345"/>
      <c r="AZ12" s="345"/>
      <c r="BA12" s="345"/>
      <c r="BB12" s="345"/>
      <c r="BC12" s="345"/>
      <c r="BD12" s="345"/>
      <c r="BE12" s="345"/>
      <c r="BF12" s="345"/>
      <c r="BG12" s="345"/>
      <c r="BH12" s="345"/>
      <c r="BI12" s="345"/>
      <c r="BJ12" s="345"/>
      <c r="BK12" s="345"/>
      <c r="BL12" s="345"/>
      <c r="BM12" s="345"/>
      <c r="BN12" s="345"/>
      <c r="BO12" s="345"/>
      <c r="BP12" s="345"/>
      <c r="BQ12" s="345"/>
      <c r="BR12" s="345"/>
      <c r="BS12" s="345"/>
      <c r="BT12" s="345"/>
      <c r="BU12" s="345"/>
      <c r="BV12" s="345"/>
      <c r="BW12" s="345"/>
      <c r="BX12" s="345"/>
      <c r="BY12" s="345"/>
      <c r="BZ12" s="345"/>
      <c r="CA12" s="345"/>
      <c r="CB12" s="345"/>
      <c r="CC12" s="345"/>
      <c r="CD12" s="345"/>
      <c r="CE12" s="345"/>
      <c r="CF12" s="345"/>
      <c r="CG12" s="345"/>
      <c r="CH12" s="345"/>
      <c r="CI12" s="345"/>
      <c r="CJ12" s="345"/>
      <c r="CK12" s="345"/>
      <c r="CL12" s="345"/>
      <c r="CM12" s="345"/>
      <c r="CN12" s="345"/>
      <c r="CO12" s="345"/>
      <c r="CP12" s="345"/>
      <c r="CQ12" s="345"/>
      <c r="CR12" s="345"/>
      <c r="CS12" s="345"/>
      <c r="CT12" s="345"/>
      <c r="CU12" s="345"/>
      <c r="CV12" s="345"/>
      <c r="CW12" s="345"/>
      <c r="CX12" s="345"/>
      <c r="CY12" s="345"/>
      <c r="CZ12" s="345"/>
      <c r="DA12" s="345"/>
      <c r="DB12" s="345"/>
      <c r="DC12" s="345"/>
      <c r="DD12" s="345"/>
      <c r="DE12" s="345"/>
      <c r="DF12" s="345"/>
      <c r="DG12" s="345"/>
      <c r="DH12" s="345"/>
      <c r="DI12" s="345"/>
      <c r="DJ12" s="345"/>
      <c r="DK12" s="345"/>
      <c r="DL12" s="345"/>
      <c r="DM12" s="345"/>
      <c r="DN12" s="345"/>
      <c r="DO12" s="345"/>
      <c r="DP12" s="345"/>
      <c r="DQ12" s="345"/>
      <c r="DR12" s="345"/>
      <c r="DS12" s="345"/>
      <c r="DT12" s="345"/>
      <c r="DU12" s="345"/>
      <c r="DV12" s="345"/>
      <c r="DW12" s="345"/>
      <c r="DX12" s="345"/>
      <c r="DY12" s="345"/>
      <c r="DZ12" s="345"/>
      <c r="EA12" s="345"/>
    </row>
    <row r="13" spans="1:131">
      <c r="A13" s="345"/>
      <c r="B13" s="345"/>
      <c r="C13" s="2447"/>
      <c r="D13" s="5995" t="s">
        <v>300</v>
      </c>
      <c r="E13" s="5995"/>
      <c r="F13" s="5995"/>
      <c r="G13" s="5995"/>
      <c r="H13" s="5995"/>
      <c r="I13" s="5995"/>
      <c r="J13" s="5995"/>
      <c r="K13" s="5995"/>
      <c r="L13" s="5995"/>
      <c r="M13" s="5995"/>
      <c r="N13" s="5995"/>
      <c r="O13" s="5995"/>
      <c r="P13" s="5995"/>
      <c r="Q13" s="6064"/>
      <c r="R13" s="345"/>
      <c r="S13" s="345"/>
      <c r="T13" s="345"/>
      <c r="U13" s="345"/>
      <c r="V13" s="345"/>
      <c r="W13" s="345"/>
      <c r="X13" s="345"/>
      <c r="Y13" s="345"/>
      <c r="Z13" s="345"/>
      <c r="AA13" s="345"/>
      <c r="AB13" s="345"/>
      <c r="AC13" s="345"/>
      <c r="AD13" s="345"/>
      <c r="AE13" s="345"/>
      <c r="AF13" s="345"/>
      <c r="AG13" s="345"/>
      <c r="AH13" s="345"/>
      <c r="AI13" s="345"/>
      <c r="AJ13" s="345"/>
      <c r="AK13" s="345"/>
      <c r="AL13" s="345"/>
      <c r="AM13" s="345"/>
      <c r="AN13" s="345"/>
      <c r="AO13" s="345"/>
      <c r="AP13" s="345"/>
      <c r="AQ13" s="345"/>
      <c r="AR13" s="345"/>
      <c r="AS13" s="345"/>
      <c r="AT13" s="345"/>
      <c r="AU13" s="345"/>
      <c r="AV13" s="345"/>
      <c r="AW13" s="345"/>
      <c r="AX13" s="345"/>
      <c r="AY13" s="345"/>
      <c r="AZ13" s="345"/>
      <c r="BA13" s="345"/>
      <c r="BB13" s="345"/>
      <c r="BC13" s="345"/>
      <c r="BD13" s="345"/>
      <c r="BE13" s="345"/>
      <c r="BF13" s="345"/>
      <c r="BG13" s="345"/>
      <c r="BH13" s="345"/>
      <c r="BI13" s="345"/>
      <c r="BJ13" s="345"/>
      <c r="BK13" s="345"/>
      <c r="BL13" s="345"/>
      <c r="BM13" s="345"/>
      <c r="BN13" s="345"/>
      <c r="BO13" s="345"/>
      <c r="BP13" s="345"/>
      <c r="BQ13" s="345"/>
      <c r="BR13" s="345"/>
      <c r="BS13" s="345"/>
      <c r="BT13" s="345"/>
      <c r="BU13" s="345"/>
      <c r="BV13" s="345"/>
      <c r="BW13" s="345"/>
      <c r="BX13" s="345"/>
      <c r="BY13" s="345"/>
      <c r="BZ13" s="345"/>
      <c r="CA13" s="345"/>
      <c r="CB13" s="345"/>
      <c r="CC13" s="345"/>
      <c r="CD13" s="345"/>
      <c r="CE13" s="345"/>
      <c r="CF13" s="345"/>
      <c r="CG13" s="345"/>
      <c r="CH13" s="345"/>
      <c r="CI13" s="345"/>
      <c r="CJ13" s="345"/>
      <c r="CK13" s="345"/>
      <c r="CL13" s="345"/>
      <c r="CM13" s="345"/>
      <c r="CN13" s="345"/>
      <c r="CO13" s="345"/>
      <c r="CP13" s="345"/>
      <c r="CQ13" s="345"/>
      <c r="CR13" s="345"/>
      <c r="CS13" s="345"/>
      <c r="CT13" s="345"/>
      <c r="CU13" s="345"/>
      <c r="CV13" s="345"/>
      <c r="CW13" s="345"/>
      <c r="CX13" s="345"/>
      <c r="CY13" s="345"/>
      <c r="CZ13" s="345"/>
      <c r="DA13" s="345"/>
      <c r="DB13" s="345"/>
      <c r="DC13" s="345"/>
      <c r="DD13" s="345"/>
      <c r="DE13" s="345"/>
      <c r="DF13" s="345"/>
      <c r="DG13" s="345"/>
      <c r="DH13" s="345"/>
      <c r="DI13" s="345"/>
      <c r="DJ13" s="345"/>
      <c r="DK13" s="345"/>
      <c r="DL13" s="345"/>
      <c r="DM13" s="345"/>
      <c r="DN13" s="345"/>
      <c r="DO13" s="345"/>
      <c r="DP13" s="345"/>
      <c r="DQ13" s="345"/>
      <c r="DR13" s="345"/>
      <c r="DS13" s="345"/>
      <c r="DT13" s="345"/>
      <c r="DU13" s="345"/>
      <c r="DV13" s="345"/>
      <c r="DW13" s="345"/>
      <c r="DX13" s="345"/>
      <c r="DY13" s="345"/>
      <c r="DZ13" s="345"/>
      <c r="EA13" s="345"/>
    </row>
    <row r="14" spans="1:131">
      <c r="A14" s="345"/>
      <c r="B14" s="345"/>
      <c r="C14" s="2447"/>
      <c r="D14" s="5953" t="s">
        <v>301</v>
      </c>
      <c r="E14" s="5953"/>
      <c r="F14" s="5953"/>
      <c r="G14" s="5953"/>
      <c r="H14" s="6123" t="s">
        <v>302</v>
      </c>
      <c r="I14" s="6124"/>
      <c r="J14" s="2638" t="s">
        <v>303</v>
      </c>
      <c r="K14" s="2619"/>
      <c r="L14" s="6125" t="s">
        <v>304</v>
      </c>
      <c r="M14" s="6126"/>
      <c r="N14" s="6126"/>
      <c r="O14" s="6127"/>
      <c r="P14" s="6128" t="s">
        <v>305</v>
      </c>
      <c r="Q14" s="6129"/>
      <c r="R14" s="345"/>
      <c r="S14" s="345"/>
      <c r="T14" s="345"/>
      <c r="U14" s="345"/>
      <c r="V14" s="345"/>
      <c r="W14" s="345"/>
      <c r="X14" s="345"/>
      <c r="Y14" s="345"/>
      <c r="Z14" s="345"/>
      <c r="AA14" s="345"/>
      <c r="AB14" s="345"/>
      <c r="AC14" s="345"/>
      <c r="AD14" s="345"/>
      <c r="AE14" s="345"/>
      <c r="AF14" s="345"/>
      <c r="AG14" s="345"/>
      <c r="AH14" s="345"/>
      <c r="AI14" s="345"/>
      <c r="AJ14" s="345"/>
      <c r="AK14" s="345"/>
      <c r="AL14" s="345"/>
      <c r="AM14" s="345"/>
      <c r="AN14" s="345"/>
      <c r="AO14" s="345"/>
      <c r="AP14" s="345"/>
      <c r="AQ14" s="345"/>
      <c r="AR14" s="345"/>
      <c r="AS14" s="345"/>
      <c r="AT14" s="345"/>
      <c r="AU14" s="345"/>
      <c r="AV14" s="345"/>
      <c r="AW14" s="345"/>
      <c r="AX14" s="345"/>
      <c r="AY14" s="345"/>
      <c r="AZ14" s="345"/>
      <c r="BA14" s="345"/>
      <c r="BB14" s="345"/>
      <c r="BC14" s="345"/>
      <c r="BD14" s="345"/>
      <c r="BE14" s="345"/>
      <c r="BF14" s="345"/>
      <c r="BG14" s="345"/>
      <c r="BH14" s="345"/>
      <c r="BI14" s="345"/>
      <c r="BJ14" s="345"/>
      <c r="BK14" s="345"/>
      <c r="BL14" s="345"/>
      <c r="BM14" s="345"/>
      <c r="BN14" s="345"/>
      <c r="BO14" s="345"/>
      <c r="BP14" s="345"/>
      <c r="BQ14" s="345"/>
      <c r="BR14" s="345"/>
      <c r="BS14" s="345"/>
      <c r="BT14" s="345"/>
      <c r="BU14" s="345"/>
      <c r="BV14" s="345"/>
      <c r="BW14" s="345"/>
      <c r="BX14" s="345"/>
      <c r="BY14" s="345"/>
      <c r="BZ14" s="345"/>
      <c r="CA14" s="345"/>
      <c r="CB14" s="345"/>
      <c r="CC14" s="345"/>
      <c r="CD14" s="345"/>
      <c r="CE14" s="345"/>
      <c r="CF14" s="345"/>
      <c r="CG14" s="345"/>
      <c r="CH14" s="345"/>
      <c r="CI14" s="345"/>
      <c r="CJ14" s="345"/>
      <c r="CK14" s="345"/>
      <c r="CL14" s="345"/>
      <c r="CM14" s="345"/>
      <c r="CN14" s="345"/>
      <c r="CO14" s="345"/>
      <c r="CP14" s="345"/>
      <c r="CQ14" s="345"/>
      <c r="CR14" s="345"/>
      <c r="CS14" s="345"/>
      <c r="CT14" s="345"/>
      <c r="CU14" s="345"/>
      <c r="CV14" s="345"/>
      <c r="CW14" s="345"/>
      <c r="CX14" s="345"/>
      <c r="CY14" s="345"/>
      <c r="CZ14" s="345"/>
      <c r="DA14" s="345"/>
      <c r="DB14" s="345"/>
      <c r="DC14" s="345"/>
      <c r="DD14" s="345"/>
      <c r="DE14" s="345"/>
      <c r="DF14" s="345"/>
      <c r="DG14" s="345"/>
      <c r="DH14" s="345"/>
      <c r="DI14" s="345"/>
      <c r="DJ14" s="345"/>
      <c r="DK14" s="345"/>
      <c r="DL14" s="345"/>
      <c r="DM14" s="345"/>
      <c r="DN14" s="345"/>
      <c r="DO14" s="345"/>
      <c r="DP14" s="345"/>
      <c r="DQ14" s="345"/>
      <c r="DR14" s="345"/>
      <c r="DS14" s="345"/>
      <c r="DT14" s="345"/>
      <c r="DU14" s="345"/>
      <c r="DV14" s="345"/>
      <c r="DW14" s="345"/>
      <c r="DX14" s="345"/>
      <c r="DY14" s="345"/>
      <c r="DZ14" s="345"/>
      <c r="EA14" s="345"/>
    </row>
    <row r="15" spans="1:131" ht="18" customHeight="1">
      <c r="A15" s="345"/>
      <c r="B15" s="345"/>
      <c r="C15" s="2447"/>
      <c r="D15" s="6130" t="s">
        <v>306</v>
      </c>
      <c r="E15" s="6130"/>
      <c r="F15" s="6130"/>
      <c r="G15" s="6130"/>
      <c r="H15" s="6131"/>
      <c r="I15" s="6132"/>
      <c r="J15" s="2631">
        <v>0</v>
      </c>
      <c r="K15" s="2632"/>
      <c r="L15" s="6133" t="s">
        <v>307</v>
      </c>
      <c r="M15" s="6134"/>
      <c r="N15" s="6134" t="s">
        <v>308</v>
      </c>
      <c r="O15" s="6135"/>
      <c r="P15" s="6136" t="s">
        <v>309</v>
      </c>
      <c r="Q15" s="6016"/>
      <c r="R15" s="345"/>
      <c r="S15" s="345"/>
      <c r="T15" s="345"/>
      <c r="U15" s="345"/>
      <c r="V15" s="345"/>
      <c r="W15" s="345"/>
      <c r="X15" s="345"/>
      <c r="Y15" s="345"/>
      <c r="Z15" s="345"/>
      <c r="AA15" s="345"/>
      <c r="AB15" s="345"/>
      <c r="AC15" s="345"/>
      <c r="AD15" s="345"/>
      <c r="AE15" s="345"/>
      <c r="AF15" s="345"/>
      <c r="AG15" s="345"/>
      <c r="AH15" s="345"/>
      <c r="AI15" s="345"/>
      <c r="AJ15" s="345"/>
      <c r="AK15" s="345"/>
      <c r="AL15" s="345"/>
      <c r="AM15" s="345"/>
      <c r="AN15" s="345"/>
      <c r="AO15" s="345"/>
      <c r="AP15" s="345"/>
      <c r="AQ15" s="345"/>
      <c r="AR15" s="345"/>
      <c r="AS15" s="345"/>
      <c r="AT15" s="345"/>
      <c r="AU15" s="345"/>
      <c r="AV15" s="345"/>
      <c r="AW15" s="345"/>
      <c r="AX15" s="345"/>
      <c r="AY15" s="345"/>
      <c r="AZ15" s="345"/>
      <c r="BA15" s="345"/>
      <c r="BB15" s="345"/>
      <c r="BC15" s="345"/>
      <c r="BD15" s="345"/>
      <c r="BE15" s="345"/>
      <c r="BF15" s="345"/>
      <c r="BG15" s="345"/>
      <c r="BH15" s="345"/>
      <c r="BI15" s="345"/>
      <c r="BJ15" s="345"/>
      <c r="BK15" s="345"/>
      <c r="BL15" s="345"/>
      <c r="BM15" s="345"/>
      <c r="BN15" s="345"/>
      <c r="BO15" s="345"/>
      <c r="BP15" s="345"/>
      <c r="BQ15" s="345"/>
      <c r="BR15" s="345"/>
      <c r="BS15" s="345"/>
      <c r="BT15" s="345"/>
      <c r="BU15" s="345"/>
      <c r="BV15" s="345"/>
      <c r="BW15" s="345"/>
      <c r="BX15" s="345"/>
      <c r="BY15" s="345"/>
      <c r="BZ15" s="345"/>
      <c r="CA15" s="345"/>
      <c r="CB15" s="345"/>
      <c r="CC15" s="345"/>
      <c r="CD15" s="345"/>
      <c r="CE15" s="345"/>
      <c r="CF15" s="345"/>
      <c r="CG15" s="345"/>
      <c r="CH15" s="345"/>
      <c r="CI15" s="345"/>
      <c r="CJ15" s="345"/>
      <c r="CK15" s="345"/>
      <c r="CL15" s="345"/>
      <c r="CM15" s="345"/>
      <c r="CN15" s="345"/>
      <c r="CO15" s="345"/>
      <c r="CP15" s="345"/>
      <c r="CQ15" s="345"/>
      <c r="CR15" s="345"/>
      <c r="CS15" s="345"/>
      <c r="CT15" s="345"/>
      <c r="CU15" s="345"/>
      <c r="CV15" s="345"/>
      <c r="CW15" s="345"/>
      <c r="CX15" s="345"/>
      <c r="CY15" s="345"/>
      <c r="CZ15" s="345"/>
      <c r="DA15" s="345"/>
      <c r="DB15" s="345"/>
      <c r="DC15" s="345"/>
      <c r="DD15" s="345"/>
      <c r="DE15" s="345"/>
      <c r="DF15" s="345"/>
      <c r="DG15" s="345"/>
      <c r="DH15" s="345"/>
      <c r="DI15" s="345"/>
      <c r="DJ15" s="345"/>
      <c r="DK15" s="345"/>
      <c r="DL15" s="345"/>
      <c r="DM15" s="345"/>
      <c r="DN15" s="345"/>
      <c r="DO15" s="345"/>
      <c r="DP15" s="345"/>
      <c r="DQ15" s="345"/>
      <c r="DR15" s="345"/>
      <c r="DS15" s="345"/>
      <c r="DT15" s="345"/>
      <c r="DU15" s="345"/>
      <c r="DV15" s="345"/>
      <c r="DW15" s="345"/>
      <c r="DX15" s="345"/>
      <c r="DY15" s="345"/>
      <c r="DZ15" s="345"/>
      <c r="EA15" s="345"/>
    </row>
    <row r="16" spans="1:131" ht="18" customHeight="1">
      <c r="A16" s="345"/>
      <c r="B16" s="345"/>
      <c r="C16" s="2447"/>
      <c r="D16" s="6137" t="s">
        <v>310</v>
      </c>
      <c r="E16" s="6137"/>
      <c r="F16" s="6137"/>
      <c r="G16" s="6137"/>
      <c r="H16" s="6138"/>
      <c r="I16" s="6139"/>
      <c r="J16" s="2633">
        <v>0</v>
      </c>
      <c r="K16" s="2634"/>
      <c r="L16" s="6140" t="s">
        <v>1749</v>
      </c>
      <c r="M16" s="6141"/>
      <c r="N16" s="6146" t="s">
        <v>1750</v>
      </c>
      <c r="O16" s="6146"/>
      <c r="P16" s="6149" t="s">
        <v>1695</v>
      </c>
      <c r="Q16" s="6150"/>
      <c r="R16" s="345"/>
      <c r="S16" s="345"/>
      <c r="T16" s="345"/>
      <c r="U16" s="345"/>
      <c r="V16" s="345"/>
      <c r="W16" s="345"/>
      <c r="X16" s="345"/>
      <c r="Y16" s="345"/>
      <c r="Z16" s="345"/>
      <c r="AA16" s="345"/>
      <c r="AB16" s="345"/>
      <c r="AC16" s="345"/>
      <c r="AD16" s="345"/>
      <c r="AE16" s="345"/>
      <c r="AF16" s="345"/>
      <c r="AG16" s="345"/>
      <c r="AH16" s="345"/>
      <c r="AI16" s="345"/>
      <c r="AJ16" s="345"/>
      <c r="AK16" s="345"/>
      <c r="AL16" s="345"/>
      <c r="AM16" s="345"/>
      <c r="AN16" s="345"/>
      <c r="AO16" s="345"/>
      <c r="AP16" s="345"/>
      <c r="AQ16" s="345"/>
      <c r="AR16" s="345"/>
      <c r="AS16" s="345"/>
      <c r="AT16" s="345"/>
      <c r="AU16" s="345"/>
      <c r="AV16" s="345"/>
      <c r="AW16" s="345"/>
      <c r="AX16" s="345"/>
      <c r="AY16" s="345"/>
      <c r="AZ16" s="345"/>
      <c r="BA16" s="345"/>
      <c r="BB16" s="345"/>
      <c r="BC16" s="345"/>
      <c r="BD16" s="345"/>
      <c r="BE16" s="345"/>
      <c r="BF16" s="345"/>
      <c r="BG16" s="345"/>
      <c r="BH16" s="345"/>
      <c r="BI16" s="345"/>
      <c r="BJ16" s="345"/>
      <c r="BK16" s="345"/>
      <c r="BL16" s="345"/>
      <c r="BM16" s="345"/>
      <c r="BN16" s="345"/>
      <c r="BO16" s="345"/>
      <c r="BP16" s="345"/>
      <c r="BQ16" s="345"/>
      <c r="BR16" s="345"/>
      <c r="BS16" s="345"/>
      <c r="BT16" s="345"/>
      <c r="BU16" s="345"/>
      <c r="BV16" s="345"/>
      <c r="BW16" s="345"/>
      <c r="BX16" s="345"/>
      <c r="BY16" s="345"/>
      <c r="BZ16" s="345"/>
      <c r="CA16" s="345"/>
      <c r="CB16" s="345"/>
      <c r="CC16" s="345"/>
      <c r="CD16" s="345"/>
      <c r="CE16" s="345"/>
      <c r="CF16" s="345"/>
      <c r="CG16" s="345"/>
      <c r="CH16" s="345"/>
      <c r="CI16" s="345"/>
      <c r="CJ16" s="345"/>
      <c r="CK16" s="345"/>
      <c r="CL16" s="345"/>
      <c r="CM16" s="345"/>
      <c r="CN16" s="345"/>
      <c r="CO16" s="345"/>
      <c r="CP16" s="345"/>
      <c r="CQ16" s="345"/>
      <c r="CR16" s="345"/>
      <c r="CS16" s="345"/>
      <c r="CT16" s="345"/>
      <c r="CU16" s="345"/>
      <c r="CV16" s="345"/>
      <c r="CW16" s="345"/>
      <c r="CX16" s="345"/>
      <c r="CY16" s="345"/>
      <c r="CZ16" s="345"/>
      <c r="DA16" s="345"/>
      <c r="DB16" s="345"/>
      <c r="DC16" s="345"/>
      <c r="DD16" s="345"/>
      <c r="DE16" s="345"/>
      <c r="DF16" s="345"/>
      <c r="DG16" s="345"/>
      <c r="DH16" s="345"/>
      <c r="DI16" s="345"/>
      <c r="DJ16" s="345"/>
      <c r="DK16" s="345"/>
      <c r="DL16" s="345"/>
      <c r="DM16" s="345"/>
      <c r="DN16" s="345"/>
      <c r="DO16" s="345"/>
      <c r="DP16" s="345"/>
      <c r="DQ16" s="345"/>
      <c r="DR16" s="345"/>
      <c r="DS16" s="345"/>
      <c r="DT16" s="345"/>
      <c r="DU16" s="345"/>
      <c r="DV16" s="345"/>
      <c r="DW16" s="345"/>
      <c r="DX16" s="345"/>
      <c r="DY16" s="345"/>
      <c r="DZ16" s="345"/>
      <c r="EA16" s="345"/>
    </row>
    <row r="17" spans="1:131" ht="18" customHeight="1">
      <c r="A17" s="345"/>
      <c r="B17" s="345"/>
      <c r="C17" s="2447"/>
      <c r="D17" s="6137" t="s">
        <v>311</v>
      </c>
      <c r="E17" s="6137"/>
      <c r="F17" s="6137"/>
      <c r="G17" s="6137"/>
      <c r="H17" s="6138"/>
      <c r="I17" s="6139"/>
      <c r="J17" s="2633">
        <v>0</v>
      </c>
      <c r="K17" s="2634"/>
      <c r="L17" s="6142"/>
      <c r="M17" s="6143"/>
      <c r="N17" s="6147"/>
      <c r="O17" s="6147"/>
      <c r="P17" s="6151"/>
      <c r="Q17" s="6152"/>
      <c r="R17" s="345"/>
      <c r="S17" s="345"/>
      <c r="T17" s="345"/>
      <c r="U17" s="345"/>
      <c r="V17" s="345"/>
      <c r="W17" s="345"/>
      <c r="X17" s="345"/>
      <c r="Y17" s="345"/>
      <c r="Z17" s="345"/>
      <c r="AA17" s="345"/>
      <c r="AB17" s="345"/>
      <c r="AC17" s="345"/>
      <c r="AD17" s="345"/>
      <c r="AE17" s="345"/>
      <c r="AF17" s="345"/>
      <c r="AG17" s="345"/>
      <c r="AH17" s="345"/>
      <c r="AI17" s="345"/>
      <c r="AJ17" s="345"/>
      <c r="AK17" s="345"/>
      <c r="AL17" s="345"/>
      <c r="AM17" s="345"/>
      <c r="AN17" s="345"/>
      <c r="AO17" s="345"/>
      <c r="AP17" s="345"/>
      <c r="AQ17" s="345"/>
      <c r="AR17" s="345"/>
      <c r="AS17" s="345"/>
      <c r="AT17" s="345"/>
      <c r="AU17" s="345"/>
      <c r="AV17" s="345"/>
      <c r="AW17" s="345"/>
      <c r="AX17" s="345"/>
      <c r="AY17" s="345"/>
      <c r="AZ17" s="345"/>
      <c r="BA17" s="345"/>
      <c r="BB17" s="345"/>
      <c r="BC17" s="345"/>
      <c r="BD17" s="345"/>
      <c r="BE17" s="345"/>
      <c r="BF17" s="345"/>
      <c r="BG17" s="345"/>
      <c r="BH17" s="345"/>
      <c r="BI17" s="345"/>
      <c r="BJ17" s="345"/>
      <c r="BK17" s="345"/>
      <c r="BL17" s="345"/>
      <c r="BM17" s="345"/>
      <c r="BN17" s="345"/>
      <c r="BO17" s="345"/>
      <c r="BP17" s="345"/>
      <c r="BQ17" s="345"/>
      <c r="BR17" s="345"/>
      <c r="BS17" s="345"/>
      <c r="BT17" s="345"/>
      <c r="BU17" s="345"/>
      <c r="BV17" s="345"/>
      <c r="BW17" s="345"/>
      <c r="BX17" s="345"/>
      <c r="BY17" s="345"/>
      <c r="BZ17" s="345"/>
      <c r="CA17" s="345"/>
      <c r="CB17" s="345"/>
      <c r="CC17" s="345"/>
      <c r="CD17" s="345"/>
      <c r="CE17" s="345"/>
      <c r="CF17" s="345"/>
      <c r="CG17" s="345"/>
      <c r="CH17" s="345"/>
      <c r="CI17" s="345"/>
      <c r="CJ17" s="345"/>
      <c r="CK17" s="345"/>
      <c r="CL17" s="345"/>
      <c r="CM17" s="345"/>
      <c r="CN17" s="345"/>
      <c r="CO17" s="345"/>
      <c r="CP17" s="345"/>
      <c r="CQ17" s="345"/>
      <c r="CR17" s="345"/>
      <c r="CS17" s="345"/>
      <c r="CT17" s="345"/>
      <c r="CU17" s="345"/>
      <c r="CV17" s="345"/>
      <c r="CW17" s="345"/>
      <c r="CX17" s="345"/>
      <c r="CY17" s="345"/>
      <c r="CZ17" s="345"/>
      <c r="DA17" s="345"/>
      <c r="DB17" s="345"/>
      <c r="DC17" s="345"/>
      <c r="DD17" s="345"/>
      <c r="DE17" s="345"/>
      <c r="DF17" s="345"/>
      <c r="DG17" s="345"/>
      <c r="DH17" s="345"/>
      <c r="DI17" s="345"/>
      <c r="DJ17" s="345"/>
      <c r="DK17" s="345"/>
      <c r="DL17" s="345"/>
      <c r="DM17" s="345"/>
      <c r="DN17" s="345"/>
      <c r="DO17" s="345"/>
      <c r="DP17" s="345"/>
      <c r="DQ17" s="345"/>
      <c r="DR17" s="345"/>
      <c r="DS17" s="345"/>
      <c r="DT17" s="345"/>
      <c r="DU17" s="345"/>
      <c r="DV17" s="345"/>
      <c r="DW17" s="345"/>
      <c r="DX17" s="345"/>
      <c r="DY17" s="345"/>
      <c r="DZ17" s="345"/>
      <c r="EA17" s="345"/>
    </row>
    <row r="18" spans="1:131" ht="18" customHeight="1">
      <c r="A18" s="345"/>
      <c r="B18" s="345"/>
      <c r="C18" s="2447"/>
      <c r="D18" s="6155" t="s">
        <v>312</v>
      </c>
      <c r="E18" s="6155"/>
      <c r="F18" s="6155"/>
      <c r="G18" s="6155"/>
      <c r="H18" s="6156"/>
      <c r="I18" s="6157"/>
      <c r="J18" s="2635">
        <v>0</v>
      </c>
      <c r="K18" s="2636"/>
      <c r="L18" s="6144"/>
      <c r="M18" s="6145"/>
      <c r="N18" s="6148"/>
      <c r="O18" s="6148"/>
      <c r="P18" s="6153"/>
      <c r="Q18" s="6154"/>
      <c r="R18" s="345"/>
      <c r="S18" s="345"/>
      <c r="T18" s="345"/>
      <c r="U18" s="345"/>
      <c r="V18" s="345"/>
      <c r="W18" s="345"/>
      <c r="X18" s="345"/>
      <c r="Y18" s="345"/>
      <c r="Z18" s="345"/>
      <c r="AA18" s="345"/>
      <c r="AB18" s="345"/>
      <c r="AC18" s="345"/>
      <c r="AD18" s="345"/>
      <c r="AE18" s="345"/>
      <c r="AF18" s="345"/>
      <c r="AG18" s="345"/>
      <c r="AH18" s="345"/>
      <c r="AI18" s="345"/>
      <c r="AJ18" s="345"/>
      <c r="AK18" s="345"/>
      <c r="AL18" s="345"/>
      <c r="AM18" s="345"/>
      <c r="AN18" s="345"/>
      <c r="AO18" s="345"/>
      <c r="AP18" s="345"/>
      <c r="AQ18" s="345"/>
      <c r="AR18" s="345"/>
      <c r="AS18" s="345"/>
      <c r="AT18" s="345"/>
      <c r="AU18" s="345"/>
      <c r="AV18" s="345"/>
      <c r="AW18" s="345"/>
      <c r="AX18" s="345"/>
      <c r="AY18" s="345"/>
      <c r="AZ18" s="345"/>
      <c r="BA18" s="345"/>
      <c r="BB18" s="345"/>
      <c r="BC18" s="345"/>
      <c r="BD18" s="345"/>
      <c r="BE18" s="345"/>
      <c r="BF18" s="345"/>
      <c r="BG18" s="345"/>
      <c r="BH18" s="345"/>
      <c r="BI18" s="345"/>
      <c r="BJ18" s="345"/>
      <c r="BK18" s="345"/>
      <c r="BL18" s="345"/>
      <c r="BM18" s="345"/>
      <c r="BN18" s="345"/>
      <c r="BO18" s="345"/>
      <c r="BP18" s="345"/>
      <c r="BQ18" s="345"/>
      <c r="BR18" s="345"/>
      <c r="BS18" s="345"/>
      <c r="BT18" s="345"/>
      <c r="BU18" s="345"/>
      <c r="BV18" s="345"/>
      <c r="BW18" s="345"/>
      <c r="BX18" s="345"/>
      <c r="BY18" s="345"/>
      <c r="BZ18" s="345"/>
      <c r="CA18" s="345"/>
      <c r="CB18" s="345"/>
      <c r="CC18" s="345"/>
      <c r="CD18" s="345"/>
      <c r="CE18" s="345"/>
      <c r="CF18" s="345"/>
      <c r="CG18" s="345"/>
      <c r="CH18" s="345"/>
      <c r="CI18" s="345"/>
      <c r="CJ18" s="345"/>
      <c r="CK18" s="345"/>
      <c r="CL18" s="345"/>
      <c r="CM18" s="345"/>
      <c r="CN18" s="345"/>
      <c r="CO18" s="345"/>
      <c r="CP18" s="345"/>
      <c r="CQ18" s="345"/>
      <c r="CR18" s="345"/>
      <c r="CS18" s="345"/>
      <c r="CT18" s="345"/>
      <c r="CU18" s="345"/>
      <c r="CV18" s="345"/>
      <c r="CW18" s="345"/>
      <c r="CX18" s="345"/>
      <c r="CY18" s="345"/>
      <c r="CZ18" s="345"/>
      <c r="DA18" s="345"/>
      <c r="DB18" s="345"/>
      <c r="DC18" s="345"/>
      <c r="DD18" s="345"/>
      <c r="DE18" s="345"/>
      <c r="DF18" s="345"/>
      <c r="DG18" s="345"/>
      <c r="DH18" s="345"/>
      <c r="DI18" s="345"/>
      <c r="DJ18" s="345"/>
      <c r="DK18" s="345"/>
      <c r="DL18" s="345"/>
      <c r="DM18" s="345"/>
      <c r="DN18" s="345"/>
      <c r="DO18" s="345"/>
      <c r="DP18" s="345"/>
      <c r="DQ18" s="345"/>
      <c r="DR18" s="345"/>
      <c r="DS18" s="345"/>
      <c r="DT18" s="345"/>
      <c r="DU18" s="345"/>
      <c r="DV18" s="345"/>
      <c r="DW18" s="345"/>
      <c r="DX18" s="345"/>
      <c r="DY18" s="345"/>
      <c r="DZ18" s="345"/>
      <c r="EA18" s="345"/>
    </row>
    <row r="19" spans="1:131" ht="15.75">
      <c r="A19" s="345"/>
      <c r="B19" s="345"/>
      <c r="C19" s="2447"/>
      <c r="D19" s="6158" t="s">
        <v>313</v>
      </c>
      <c r="E19" s="6158"/>
      <c r="F19" s="6158"/>
      <c r="G19" s="6158"/>
      <c r="H19" s="6158"/>
      <c r="I19" s="6158"/>
      <c r="J19" s="6158"/>
      <c r="K19" s="6158"/>
      <c r="L19" s="6158"/>
      <c r="M19" s="6158"/>
      <c r="N19" s="6158"/>
      <c r="O19" s="6158"/>
      <c r="P19" s="6158"/>
      <c r="Q19" s="6159"/>
      <c r="R19" s="1827"/>
      <c r="S19" s="1827"/>
      <c r="T19" s="1827"/>
      <c r="U19" s="1827"/>
      <c r="V19" s="1827"/>
      <c r="W19" s="1827"/>
      <c r="X19" s="345"/>
      <c r="Y19" s="345"/>
      <c r="Z19" s="345"/>
      <c r="AA19" s="345"/>
      <c r="AB19" s="345"/>
      <c r="AC19" s="345"/>
      <c r="AD19" s="345"/>
      <c r="AE19" s="345"/>
      <c r="AF19" s="345"/>
      <c r="AG19" s="345"/>
      <c r="AH19" s="345"/>
      <c r="AI19" s="345"/>
      <c r="AJ19" s="345"/>
      <c r="AK19" s="345"/>
      <c r="AL19" s="345"/>
      <c r="AM19" s="345"/>
      <c r="AN19" s="345"/>
      <c r="AO19" s="345"/>
      <c r="AP19" s="345"/>
      <c r="AQ19" s="345"/>
      <c r="AR19" s="345"/>
      <c r="AS19" s="345"/>
      <c r="AT19" s="345"/>
      <c r="AU19" s="345"/>
      <c r="AV19" s="345"/>
      <c r="AW19" s="345"/>
      <c r="AX19" s="345"/>
      <c r="AY19" s="345"/>
      <c r="AZ19" s="345"/>
      <c r="BA19" s="345"/>
      <c r="BB19" s="345"/>
      <c r="BC19" s="345"/>
      <c r="BD19" s="345"/>
      <c r="BE19" s="345"/>
      <c r="BF19" s="345"/>
      <c r="BG19" s="345"/>
      <c r="BH19" s="345"/>
      <c r="BI19" s="345"/>
      <c r="BJ19" s="345"/>
      <c r="BK19" s="345"/>
      <c r="BL19" s="345"/>
      <c r="BM19" s="345"/>
      <c r="BN19" s="345"/>
      <c r="BO19" s="345"/>
      <c r="BP19" s="345"/>
      <c r="BQ19" s="345"/>
      <c r="BR19" s="345"/>
      <c r="BS19" s="345"/>
      <c r="BT19" s="345"/>
      <c r="BU19" s="345"/>
      <c r="BV19" s="345"/>
      <c r="BW19" s="345"/>
      <c r="BX19" s="345"/>
      <c r="BY19" s="345"/>
      <c r="BZ19" s="345"/>
      <c r="CA19" s="345"/>
      <c r="CB19" s="345"/>
      <c r="CC19" s="345"/>
      <c r="CD19" s="345"/>
      <c r="CE19" s="345"/>
      <c r="CF19" s="345"/>
      <c r="CG19" s="345"/>
      <c r="CH19" s="345"/>
      <c r="CI19" s="345"/>
      <c r="CJ19" s="345"/>
      <c r="CK19" s="345"/>
      <c r="CL19" s="345"/>
      <c r="CM19" s="345"/>
      <c r="CN19" s="345"/>
      <c r="CO19" s="345"/>
      <c r="CP19" s="345"/>
      <c r="CQ19" s="345"/>
      <c r="CR19" s="345"/>
      <c r="CS19" s="345"/>
      <c r="CT19" s="345"/>
      <c r="CU19" s="345"/>
      <c r="CV19" s="345"/>
      <c r="CW19" s="345"/>
      <c r="CX19" s="345"/>
      <c r="CY19" s="345"/>
      <c r="CZ19" s="345"/>
      <c r="DA19" s="345"/>
      <c r="DB19" s="345"/>
      <c r="DC19" s="345"/>
      <c r="DD19" s="345"/>
      <c r="DE19" s="345"/>
      <c r="DF19" s="345"/>
      <c r="DG19" s="345"/>
      <c r="DH19" s="345"/>
      <c r="DI19" s="345"/>
      <c r="DJ19" s="345"/>
      <c r="DK19" s="345"/>
      <c r="DL19" s="345"/>
      <c r="DM19" s="345"/>
      <c r="DN19" s="345"/>
      <c r="DO19" s="345"/>
      <c r="DP19" s="345"/>
      <c r="DQ19" s="345"/>
      <c r="DR19" s="345"/>
      <c r="DS19" s="345"/>
      <c r="DT19" s="345"/>
      <c r="DU19" s="345"/>
      <c r="DV19" s="345"/>
      <c r="DW19" s="345"/>
      <c r="DX19" s="345"/>
      <c r="DY19" s="345"/>
      <c r="DZ19" s="345"/>
      <c r="EA19" s="345"/>
    </row>
    <row r="20" spans="1:131" ht="18" customHeight="1">
      <c r="A20" s="345"/>
      <c r="B20" s="345"/>
      <c r="C20" s="2637"/>
      <c r="D20" s="2598" t="s">
        <v>1380</v>
      </c>
      <c r="E20" s="6161" t="s">
        <v>1483</v>
      </c>
      <c r="F20" s="6162"/>
      <c r="G20" s="6162"/>
      <c r="H20" s="6162"/>
      <c r="I20" s="6162"/>
      <c r="J20" s="6162"/>
      <c r="K20" s="6162"/>
      <c r="L20" s="6162"/>
      <c r="M20" s="6163"/>
      <c r="N20" s="2599" t="s">
        <v>1380</v>
      </c>
      <c r="O20" s="2451" t="s">
        <v>5</v>
      </c>
      <c r="P20" s="5821">
        <f>SUM(L21:M27)</f>
        <v>1503534</v>
      </c>
      <c r="Q20" s="6160"/>
      <c r="R20" s="1827"/>
      <c r="S20" s="1827"/>
      <c r="T20" s="1827"/>
      <c r="U20" s="1827"/>
      <c r="V20" s="1827"/>
      <c r="W20" s="1827"/>
      <c r="X20" s="345"/>
      <c r="Y20" s="345"/>
      <c r="Z20" s="345"/>
      <c r="AA20" s="345"/>
      <c r="AB20" s="345"/>
      <c r="AC20" s="345"/>
      <c r="AD20" s="345"/>
      <c r="AE20" s="345"/>
      <c r="AF20" s="345"/>
      <c r="AG20" s="345"/>
      <c r="AH20" s="345"/>
      <c r="AI20" s="345"/>
      <c r="AJ20" s="345"/>
      <c r="AK20" s="345"/>
      <c r="AL20" s="345"/>
      <c r="AM20" s="345"/>
      <c r="AN20" s="345"/>
      <c r="AO20" s="345"/>
      <c r="AP20" s="345"/>
      <c r="AQ20" s="345"/>
      <c r="AR20" s="345"/>
      <c r="AS20" s="345"/>
      <c r="AT20" s="345"/>
      <c r="AU20" s="345"/>
      <c r="AV20" s="345"/>
      <c r="AW20" s="345"/>
      <c r="AX20" s="345"/>
      <c r="AY20" s="345"/>
      <c r="AZ20" s="345"/>
      <c r="BA20" s="345"/>
      <c r="BB20" s="345"/>
      <c r="BC20" s="345"/>
      <c r="BD20" s="345"/>
      <c r="BE20" s="345"/>
      <c r="BF20" s="345"/>
      <c r="BG20" s="345"/>
      <c r="BH20" s="345"/>
      <c r="BI20" s="345"/>
      <c r="BJ20" s="345"/>
      <c r="BK20" s="345"/>
      <c r="BL20" s="345"/>
      <c r="BM20" s="345"/>
      <c r="BN20" s="345"/>
      <c r="BO20" s="345"/>
      <c r="BP20" s="345"/>
      <c r="BQ20" s="345"/>
      <c r="BR20" s="345"/>
      <c r="BS20" s="345"/>
      <c r="BT20" s="345"/>
      <c r="BU20" s="345"/>
      <c r="BV20" s="345"/>
      <c r="BW20" s="345"/>
      <c r="BX20" s="345"/>
      <c r="BY20" s="345"/>
      <c r="BZ20" s="345"/>
      <c r="CA20" s="345"/>
      <c r="CB20" s="345"/>
      <c r="CC20" s="345"/>
      <c r="CD20" s="345"/>
      <c r="CE20" s="345"/>
      <c r="CF20" s="345"/>
      <c r="CG20" s="345"/>
      <c r="CH20" s="345"/>
      <c r="CI20" s="345"/>
      <c r="CJ20" s="345"/>
      <c r="CK20" s="345"/>
      <c r="CL20" s="345"/>
      <c r="CM20" s="345"/>
      <c r="CN20" s="345"/>
      <c r="CO20" s="345"/>
      <c r="CP20" s="345"/>
      <c r="CQ20" s="345"/>
      <c r="CR20" s="345"/>
      <c r="CS20" s="345"/>
      <c r="CT20" s="345"/>
      <c r="CU20" s="345"/>
      <c r="CV20" s="345"/>
      <c r="CW20" s="345"/>
      <c r="CX20" s="345"/>
      <c r="CY20" s="345"/>
      <c r="CZ20" s="345"/>
      <c r="DA20" s="345"/>
      <c r="DB20" s="345"/>
      <c r="DC20" s="345"/>
      <c r="DD20" s="345"/>
      <c r="DE20" s="345"/>
      <c r="DF20" s="345"/>
      <c r="DG20" s="345"/>
      <c r="DH20" s="345"/>
      <c r="DI20" s="345"/>
      <c r="DJ20" s="345"/>
      <c r="DK20" s="345"/>
      <c r="DL20" s="345"/>
      <c r="DM20" s="345"/>
      <c r="DN20" s="345"/>
      <c r="DO20" s="345"/>
      <c r="DP20" s="345"/>
      <c r="DQ20" s="345"/>
      <c r="DR20" s="345"/>
      <c r="DS20" s="345"/>
      <c r="DT20" s="345"/>
      <c r="DU20" s="345"/>
      <c r="DV20" s="345"/>
      <c r="DW20" s="345"/>
      <c r="DX20" s="345"/>
      <c r="DY20" s="345"/>
      <c r="DZ20" s="345"/>
      <c r="EA20" s="345"/>
    </row>
    <row r="21" spans="1:131" ht="15.95" customHeight="1">
      <c r="A21" s="345"/>
      <c r="B21" s="345"/>
      <c r="C21" s="2447"/>
      <c r="D21" s="5887"/>
      <c r="E21" s="2478" t="s">
        <v>1</v>
      </c>
      <c r="F21" s="6164" t="s">
        <v>1465</v>
      </c>
      <c r="G21" s="6165"/>
      <c r="H21" s="6165"/>
      <c r="I21" s="6166"/>
      <c r="J21" s="2596" t="s">
        <v>1470</v>
      </c>
      <c r="K21" s="2451" t="s">
        <v>5</v>
      </c>
      <c r="L21" s="6036">
        <f>'Anexure-I'!M41</f>
        <v>1503534</v>
      </c>
      <c r="M21" s="6040"/>
      <c r="N21" s="6071"/>
      <c r="O21" s="6072"/>
      <c r="P21" s="6072"/>
      <c r="Q21" s="6073"/>
      <c r="R21" s="1827"/>
      <c r="S21" s="1827"/>
      <c r="T21" s="1827"/>
      <c r="U21" s="1827"/>
      <c r="V21" s="1827"/>
      <c r="W21" s="1827"/>
      <c r="X21" s="345"/>
      <c r="Y21" s="345"/>
      <c r="Z21" s="345"/>
      <c r="AA21" s="345"/>
      <c r="AB21" s="345"/>
      <c r="AC21" s="345"/>
      <c r="AD21" s="345"/>
      <c r="AE21" s="345"/>
      <c r="AF21" s="345"/>
      <c r="AG21" s="345"/>
      <c r="AH21" s="345"/>
      <c r="AI21" s="345"/>
      <c r="AJ21" s="345"/>
      <c r="AK21" s="345"/>
      <c r="AL21" s="345"/>
      <c r="AM21" s="345"/>
      <c r="AN21" s="345"/>
      <c r="AO21" s="345"/>
      <c r="AP21" s="345"/>
      <c r="AQ21" s="345"/>
      <c r="AR21" s="345"/>
      <c r="AS21" s="345"/>
      <c r="AT21" s="345"/>
      <c r="AU21" s="345"/>
      <c r="AV21" s="345"/>
      <c r="AW21" s="345"/>
      <c r="AX21" s="345"/>
      <c r="AY21" s="345"/>
      <c r="AZ21" s="345"/>
      <c r="BA21" s="345"/>
      <c r="BB21" s="345"/>
      <c r="BC21" s="345"/>
      <c r="BD21" s="345"/>
      <c r="BE21" s="345"/>
      <c r="BF21" s="345"/>
      <c r="BG21" s="345"/>
      <c r="BH21" s="345"/>
      <c r="BI21" s="345"/>
      <c r="BJ21" s="345"/>
      <c r="BK21" s="345"/>
      <c r="BL21" s="345"/>
      <c r="BM21" s="345"/>
      <c r="BN21" s="345"/>
      <c r="BO21" s="345"/>
      <c r="BP21" s="345"/>
      <c r="BQ21" s="345"/>
      <c r="BR21" s="345"/>
      <c r="BS21" s="345"/>
      <c r="BT21" s="345"/>
      <c r="BU21" s="345"/>
      <c r="BV21" s="345"/>
      <c r="BW21" s="345"/>
      <c r="BX21" s="345"/>
      <c r="BY21" s="345"/>
      <c r="BZ21" s="345"/>
      <c r="CA21" s="345"/>
      <c r="CB21" s="345"/>
      <c r="CC21" s="345"/>
      <c r="CD21" s="345"/>
      <c r="CE21" s="345"/>
      <c r="CF21" s="345"/>
      <c r="CG21" s="345"/>
      <c r="CH21" s="345"/>
      <c r="CI21" s="345"/>
      <c r="CJ21" s="345"/>
      <c r="CK21" s="345"/>
      <c r="CL21" s="345"/>
      <c r="CM21" s="345"/>
      <c r="CN21" s="345"/>
      <c r="CO21" s="345"/>
      <c r="CP21" s="345"/>
      <c r="CQ21" s="345"/>
      <c r="CR21" s="345"/>
      <c r="CS21" s="345"/>
      <c r="CT21" s="345"/>
      <c r="CU21" s="345"/>
      <c r="CV21" s="345"/>
      <c r="CW21" s="345"/>
      <c r="CX21" s="345"/>
      <c r="CY21" s="345"/>
      <c r="CZ21" s="345"/>
      <c r="DA21" s="345"/>
      <c r="DB21" s="345"/>
      <c r="DC21" s="345"/>
      <c r="DD21" s="345"/>
      <c r="DE21" s="345"/>
      <c r="DF21" s="345"/>
      <c r="DG21" s="345"/>
      <c r="DH21" s="345"/>
      <c r="DI21" s="345"/>
      <c r="DJ21" s="345"/>
      <c r="DK21" s="345"/>
      <c r="DL21" s="345"/>
      <c r="DM21" s="345"/>
      <c r="DN21" s="345"/>
      <c r="DO21" s="345"/>
      <c r="DP21" s="345"/>
      <c r="DQ21" s="345"/>
      <c r="DR21" s="345"/>
      <c r="DS21" s="345"/>
      <c r="DT21" s="345"/>
      <c r="DU21" s="345"/>
      <c r="DV21" s="345"/>
      <c r="DW21" s="345"/>
      <c r="DX21" s="345"/>
      <c r="DY21" s="345"/>
      <c r="DZ21" s="345"/>
      <c r="EA21" s="345"/>
    </row>
    <row r="22" spans="1:131" ht="15.95" customHeight="1">
      <c r="A22" s="345"/>
      <c r="B22" s="345"/>
      <c r="C22" s="2447"/>
      <c r="D22" s="6169"/>
      <c r="E22" s="2478" t="s">
        <v>2</v>
      </c>
      <c r="F22" s="6164" t="s">
        <v>961</v>
      </c>
      <c r="G22" s="6165"/>
      <c r="H22" s="6165"/>
      <c r="I22" s="6166"/>
      <c r="J22" s="2508" t="s">
        <v>1471</v>
      </c>
      <c r="K22" s="2451" t="s">
        <v>5</v>
      </c>
      <c r="L22" s="6167">
        <v>0</v>
      </c>
      <c r="M22" s="6168"/>
      <c r="N22" s="6074"/>
      <c r="O22" s="6075"/>
      <c r="P22" s="6075"/>
      <c r="Q22" s="6076"/>
      <c r="R22" s="1827"/>
      <c r="S22" s="1827"/>
      <c r="T22" s="1827"/>
      <c r="U22" s="1827"/>
      <c r="V22" s="1827"/>
      <c r="W22" s="1827"/>
      <c r="X22" s="345"/>
      <c r="Y22" s="345"/>
      <c r="Z22" s="345"/>
      <c r="AA22" s="345"/>
      <c r="AB22" s="345"/>
      <c r="AC22" s="345"/>
      <c r="AD22" s="345"/>
      <c r="AE22" s="345"/>
      <c r="AF22" s="345"/>
      <c r="AG22" s="345"/>
      <c r="AH22" s="345"/>
      <c r="AI22" s="345"/>
      <c r="AJ22" s="345"/>
      <c r="AK22" s="345"/>
      <c r="AL22" s="345"/>
      <c r="AM22" s="345"/>
      <c r="AN22" s="345"/>
      <c r="AO22" s="345"/>
      <c r="AP22" s="345"/>
      <c r="AQ22" s="345"/>
      <c r="AR22" s="345"/>
      <c r="AS22" s="345"/>
      <c r="AT22" s="345"/>
      <c r="AU22" s="345"/>
      <c r="AV22" s="345"/>
      <c r="AW22" s="345"/>
      <c r="AX22" s="345"/>
      <c r="AY22" s="345"/>
      <c r="AZ22" s="345"/>
      <c r="BA22" s="345"/>
      <c r="BB22" s="345"/>
      <c r="BC22" s="345"/>
      <c r="BD22" s="345"/>
      <c r="BE22" s="345"/>
      <c r="BF22" s="345"/>
      <c r="BG22" s="345"/>
      <c r="BH22" s="345"/>
      <c r="BI22" s="345"/>
      <c r="BJ22" s="345"/>
      <c r="BK22" s="345"/>
      <c r="BL22" s="345"/>
      <c r="BM22" s="345"/>
      <c r="BN22" s="345"/>
      <c r="BO22" s="345"/>
      <c r="BP22" s="345"/>
      <c r="BQ22" s="345"/>
      <c r="BR22" s="345"/>
      <c r="BS22" s="345"/>
      <c r="BT22" s="345"/>
      <c r="BU22" s="345"/>
      <c r="BV22" s="345"/>
      <c r="BW22" s="345"/>
      <c r="BX22" s="345"/>
      <c r="BY22" s="345"/>
      <c r="BZ22" s="345"/>
      <c r="CA22" s="345"/>
      <c r="CB22" s="345"/>
      <c r="CC22" s="345"/>
      <c r="CD22" s="345"/>
      <c r="CE22" s="345"/>
      <c r="CF22" s="345"/>
      <c r="CG22" s="345"/>
      <c r="CH22" s="345"/>
      <c r="CI22" s="345"/>
      <c r="CJ22" s="345"/>
      <c r="CK22" s="345"/>
      <c r="CL22" s="345"/>
      <c r="CM22" s="345"/>
      <c r="CN22" s="345"/>
      <c r="CO22" s="345"/>
      <c r="CP22" s="345"/>
      <c r="CQ22" s="345"/>
      <c r="CR22" s="345"/>
      <c r="CS22" s="345"/>
      <c r="CT22" s="345"/>
      <c r="CU22" s="345"/>
      <c r="CV22" s="345"/>
      <c r="CW22" s="345"/>
      <c r="CX22" s="345"/>
      <c r="CY22" s="345"/>
      <c r="CZ22" s="345"/>
      <c r="DA22" s="345"/>
      <c r="DB22" s="345"/>
      <c r="DC22" s="345"/>
      <c r="DD22" s="345"/>
      <c r="DE22" s="345"/>
      <c r="DF22" s="345"/>
      <c r="DG22" s="345"/>
      <c r="DH22" s="345"/>
      <c r="DI22" s="345"/>
      <c r="DJ22" s="345"/>
      <c r="DK22" s="345"/>
      <c r="DL22" s="345"/>
      <c r="DM22" s="345"/>
      <c r="DN22" s="345"/>
      <c r="DO22" s="345"/>
      <c r="DP22" s="345"/>
      <c r="DQ22" s="345"/>
      <c r="DR22" s="345"/>
      <c r="DS22" s="345"/>
      <c r="DT22" s="345"/>
      <c r="DU22" s="345"/>
      <c r="DV22" s="345"/>
      <c r="DW22" s="345"/>
      <c r="DX22" s="345"/>
      <c r="DY22" s="345"/>
      <c r="DZ22" s="345"/>
      <c r="EA22" s="345"/>
    </row>
    <row r="23" spans="1:131" ht="15.95" customHeight="1">
      <c r="A23" s="345"/>
      <c r="B23" s="345"/>
      <c r="C23" s="2447"/>
      <c r="D23" s="6169"/>
      <c r="E23" s="2478" t="s">
        <v>3</v>
      </c>
      <c r="F23" s="6164" t="s">
        <v>1467</v>
      </c>
      <c r="G23" s="6165"/>
      <c r="H23" s="6165"/>
      <c r="I23" s="6166"/>
      <c r="J23" s="2508" t="s">
        <v>1472</v>
      </c>
      <c r="K23" s="2451" t="s">
        <v>5</v>
      </c>
      <c r="L23" s="6167">
        <v>0</v>
      </c>
      <c r="M23" s="6168"/>
      <c r="N23" s="6074"/>
      <c r="O23" s="6075"/>
      <c r="P23" s="6075"/>
      <c r="Q23" s="6076"/>
      <c r="R23" s="1827"/>
      <c r="S23" s="1827"/>
      <c r="T23" s="1827"/>
      <c r="U23" s="1827"/>
      <c r="V23" s="1827"/>
      <c r="W23" s="1827"/>
      <c r="X23" s="345"/>
      <c r="Y23" s="345"/>
      <c r="Z23" s="345"/>
      <c r="AA23" s="345"/>
      <c r="AB23" s="345"/>
      <c r="AC23" s="345"/>
      <c r="AD23" s="345"/>
      <c r="AE23" s="345"/>
      <c r="AF23" s="345"/>
      <c r="AG23" s="345"/>
      <c r="AH23" s="345"/>
      <c r="AI23" s="345"/>
      <c r="AJ23" s="345"/>
      <c r="AK23" s="345"/>
      <c r="AL23" s="345"/>
      <c r="AM23" s="345"/>
      <c r="AN23" s="345"/>
      <c r="AO23" s="345"/>
      <c r="AP23" s="345"/>
      <c r="AQ23" s="345"/>
      <c r="AR23" s="345"/>
      <c r="AS23" s="345"/>
      <c r="AT23" s="345"/>
      <c r="AU23" s="345"/>
      <c r="AV23" s="345"/>
      <c r="AW23" s="345"/>
      <c r="AX23" s="345"/>
      <c r="AY23" s="345"/>
      <c r="AZ23" s="345"/>
      <c r="BA23" s="345"/>
      <c r="BB23" s="345"/>
      <c r="BC23" s="345"/>
      <c r="BD23" s="345"/>
      <c r="BE23" s="345"/>
      <c r="BF23" s="345"/>
      <c r="BG23" s="345"/>
      <c r="BH23" s="345"/>
      <c r="BI23" s="345"/>
      <c r="BJ23" s="345"/>
      <c r="BK23" s="345"/>
      <c r="BL23" s="345"/>
      <c r="BM23" s="345"/>
      <c r="BN23" s="345"/>
      <c r="BO23" s="345"/>
      <c r="BP23" s="345"/>
      <c r="BQ23" s="345"/>
      <c r="BR23" s="345"/>
      <c r="BS23" s="345"/>
      <c r="BT23" s="345"/>
      <c r="BU23" s="345"/>
      <c r="BV23" s="345"/>
      <c r="BW23" s="345"/>
      <c r="BX23" s="345"/>
      <c r="BY23" s="345"/>
      <c r="BZ23" s="345"/>
      <c r="CA23" s="345"/>
      <c r="CB23" s="345"/>
      <c r="CC23" s="345"/>
      <c r="CD23" s="345"/>
      <c r="CE23" s="345"/>
      <c r="CF23" s="345"/>
      <c r="CG23" s="345"/>
      <c r="CH23" s="345"/>
      <c r="CI23" s="345"/>
      <c r="CJ23" s="345"/>
      <c r="CK23" s="345"/>
      <c r="CL23" s="345"/>
      <c r="CM23" s="345"/>
      <c r="CN23" s="345"/>
      <c r="CO23" s="345"/>
      <c r="CP23" s="345"/>
      <c r="CQ23" s="345"/>
      <c r="CR23" s="345"/>
      <c r="CS23" s="345"/>
      <c r="CT23" s="345"/>
      <c r="CU23" s="345"/>
      <c r="CV23" s="345"/>
      <c r="CW23" s="345"/>
      <c r="CX23" s="345"/>
      <c r="CY23" s="345"/>
      <c r="CZ23" s="345"/>
      <c r="DA23" s="345"/>
      <c r="DB23" s="345"/>
      <c r="DC23" s="345"/>
      <c r="DD23" s="345"/>
      <c r="DE23" s="345"/>
      <c r="DF23" s="345"/>
      <c r="DG23" s="345"/>
      <c r="DH23" s="345"/>
      <c r="DI23" s="345"/>
      <c r="DJ23" s="345"/>
      <c r="DK23" s="345"/>
      <c r="DL23" s="345"/>
      <c r="DM23" s="345"/>
      <c r="DN23" s="345"/>
      <c r="DO23" s="345"/>
      <c r="DP23" s="345"/>
      <c r="DQ23" s="345"/>
      <c r="DR23" s="345"/>
      <c r="DS23" s="345"/>
      <c r="DT23" s="345"/>
      <c r="DU23" s="345"/>
      <c r="DV23" s="345"/>
      <c r="DW23" s="345"/>
      <c r="DX23" s="345"/>
      <c r="DY23" s="345"/>
      <c r="DZ23" s="345"/>
      <c r="EA23" s="345"/>
    </row>
    <row r="24" spans="1:131" ht="15.95" customHeight="1">
      <c r="A24" s="345"/>
      <c r="B24" s="345"/>
      <c r="C24" s="2447"/>
      <c r="D24" s="6169"/>
      <c r="E24" s="6181" t="s">
        <v>4</v>
      </c>
      <c r="F24" s="6171" t="s">
        <v>1468</v>
      </c>
      <c r="G24" s="6172"/>
      <c r="H24" s="6172"/>
      <c r="I24" s="6173"/>
      <c r="J24" s="5821" t="s">
        <v>1473</v>
      </c>
      <c r="K24" s="6025" t="s">
        <v>5</v>
      </c>
      <c r="L24" s="6177">
        <v>0</v>
      </c>
      <c r="M24" s="6178"/>
      <c r="N24" s="6074"/>
      <c r="O24" s="6075"/>
      <c r="P24" s="6075"/>
      <c r="Q24" s="6076"/>
      <c r="R24" s="1827"/>
      <c r="S24" s="1827"/>
      <c r="T24" s="1827"/>
      <c r="U24" s="1827"/>
      <c r="V24" s="1827"/>
      <c r="W24" s="1827"/>
      <c r="X24" s="345"/>
      <c r="Y24" s="345"/>
      <c r="Z24" s="345"/>
      <c r="AA24" s="345"/>
      <c r="AB24" s="345"/>
      <c r="AC24" s="345"/>
      <c r="AD24" s="345"/>
      <c r="AE24" s="345"/>
      <c r="AF24" s="345"/>
      <c r="AG24" s="345"/>
      <c r="AH24" s="345"/>
      <c r="AI24" s="345"/>
      <c r="AJ24" s="345"/>
      <c r="AK24" s="345"/>
      <c r="AL24" s="345"/>
      <c r="AM24" s="345"/>
      <c r="AN24" s="345"/>
      <c r="AO24" s="345"/>
      <c r="AP24" s="345"/>
      <c r="AQ24" s="345"/>
      <c r="AR24" s="345"/>
      <c r="AS24" s="345"/>
      <c r="AT24" s="345"/>
      <c r="AU24" s="345"/>
      <c r="AV24" s="345"/>
      <c r="AW24" s="345"/>
      <c r="AX24" s="345"/>
      <c r="AY24" s="345"/>
      <c r="AZ24" s="345"/>
      <c r="BA24" s="345"/>
      <c r="BB24" s="345"/>
      <c r="BC24" s="345"/>
      <c r="BD24" s="345"/>
      <c r="BE24" s="345"/>
      <c r="BF24" s="345"/>
      <c r="BG24" s="345"/>
      <c r="BH24" s="345"/>
      <c r="BI24" s="345"/>
      <c r="BJ24" s="345"/>
      <c r="BK24" s="345"/>
      <c r="BL24" s="345"/>
      <c r="BM24" s="345"/>
      <c r="BN24" s="345"/>
      <c r="BO24" s="345"/>
      <c r="BP24" s="345"/>
      <c r="BQ24" s="345"/>
      <c r="BR24" s="345"/>
      <c r="BS24" s="345"/>
      <c r="BT24" s="345"/>
      <c r="BU24" s="345"/>
      <c r="BV24" s="345"/>
      <c r="BW24" s="345"/>
      <c r="BX24" s="345"/>
      <c r="BY24" s="345"/>
      <c r="BZ24" s="345"/>
      <c r="CA24" s="345"/>
      <c r="CB24" s="345"/>
      <c r="CC24" s="345"/>
      <c r="CD24" s="345"/>
      <c r="CE24" s="345"/>
      <c r="CF24" s="345"/>
      <c r="CG24" s="345"/>
      <c r="CH24" s="345"/>
      <c r="CI24" s="345"/>
      <c r="CJ24" s="345"/>
      <c r="CK24" s="345"/>
      <c r="CL24" s="345"/>
      <c r="CM24" s="345"/>
      <c r="CN24" s="345"/>
      <c r="CO24" s="345"/>
      <c r="CP24" s="345"/>
      <c r="CQ24" s="345"/>
      <c r="CR24" s="345"/>
      <c r="CS24" s="345"/>
      <c r="CT24" s="345"/>
      <c r="CU24" s="345"/>
      <c r="CV24" s="345"/>
      <c r="CW24" s="345"/>
      <c r="CX24" s="345"/>
      <c r="CY24" s="345"/>
      <c r="CZ24" s="345"/>
      <c r="DA24" s="345"/>
      <c r="DB24" s="345"/>
      <c r="DC24" s="345"/>
      <c r="DD24" s="345"/>
      <c r="DE24" s="345"/>
      <c r="DF24" s="345"/>
      <c r="DG24" s="345"/>
      <c r="DH24" s="345"/>
      <c r="DI24" s="345"/>
      <c r="DJ24" s="345"/>
      <c r="DK24" s="345"/>
      <c r="DL24" s="345"/>
      <c r="DM24" s="345"/>
      <c r="DN24" s="345"/>
      <c r="DO24" s="345"/>
      <c r="DP24" s="345"/>
      <c r="DQ24" s="345"/>
      <c r="DR24" s="345"/>
      <c r="DS24" s="345"/>
      <c r="DT24" s="345"/>
      <c r="DU24" s="345"/>
      <c r="DV24" s="345"/>
      <c r="DW24" s="345"/>
      <c r="DX24" s="345"/>
      <c r="DY24" s="345"/>
      <c r="DZ24" s="345"/>
      <c r="EA24" s="345"/>
    </row>
    <row r="25" spans="1:131" ht="15.95" customHeight="1">
      <c r="A25" s="345"/>
      <c r="B25" s="345"/>
      <c r="C25" s="2447"/>
      <c r="D25" s="6169"/>
      <c r="E25" s="6181"/>
      <c r="F25" s="6174"/>
      <c r="G25" s="6175"/>
      <c r="H25" s="6175"/>
      <c r="I25" s="6176"/>
      <c r="J25" s="5821"/>
      <c r="K25" s="6025"/>
      <c r="L25" s="6179"/>
      <c r="M25" s="6180"/>
      <c r="N25" s="6074"/>
      <c r="O25" s="6075"/>
      <c r="P25" s="6075"/>
      <c r="Q25" s="6076"/>
      <c r="R25" s="1827"/>
      <c r="S25" s="1827"/>
      <c r="T25" s="1827"/>
      <c r="U25" s="1827"/>
      <c r="V25" s="1827"/>
      <c r="W25" s="1827"/>
      <c r="X25" s="345"/>
      <c r="Y25" s="345"/>
      <c r="Z25" s="345"/>
      <c r="AA25" s="345"/>
      <c r="AB25" s="345"/>
      <c r="AC25" s="345"/>
      <c r="AD25" s="345"/>
      <c r="AE25" s="345"/>
      <c r="AF25" s="345"/>
      <c r="AG25" s="345"/>
      <c r="AH25" s="345"/>
      <c r="AI25" s="345"/>
      <c r="AJ25" s="345"/>
      <c r="AK25" s="345"/>
      <c r="AL25" s="345"/>
      <c r="AM25" s="345"/>
      <c r="AN25" s="345"/>
      <c r="AO25" s="345"/>
      <c r="AP25" s="345"/>
      <c r="AQ25" s="345"/>
      <c r="AR25" s="345"/>
      <c r="AS25" s="345"/>
      <c r="AT25" s="345"/>
      <c r="AU25" s="345"/>
      <c r="AV25" s="345"/>
      <c r="AW25" s="345"/>
      <c r="AX25" s="345"/>
      <c r="AY25" s="345"/>
      <c r="AZ25" s="345"/>
      <c r="BA25" s="345"/>
      <c r="BB25" s="345"/>
      <c r="BC25" s="345"/>
      <c r="BD25" s="345"/>
      <c r="BE25" s="345"/>
      <c r="BF25" s="345"/>
      <c r="BG25" s="345"/>
      <c r="BH25" s="345"/>
      <c r="BI25" s="345"/>
      <c r="BJ25" s="345"/>
      <c r="BK25" s="345"/>
      <c r="BL25" s="345"/>
      <c r="BM25" s="345"/>
      <c r="BN25" s="345"/>
      <c r="BO25" s="345"/>
      <c r="BP25" s="345"/>
      <c r="BQ25" s="345"/>
      <c r="BR25" s="345"/>
      <c r="BS25" s="345"/>
      <c r="BT25" s="345"/>
      <c r="BU25" s="345"/>
      <c r="BV25" s="345"/>
      <c r="BW25" s="345"/>
      <c r="BX25" s="345"/>
      <c r="BY25" s="345"/>
      <c r="BZ25" s="345"/>
      <c r="CA25" s="345"/>
      <c r="CB25" s="345"/>
      <c r="CC25" s="345"/>
      <c r="CD25" s="345"/>
      <c r="CE25" s="345"/>
      <c r="CF25" s="345"/>
      <c r="CG25" s="345"/>
      <c r="CH25" s="345"/>
      <c r="CI25" s="345"/>
      <c r="CJ25" s="345"/>
      <c r="CK25" s="345"/>
      <c r="CL25" s="345"/>
      <c r="CM25" s="345"/>
      <c r="CN25" s="345"/>
      <c r="CO25" s="345"/>
      <c r="CP25" s="345"/>
      <c r="CQ25" s="345"/>
      <c r="CR25" s="345"/>
      <c r="CS25" s="345"/>
      <c r="CT25" s="345"/>
      <c r="CU25" s="345"/>
      <c r="CV25" s="345"/>
      <c r="CW25" s="345"/>
      <c r="CX25" s="345"/>
      <c r="CY25" s="345"/>
      <c r="CZ25" s="345"/>
      <c r="DA25" s="345"/>
      <c r="DB25" s="345"/>
      <c r="DC25" s="345"/>
      <c r="DD25" s="345"/>
      <c r="DE25" s="345"/>
      <c r="DF25" s="345"/>
      <c r="DG25" s="345"/>
      <c r="DH25" s="345"/>
      <c r="DI25" s="345"/>
      <c r="DJ25" s="345"/>
      <c r="DK25" s="345"/>
      <c r="DL25" s="345"/>
      <c r="DM25" s="345"/>
      <c r="DN25" s="345"/>
      <c r="DO25" s="345"/>
      <c r="DP25" s="345"/>
      <c r="DQ25" s="345"/>
      <c r="DR25" s="345"/>
      <c r="DS25" s="345"/>
      <c r="DT25" s="345"/>
      <c r="DU25" s="345"/>
      <c r="DV25" s="345"/>
      <c r="DW25" s="345"/>
      <c r="DX25" s="345"/>
      <c r="DY25" s="345"/>
      <c r="DZ25" s="345"/>
      <c r="EA25" s="345"/>
    </row>
    <row r="26" spans="1:131" ht="15.95" customHeight="1">
      <c r="A26" s="345"/>
      <c r="B26" s="345"/>
      <c r="C26" s="2447"/>
      <c r="D26" s="6169"/>
      <c r="E26" s="6181" t="s">
        <v>278</v>
      </c>
      <c r="F26" s="6171" t="s">
        <v>1469</v>
      </c>
      <c r="G26" s="6172"/>
      <c r="H26" s="6172"/>
      <c r="I26" s="6173"/>
      <c r="J26" s="5821" t="s">
        <v>1474</v>
      </c>
      <c r="K26" s="6025" t="s">
        <v>5</v>
      </c>
      <c r="L26" s="6177">
        <v>0</v>
      </c>
      <c r="M26" s="6178"/>
      <c r="N26" s="6074"/>
      <c r="O26" s="6075"/>
      <c r="P26" s="6075"/>
      <c r="Q26" s="6076"/>
      <c r="R26" s="1827"/>
      <c r="S26" s="1827"/>
      <c r="T26" s="1827"/>
      <c r="U26" s="1827"/>
      <c r="V26" s="1827"/>
      <c r="W26" s="1827"/>
      <c r="X26" s="345"/>
      <c r="Y26" s="345"/>
      <c r="Z26" s="345"/>
      <c r="AA26" s="345"/>
      <c r="AB26" s="345"/>
      <c r="AC26" s="345"/>
      <c r="AD26" s="345"/>
      <c r="AE26" s="345"/>
      <c r="AF26" s="345"/>
      <c r="AG26" s="345"/>
      <c r="AH26" s="345"/>
      <c r="AI26" s="345"/>
      <c r="AJ26" s="345"/>
      <c r="AK26" s="345"/>
      <c r="AL26" s="345"/>
      <c r="AM26" s="345"/>
      <c r="AN26" s="345"/>
      <c r="AO26" s="345"/>
      <c r="AP26" s="345"/>
      <c r="AQ26" s="345"/>
      <c r="AR26" s="345"/>
      <c r="AS26" s="345"/>
      <c r="AT26" s="345"/>
      <c r="AU26" s="345"/>
      <c r="AV26" s="345"/>
      <c r="AW26" s="345"/>
      <c r="AX26" s="345"/>
      <c r="AY26" s="345"/>
      <c r="AZ26" s="345"/>
      <c r="BA26" s="345"/>
      <c r="BB26" s="345"/>
      <c r="BC26" s="345"/>
      <c r="BD26" s="345"/>
      <c r="BE26" s="345"/>
      <c r="BF26" s="345"/>
      <c r="BG26" s="345"/>
      <c r="BH26" s="345"/>
      <c r="BI26" s="345"/>
      <c r="BJ26" s="345"/>
      <c r="BK26" s="345"/>
      <c r="BL26" s="345"/>
      <c r="BM26" s="345"/>
      <c r="BN26" s="345"/>
      <c r="BO26" s="345"/>
      <c r="BP26" s="345"/>
      <c r="BQ26" s="345"/>
      <c r="BR26" s="345"/>
      <c r="BS26" s="345"/>
      <c r="BT26" s="345"/>
      <c r="BU26" s="345"/>
      <c r="BV26" s="345"/>
      <c r="BW26" s="345"/>
      <c r="BX26" s="345"/>
      <c r="BY26" s="345"/>
      <c r="BZ26" s="345"/>
      <c r="CA26" s="345"/>
      <c r="CB26" s="345"/>
      <c r="CC26" s="345"/>
      <c r="CD26" s="345"/>
      <c r="CE26" s="345"/>
      <c r="CF26" s="345"/>
      <c r="CG26" s="345"/>
      <c r="CH26" s="345"/>
      <c r="CI26" s="345"/>
      <c r="CJ26" s="345"/>
      <c r="CK26" s="345"/>
      <c r="CL26" s="345"/>
      <c r="CM26" s="345"/>
      <c r="CN26" s="345"/>
      <c r="CO26" s="345"/>
      <c r="CP26" s="345"/>
      <c r="CQ26" s="345"/>
      <c r="CR26" s="345"/>
      <c r="CS26" s="345"/>
      <c r="CT26" s="345"/>
      <c r="CU26" s="345"/>
      <c r="CV26" s="345"/>
      <c r="CW26" s="345"/>
      <c r="CX26" s="345"/>
      <c r="CY26" s="345"/>
      <c r="CZ26" s="345"/>
      <c r="DA26" s="345"/>
      <c r="DB26" s="345"/>
      <c r="DC26" s="345"/>
      <c r="DD26" s="345"/>
      <c r="DE26" s="345"/>
      <c r="DF26" s="345"/>
      <c r="DG26" s="345"/>
      <c r="DH26" s="345"/>
      <c r="DI26" s="345"/>
      <c r="DJ26" s="345"/>
      <c r="DK26" s="345"/>
      <c r="DL26" s="345"/>
      <c r="DM26" s="345"/>
      <c r="DN26" s="345"/>
      <c r="DO26" s="345"/>
      <c r="DP26" s="345"/>
      <c r="DQ26" s="345"/>
      <c r="DR26" s="345"/>
      <c r="DS26" s="345"/>
      <c r="DT26" s="345"/>
      <c r="DU26" s="345"/>
      <c r="DV26" s="345"/>
      <c r="DW26" s="345"/>
      <c r="DX26" s="345"/>
      <c r="DY26" s="345"/>
      <c r="DZ26" s="345"/>
      <c r="EA26" s="345"/>
    </row>
    <row r="27" spans="1:131" ht="15.95" customHeight="1">
      <c r="A27" s="345"/>
      <c r="B27" s="345"/>
      <c r="C27" s="2447"/>
      <c r="D27" s="6170"/>
      <c r="E27" s="6181"/>
      <c r="F27" s="6174"/>
      <c r="G27" s="6175"/>
      <c r="H27" s="6175"/>
      <c r="I27" s="6176"/>
      <c r="J27" s="5821"/>
      <c r="K27" s="6025"/>
      <c r="L27" s="6179"/>
      <c r="M27" s="6180"/>
      <c r="N27" s="6077"/>
      <c r="O27" s="6078"/>
      <c r="P27" s="6078"/>
      <c r="Q27" s="6079"/>
      <c r="R27" s="1827"/>
      <c r="S27" s="1827"/>
      <c r="T27" s="1827"/>
      <c r="U27" s="1827"/>
      <c r="V27" s="1827"/>
      <c r="W27" s="1827"/>
      <c r="X27" s="345"/>
      <c r="Y27" s="345"/>
      <c r="Z27" s="345"/>
      <c r="AA27" s="345"/>
      <c r="AB27" s="345"/>
      <c r="AC27" s="345"/>
      <c r="AD27" s="345"/>
      <c r="AE27" s="345"/>
      <c r="AF27" s="345"/>
      <c r="AG27" s="345"/>
      <c r="AH27" s="345"/>
      <c r="AI27" s="345"/>
      <c r="AJ27" s="345"/>
      <c r="AK27" s="345"/>
      <c r="AL27" s="345"/>
      <c r="AM27" s="345"/>
      <c r="AN27" s="345"/>
      <c r="AO27" s="345"/>
      <c r="AP27" s="345"/>
      <c r="AQ27" s="345"/>
      <c r="AR27" s="345"/>
      <c r="AS27" s="345"/>
      <c r="AT27" s="345"/>
      <c r="AU27" s="345"/>
      <c r="AV27" s="345"/>
      <c r="AW27" s="345"/>
      <c r="AX27" s="345"/>
      <c r="AY27" s="345"/>
      <c r="AZ27" s="345"/>
      <c r="BA27" s="345"/>
      <c r="BB27" s="345"/>
      <c r="BC27" s="345"/>
      <c r="BD27" s="345"/>
      <c r="BE27" s="345"/>
      <c r="BF27" s="345"/>
      <c r="BG27" s="345"/>
      <c r="BH27" s="345"/>
      <c r="BI27" s="345"/>
      <c r="BJ27" s="345"/>
      <c r="BK27" s="345"/>
      <c r="BL27" s="345"/>
      <c r="BM27" s="345"/>
      <c r="BN27" s="345"/>
      <c r="BO27" s="345"/>
      <c r="BP27" s="345"/>
      <c r="BQ27" s="345"/>
      <c r="BR27" s="345"/>
      <c r="BS27" s="345"/>
      <c r="BT27" s="345"/>
      <c r="BU27" s="345"/>
      <c r="BV27" s="345"/>
      <c r="BW27" s="345"/>
      <c r="BX27" s="345"/>
      <c r="BY27" s="345"/>
      <c r="BZ27" s="345"/>
      <c r="CA27" s="345"/>
      <c r="CB27" s="345"/>
      <c r="CC27" s="345"/>
      <c r="CD27" s="345"/>
      <c r="CE27" s="345"/>
      <c r="CF27" s="345"/>
      <c r="CG27" s="345"/>
      <c r="CH27" s="345"/>
      <c r="CI27" s="345"/>
      <c r="CJ27" s="345"/>
      <c r="CK27" s="345"/>
      <c r="CL27" s="345"/>
      <c r="CM27" s="345"/>
      <c r="CN27" s="345"/>
      <c r="CO27" s="345"/>
      <c r="CP27" s="345"/>
      <c r="CQ27" s="345"/>
      <c r="CR27" s="345"/>
      <c r="CS27" s="345"/>
      <c r="CT27" s="345"/>
      <c r="CU27" s="345"/>
      <c r="CV27" s="345"/>
      <c r="CW27" s="345"/>
      <c r="CX27" s="345"/>
      <c r="CY27" s="345"/>
      <c r="CZ27" s="345"/>
      <c r="DA27" s="345"/>
      <c r="DB27" s="345"/>
      <c r="DC27" s="345"/>
      <c r="DD27" s="345"/>
      <c r="DE27" s="345"/>
      <c r="DF27" s="345"/>
      <c r="DG27" s="345"/>
      <c r="DH27" s="345"/>
      <c r="DI27" s="345"/>
      <c r="DJ27" s="345"/>
      <c r="DK27" s="345"/>
      <c r="DL27" s="345"/>
      <c r="DM27" s="345"/>
      <c r="DN27" s="345"/>
      <c r="DO27" s="345"/>
      <c r="DP27" s="345"/>
      <c r="DQ27" s="345"/>
      <c r="DR27" s="345"/>
      <c r="DS27" s="345"/>
      <c r="DT27" s="345"/>
      <c r="DU27" s="345"/>
      <c r="DV27" s="345"/>
      <c r="DW27" s="345"/>
      <c r="DX27" s="345"/>
      <c r="DY27" s="345"/>
      <c r="DZ27" s="345"/>
      <c r="EA27" s="345"/>
    </row>
    <row r="28" spans="1:131" ht="15.95" customHeight="1">
      <c r="A28" s="345"/>
      <c r="B28" s="345"/>
      <c r="C28" s="2447"/>
      <c r="D28" s="2598" t="s">
        <v>1475</v>
      </c>
      <c r="E28" s="2603"/>
      <c r="F28" s="6009" t="s">
        <v>1561</v>
      </c>
      <c r="G28" s="6009"/>
      <c r="H28" s="6009"/>
      <c r="I28" s="6009"/>
      <c r="J28" s="6009"/>
      <c r="K28" s="6009"/>
      <c r="L28" s="5953" t="s">
        <v>1560</v>
      </c>
      <c r="M28" s="6040"/>
      <c r="N28" s="2599" t="s">
        <v>1475</v>
      </c>
      <c r="O28" s="2513" t="s">
        <v>5</v>
      </c>
      <c r="P28" s="6806">
        <f>SUM(M29+M31)</f>
        <v>0</v>
      </c>
      <c r="Q28" s="6037"/>
      <c r="R28" s="1827"/>
      <c r="S28" s="1827"/>
      <c r="T28" s="1827"/>
      <c r="U28" s="1827"/>
      <c r="V28" s="1827"/>
      <c r="W28" s="1827"/>
      <c r="X28" s="345"/>
      <c r="Y28" s="345"/>
      <c r="Z28" s="345"/>
      <c r="AA28" s="345"/>
      <c r="AB28" s="345"/>
      <c r="AC28" s="345"/>
      <c r="AD28" s="345"/>
      <c r="AE28" s="345"/>
      <c r="AF28" s="345"/>
      <c r="AG28" s="345"/>
      <c r="AH28" s="345"/>
      <c r="AI28" s="345"/>
      <c r="AJ28" s="345"/>
      <c r="AK28" s="345"/>
      <c r="AL28" s="345"/>
      <c r="AM28" s="345"/>
      <c r="AN28" s="345"/>
      <c r="AO28" s="345"/>
      <c r="AP28" s="345"/>
      <c r="AQ28" s="345"/>
      <c r="AR28" s="345"/>
      <c r="AS28" s="345"/>
      <c r="AT28" s="345"/>
      <c r="AU28" s="345"/>
      <c r="AV28" s="345"/>
      <c r="AW28" s="345"/>
      <c r="AX28" s="345"/>
      <c r="AY28" s="345"/>
      <c r="AZ28" s="345"/>
      <c r="BA28" s="345"/>
      <c r="BB28" s="345"/>
      <c r="BC28" s="345"/>
      <c r="BD28" s="345"/>
      <c r="BE28" s="345"/>
      <c r="BF28" s="345"/>
      <c r="BG28" s="345"/>
      <c r="BH28" s="345"/>
      <c r="BI28" s="345"/>
      <c r="BJ28" s="345"/>
      <c r="BK28" s="345"/>
      <c r="BL28" s="345"/>
      <c r="BM28" s="345"/>
      <c r="BN28" s="345"/>
      <c r="BO28" s="345"/>
      <c r="BP28" s="345"/>
      <c r="BQ28" s="345"/>
      <c r="BR28" s="345"/>
      <c r="BS28" s="345"/>
      <c r="BT28" s="345"/>
      <c r="BU28" s="345"/>
      <c r="BV28" s="345"/>
      <c r="BW28" s="345"/>
      <c r="BX28" s="345"/>
      <c r="BY28" s="345"/>
      <c r="BZ28" s="345"/>
      <c r="CA28" s="345"/>
      <c r="CB28" s="345"/>
      <c r="CC28" s="345"/>
      <c r="CD28" s="345"/>
      <c r="CE28" s="345"/>
      <c r="CF28" s="345"/>
      <c r="CG28" s="345"/>
      <c r="CH28" s="345"/>
      <c r="CI28" s="345"/>
      <c r="CJ28" s="345"/>
      <c r="CK28" s="345"/>
      <c r="CL28" s="345"/>
      <c r="CM28" s="345"/>
      <c r="CN28" s="345"/>
      <c r="CO28" s="345"/>
      <c r="CP28" s="345"/>
      <c r="CQ28" s="345"/>
      <c r="CR28" s="345"/>
      <c r="CS28" s="345"/>
      <c r="CT28" s="345"/>
      <c r="CU28" s="345"/>
      <c r="CV28" s="345"/>
      <c r="CW28" s="345"/>
      <c r="CX28" s="345"/>
      <c r="CY28" s="345"/>
      <c r="CZ28" s="345"/>
      <c r="DA28" s="345"/>
      <c r="DB28" s="345"/>
      <c r="DC28" s="345"/>
      <c r="DD28" s="345"/>
      <c r="DE28" s="345"/>
      <c r="DF28" s="345"/>
      <c r="DG28" s="345"/>
      <c r="DH28" s="345"/>
      <c r="DI28" s="345"/>
      <c r="DJ28" s="345"/>
      <c r="DK28" s="345"/>
      <c r="DL28" s="345"/>
      <c r="DM28" s="345"/>
      <c r="DN28" s="345"/>
      <c r="DO28" s="345"/>
      <c r="DP28" s="345"/>
      <c r="DQ28" s="345"/>
      <c r="DR28" s="345"/>
      <c r="DS28" s="345"/>
      <c r="DT28" s="345"/>
      <c r="DU28" s="345"/>
      <c r="DV28" s="345"/>
      <c r="DW28" s="345"/>
      <c r="DX28" s="345"/>
      <c r="DY28" s="345"/>
      <c r="DZ28" s="345"/>
      <c r="EA28" s="345"/>
    </row>
    <row r="29" spans="1:131" ht="25.5" customHeight="1">
      <c r="A29" s="345"/>
      <c r="B29" s="345"/>
      <c r="C29" s="2447"/>
      <c r="D29" s="6054"/>
      <c r="E29" s="6055"/>
      <c r="F29" s="6025" t="s">
        <v>1352</v>
      </c>
      <c r="G29" s="6089" t="s">
        <v>1557</v>
      </c>
      <c r="H29" s="6090"/>
      <c r="I29" s="6091"/>
      <c r="J29" s="6087"/>
      <c r="K29" s="6088"/>
      <c r="L29" s="6085" t="s">
        <v>5</v>
      </c>
      <c r="M29" s="6807">
        <f>'New Tax Regime'!M11</f>
        <v>0</v>
      </c>
      <c r="N29" s="6061"/>
      <c r="O29" s="6071"/>
      <c r="P29" s="6072"/>
      <c r="Q29" s="6073"/>
      <c r="R29" s="1827"/>
      <c r="S29" s="1827"/>
      <c r="T29" s="1827"/>
      <c r="U29" s="1827"/>
      <c r="V29" s="1827"/>
      <c r="W29" s="1827"/>
      <c r="X29" s="345"/>
      <c r="Y29" s="345"/>
      <c r="Z29" s="345"/>
      <c r="AA29" s="345"/>
      <c r="AB29" s="345"/>
      <c r="AC29" s="345"/>
      <c r="AD29" s="345"/>
      <c r="AE29" s="345"/>
      <c r="AF29" s="345"/>
      <c r="AG29" s="345"/>
      <c r="AH29" s="345"/>
      <c r="AI29" s="345"/>
      <c r="AJ29" s="345"/>
      <c r="AK29" s="345"/>
      <c r="AL29" s="345"/>
      <c r="AM29" s="345"/>
      <c r="AN29" s="345"/>
      <c r="AO29" s="345"/>
      <c r="AP29" s="345"/>
      <c r="AQ29" s="345"/>
      <c r="AR29" s="345"/>
      <c r="AS29" s="345"/>
      <c r="AT29" s="345"/>
      <c r="AU29" s="345"/>
      <c r="AV29" s="345"/>
      <c r="AW29" s="345"/>
      <c r="AX29" s="345"/>
      <c r="AY29" s="345"/>
      <c r="AZ29" s="345"/>
      <c r="BA29" s="345"/>
      <c r="BB29" s="345"/>
      <c r="BC29" s="345"/>
      <c r="BD29" s="345"/>
      <c r="BE29" s="345"/>
      <c r="BF29" s="345"/>
      <c r="BG29" s="345"/>
      <c r="BH29" s="345"/>
      <c r="BI29" s="345"/>
      <c r="BJ29" s="345"/>
      <c r="BK29" s="345"/>
      <c r="BL29" s="345"/>
      <c r="BM29" s="345"/>
      <c r="BN29" s="345"/>
      <c r="BO29" s="345"/>
      <c r="BP29" s="345"/>
      <c r="BQ29" s="345"/>
      <c r="BR29" s="345"/>
      <c r="BS29" s="345"/>
      <c r="BT29" s="345"/>
      <c r="BU29" s="345"/>
      <c r="BV29" s="345"/>
      <c r="BW29" s="345"/>
      <c r="BX29" s="345"/>
      <c r="BY29" s="345"/>
      <c r="BZ29" s="345"/>
      <c r="CA29" s="345"/>
      <c r="CB29" s="345"/>
      <c r="CC29" s="345"/>
      <c r="CD29" s="345"/>
      <c r="CE29" s="345"/>
      <c r="CF29" s="345"/>
      <c r="CG29" s="345"/>
      <c r="CH29" s="345"/>
      <c r="CI29" s="345"/>
      <c r="CJ29" s="345"/>
      <c r="CK29" s="345"/>
      <c r="CL29" s="345"/>
      <c r="CM29" s="345"/>
      <c r="CN29" s="345"/>
      <c r="CO29" s="345"/>
      <c r="CP29" s="345"/>
      <c r="CQ29" s="345"/>
      <c r="CR29" s="345"/>
      <c r="CS29" s="345"/>
      <c r="CT29" s="345"/>
      <c r="CU29" s="345"/>
      <c r="CV29" s="345"/>
      <c r="CW29" s="345"/>
      <c r="CX29" s="345"/>
      <c r="CY29" s="345"/>
      <c r="CZ29" s="345"/>
      <c r="DA29" s="345"/>
      <c r="DB29" s="345"/>
      <c r="DC29" s="345"/>
      <c r="DD29" s="345"/>
      <c r="DE29" s="345"/>
      <c r="DF29" s="345"/>
      <c r="DG29" s="345"/>
      <c r="DH29" s="345"/>
      <c r="DI29" s="345"/>
      <c r="DJ29" s="345"/>
      <c r="DK29" s="345"/>
      <c r="DL29" s="345"/>
      <c r="DM29" s="345"/>
      <c r="DN29" s="345"/>
      <c r="DO29" s="345"/>
      <c r="DP29" s="345"/>
      <c r="DQ29" s="345"/>
      <c r="DR29" s="345"/>
      <c r="DS29" s="345"/>
      <c r="DT29" s="345"/>
      <c r="DU29" s="345"/>
      <c r="DV29" s="345"/>
      <c r="DW29" s="345"/>
      <c r="DX29" s="345"/>
      <c r="DY29" s="345"/>
      <c r="DZ29" s="345"/>
      <c r="EA29" s="345"/>
    </row>
    <row r="30" spans="1:131" ht="18" customHeight="1">
      <c r="A30" s="345"/>
      <c r="B30" s="345"/>
      <c r="C30" s="2447"/>
      <c r="D30" s="6058"/>
      <c r="E30" s="6059"/>
      <c r="F30" s="6025"/>
      <c r="G30" s="6092"/>
      <c r="H30" s="6093"/>
      <c r="I30" s="6094"/>
      <c r="J30" s="5824"/>
      <c r="K30" s="5825"/>
      <c r="L30" s="6086"/>
      <c r="M30" s="6062"/>
      <c r="N30" s="6063"/>
      <c r="O30" s="6074"/>
      <c r="P30" s="6075"/>
      <c r="Q30" s="6076"/>
      <c r="R30" s="1827"/>
      <c r="S30" s="1827"/>
      <c r="T30" s="1827"/>
      <c r="U30" s="1827"/>
      <c r="V30" s="1827"/>
      <c r="W30" s="1827"/>
      <c r="X30" s="345"/>
      <c r="Y30" s="345"/>
      <c r="Z30" s="345"/>
      <c r="AA30" s="345"/>
      <c r="AB30" s="345"/>
      <c r="AC30" s="345"/>
      <c r="AD30" s="345"/>
      <c r="AE30" s="345"/>
      <c r="AF30" s="345"/>
      <c r="AG30" s="345"/>
      <c r="AH30" s="345"/>
      <c r="AI30" s="345"/>
      <c r="AJ30" s="345"/>
      <c r="AK30" s="345"/>
      <c r="AL30" s="345"/>
      <c r="AM30" s="345"/>
      <c r="AN30" s="345"/>
      <c r="AO30" s="345"/>
      <c r="AP30" s="345"/>
      <c r="AQ30" s="345"/>
      <c r="AR30" s="345"/>
      <c r="AS30" s="345"/>
      <c r="AT30" s="345"/>
      <c r="AU30" s="345"/>
      <c r="AV30" s="345"/>
      <c r="AW30" s="345"/>
      <c r="AX30" s="345"/>
      <c r="AY30" s="345"/>
      <c r="AZ30" s="345"/>
      <c r="BA30" s="345"/>
      <c r="BB30" s="345"/>
      <c r="BC30" s="345"/>
      <c r="BD30" s="345"/>
      <c r="BE30" s="345"/>
      <c r="BF30" s="345"/>
      <c r="BG30" s="345"/>
      <c r="BH30" s="345"/>
      <c r="BI30" s="345"/>
      <c r="BJ30" s="345"/>
      <c r="BK30" s="345"/>
      <c r="BL30" s="345"/>
      <c r="BM30" s="345"/>
      <c r="BN30" s="345"/>
      <c r="BO30" s="345"/>
      <c r="BP30" s="345"/>
      <c r="BQ30" s="345"/>
      <c r="BR30" s="345"/>
      <c r="BS30" s="345"/>
      <c r="BT30" s="345"/>
      <c r="BU30" s="345"/>
      <c r="BV30" s="345"/>
      <c r="BW30" s="345"/>
      <c r="BX30" s="345"/>
      <c r="BY30" s="345"/>
      <c r="BZ30" s="345"/>
      <c r="CA30" s="345"/>
      <c r="CB30" s="345"/>
      <c r="CC30" s="345"/>
      <c r="CD30" s="345"/>
      <c r="CE30" s="345"/>
      <c r="CF30" s="345"/>
      <c r="CG30" s="345"/>
      <c r="CH30" s="345"/>
      <c r="CI30" s="345"/>
      <c r="CJ30" s="345"/>
      <c r="CK30" s="345"/>
      <c r="CL30" s="345"/>
      <c r="CM30" s="345"/>
      <c r="CN30" s="345"/>
      <c r="CO30" s="345"/>
      <c r="CP30" s="345"/>
      <c r="CQ30" s="345"/>
      <c r="CR30" s="345"/>
      <c r="CS30" s="345"/>
      <c r="CT30" s="345"/>
      <c r="CU30" s="345"/>
      <c r="CV30" s="345"/>
      <c r="CW30" s="345"/>
      <c r="CX30" s="345"/>
      <c r="CY30" s="345"/>
      <c r="CZ30" s="345"/>
      <c r="DA30" s="345"/>
      <c r="DB30" s="345"/>
      <c r="DC30" s="345"/>
      <c r="DD30" s="345"/>
      <c r="DE30" s="345"/>
      <c r="DF30" s="345"/>
      <c r="DG30" s="345"/>
      <c r="DH30" s="345"/>
      <c r="DI30" s="345"/>
      <c r="DJ30" s="345"/>
      <c r="DK30" s="345"/>
      <c r="DL30" s="345"/>
      <c r="DM30" s="345"/>
      <c r="DN30" s="345"/>
      <c r="DO30" s="345"/>
      <c r="DP30" s="345"/>
      <c r="DQ30" s="345"/>
      <c r="DR30" s="345"/>
      <c r="DS30" s="345"/>
      <c r="DT30" s="345"/>
      <c r="DU30" s="345"/>
      <c r="DV30" s="345"/>
      <c r="DW30" s="345"/>
      <c r="DX30" s="345"/>
      <c r="DY30" s="345"/>
      <c r="DZ30" s="345"/>
      <c r="EA30" s="345"/>
    </row>
    <row r="31" spans="1:131" ht="28.5" customHeight="1">
      <c r="A31" s="345"/>
      <c r="B31" s="345"/>
      <c r="C31" s="2447"/>
      <c r="D31" s="6056"/>
      <c r="E31" s="6057"/>
      <c r="F31" s="2604" t="s">
        <v>1353</v>
      </c>
      <c r="G31" s="6095" t="s">
        <v>999</v>
      </c>
      <c r="H31" s="6096"/>
      <c r="I31" s="6097"/>
      <c r="J31" s="6098"/>
      <c r="K31" s="6098"/>
      <c r="L31" s="2605" t="s">
        <v>5</v>
      </c>
      <c r="M31" s="6099">
        <f>'New Tax Regime'!M12</f>
        <v>0</v>
      </c>
      <c r="N31" s="6100"/>
      <c r="O31" s="6077"/>
      <c r="P31" s="6078"/>
      <c r="Q31" s="6079"/>
      <c r="R31" s="1827"/>
      <c r="S31" s="1827"/>
      <c r="T31" s="1827"/>
      <c r="U31" s="1827"/>
      <c r="V31" s="1827"/>
      <c r="W31" s="1827"/>
      <c r="X31" s="345"/>
      <c r="Y31" s="345"/>
      <c r="Z31" s="345"/>
      <c r="AA31" s="345"/>
      <c r="AB31" s="345"/>
      <c r="AC31" s="345"/>
      <c r="AD31" s="345"/>
      <c r="AE31" s="345"/>
      <c r="AF31" s="345"/>
      <c r="AG31" s="345"/>
      <c r="AH31" s="345"/>
      <c r="AI31" s="345"/>
      <c r="AJ31" s="345"/>
      <c r="AK31" s="345"/>
      <c r="AL31" s="345"/>
      <c r="AM31" s="345"/>
      <c r="AN31" s="345"/>
      <c r="AO31" s="345"/>
      <c r="AP31" s="345"/>
      <c r="AQ31" s="345"/>
      <c r="AR31" s="345"/>
      <c r="AS31" s="345"/>
      <c r="AT31" s="345"/>
      <c r="AU31" s="345"/>
      <c r="AV31" s="345"/>
      <c r="AW31" s="345"/>
      <c r="AX31" s="345"/>
      <c r="AY31" s="345"/>
      <c r="AZ31" s="345"/>
      <c r="BA31" s="345"/>
      <c r="BB31" s="345"/>
      <c r="BC31" s="345"/>
      <c r="BD31" s="345"/>
      <c r="BE31" s="345"/>
      <c r="BF31" s="345"/>
      <c r="BG31" s="345"/>
      <c r="BH31" s="345"/>
      <c r="BI31" s="345"/>
      <c r="BJ31" s="345"/>
      <c r="BK31" s="345"/>
      <c r="BL31" s="345"/>
      <c r="BM31" s="345"/>
      <c r="BN31" s="345"/>
      <c r="BO31" s="345"/>
      <c r="BP31" s="345"/>
      <c r="BQ31" s="345"/>
      <c r="BR31" s="345"/>
      <c r="BS31" s="345"/>
      <c r="BT31" s="345"/>
      <c r="BU31" s="345"/>
      <c r="BV31" s="345"/>
      <c r="BW31" s="345"/>
      <c r="BX31" s="345"/>
      <c r="BY31" s="345"/>
      <c r="BZ31" s="345"/>
      <c r="CA31" s="345"/>
      <c r="CB31" s="345"/>
      <c r="CC31" s="345"/>
      <c r="CD31" s="345"/>
      <c r="CE31" s="345"/>
      <c r="CF31" s="345"/>
      <c r="CG31" s="345"/>
      <c r="CH31" s="345"/>
      <c r="CI31" s="345"/>
      <c r="CJ31" s="345"/>
      <c r="CK31" s="345"/>
      <c r="CL31" s="345"/>
      <c r="CM31" s="345"/>
      <c r="CN31" s="345"/>
      <c r="CO31" s="345"/>
      <c r="CP31" s="345"/>
      <c r="CQ31" s="345"/>
      <c r="CR31" s="345"/>
      <c r="CS31" s="345"/>
      <c r="CT31" s="345"/>
      <c r="CU31" s="345"/>
      <c r="CV31" s="345"/>
      <c r="CW31" s="345"/>
      <c r="CX31" s="345"/>
      <c r="CY31" s="345"/>
      <c r="CZ31" s="345"/>
      <c r="DA31" s="345"/>
      <c r="DB31" s="345"/>
      <c r="DC31" s="345"/>
      <c r="DD31" s="345"/>
      <c r="DE31" s="345"/>
      <c r="DF31" s="345"/>
      <c r="DG31" s="345"/>
      <c r="DH31" s="345"/>
      <c r="DI31" s="345"/>
      <c r="DJ31" s="345"/>
      <c r="DK31" s="345"/>
      <c r="DL31" s="345"/>
      <c r="DM31" s="345"/>
      <c r="DN31" s="345"/>
      <c r="DO31" s="345"/>
      <c r="DP31" s="345"/>
      <c r="DQ31" s="345"/>
      <c r="DR31" s="345"/>
      <c r="DS31" s="345"/>
      <c r="DT31" s="345"/>
      <c r="DU31" s="345"/>
      <c r="DV31" s="345"/>
      <c r="DW31" s="345"/>
      <c r="DX31" s="345"/>
      <c r="DY31" s="345"/>
      <c r="DZ31" s="345"/>
      <c r="EA31" s="345"/>
    </row>
    <row r="32" spans="1:131" ht="15.95" customHeight="1">
      <c r="A32" s="345"/>
      <c r="B32" s="345"/>
      <c r="C32" s="2447"/>
      <c r="D32" s="5884" t="s">
        <v>1477</v>
      </c>
      <c r="E32" s="5835"/>
      <c r="F32" s="6082" t="s">
        <v>1501</v>
      </c>
      <c r="G32" s="6083"/>
      <c r="H32" s="6083"/>
      <c r="I32" s="6083"/>
      <c r="J32" s="6083"/>
      <c r="K32" s="6083"/>
      <c r="L32" s="6083"/>
      <c r="M32" s="6084"/>
      <c r="N32" s="2452" t="s">
        <v>1477</v>
      </c>
      <c r="O32" s="2513" t="s">
        <v>5</v>
      </c>
      <c r="P32" s="6036">
        <f>SUM(P20-P28)</f>
        <v>1503534</v>
      </c>
      <c r="Q32" s="6037"/>
      <c r="R32" s="1827"/>
      <c r="S32" s="1827"/>
      <c r="T32" s="1827"/>
      <c r="U32" s="1827"/>
      <c r="V32" s="1827"/>
      <c r="W32" s="1827"/>
      <c r="X32" s="345"/>
      <c r="Y32" s="345"/>
      <c r="Z32" s="345"/>
      <c r="AA32" s="345"/>
      <c r="AB32" s="345"/>
      <c r="AC32" s="345"/>
      <c r="AD32" s="345"/>
      <c r="AE32" s="345"/>
      <c r="AF32" s="345"/>
      <c r="AG32" s="345"/>
      <c r="AH32" s="345"/>
      <c r="AI32" s="345"/>
      <c r="AJ32" s="345"/>
      <c r="AK32" s="345"/>
      <c r="AL32" s="345"/>
      <c r="AM32" s="345"/>
      <c r="AN32" s="345"/>
      <c r="AO32" s="345"/>
      <c r="AP32" s="345"/>
      <c r="AQ32" s="345"/>
      <c r="AR32" s="345"/>
      <c r="AS32" s="345"/>
      <c r="AT32" s="345"/>
      <c r="AU32" s="345"/>
      <c r="AV32" s="345"/>
      <c r="AW32" s="345"/>
      <c r="AX32" s="345"/>
      <c r="AY32" s="345"/>
      <c r="AZ32" s="345"/>
      <c r="BA32" s="345"/>
      <c r="BB32" s="345"/>
      <c r="BC32" s="345"/>
      <c r="BD32" s="345"/>
      <c r="BE32" s="345"/>
      <c r="BF32" s="345"/>
      <c r="BG32" s="345"/>
      <c r="BH32" s="345"/>
      <c r="BI32" s="345"/>
      <c r="BJ32" s="345"/>
      <c r="BK32" s="345"/>
      <c r="BL32" s="345"/>
      <c r="BM32" s="345"/>
      <c r="BN32" s="345"/>
      <c r="BO32" s="345"/>
      <c r="BP32" s="345"/>
      <c r="BQ32" s="345"/>
      <c r="BR32" s="345"/>
      <c r="BS32" s="345"/>
      <c r="BT32" s="345"/>
      <c r="BU32" s="345"/>
      <c r="BV32" s="345"/>
      <c r="BW32" s="345"/>
      <c r="BX32" s="345"/>
      <c r="BY32" s="345"/>
      <c r="BZ32" s="345"/>
      <c r="CA32" s="345"/>
      <c r="CB32" s="345"/>
      <c r="CC32" s="345"/>
      <c r="CD32" s="345"/>
      <c r="CE32" s="345"/>
      <c r="CF32" s="345"/>
      <c r="CG32" s="345"/>
      <c r="CH32" s="345"/>
      <c r="CI32" s="345"/>
      <c r="CJ32" s="345"/>
      <c r="CK32" s="345"/>
      <c r="CL32" s="345"/>
      <c r="CM32" s="345"/>
      <c r="CN32" s="345"/>
      <c r="CO32" s="345"/>
      <c r="CP32" s="345"/>
      <c r="CQ32" s="345"/>
      <c r="CR32" s="345"/>
      <c r="CS32" s="345"/>
      <c r="CT32" s="345"/>
      <c r="CU32" s="345"/>
      <c r="CV32" s="345"/>
      <c r="CW32" s="345"/>
      <c r="CX32" s="345"/>
      <c r="CY32" s="345"/>
      <c r="CZ32" s="345"/>
      <c r="DA32" s="345"/>
      <c r="DB32" s="345"/>
      <c r="DC32" s="345"/>
      <c r="DD32" s="345"/>
      <c r="DE32" s="345"/>
      <c r="DF32" s="345"/>
      <c r="DG32" s="345"/>
      <c r="DH32" s="345"/>
      <c r="DI32" s="345"/>
      <c r="DJ32" s="345"/>
      <c r="DK32" s="345"/>
      <c r="DL32" s="345"/>
      <c r="DM32" s="345"/>
      <c r="DN32" s="345"/>
      <c r="DO32" s="345"/>
      <c r="DP32" s="345"/>
      <c r="DQ32" s="345"/>
      <c r="DR32" s="345"/>
      <c r="DS32" s="345"/>
      <c r="DT32" s="345"/>
      <c r="DU32" s="345"/>
      <c r="DV32" s="345"/>
      <c r="DW32" s="345"/>
      <c r="DX32" s="345"/>
      <c r="DY32" s="345"/>
      <c r="DZ32" s="345"/>
      <c r="EA32" s="345"/>
    </row>
    <row r="33" spans="1:131" ht="15.95" customHeight="1">
      <c r="A33" s="345"/>
      <c r="B33" s="345"/>
      <c r="C33" s="2447"/>
      <c r="D33" s="5884" t="s">
        <v>1478</v>
      </c>
      <c r="E33" s="5826"/>
      <c r="F33" s="5927" t="s">
        <v>1562</v>
      </c>
      <c r="G33" s="5928"/>
      <c r="H33" s="5928"/>
      <c r="I33" s="5928"/>
      <c r="J33" s="5928"/>
      <c r="K33" s="5928"/>
      <c r="L33" s="5928"/>
      <c r="M33" s="5929"/>
      <c r="N33" s="2454" t="s">
        <v>1478</v>
      </c>
      <c r="O33" s="2513" t="s">
        <v>5</v>
      </c>
      <c r="P33" s="5905">
        <f>SUM(K34:M36)</f>
        <v>75000</v>
      </c>
      <c r="Q33" s="6064"/>
      <c r="R33" s="1827"/>
      <c r="S33" s="1827"/>
      <c r="T33" s="1827"/>
      <c r="U33" s="1827"/>
      <c r="V33" s="1827"/>
      <c r="W33" s="1827"/>
      <c r="X33" s="345"/>
      <c r="Y33" s="345"/>
      <c r="Z33" s="345"/>
      <c r="AA33" s="345"/>
      <c r="AB33" s="345"/>
      <c r="AC33" s="345"/>
      <c r="AD33" s="345"/>
      <c r="AE33" s="345"/>
      <c r="AF33" s="345"/>
      <c r="AG33" s="345"/>
      <c r="AH33" s="345"/>
      <c r="AI33" s="345"/>
      <c r="AJ33" s="345"/>
      <c r="AK33" s="345"/>
      <c r="AL33" s="345"/>
      <c r="AM33" s="345"/>
      <c r="AN33" s="345"/>
      <c r="AO33" s="345"/>
      <c r="AP33" s="345"/>
      <c r="AQ33" s="345"/>
      <c r="AR33" s="345"/>
      <c r="AS33" s="345"/>
      <c r="AT33" s="345"/>
      <c r="AU33" s="345"/>
      <c r="AV33" s="345"/>
      <c r="AW33" s="345"/>
      <c r="AX33" s="345"/>
      <c r="AY33" s="345"/>
      <c r="AZ33" s="345"/>
      <c r="BA33" s="345"/>
      <c r="BB33" s="345"/>
      <c r="BC33" s="345"/>
      <c r="BD33" s="345"/>
      <c r="BE33" s="345"/>
      <c r="BF33" s="345"/>
      <c r="BG33" s="345"/>
      <c r="BH33" s="345"/>
      <c r="BI33" s="345"/>
      <c r="BJ33" s="345"/>
      <c r="BK33" s="345"/>
      <c r="BL33" s="345"/>
      <c r="BM33" s="345"/>
      <c r="BN33" s="345"/>
      <c r="BO33" s="345"/>
      <c r="BP33" s="345"/>
      <c r="BQ33" s="345"/>
      <c r="BR33" s="345"/>
      <c r="BS33" s="345"/>
      <c r="BT33" s="345"/>
      <c r="BU33" s="345"/>
      <c r="BV33" s="345"/>
      <c r="BW33" s="345"/>
      <c r="BX33" s="345"/>
      <c r="BY33" s="345"/>
      <c r="BZ33" s="345"/>
      <c r="CA33" s="345"/>
      <c r="CB33" s="345"/>
      <c r="CC33" s="345"/>
      <c r="CD33" s="345"/>
      <c r="CE33" s="345"/>
      <c r="CF33" s="345"/>
      <c r="CG33" s="345"/>
      <c r="CH33" s="345"/>
      <c r="CI33" s="345"/>
      <c r="CJ33" s="345"/>
      <c r="CK33" s="345"/>
      <c r="CL33" s="345"/>
      <c r="CM33" s="345"/>
      <c r="CN33" s="345"/>
      <c r="CO33" s="345"/>
      <c r="CP33" s="345"/>
      <c r="CQ33" s="345"/>
      <c r="CR33" s="345"/>
      <c r="CS33" s="345"/>
      <c r="CT33" s="345"/>
      <c r="CU33" s="345"/>
      <c r="CV33" s="345"/>
      <c r="CW33" s="345"/>
      <c r="CX33" s="345"/>
      <c r="CY33" s="345"/>
      <c r="CZ33" s="345"/>
      <c r="DA33" s="345"/>
      <c r="DB33" s="345"/>
      <c r="DC33" s="345"/>
      <c r="DD33" s="345"/>
      <c r="DE33" s="345"/>
      <c r="DF33" s="345"/>
      <c r="DG33" s="345"/>
      <c r="DH33" s="345"/>
      <c r="DI33" s="345"/>
      <c r="DJ33" s="345"/>
      <c r="DK33" s="345"/>
      <c r="DL33" s="345"/>
      <c r="DM33" s="345"/>
      <c r="DN33" s="345"/>
      <c r="DO33" s="345"/>
      <c r="DP33" s="345"/>
      <c r="DQ33" s="345"/>
      <c r="DR33" s="345"/>
      <c r="DS33" s="345"/>
      <c r="DT33" s="345"/>
      <c r="DU33" s="345"/>
      <c r="DV33" s="345"/>
      <c r="DW33" s="345"/>
      <c r="DX33" s="345"/>
      <c r="DY33" s="345"/>
      <c r="DZ33" s="345"/>
      <c r="EA33" s="345"/>
    </row>
    <row r="34" spans="1:131" ht="15.95" customHeight="1">
      <c r="A34" s="345"/>
      <c r="B34" s="345"/>
      <c r="C34" s="2447"/>
      <c r="D34" s="5889"/>
      <c r="E34" s="6080"/>
      <c r="F34" s="2513" t="s">
        <v>1352</v>
      </c>
      <c r="G34" s="6043" t="s">
        <v>1484</v>
      </c>
      <c r="H34" s="6043"/>
      <c r="I34" s="2513" t="s">
        <v>1480</v>
      </c>
      <c r="J34" s="2513" t="s">
        <v>337</v>
      </c>
      <c r="K34" s="6027">
        <f>'New Tax Regime'!K16</f>
        <v>75000</v>
      </c>
      <c r="L34" s="6027"/>
      <c r="M34" s="6027"/>
      <c r="N34" s="6065"/>
      <c r="O34" s="6065"/>
      <c r="P34" s="6065"/>
      <c r="Q34" s="6066"/>
      <c r="R34" s="1827"/>
      <c r="S34" s="1827"/>
      <c r="T34" s="1827"/>
      <c r="U34" s="1827"/>
      <c r="V34" s="1827"/>
      <c r="W34" s="1827"/>
      <c r="X34" s="345"/>
      <c r="Y34" s="345"/>
      <c r="Z34" s="345"/>
      <c r="AA34" s="345"/>
      <c r="AB34" s="345"/>
      <c r="AC34" s="345"/>
      <c r="AD34" s="345"/>
      <c r="AE34" s="345"/>
      <c r="AF34" s="345"/>
      <c r="AG34" s="345"/>
      <c r="AH34" s="345"/>
      <c r="AI34" s="345"/>
      <c r="AJ34" s="345"/>
      <c r="AK34" s="345"/>
      <c r="AL34" s="345"/>
      <c r="AM34" s="345"/>
      <c r="AN34" s="345"/>
      <c r="AO34" s="345"/>
      <c r="AP34" s="345"/>
      <c r="AQ34" s="345"/>
      <c r="AR34" s="345"/>
      <c r="AS34" s="345"/>
      <c r="AT34" s="345"/>
      <c r="AU34" s="345"/>
      <c r="AV34" s="345"/>
      <c r="AW34" s="345"/>
      <c r="AX34" s="345"/>
      <c r="AY34" s="345"/>
      <c r="AZ34" s="345"/>
      <c r="BA34" s="345"/>
      <c r="BB34" s="345"/>
      <c r="BC34" s="345"/>
      <c r="BD34" s="345"/>
      <c r="BE34" s="345"/>
      <c r="BF34" s="345"/>
      <c r="BG34" s="345"/>
      <c r="BH34" s="345"/>
      <c r="BI34" s="345"/>
      <c r="BJ34" s="345"/>
      <c r="BK34" s="345"/>
      <c r="BL34" s="345"/>
      <c r="BM34" s="345"/>
      <c r="BN34" s="345"/>
      <c r="BO34" s="345"/>
      <c r="BP34" s="345"/>
      <c r="BQ34" s="345"/>
      <c r="BR34" s="345"/>
      <c r="BS34" s="345"/>
      <c r="BT34" s="345"/>
      <c r="BU34" s="345"/>
      <c r="BV34" s="345"/>
      <c r="BW34" s="345"/>
      <c r="BX34" s="345"/>
      <c r="BY34" s="345"/>
      <c r="BZ34" s="345"/>
      <c r="CA34" s="345"/>
      <c r="CB34" s="345"/>
      <c r="CC34" s="345"/>
      <c r="CD34" s="345"/>
      <c r="CE34" s="345"/>
      <c r="CF34" s="345"/>
      <c r="CG34" s="345"/>
      <c r="CH34" s="345"/>
      <c r="CI34" s="345"/>
      <c r="CJ34" s="345"/>
      <c r="CK34" s="345"/>
      <c r="CL34" s="345"/>
      <c r="CM34" s="345"/>
      <c r="CN34" s="345"/>
      <c r="CO34" s="345"/>
      <c r="CP34" s="345"/>
      <c r="CQ34" s="345"/>
      <c r="CR34" s="345"/>
      <c r="CS34" s="345"/>
      <c r="CT34" s="345"/>
      <c r="CU34" s="345"/>
      <c r="CV34" s="345"/>
      <c r="CW34" s="345"/>
      <c r="CX34" s="345"/>
      <c r="CY34" s="345"/>
      <c r="CZ34" s="345"/>
      <c r="DA34" s="345"/>
      <c r="DB34" s="345"/>
      <c r="DC34" s="345"/>
      <c r="DD34" s="345"/>
      <c r="DE34" s="345"/>
      <c r="DF34" s="345"/>
      <c r="DG34" s="345"/>
      <c r="DH34" s="345"/>
      <c r="DI34" s="345"/>
      <c r="DJ34" s="345"/>
      <c r="DK34" s="345"/>
      <c r="DL34" s="345"/>
      <c r="DM34" s="345"/>
      <c r="DN34" s="345"/>
      <c r="DO34" s="345"/>
      <c r="DP34" s="345"/>
      <c r="DQ34" s="345"/>
      <c r="DR34" s="345"/>
      <c r="DS34" s="345"/>
      <c r="DT34" s="345"/>
      <c r="DU34" s="345"/>
      <c r="DV34" s="345"/>
      <c r="DW34" s="345"/>
      <c r="DX34" s="345"/>
      <c r="DY34" s="345"/>
      <c r="DZ34" s="345"/>
      <c r="EA34" s="345"/>
    </row>
    <row r="35" spans="1:131" ht="15.95" customHeight="1">
      <c r="A35" s="345"/>
      <c r="B35" s="345"/>
      <c r="C35" s="2447"/>
      <c r="D35" s="5859"/>
      <c r="E35" s="6081"/>
      <c r="F35" s="2513" t="s">
        <v>1353</v>
      </c>
      <c r="G35" s="6043" t="s">
        <v>1485</v>
      </c>
      <c r="H35" s="6043"/>
      <c r="I35" s="2513" t="s">
        <v>1481</v>
      </c>
      <c r="J35" s="2513" t="s">
        <v>337</v>
      </c>
      <c r="K35" s="6027">
        <f>'New Tax Regime'!K17</f>
        <v>0</v>
      </c>
      <c r="L35" s="6027"/>
      <c r="M35" s="6027"/>
      <c r="N35" s="6067"/>
      <c r="O35" s="6067"/>
      <c r="P35" s="6067"/>
      <c r="Q35" s="6068"/>
      <c r="R35" s="1827"/>
      <c r="S35" s="1827"/>
      <c r="T35" s="1827"/>
      <c r="U35" s="1827"/>
      <c r="V35" s="1827"/>
      <c r="W35" s="1827"/>
      <c r="X35" s="345"/>
      <c r="Y35" s="345"/>
      <c r="Z35" s="345"/>
      <c r="AA35" s="345"/>
      <c r="AB35" s="345"/>
      <c r="AC35" s="345"/>
      <c r="AD35" s="345"/>
      <c r="AE35" s="345"/>
      <c r="AF35" s="345"/>
      <c r="AG35" s="345"/>
      <c r="AH35" s="345"/>
      <c r="AI35" s="345"/>
      <c r="AJ35" s="345"/>
      <c r="AK35" s="345"/>
      <c r="AL35" s="345"/>
      <c r="AM35" s="345"/>
      <c r="AN35" s="345"/>
      <c r="AO35" s="345"/>
      <c r="AP35" s="345"/>
      <c r="AQ35" s="345"/>
      <c r="AR35" s="345"/>
      <c r="AS35" s="345"/>
      <c r="AT35" s="345"/>
      <c r="AU35" s="345"/>
      <c r="AV35" s="345"/>
      <c r="AW35" s="345"/>
      <c r="AX35" s="345"/>
      <c r="AY35" s="345"/>
      <c r="AZ35" s="345"/>
      <c r="BA35" s="345"/>
      <c r="BB35" s="345"/>
      <c r="BC35" s="345"/>
      <c r="BD35" s="345"/>
      <c r="BE35" s="345"/>
      <c r="BF35" s="345"/>
      <c r="BG35" s="345"/>
      <c r="BH35" s="345"/>
      <c r="BI35" s="345"/>
      <c r="BJ35" s="345"/>
      <c r="BK35" s="345"/>
      <c r="BL35" s="345"/>
      <c r="BM35" s="345"/>
      <c r="BN35" s="345"/>
      <c r="BO35" s="345"/>
      <c r="BP35" s="345"/>
      <c r="BQ35" s="345"/>
      <c r="BR35" s="345"/>
      <c r="BS35" s="345"/>
      <c r="BT35" s="345"/>
      <c r="BU35" s="345"/>
      <c r="BV35" s="345"/>
      <c r="BW35" s="345"/>
      <c r="BX35" s="345"/>
      <c r="BY35" s="345"/>
      <c r="BZ35" s="345"/>
      <c r="CA35" s="345"/>
      <c r="CB35" s="345"/>
      <c r="CC35" s="345"/>
      <c r="CD35" s="345"/>
      <c r="CE35" s="345"/>
      <c r="CF35" s="345"/>
      <c r="CG35" s="345"/>
      <c r="CH35" s="345"/>
      <c r="CI35" s="345"/>
      <c r="CJ35" s="345"/>
      <c r="CK35" s="345"/>
      <c r="CL35" s="345"/>
      <c r="CM35" s="345"/>
      <c r="CN35" s="345"/>
      <c r="CO35" s="345"/>
      <c r="CP35" s="345"/>
      <c r="CQ35" s="345"/>
      <c r="CR35" s="345"/>
      <c r="CS35" s="345"/>
      <c r="CT35" s="345"/>
      <c r="CU35" s="345"/>
      <c r="CV35" s="345"/>
      <c r="CW35" s="345"/>
      <c r="CX35" s="345"/>
      <c r="CY35" s="345"/>
      <c r="CZ35" s="345"/>
      <c r="DA35" s="345"/>
      <c r="DB35" s="345"/>
      <c r="DC35" s="345"/>
      <c r="DD35" s="345"/>
      <c r="DE35" s="345"/>
      <c r="DF35" s="345"/>
      <c r="DG35" s="345"/>
      <c r="DH35" s="345"/>
      <c r="DI35" s="345"/>
      <c r="DJ35" s="345"/>
      <c r="DK35" s="345"/>
      <c r="DL35" s="345"/>
      <c r="DM35" s="345"/>
      <c r="DN35" s="345"/>
      <c r="DO35" s="345"/>
      <c r="DP35" s="345"/>
      <c r="DQ35" s="345"/>
      <c r="DR35" s="345"/>
      <c r="DS35" s="345"/>
      <c r="DT35" s="345"/>
      <c r="DU35" s="345"/>
      <c r="DV35" s="345"/>
      <c r="DW35" s="345"/>
      <c r="DX35" s="345"/>
      <c r="DY35" s="345"/>
      <c r="DZ35" s="345"/>
      <c r="EA35" s="345"/>
    </row>
    <row r="36" spans="1:131" ht="15.95" customHeight="1">
      <c r="A36" s="345"/>
      <c r="B36" s="345"/>
      <c r="C36" s="2447"/>
      <c r="D36" s="5867"/>
      <c r="E36" s="5864"/>
      <c r="F36" s="2513" t="s">
        <v>1479</v>
      </c>
      <c r="G36" s="6043" t="s">
        <v>1486</v>
      </c>
      <c r="H36" s="6043"/>
      <c r="I36" s="2513" t="s">
        <v>1482</v>
      </c>
      <c r="J36" s="2513" t="s">
        <v>337</v>
      </c>
      <c r="K36" s="6027">
        <f>'New Tax Regime'!K18</f>
        <v>0</v>
      </c>
      <c r="L36" s="6027"/>
      <c r="M36" s="6027"/>
      <c r="N36" s="6069"/>
      <c r="O36" s="6069"/>
      <c r="P36" s="6069"/>
      <c r="Q36" s="6070"/>
      <c r="R36" s="1827"/>
      <c r="S36" s="1827"/>
      <c r="T36" s="1827"/>
      <c r="U36" s="1827"/>
      <c r="V36" s="1827"/>
      <c r="W36" s="1827"/>
      <c r="X36" s="345"/>
      <c r="Y36" s="345"/>
      <c r="Z36" s="345"/>
      <c r="AA36" s="345"/>
      <c r="AB36" s="345"/>
      <c r="AC36" s="345"/>
      <c r="AD36" s="345"/>
      <c r="AE36" s="345"/>
      <c r="AF36" s="345"/>
      <c r="AG36" s="345"/>
      <c r="AH36" s="345"/>
      <c r="AI36" s="345"/>
      <c r="AJ36" s="345"/>
      <c r="AK36" s="345"/>
      <c r="AL36" s="345"/>
      <c r="AM36" s="345"/>
      <c r="AN36" s="345"/>
      <c r="AO36" s="345"/>
      <c r="AP36" s="345"/>
      <c r="AQ36" s="345"/>
      <c r="AR36" s="345"/>
      <c r="AS36" s="345"/>
      <c r="AT36" s="345"/>
      <c r="AU36" s="345"/>
      <c r="AV36" s="345"/>
      <c r="AW36" s="345"/>
      <c r="AX36" s="345"/>
      <c r="AY36" s="345"/>
      <c r="AZ36" s="345"/>
      <c r="BA36" s="345"/>
      <c r="BB36" s="345"/>
      <c r="BC36" s="345"/>
      <c r="BD36" s="345"/>
      <c r="BE36" s="345"/>
      <c r="BF36" s="345"/>
      <c r="BG36" s="345"/>
      <c r="BH36" s="345"/>
      <c r="BI36" s="345"/>
      <c r="BJ36" s="345"/>
      <c r="BK36" s="345"/>
      <c r="BL36" s="345"/>
      <c r="BM36" s="345"/>
      <c r="BN36" s="345"/>
      <c r="BO36" s="345"/>
      <c r="BP36" s="345"/>
      <c r="BQ36" s="345"/>
      <c r="BR36" s="345"/>
      <c r="BS36" s="345"/>
      <c r="BT36" s="345"/>
      <c r="BU36" s="345"/>
      <c r="BV36" s="345"/>
      <c r="BW36" s="345"/>
      <c r="BX36" s="345"/>
      <c r="BY36" s="345"/>
      <c r="BZ36" s="345"/>
      <c r="CA36" s="345"/>
      <c r="CB36" s="345"/>
      <c r="CC36" s="345"/>
      <c r="CD36" s="345"/>
      <c r="CE36" s="345"/>
      <c r="CF36" s="345"/>
      <c r="CG36" s="345"/>
      <c r="CH36" s="345"/>
      <c r="CI36" s="345"/>
      <c r="CJ36" s="345"/>
      <c r="CK36" s="345"/>
      <c r="CL36" s="345"/>
      <c r="CM36" s="345"/>
      <c r="CN36" s="345"/>
      <c r="CO36" s="345"/>
      <c r="CP36" s="345"/>
      <c r="CQ36" s="345"/>
      <c r="CR36" s="345"/>
      <c r="CS36" s="345"/>
      <c r="CT36" s="345"/>
      <c r="CU36" s="345"/>
      <c r="CV36" s="345"/>
      <c r="CW36" s="345"/>
      <c r="CX36" s="345"/>
      <c r="CY36" s="345"/>
      <c r="CZ36" s="345"/>
      <c r="DA36" s="345"/>
      <c r="DB36" s="345"/>
      <c r="DC36" s="345"/>
      <c r="DD36" s="345"/>
      <c r="DE36" s="345"/>
      <c r="DF36" s="345"/>
      <c r="DG36" s="345"/>
      <c r="DH36" s="345"/>
      <c r="DI36" s="345"/>
      <c r="DJ36" s="345"/>
      <c r="DK36" s="345"/>
      <c r="DL36" s="345"/>
      <c r="DM36" s="345"/>
      <c r="DN36" s="345"/>
      <c r="DO36" s="345"/>
      <c r="DP36" s="345"/>
      <c r="DQ36" s="345"/>
      <c r="DR36" s="345"/>
      <c r="DS36" s="345"/>
      <c r="DT36" s="345"/>
      <c r="DU36" s="345"/>
      <c r="DV36" s="345"/>
      <c r="DW36" s="345"/>
      <c r="DX36" s="345"/>
      <c r="DY36" s="345"/>
      <c r="DZ36" s="345"/>
      <c r="EA36" s="345"/>
    </row>
    <row r="37" spans="1:131" ht="15.95" customHeight="1">
      <c r="A37" s="345"/>
      <c r="B37" s="345"/>
      <c r="C37" s="2447"/>
      <c r="D37" s="6034" t="s">
        <v>1487</v>
      </c>
      <c r="E37" s="6035"/>
      <c r="F37" s="6034" t="s">
        <v>1488</v>
      </c>
      <c r="G37" s="6035"/>
      <c r="H37" s="6035"/>
      <c r="I37" s="6035"/>
      <c r="J37" s="6035"/>
      <c r="K37" s="6035"/>
      <c r="L37" s="6035"/>
      <c r="M37" s="6035"/>
      <c r="N37" s="2452" t="s">
        <v>1466</v>
      </c>
      <c r="O37" s="2513" t="s">
        <v>5</v>
      </c>
      <c r="P37" s="6036">
        <f>SUM(P32-P33)</f>
        <v>1428534</v>
      </c>
      <c r="Q37" s="6037"/>
      <c r="R37" s="1827"/>
      <c r="S37" s="1827"/>
      <c r="T37" s="1827"/>
      <c r="U37" s="1827"/>
      <c r="V37" s="1827"/>
      <c r="W37" s="1827"/>
      <c r="X37" s="345"/>
      <c r="Y37" s="345"/>
      <c r="Z37" s="345"/>
      <c r="AA37" s="345"/>
      <c r="AB37" s="345"/>
      <c r="AC37" s="345"/>
      <c r="AD37" s="345"/>
      <c r="AE37" s="345"/>
      <c r="AF37" s="345"/>
      <c r="AG37" s="345"/>
      <c r="AH37" s="345"/>
      <c r="AI37" s="345"/>
      <c r="AJ37" s="345"/>
      <c r="AK37" s="345"/>
      <c r="AL37" s="345"/>
      <c r="AM37" s="345"/>
      <c r="AN37" s="345"/>
      <c r="AO37" s="345"/>
      <c r="AP37" s="345"/>
      <c r="AQ37" s="345"/>
      <c r="AR37" s="345"/>
      <c r="AS37" s="345"/>
      <c r="AT37" s="345"/>
      <c r="AU37" s="345"/>
      <c r="AV37" s="345"/>
      <c r="AW37" s="345"/>
      <c r="AX37" s="345"/>
      <c r="AY37" s="345"/>
      <c r="AZ37" s="345"/>
      <c r="BA37" s="345"/>
      <c r="BB37" s="345"/>
      <c r="BC37" s="345"/>
      <c r="BD37" s="345"/>
      <c r="BE37" s="345"/>
      <c r="BF37" s="345"/>
      <c r="BG37" s="345"/>
      <c r="BH37" s="345"/>
      <c r="BI37" s="345"/>
      <c r="BJ37" s="345"/>
      <c r="BK37" s="345"/>
      <c r="BL37" s="345"/>
      <c r="BM37" s="345"/>
      <c r="BN37" s="345"/>
      <c r="BO37" s="345"/>
      <c r="BP37" s="345"/>
      <c r="BQ37" s="345"/>
      <c r="BR37" s="345"/>
      <c r="BS37" s="345"/>
      <c r="BT37" s="345"/>
      <c r="BU37" s="345"/>
      <c r="BV37" s="345"/>
      <c r="BW37" s="345"/>
      <c r="BX37" s="345"/>
      <c r="BY37" s="345"/>
      <c r="BZ37" s="345"/>
      <c r="CA37" s="345"/>
      <c r="CB37" s="345"/>
      <c r="CC37" s="345"/>
      <c r="CD37" s="345"/>
      <c r="CE37" s="345"/>
      <c r="CF37" s="345"/>
      <c r="CG37" s="345"/>
      <c r="CH37" s="345"/>
      <c r="CI37" s="345"/>
      <c r="CJ37" s="345"/>
      <c r="CK37" s="345"/>
      <c r="CL37" s="345"/>
      <c r="CM37" s="345"/>
      <c r="CN37" s="345"/>
      <c r="CO37" s="345"/>
      <c r="CP37" s="345"/>
      <c r="CQ37" s="345"/>
      <c r="CR37" s="345"/>
      <c r="CS37" s="345"/>
      <c r="CT37" s="345"/>
      <c r="CU37" s="345"/>
      <c r="CV37" s="345"/>
      <c r="CW37" s="345"/>
      <c r="CX37" s="345"/>
      <c r="CY37" s="345"/>
      <c r="CZ37" s="345"/>
      <c r="DA37" s="345"/>
      <c r="DB37" s="345"/>
      <c r="DC37" s="345"/>
      <c r="DD37" s="345"/>
      <c r="DE37" s="345"/>
      <c r="DF37" s="345"/>
      <c r="DG37" s="345"/>
      <c r="DH37" s="345"/>
      <c r="DI37" s="345"/>
      <c r="DJ37" s="345"/>
      <c r="DK37" s="345"/>
      <c r="DL37" s="345"/>
      <c r="DM37" s="345"/>
      <c r="DN37" s="345"/>
      <c r="DO37" s="345"/>
      <c r="DP37" s="345"/>
      <c r="DQ37" s="345"/>
      <c r="DR37" s="345"/>
      <c r="DS37" s="345"/>
      <c r="DT37" s="345"/>
      <c r="DU37" s="345"/>
      <c r="DV37" s="345"/>
      <c r="DW37" s="345"/>
      <c r="DX37" s="345"/>
      <c r="DY37" s="345"/>
      <c r="DZ37" s="345"/>
      <c r="EA37" s="345"/>
    </row>
    <row r="38" spans="1:131" ht="15.95" customHeight="1">
      <c r="A38" s="345"/>
      <c r="B38" s="345"/>
      <c r="C38" s="2447"/>
      <c r="D38" s="5884" t="s">
        <v>1558</v>
      </c>
      <c r="E38" s="5826"/>
      <c r="F38" s="6036" t="s">
        <v>1505</v>
      </c>
      <c r="G38" s="5953"/>
      <c r="H38" s="5953"/>
      <c r="I38" s="5953"/>
      <c r="J38" s="5953"/>
      <c r="K38" s="5953"/>
      <c r="L38" s="5953"/>
      <c r="M38" s="6040"/>
      <c r="N38" s="2599" t="s">
        <v>1489</v>
      </c>
      <c r="O38" s="2513" t="s">
        <v>5</v>
      </c>
      <c r="P38" s="6038">
        <f>'New Tax Regime'!M20</f>
        <v>0</v>
      </c>
      <c r="Q38" s="6039"/>
      <c r="R38" s="1827"/>
      <c r="S38" s="1827"/>
      <c r="T38" s="1827"/>
      <c r="U38" s="1827"/>
      <c r="V38" s="1827"/>
      <c r="W38" s="1827"/>
      <c r="X38" s="345"/>
      <c r="Y38" s="345"/>
      <c r="Z38" s="345"/>
      <c r="AA38" s="345"/>
      <c r="AB38" s="345"/>
      <c r="AC38" s="345"/>
      <c r="AD38" s="345"/>
      <c r="AE38" s="345"/>
      <c r="AF38" s="345"/>
      <c r="AG38" s="345"/>
      <c r="AH38" s="345"/>
      <c r="AI38" s="345"/>
      <c r="AJ38" s="345"/>
      <c r="AK38" s="345"/>
      <c r="AL38" s="345"/>
      <c r="AM38" s="345"/>
      <c r="AN38" s="345"/>
      <c r="AO38" s="345"/>
      <c r="AP38" s="345"/>
      <c r="AQ38" s="345"/>
      <c r="AR38" s="345"/>
      <c r="AS38" s="345"/>
      <c r="AT38" s="345"/>
      <c r="AU38" s="345"/>
      <c r="AV38" s="345"/>
      <c r="AW38" s="345"/>
      <c r="AX38" s="345"/>
      <c r="AY38" s="345"/>
      <c r="AZ38" s="345"/>
      <c r="BA38" s="345"/>
      <c r="BB38" s="345"/>
      <c r="BC38" s="345"/>
      <c r="BD38" s="345"/>
      <c r="BE38" s="345"/>
      <c r="BF38" s="345"/>
      <c r="BG38" s="345"/>
      <c r="BH38" s="345"/>
      <c r="BI38" s="345"/>
      <c r="BJ38" s="345"/>
      <c r="BK38" s="345"/>
      <c r="BL38" s="345"/>
      <c r="BM38" s="345"/>
      <c r="BN38" s="345"/>
      <c r="BO38" s="345"/>
      <c r="BP38" s="345"/>
      <c r="BQ38" s="345"/>
      <c r="BR38" s="345"/>
      <c r="BS38" s="345"/>
      <c r="BT38" s="345"/>
      <c r="BU38" s="345"/>
      <c r="BV38" s="345"/>
      <c r="BW38" s="345"/>
      <c r="BX38" s="345"/>
      <c r="BY38" s="345"/>
      <c r="BZ38" s="345"/>
      <c r="CA38" s="345"/>
      <c r="CB38" s="345"/>
      <c r="CC38" s="345"/>
      <c r="CD38" s="345"/>
      <c r="CE38" s="345"/>
      <c r="CF38" s="345"/>
      <c r="CG38" s="345"/>
      <c r="CH38" s="345"/>
      <c r="CI38" s="345"/>
      <c r="CJ38" s="345"/>
      <c r="CK38" s="345"/>
      <c r="CL38" s="345"/>
      <c r="CM38" s="345"/>
      <c r="CN38" s="345"/>
      <c r="CO38" s="345"/>
      <c r="CP38" s="345"/>
      <c r="CQ38" s="345"/>
      <c r="CR38" s="345"/>
      <c r="CS38" s="345"/>
      <c r="CT38" s="345"/>
      <c r="CU38" s="345"/>
      <c r="CV38" s="345"/>
      <c r="CW38" s="345"/>
      <c r="CX38" s="345"/>
      <c r="CY38" s="345"/>
      <c r="CZ38" s="345"/>
      <c r="DA38" s="345"/>
      <c r="DB38" s="345"/>
      <c r="DC38" s="345"/>
      <c r="DD38" s="345"/>
      <c r="DE38" s="345"/>
      <c r="DF38" s="345"/>
      <c r="DG38" s="345"/>
      <c r="DH38" s="345"/>
      <c r="DI38" s="345"/>
      <c r="DJ38" s="345"/>
      <c r="DK38" s="345"/>
      <c r="DL38" s="345"/>
      <c r="DM38" s="345"/>
      <c r="DN38" s="345"/>
      <c r="DO38" s="345"/>
      <c r="DP38" s="345"/>
      <c r="DQ38" s="345"/>
      <c r="DR38" s="345"/>
      <c r="DS38" s="345"/>
      <c r="DT38" s="345"/>
      <c r="DU38" s="345"/>
      <c r="DV38" s="345"/>
      <c r="DW38" s="345"/>
      <c r="DX38" s="345"/>
      <c r="DY38" s="345"/>
      <c r="DZ38" s="345"/>
      <c r="EA38" s="345"/>
    </row>
    <row r="39" spans="1:131" ht="15.95" customHeight="1">
      <c r="A39" s="345"/>
      <c r="B39" s="345"/>
      <c r="C39" s="2447"/>
      <c r="D39" s="5884" t="s">
        <v>1563</v>
      </c>
      <c r="E39" s="5835"/>
      <c r="F39" s="6036" t="s">
        <v>1493</v>
      </c>
      <c r="G39" s="5953"/>
      <c r="H39" s="5953"/>
      <c r="I39" s="5953"/>
      <c r="J39" s="5953"/>
      <c r="K39" s="5953"/>
      <c r="L39" s="5953"/>
      <c r="M39" s="6040"/>
      <c r="N39" s="2599" t="s">
        <v>1490</v>
      </c>
      <c r="O39" s="2639" t="s">
        <v>5</v>
      </c>
      <c r="P39" s="6025">
        <f>SUM(L41:M43)</f>
        <v>258400</v>
      </c>
      <c r="Q39" s="6026"/>
      <c r="R39" s="1827"/>
      <c r="S39" s="1827"/>
      <c r="T39" s="1827"/>
      <c r="U39" s="1827"/>
      <c r="V39" s="1827"/>
      <c r="W39" s="1827"/>
      <c r="X39" s="345"/>
      <c r="Y39" s="345"/>
      <c r="Z39" s="345"/>
      <c r="AA39" s="345"/>
      <c r="AB39" s="345"/>
      <c r="AC39" s="345"/>
      <c r="AD39" s="345"/>
      <c r="AE39" s="345"/>
      <c r="AF39" s="345"/>
      <c r="AG39" s="345"/>
      <c r="AH39" s="345"/>
      <c r="AI39" s="345"/>
      <c r="AJ39" s="345"/>
      <c r="AK39" s="345"/>
      <c r="AL39" s="345"/>
      <c r="AM39" s="345"/>
      <c r="AN39" s="345"/>
      <c r="AO39" s="345"/>
      <c r="AP39" s="345"/>
      <c r="AQ39" s="345"/>
      <c r="AR39" s="345"/>
      <c r="AS39" s="345"/>
      <c r="AT39" s="345"/>
      <c r="AU39" s="345"/>
      <c r="AV39" s="345"/>
      <c r="AW39" s="345"/>
      <c r="AX39" s="345"/>
      <c r="AY39" s="345"/>
      <c r="AZ39" s="345"/>
      <c r="BA39" s="345"/>
      <c r="BB39" s="345"/>
      <c r="BC39" s="345"/>
      <c r="BD39" s="345"/>
      <c r="BE39" s="345"/>
      <c r="BF39" s="345"/>
      <c r="BG39" s="345"/>
      <c r="BH39" s="345"/>
      <c r="BI39" s="345"/>
      <c r="BJ39" s="345"/>
      <c r="BK39" s="345"/>
      <c r="BL39" s="345"/>
      <c r="BM39" s="345"/>
      <c r="BN39" s="345"/>
      <c r="BO39" s="345"/>
      <c r="BP39" s="345"/>
      <c r="BQ39" s="345"/>
      <c r="BR39" s="345"/>
      <c r="BS39" s="345"/>
      <c r="BT39" s="345"/>
      <c r="BU39" s="345"/>
      <c r="BV39" s="345"/>
      <c r="BW39" s="345"/>
      <c r="BX39" s="345"/>
      <c r="BY39" s="345"/>
      <c r="BZ39" s="345"/>
      <c r="CA39" s="345"/>
      <c r="CB39" s="345"/>
      <c r="CC39" s="345"/>
      <c r="CD39" s="345"/>
      <c r="CE39" s="345"/>
      <c r="CF39" s="345"/>
      <c r="CG39" s="345"/>
      <c r="CH39" s="345"/>
      <c r="CI39" s="345"/>
      <c r="CJ39" s="345"/>
      <c r="CK39" s="345"/>
      <c r="CL39" s="345"/>
      <c r="CM39" s="345"/>
      <c r="CN39" s="345"/>
      <c r="CO39" s="345"/>
      <c r="CP39" s="345"/>
      <c r="CQ39" s="345"/>
      <c r="CR39" s="345"/>
      <c r="CS39" s="345"/>
      <c r="CT39" s="345"/>
      <c r="CU39" s="345"/>
      <c r="CV39" s="345"/>
      <c r="CW39" s="345"/>
      <c r="CX39" s="345"/>
      <c r="CY39" s="345"/>
      <c r="CZ39" s="345"/>
      <c r="DA39" s="345"/>
      <c r="DB39" s="345"/>
      <c r="DC39" s="345"/>
      <c r="DD39" s="345"/>
      <c r="DE39" s="345"/>
      <c r="DF39" s="345"/>
      <c r="DG39" s="345"/>
      <c r="DH39" s="345"/>
      <c r="DI39" s="345"/>
      <c r="DJ39" s="345"/>
      <c r="DK39" s="345"/>
      <c r="DL39" s="345"/>
      <c r="DM39" s="345"/>
      <c r="DN39" s="345"/>
      <c r="DO39" s="345"/>
      <c r="DP39" s="345"/>
      <c r="DQ39" s="345"/>
      <c r="DR39" s="345"/>
      <c r="DS39" s="345"/>
      <c r="DT39" s="345"/>
      <c r="DU39" s="345"/>
      <c r="DV39" s="345"/>
      <c r="DW39" s="345"/>
      <c r="DX39" s="345"/>
      <c r="DY39" s="345"/>
      <c r="DZ39" s="345"/>
      <c r="EA39" s="345"/>
    </row>
    <row r="40" spans="1:131" ht="15.95" customHeight="1">
      <c r="A40" s="345"/>
      <c r="B40" s="345"/>
      <c r="C40" s="2447"/>
      <c r="D40" s="5828" t="s">
        <v>176</v>
      </c>
      <c r="E40" s="5828"/>
      <c r="F40" s="5888" t="s">
        <v>1491</v>
      </c>
      <c r="G40" s="5888"/>
      <c r="H40" s="5888"/>
      <c r="I40" s="5888"/>
      <c r="J40" s="5888"/>
      <c r="K40" s="5888"/>
      <c r="L40" s="6027" t="s">
        <v>1492</v>
      </c>
      <c r="M40" s="6027"/>
      <c r="N40" s="6028"/>
      <c r="O40" s="6029"/>
      <c r="P40" s="6029"/>
      <c r="Q40" s="6030"/>
      <c r="R40" s="1827"/>
      <c r="S40" s="1827"/>
      <c r="T40" s="1827"/>
      <c r="U40" s="1827"/>
      <c r="V40" s="1827"/>
      <c r="W40" s="1827"/>
      <c r="X40" s="345"/>
      <c r="Y40" s="345"/>
      <c r="Z40" s="345"/>
      <c r="AA40" s="345"/>
      <c r="AB40" s="345"/>
      <c r="AC40" s="345"/>
      <c r="AD40" s="345"/>
      <c r="AE40" s="345"/>
      <c r="AF40" s="345"/>
      <c r="AG40" s="345"/>
      <c r="AH40" s="345"/>
      <c r="AI40" s="345"/>
      <c r="AJ40" s="345"/>
      <c r="AK40" s="345"/>
      <c r="AL40" s="345"/>
      <c r="AM40" s="345"/>
      <c r="AN40" s="345"/>
      <c r="AO40" s="345"/>
      <c r="AP40" s="345"/>
      <c r="AQ40" s="345"/>
      <c r="AR40" s="345"/>
      <c r="AS40" s="345"/>
      <c r="AT40" s="345"/>
      <c r="AU40" s="345"/>
      <c r="AV40" s="345"/>
      <c r="AW40" s="345"/>
      <c r="AX40" s="345"/>
      <c r="AY40" s="345"/>
      <c r="AZ40" s="345"/>
      <c r="BA40" s="345"/>
      <c r="BB40" s="345"/>
      <c r="BC40" s="345"/>
      <c r="BD40" s="345"/>
      <c r="BE40" s="345"/>
      <c r="BF40" s="345"/>
      <c r="BG40" s="345"/>
      <c r="BH40" s="345"/>
      <c r="BI40" s="345"/>
      <c r="BJ40" s="345"/>
      <c r="BK40" s="345"/>
      <c r="BL40" s="345"/>
      <c r="BM40" s="345"/>
      <c r="BN40" s="345"/>
      <c r="BO40" s="345"/>
      <c r="BP40" s="345"/>
      <c r="BQ40" s="345"/>
      <c r="BR40" s="345"/>
      <c r="BS40" s="345"/>
      <c r="BT40" s="345"/>
      <c r="BU40" s="345"/>
      <c r="BV40" s="345"/>
      <c r="BW40" s="345"/>
      <c r="BX40" s="345"/>
      <c r="BY40" s="345"/>
      <c r="BZ40" s="345"/>
      <c r="CA40" s="345"/>
      <c r="CB40" s="345"/>
      <c r="CC40" s="345"/>
      <c r="CD40" s="345"/>
      <c r="CE40" s="345"/>
      <c r="CF40" s="345"/>
      <c r="CG40" s="345"/>
      <c r="CH40" s="345"/>
      <c r="CI40" s="345"/>
      <c r="CJ40" s="345"/>
      <c r="CK40" s="345"/>
      <c r="CL40" s="345"/>
      <c r="CM40" s="345"/>
      <c r="CN40" s="345"/>
      <c r="CO40" s="345"/>
      <c r="CP40" s="345"/>
      <c r="CQ40" s="345"/>
      <c r="CR40" s="345"/>
      <c r="CS40" s="345"/>
      <c r="CT40" s="345"/>
      <c r="CU40" s="345"/>
      <c r="CV40" s="345"/>
      <c r="CW40" s="345"/>
      <c r="CX40" s="345"/>
      <c r="CY40" s="345"/>
      <c r="CZ40" s="345"/>
      <c r="DA40" s="345"/>
      <c r="DB40" s="345"/>
      <c r="DC40" s="345"/>
      <c r="DD40" s="345"/>
      <c r="DE40" s="345"/>
      <c r="DF40" s="345"/>
      <c r="DG40" s="345"/>
      <c r="DH40" s="345"/>
      <c r="DI40" s="345"/>
      <c r="DJ40" s="345"/>
      <c r="DK40" s="345"/>
      <c r="DL40" s="345"/>
      <c r="DM40" s="345"/>
      <c r="DN40" s="345"/>
      <c r="DO40" s="345"/>
      <c r="DP40" s="345"/>
      <c r="DQ40" s="345"/>
      <c r="DR40" s="345"/>
      <c r="DS40" s="345"/>
      <c r="DT40" s="345"/>
      <c r="DU40" s="345"/>
      <c r="DV40" s="345"/>
      <c r="DW40" s="345"/>
      <c r="DX40" s="345"/>
      <c r="DY40" s="345"/>
      <c r="DZ40" s="345"/>
      <c r="EA40" s="345"/>
    </row>
    <row r="41" spans="1:131" ht="15.95" customHeight="1">
      <c r="A41" s="345"/>
      <c r="B41" s="345"/>
      <c r="C41" s="2447"/>
      <c r="D41" s="5821">
        <v>1</v>
      </c>
      <c r="E41" s="5821"/>
      <c r="F41" s="6043" t="str">
        <f>'Old Tax Regime'!D22</f>
        <v>Income from Profession</v>
      </c>
      <c r="G41" s="6043"/>
      <c r="H41" s="6043"/>
      <c r="I41" s="6043"/>
      <c r="J41" s="6043"/>
      <c r="K41" s="6043"/>
      <c r="L41" s="6805">
        <f>'New Tax Regime'!K22</f>
        <v>258400</v>
      </c>
      <c r="M41" s="6042"/>
      <c r="N41" s="6031"/>
      <c r="O41" s="6032"/>
      <c r="P41" s="6032"/>
      <c r="Q41" s="6033"/>
      <c r="R41" s="1827"/>
      <c r="S41" s="1827"/>
      <c r="T41" s="1827"/>
      <c r="U41" s="1827"/>
      <c r="V41" s="1827"/>
      <c r="W41" s="1827"/>
      <c r="X41" s="345"/>
      <c r="Y41" s="345"/>
      <c r="Z41" s="345"/>
      <c r="AA41" s="345"/>
      <c r="AB41" s="345"/>
      <c r="AC41" s="345"/>
      <c r="AD41" s="345"/>
      <c r="AE41" s="345"/>
      <c r="AF41" s="345"/>
      <c r="AG41" s="345"/>
      <c r="AH41" s="345"/>
      <c r="AI41" s="345"/>
      <c r="AJ41" s="345"/>
      <c r="AK41" s="345"/>
      <c r="AL41" s="345"/>
      <c r="AM41" s="345"/>
      <c r="AN41" s="345"/>
      <c r="AO41" s="345"/>
      <c r="AP41" s="345"/>
      <c r="AQ41" s="345"/>
      <c r="AR41" s="345"/>
      <c r="AS41" s="345"/>
      <c r="AT41" s="345"/>
      <c r="AU41" s="345"/>
      <c r="AV41" s="345"/>
      <c r="AW41" s="345"/>
      <c r="AX41" s="345"/>
      <c r="AY41" s="345"/>
      <c r="AZ41" s="345"/>
      <c r="BA41" s="345"/>
      <c r="BB41" s="345"/>
      <c r="BC41" s="345"/>
      <c r="BD41" s="345"/>
      <c r="BE41" s="345"/>
      <c r="BF41" s="345"/>
      <c r="BG41" s="345"/>
      <c r="BH41" s="345"/>
      <c r="BI41" s="345"/>
      <c r="BJ41" s="345"/>
      <c r="BK41" s="345"/>
      <c r="BL41" s="345"/>
      <c r="BM41" s="345"/>
      <c r="BN41" s="345"/>
      <c r="BO41" s="345"/>
      <c r="BP41" s="345"/>
      <c r="BQ41" s="345"/>
      <c r="BR41" s="345"/>
      <c r="BS41" s="345"/>
      <c r="BT41" s="345"/>
      <c r="BU41" s="345"/>
      <c r="BV41" s="345"/>
      <c r="BW41" s="345"/>
      <c r="BX41" s="345"/>
      <c r="BY41" s="345"/>
      <c r="BZ41" s="345"/>
      <c r="CA41" s="345"/>
      <c r="CB41" s="345"/>
      <c r="CC41" s="345"/>
      <c r="CD41" s="345"/>
      <c r="CE41" s="345"/>
      <c r="CF41" s="345"/>
      <c r="CG41" s="345"/>
      <c r="CH41" s="345"/>
      <c r="CI41" s="345"/>
      <c r="CJ41" s="345"/>
      <c r="CK41" s="345"/>
      <c r="CL41" s="345"/>
      <c r="CM41" s="345"/>
      <c r="CN41" s="345"/>
      <c r="CO41" s="345"/>
      <c r="CP41" s="345"/>
      <c r="CQ41" s="345"/>
      <c r="CR41" s="345"/>
      <c r="CS41" s="345"/>
      <c r="CT41" s="345"/>
      <c r="CU41" s="345"/>
      <c r="CV41" s="345"/>
      <c r="CW41" s="345"/>
      <c r="CX41" s="345"/>
      <c r="CY41" s="345"/>
      <c r="CZ41" s="345"/>
      <c r="DA41" s="345"/>
      <c r="DB41" s="345"/>
      <c r="DC41" s="345"/>
      <c r="DD41" s="345"/>
      <c r="DE41" s="345"/>
      <c r="DF41" s="345"/>
      <c r="DG41" s="345"/>
      <c r="DH41" s="345"/>
      <c r="DI41" s="345"/>
      <c r="DJ41" s="345"/>
      <c r="DK41" s="345"/>
      <c r="DL41" s="345"/>
      <c r="DM41" s="345"/>
      <c r="DN41" s="345"/>
      <c r="DO41" s="345"/>
      <c r="DP41" s="345"/>
      <c r="DQ41" s="345"/>
      <c r="DR41" s="345"/>
      <c r="DS41" s="345"/>
      <c r="DT41" s="345"/>
      <c r="DU41" s="345"/>
      <c r="DV41" s="345"/>
      <c r="DW41" s="345"/>
      <c r="DX41" s="345"/>
      <c r="DY41" s="345"/>
      <c r="DZ41" s="345"/>
      <c r="EA41" s="345"/>
    </row>
    <row r="42" spans="1:131" ht="15.95" customHeight="1">
      <c r="A42" s="345"/>
      <c r="B42" s="345"/>
      <c r="C42" s="2447"/>
      <c r="D42" s="5821">
        <v>2</v>
      </c>
      <c r="E42" s="5821"/>
      <c r="F42" s="6043" t="str">
        <f>'Old Tax Regime'!D23</f>
        <v>Interest from Deposit (Bank/Post Office/Cooperative Society)</v>
      </c>
      <c r="G42" s="6043"/>
      <c r="H42" s="6043"/>
      <c r="I42" s="6043"/>
      <c r="J42" s="6043"/>
      <c r="K42" s="6043"/>
      <c r="L42" s="6041">
        <f>'New Tax Regime'!K23</f>
        <v>0</v>
      </c>
      <c r="M42" s="6042"/>
      <c r="N42" s="6031"/>
      <c r="O42" s="6032"/>
      <c r="P42" s="6032"/>
      <c r="Q42" s="6033"/>
      <c r="R42" s="1827"/>
      <c r="S42" s="1827"/>
      <c r="T42" s="1827"/>
      <c r="U42" s="1827"/>
      <c r="V42" s="1827"/>
      <c r="W42" s="1827"/>
      <c r="X42" s="345"/>
      <c r="Y42" s="345"/>
      <c r="Z42" s="345"/>
      <c r="AA42" s="345"/>
      <c r="AB42" s="345"/>
      <c r="AC42" s="345"/>
      <c r="AD42" s="345"/>
      <c r="AE42" s="345"/>
      <c r="AF42" s="345"/>
      <c r="AG42" s="345"/>
      <c r="AH42" s="345"/>
      <c r="AI42" s="345"/>
      <c r="AJ42" s="345"/>
      <c r="AK42" s="345"/>
      <c r="AL42" s="345"/>
      <c r="AM42" s="345"/>
      <c r="AN42" s="345"/>
      <c r="AO42" s="345"/>
      <c r="AP42" s="345"/>
      <c r="AQ42" s="345"/>
      <c r="AR42" s="345"/>
      <c r="AS42" s="345"/>
      <c r="AT42" s="345"/>
      <c r="AU42" s="345"/>
      <c r="AV42" s="345"/>
      <c r="AW42" s="345"/>
      <c r="AX42" s="345"/>
      <c r="AY42" s="345"/>
      <c r="AZ42" s="345"/>
      <c r="BA42" s="345"/>
      <c r="BB42" s="345"/>
      <c r="BC42" s="345"/>
      <c r="BD42" s="345"/>
      <c r="BE42" s="345"/>
      <c r="BF42" s="345"/>
      <c r="BG42" s="345"/>
      <c r="BH42" s="345"/>
      <c r="BI42" s="345"/>
      <c r="BJ42" s="345"/>
      <c r="BK42" s="345"/>
      <c r="BL42" s="345"/>
      <c r="BM42" s="345"/>
      <c r="BN42" s="345"/>
      <c r="BO42" s="345"/>
      <c r="BP42" s="345"/>
      <c r="BQ42" s="345"/>
      <c r="BR42" s="345"/>
      <c r="BS42" s="345"/>
      <c r="BT42" s="345"/>
      <c r="BU42" s="345"/>
      <c r="BV42" s="345"/>
      <c r="BW42" s="345"/>
      <c r="BX42" s="345"/>
      <c r="BY42" s="345"/>
      <c r="BZ42" s="345"/>
      <c r="CA42" s="345"/>
      <c r="CB42" s="345"/>
      <c r="CC42" s="345"/>
      <c r="CD42" s="345"/>
      <c r="CE42" s="345"/>
      <c r="CF42" s="345"/>
      <c r="CG42" s="345"/>
      <c r="CH42" s="345"/>
      <c r="CI42" s="345"/>
      <c r="CJ42" s="345"/>
      <c r="CK42" s="345"/>
      <c r="CL42" s="345"/>
      <c r="CM42" s="345"/>
      <c r="CN42" s="345"/>
      <c r="CO42" s="345"/>
      <c r="CP42" s="345"/>
      <c r="CQ42" s="345"/>
      <c r="CR42" s="345"/>
      <c r="CS42" s="345"/>
      <c r="CT42" s="345"/>
      <c r="CU42" s="345"/>
      <c r="CV42" s="345"/>
      <c r="CW42" s="345"/>
      <c r="CX42" s="345"/>
      <c r="CY42" s="345"/>
      <c r="CZ42" s="345"/>
      <c r="DA42" s="345"/>
      <c r="DB42" s="345"/>
      <c r="DC42" s="345"/>
      <c r="DD42" s="345"/>
      <c r="DE42" s="345"/>
      <c r="DF42" s="345"/>
      <c r="DG42" s="345"/>
      <c r="DH42" s="345"/>
      <c r="DI42" s="345"/>
      <c r="DJ42" s="345"/>
      <c r="DK42" s="345"/>
      <c r="DL42" s="345"/>
      <c r="DM42" s="345"/>
      <c r="DN42" s="345"/>
      <c r="DO42" s="345"/>
      <c r="DP42" s="345"/>
      <c r="DQ42" s="345"/>
      <c r="DR42" s="345"/>
      <c r="DS42" s="345"/>
      <c r="DT42" s="345"/>
      <c r="DU42" s="345"/>
      <c r="DV42" s="345"/>
      <c r="DW42" s="345"/>
      <c r="DX42" s="345"/>
      <c r="DY42" s="345"/>
      <c r="DZ42" s="345"/>
      <c r="EA42" s="345"/>
    </row>
    <row r="43" spans="1:131" ht="15.95" customHeight="1">
      <c r="A43" s="345"/>
      <c r="B43" s="345"/>
      <c r="C43" s="2447"/>
      <c r="D43" s="5821">
        <v>3</v>
      </c>
      <c r="E43" s="5821"/>
      <c r="F43" s="6043" t="str">
        <f>'Old Tax Regime'!D24</f>
        <v>Interest from Income Tax Refund</v>
      </c>
      <c r="G43" s="6043"/>
      <c r="H43" s="6043"/>
      <c r="I43" s="6043"/>
      <c r="J43" s="6043"/>
      <c r="K43" s="6043"/>
      <c r="L43" s="6805">
        <f>'New Tax Regime'!K24</f>
        <v>0</v>
      </c>
      <c r="M43" s="6042"/>
      <c r="N43" s="6031"/>
      <c r="O43" s="6032"/>
      <c r="P43" s="6032"/>
      <c r="Q43" s="6033"/>
      <c r="R43" s="1827"/>
      <c r="S43" s="1827"/>
      <c r="T43" s="1827"/>
      <c r="U43" s="1827"/>
      <c r="V43" s="1827"/>
      <c r="W43" s="1827"/>
      <c r="X43" s="345"/>
      <c r="Y43" s="345"/>
      <c r="Z43" s="345"/>
      <c r="AA43" s="345"/>
      <c r="AB43" s="345"/>
      <c r="AC43" s="345"/>
      <c r="AD43" s="345"/>
      <c r="AE43" s="345"/>
      <c r="AF43" s="345"/>
      <c r="AG43" s="345"/>
      <c r="AH43" s="345"/>
      <c r="AI43" s="345"/>
      <c r="AJ43" s="345"/>
      <c r="AK43" s="345"/>
      <c r="AL43" s="345"/>
      <c r="AM43" s="345"/>
      <c r="AN43" s="345"/>
      <c r="AO43" s="345"/>
      <c r="AP43" s="345"/>
      <c r="AQ43" s="345"/>
      <c r="AR43" s="345"/>
      <c r="AS43" s="345"/>
      <c r="AT43" s="345"/>
      <c r="AU43" s="345"/>
      <c r="AV43" s="345"/>
      <c r="AW43" s="345"/>
      <c r="AX43" s="345"/>
      <c r="AY43" s="345"/>
      <c r="AZ43" s="345"/>
      <c r="BA43" s="345"/>
      <c r="BB43" s="345"/>
      <c r="BC43" s="345"/>
      <c r="BD43" s="345"/>
      <c r="BE43" s="345"/>
      <c r="BF43" s="345"/>
      <c r="BG43" s="345"/>
      <c r="BH43" s="345"/>
      <c r="BI43" s="345"/>
      <c r="BJ43" s="345"/>
      <c r="BK43" s="345"/>
      <c r="BL43" s="345"/>
      <c r="BM43" s="345"/>
      <c r="BN43" s="345"/>
      <c r="BO43" s="345"/>
      <c r="BP43" s="345"/>
      <c r="BQ43" s="345"/>
      <c r="BR43" s="345"/>
      <c r="BS43" s="345"/>
      <c r="BT43" s="345"/>
      <c r="BU43" s="345"/>
      <c r="BV43" s="345"/>
      <c r="BW43" s="345"/>
      <c r="BX43" s="345"/>
      <c r="BY43" s="345"/>
      <c r="BZ43" s="345"/>
      <c r="CA43" s="345"/>
      <c r="CB43" s="345"/>
      <c r="CC43" s="345"/>
      <c r="CD43" s="345"/>
      <c r="CE43" s="345"/>
      <c r="CF43" s="345"/>
      <c r="CG43" s="345"/>
      <c r="CH43" s="345"/>
      <c r="CI43" s="345"/>
      <c r="CJ43" s="345"/>
      <c r="CK43" s="345"/>
      <c r="CL43" s="345"/>
      <c r="CM43" s="345"/>
      <c r="CN43" s="345"/>
      <c r="CO43" s="345"/>
      <c r="CP43" s="345"/>
      <c r="CQ43" s="345"/>
      <c r="CR43" s="345"/>
      <c r="CS43" s="345"/>
      <c r="CT43" s="345"/>
      <c r="CU43" s="345"/>
      <c r="CV43" s="345"/>
      <c r="CW43" s="345"/>
      <c r="CX43" s="345"/>
      <c r="CY43" s="345"/>
      <c r="CZ43" s="345"/>
      <c r="DA43" s="345"/>
      <c r="DB43" s="345"/>
      <c r="DC43" s="345"/>
      <c r="DD43" s="345"/>
      <c r="DE43" s="345"/>
      <c r="DF43" s="345"/>
      <c r="DG43" s="345"/>
      <c r="DH43" s="345"/>
      <c r="DI43" s="345"/>
      <c r="DJ43" s="345"/>
      <c r="DK43" s="345"/>
      <c r="DL43" s="345"/>
      <c r="DM43" s="345"/>
      <c r="DN43" s="345"/>
      <c r="DO43" s="345"/>
      <c r="DP43" s="345"/>
      <c r="DQ43" s="345"/>
      <c r="DR43" s="345"/>
      <c r="DS43" s="345"/>
      <c r="DT43" s="345"/>
      <c r="DU43" s="345"/>
      <c r="DV43" s="345"/>
      <c r="DW43" s="345"/>
      <c r="DX43" s="345"/>
      <c r="DY43" s="345"/>
      <c r="DZ43" s="345"/>
      <c r="EA43" s="345"/>
    </row>
    <row r="44" spans="1:131" ht="18" customHeight="1">
      <c r="A44" s="345"/>
      <c r="B44" s="345"/>
      <c r="C44" s="2447"/>
      <c r="D44" s="5828" t="s">
        <v>1495</v>
      </c>
      <c r="E44" s="5828"/>
      <c r="F44" s="5888" t="s">
        <v>1496</v>
      </c>
      <c r="G44" s="5888"/>
      <c r="H44" s="5888"/>
      <c r="I44" s="5888"/>
      <c r="J44" s="5888"/>
      <c r="K44" s="5888"/>
      <c r="L44" s="5888"/>
      <c r="M44" s="5888"/>
      <c r="N44" s="2453" t="s">
        <v>1495</v>
      </c>
      <c r="O44" s="2513" t="s">
        <v>5</v>
      </c>
      <c r="P44" s="6049">
        <f>SUM(P37:Q39)</f>
        <v>1686934</v>
      </c>
      <c r="Q44" s="6050"/>
      <c r="R44" s="1827"/>
      <c r="S44" s="1827"/>
      <c r="T44" s="1827"/>
      <c r="U44" s="1827"/>
      <c r="V44" s="1827"/>
      <c r="W44" s="1827"/>
      <c r="X44" s="345"/>
      <c r="Y44" s="345"/>
      <c r="Z44" s="345"/>
      <c r="AA44" s="345"/>
      <c r="AB44" s="345"/>
      <c r="AC44" s="345"/>
      <c r="AD44" s="345"/>
      <c r="AE44" s="345"/>
      <c r="AF44" s="345"/>
      <c r="AG44" s="345"/>
      <c r="AH44" s="345"/>
      <c r="AI44" s="345"/>
      <c r="AJ44" s="345"/>
      <c r="AK44" s="345"/>
      <c r="AL44" s="345"/>
      <c r="AM44" s="345"/>
      <c r="AN44" s="345"/>
      <c r="AO44" s="345"/>
      <c r="AP44" s="345"/>
      <c r="AQ44" s="345"/>
      <c r="AR44" s="345"/>
      <c r="AS44" s="345"/>
      <c r="AT44" s="345"/>
      <c r="AU44" s="345"/>
      <c r="AV44" s="345"/>
      <c r="AW44" s="345"/>
      <c r="AX44" s="345"/>
      <c r="AY44" s="345"/>
      <c r="AZ44" s="345"/>
      <c r="BA44" s="345"/>
      <c r="BB44" s="345"/>
      <c r="BC44" s="345"/>
      <c r="BD44" s="345"/>
      <c r="BE44" s="345"/>
      <c r="BF44" s="345"/>
      <c r="BG44" s="345"/>
      <c r="BH44" s="345"/>
      <c r="BI44" s="345"/>
      <c r="BJ44" s="345"/>
      <c r="BK44" s="345"/>
      <c r="BL44" s="345"/>
      <c r="BM44" s="345"/>
      <c r="BN44" s="345"/>
      <c r="BO44" s="345"/>
      <c r="BP44" s="345"/>
      <c r="BQ44" s="345"/>
      <c r="BR44" s="345"/>
      <c r="BS44" s="345"/>
      <c r="BT44" s="345"/>
      <c r="BU44" s="345"/>
      <c r="BV44" s="345"/>
      <c r="BW44" s="345"/>
      <c r="BX44" s="345"/>
      <c r="BY44" s="345"/>
      <c r="BZ44" s="345"/>
      <c r="CA44" s="345"/>
      <c r="CB44" s="345"/>
      <c r="CC44" s="345"/>
      <c r="CD44" s="345"/>
      <c r="CE44" s="345"/>
      <c r="CF44" s="345"/>
      <c r="CG44" s="345"/>
      <c r="CH44" s="345"/>
      <c r="CI44" s="345"/>
      <c r="CJ44" s="345"/>
      <c r="CK44" s="345"/>
      <c r="CL44" s="345"/>
      <c r="CM44" s="345"/>
      <c r="CN44" s="345"/>
      <c r="CO44" s="345"/>
      <c r="CP44" s="345"/>
      <c r="CQ44" s="345"/>
      <c r="CR44" s="345"/>
      <c r="CS44" s="345"/>
      <c r="CT44" s="345"/>
      <c r="CU44" s="345"/>
      <c r="CV44" s="345"/>
      <c r="CW44" s="345"/>
      <c r="CX44" s="345"/>
      <c r="CY44" s="345"/>
      <c r="CZ44" s="345"/>
      <c r="DA44" s="345"/>
      <c r="DB44" s="345"/>
      <c r="DC44" s="345"/>
      <c r="DD44" s="345"/>
      <c r="DE44" s="345"/>
      <c r="DF44" s="345"/>
      <c r="DG44" s="345"/>
      <c r="DH44" s="345"/>
      <c r="DI44" s="345"/>
      <c r="DJ44" s="345"/>
      <c r="DK44" s="345"/>
      <c r="DL44" s="345"/>
      <c r="DM44" s="345"/>
      <c r="DN44" s="345"/>
      <c r="DO44" s="345"/>
      <c r="DP44" s="345"/>
      <c r="DQ44" s="345"/>
      <c r="DR44" s="345"/>
      <c r="DS44" s="345"/>
      <c r="DT44" s="345"/>
      <c r="DU44" s="345"/>
      <c r="DV44" s="345"/>
      <c r="DW44" s="345"/>
      <c r="DX44" s="345"/>
      <c r="DY44" s="345"/>
      <c r="DZ44" s="345"/>
      <c r="EA44" s="345"/>
    </row>
    <row r="45" spans="1:131" ht="18" customHeight="1">
      <c r="A45" s="345"/>
      <c r="B45" s="345"/>
      <c r="C45" s="2447"/>
      <c r="D45" s="6054" t="s">
        <v>1497</v>
      </c>
      <c r="E45" s="6055"/>
      <c r="F45" s="5828" t="s">
        <v>314</v>
      </c>
      <c r="G45" s="5828"/>
      <c r="H45" s="5828"/>
      <c r="I45" s="5828"/>
      <c r="J45" s="5828"/>
      <c r="K45" s="5828"/>
      <c r="L45" s="5887"/>
      <c r="M45" s="5887"/>
      <c r="N45" s="6051"/>
      <c r="O45" s="6052"/>
      <c r="P45" s="6052"/>
      <c r="Q45" s="6053"/>
      <c r="R45" s="1827"/>
      <c r="S45" s="1827"/>
      <c r="T45" s="1827"/>
      <c r="U45" s="1827"/>
      <c r="V45" s="1827"/>
      <c r="W45" s="1827"/>
      <c r="X45" s="345"/>
      <c r="Y45" s="345"/>
      <c r="Z45" s="345"/>
      <c r="AA45" s="345"/>
      <c r="AB45" s="345"/>
      <c r="AC45" s="345"/>
      <c r="AD45" s="345"/>
      <c r="AE45" s="345"/>
      <c r="AF45" s="345"/>
      <c r="AG45" s="345"/>
      <c r="AH45" s="345"/>
      <c r="AI45" s="345"/>
      <c r="AJ45" s="345"/>
      <c r="AK45" s="345"/>
      <c r="AL45" s="345"/>
      <c r="AM45" s="345"/>
      <c r="AN45" s="345"/>
      <c r="AO45" s="345"/>
      <c r="AP45" s="345"/>
      <c r="AQ45" s="345"/>
      <c r="AR45" s="345"/>
      <c r="AS45" s="345"/>
      <c r="AT45" s="345"/>
      <c r="AU45" s="345"/>
      <c r="AV45" s="345"/>
      <c r="AW45" s="345"/>
      <c r="AX45" s="345"/>
      <c r="AY45" s="345"/>
      <c r="AZ45" s="345"/>
      <c r="BA45" s="345"/>
      <c r="BB45" s="345"/>
      <c r="BC45" s="345"/>
      <c r="BD45" s="345"/>
      <c r="BE45" s="345"/>
      <c r="BF45" s="345"/>
      <c r="BG45" s="345"/>
      <c r="BH45" s="345"/>
      <c r="BI45" s="345"/>
      <c r="BJ45" s="345"/>
      <c r="BK45" s="345"/>
      <c r="BL45" s="345"/>
      <c r="BM45" s="345"/>
      <c r="BN45" s="345"/>
      <c r="BO45" s="345"/>
      <c r="BP45" s="345"/>
      <c r="BQ45" s="345"/>
      <c r="BR45" s="345"/>
      <c r="BS45" s="345"/>
      <c r="BT45" s="345"/>
      <c r="BU45" s="345"/>
      <c r="BV45" s="345"/>
      <c r="BW45" s="345"/>
      <c r="BX45" s="345"/>
      <c r="BY45" s="345"/>
      <c r="BZ45" s="345"/>
      <c r="CA45" s="345"/>
      <c r="CB45" s="345"/>
      <c r="CC45" s="345"/>
      <c r="CD45" s="345"/>
      <c r="CE45" s="345"/>
      <c r="CF45" s="345"/>
      <c r="CG45" s="345"/>
      <c r="CH45" s="345"/>
      <c r="CI45" s="345"/>
      <c r="CJ45" s="345"/>
      <c r="CK45" s="345"/>
      <c r="CL45" s="345"/>
      <c r="CM45" s="345"/>
      <c r="CN45" s="345"/>
      <c r="CO45" s="345"/>
      <c r="CP45" s="345"/>
      <c r="CQ45" s="345"/>
      <c r="CR45" s="345"/>
      <c r="CS45" s="345"/>
      <c r="CT45" s="345"/>
      <c r="CU45" s="345"/>
      <c r="CV45" s="345"/>
      <c r="CW45" s="345"/>
      <c r="CX45" s="345"/>
      <c r="CY45" s="345"/>
      <c r="CZ45" s="345"/>
      <c r="DA45" s="345"/>
      <c r="DB45" s="345"/>
      <c r="DC45" s="345"/>
      <c r="DD45" s="345"/>
      <c r="DE45" s="345"/>
      <c r="DF45" s="345"/>
      <c r="DG45" s="345"/>
      <c r="DH45" s="345"/>
      <c r="DI45" s="345"/>
      <c r="DJ45" s="345"/>
      <c r="DK45" s="345"/>
      <c r="DL45" s="345"/>
      <c r="DM45" s="345"/>
      <c r="DN45" s="345"/>
      <c r="DO45" s="345"/>
      <c r="DP45" s="345"/>
      <c r="DQ45" s="345"/>
      <c r="DR45" s="345"/>
      <c r="DS45" s="345"/>
      <c r="DT45" s="345"/>
      <c r="DU45" s="345"/>
      <c r="DV45" s="345"/>
      <c r="DW45" s="345"/>
      <c r="DX45" s="345"/>
      <c r="DY45" s="345"/>
      <c r="DZ45" s="345"/>
      <c r="EA45" s="345"/>
    </row>
    <row r="46" spans="1:131" ht="15.95" customHeight="1">
      <c r="A46" s="345"/>
      <c r="B46" s="345"/>
      <c r="C46" s="2447"/>
      <c r="D46" s="6056"/>
      <c r="E46" s="6057"/>
      <c r="F46" s="5927" t="s">
        <v>316</v>
      </c>
      <c r="G46" s="5928"/>
      <c r="H46" s="5928"/>
      <c r="I46" s="5928"/>
      <c r="J46" s="5928"/>
      <c r="K46" s="5929"/>
      <c r="L46" s="5888" t="s">
        <v>317</v>
      </c>
      <c r="M46" s="5888"/>
      <c r="N46" s="5888" t="s">
        <v>318</v>
      </c>
      <c r="O46" s="5888"/>
      <c r="P46" s="5996"/>
      <c r="Q46" s="6044"/>
      <c r="R46" s="1827"/>
      <c r="S46" s="1827"/>
      <c r="T46" s="1827"/>
      <c r="U46" s="1827"/>
      <c r="V46" s="1827"/>
      <c r="W46" s="1827"/>
      <c r="X46" s="345"/>
      <c r="Y46" s="345"/>
      <c r="Z46" s="345"/>
      <c r="AA46" s="345"/>
      <c r="AB46" s="345"/>
      <c r="AC46" s="345"/>
      <c r="AD46" s="345"/>
      <c r="AE46" s="345"/>
      <c r="AF46" s="345"/>
      <c r="AG46" s="345"/>
      <c r="AH46" s="345"/>
      <c r="AI46" s="345"/>
      <c r="AJ46" s="345"/>
      <c r="AK46" s="345"/>
      <c r="AL46" s="345"/>
      <c r="AM46" s="345"/>
      <c r="AN46" s="345"/>
      <c r="AO46" s="345"/>
      <c r="AP46" s="345"/>
      <c r="AQ46" s="345"/>
      <c r="AR46" s="345"/>
      <c r="AS46" s="345"/>
      <c r="AT46" s="345"/>
      <c r="AU46" s="345"/>
      <c r="AV46" s="345"/>
      <c r="AW46" s="345"/>
      <c r="AX46" s="345"/>
      <c r="AY46" s="345"/>
      <c r="AZ46" s="345"/>
      <c r="BA46" s="345"/>
      <c r="BB46" s="345"/>
      <c r="BC46" s="345"/>
      <c r="BD46" s="345"/>
      <c r="BE46" s="345"/>
      <c r="BF46" s="345"/>
      <c r="BG46" s="345"/>
      <c r="BH46" s="345"/>
      <c r="BI46" s="345"/>
      <c r="BJ46" s="345"/>
      <c r="BK46" s="345"/>
      <c r="BL46" s="345"/>
      <c r="BM46" s="345"/>
      <c r="BN46" s="345"/>
      <c r="BO46" s="345"/>
      <c r="BP46" s="345"/>
      <c r="BQ46" s="345"/>
      <c r="BR46" s="345"/>
      <c r="BS46" s="345"/>
      <c r="BT46" s="345"/>
      <c r="BU46" s="345"/>
      <c r="BV46" s="345"/>
      <c r="BW46" s="345"/>
      <c r="BX46" s="345"/>
      <c r="BY46" s="345"/>
      <c r="BZ46" s="345"/>
      <c r="CA46" s="345"/>
      <c r="CB46" s="345"/>
      <c r="CC46" s="345"/>
      <c r="CD46" s="345"/>
      <c r="CE46" s="345"/>
      <c r="CF46" s="345"/>
      <c r="CG46" s="345"/>
      <c r="CH46" s="345"/>
      <c r="CI46" s="345"/>
      <c r="CJ46" s="345"/>
      <c r="CK46" s="345"/>
      <c r="CL46" s="345"/>
      <c r="CM46" s="345"/>
      <c r="CN46" s="345"/>
      <c r="CO46" s="345"/>
      <c r="CP46" s="345"/>
      <c r="CQ46" s="345"/>
      <c r="CR46" s="345"/>
      <c r="CS46" s="345"/>
      <c r="CT46" s="345"/>
      <c r="CU46" s="345"/>
      <c r="CV46" s="345"/>
      <c r="CW46" s="345"/>
      <c r="CX46" s="345"/>
      <c r="CY46" s="345"/>
      <c r="CZ46" s="345"/>
      <c r="DA46" s="345"/>
      <c r="DB46" s="345"/>
      <c r="DC46" s="345"/>
      <c r="DD46" s="345"/>
      <c r="DE46" s="345"/>
      <c r="DF46" s="345"/>
      <c r="DG46" s="345"/>
      <c r="DH46" s="345"/>
      <c r="DI46" s="345"/>
      <c r="DJ46" s="345"/>
      <c r="DK46" s="345"/>
      <c r="DL46" s="345"/>
      <c r="DM46" s="345"/>
      <c r="DN46" s="345"/>
      <c r="DO46" s="345"/>
      <c r="DP46" s="345"/>
      <c r="DQ46" s="345"/>
      <c r="DR46" s="345"/>
      <c r="DS46" s="345"/>
      <c r="DT46" s="345"/>
      <c r="DU46" s="345"/>
      <c r="DV46" s="345"/>
      <c r="DW46" s="345"/>
      <c r="DX46" s="345"/>
      <c r="DY46" s="345"/>
      <c r="DZ46" s="345"/>
      <c r="EA46" s="345"/>
    </row>
    <row r="47" spans="1:131" ht="15.95" customHeight="1">
      <c r="A47" s="345"/>
      <c r="B47" s="345"/>
      <c r="C47" s="2447"/>
      <c r="D47" s="6054"/>
      <c r="E47" s="6055"/>
      <c r="F47" s="2596" t="s">
        <v>319</v>
      </c>
      <c r="G47" s="6024" t="str">
        <f>'Old Tax Regime'!D43</f>
        <v>GPF</v>
      </c>
      <c r="H47" s="6024"/>
      <c r="I47" s="6024"/>
      <c r="J47" s="6024"/>
      <c r="K47" s="6024"/>
      <c r="L47" s="2620" t="s">
        <v>5</v>
      </c>
      <c r="M47" s="2606">
        <v>0</v>
      </c>
      <c r="N47" s="2620" t="s">
        <v>5</v>
      </c>
      <c r="O47" s="2513">
        <v>0</v>
      </c>
      <c r="P47" s="6045"/>
      <c r="Q47" s="6046"/>
      <c r="R47" s="1827"/>
      <c r="S47" s="1827"/>
      <c r="T47" s="1827"/>
      <c r="U47" s="1827"/>
      <c r="V47" s="1827"/>
      <c r="W47" s="1827"/>
      <c r="X47" s="345"/>
      <c r="Y47" s="345"/>
      <c r="Z47" s="345"/>
      <c r="AA47" s="345"/>
      <c r="AB47" s="345"/>
      <c r="AC47" s="345"/>
      <c r="AD47" s="345"/>
      <c r="AE47" s="345"/>
      <c r="AF47" s="345"/>
      <c r="AG47" s="345"/>
      <c r="AH47" s="345"/>
      <c r="AI47" s="345"/>
      <c r="AJ47" s="345"/>
      <c r="AK47" s="345"/>
      <c r="AL47" s="345"/>
      <c r="AM47" s="345"/>
      <c r="AN47" s="345"/>
      <c r="AO47" s="345"/>
      <c r="AP47" s="345"/>
      <c r="AQ47" s="345"/>
      <c r="AR47" s="345"/>
      <c r="AS47" s="345"/>
      <c r="AT47" s="345"/>
      <c r="AU47" s="345"/>
      <c r="AV47" s="345"/>
      <c r="AW47" s="345"/>
      <c r="AX47" s="345"/>
      <c r="AY47" s="345"/>
      <c r="AZ47" s="345"/>
      <c r="BA47" s="345"/>
      <c r="BB47" s="345"/>
      <c r="BC47" s="345"/>
      <c r="BD47" s="345"/>
      <c r="BE47" s="345"/>
      <c r="BF47" s="345"/>
      <c r="BG47" s="345"/>
      <c r="BH47" s="345"/>
      <c r="BI47" s="345"/>
      <c r="BJ47" s="345"/>
      <c r="BK47" s="345"/>
      <c r="BL47" s="345"/>
      <c r="BM47" s="345"/>
      <c r="BN47" s="345"/>
      <c r="BO47" s="345"/>
      <c r="BP47" s="345"/>
      <c r="BQ47" s="345"/>
      <c r="BR47" s="345"/>
      <c r="BS47" s="345"/>
      <c r="BT47" s="345"/>
      <c r="BU47" s="345"/>
      <c r="BV47" s="345"/>
      <c r="BW47" s="345"/>
      <c r="BX47" s="345"/>
      <c r="BY47" s="345"/>
      <c r="BZ47" s="345"/>
      <c r="CA47" s="345"/>
      <c r="CB47" s="345"/>
      <c r="CC47" s="345"/>
      <c r="CD47" s="345"/>
      <c r="CE47" s="345"/>
      <c r="CF47" s="345"/>
      <c r="CG47" s="345"/>
      <c r="CH47" s="345"/>
      <c r="CI47" s="345"/>
      <c r="CJ47" s="345"/>
      <c r="CK47" s="345"/>
      <c r="CL47" s="345"/>
      <c r="CM47" s="345"/>
      <c r="CN47" s="345"/>
      <c r="CO47" s="345"/>
      <c r="CP47" s="345"/>
      <c r="CQ47" s="345"/>
      <c r="CR47" s="345"/>
      <c r="CS47" s="345"/>
      <c r="CT47" s="345"/>
      <c r="CU47" s="345"/>
      <c r="CV47" s="345"/>
      <c r="CW47" s="345"/>
      <c r="CX47" s="345"/>
      <c r="CY47" s="345"/>
      <c r="CZ47" s="345"/>
      <c r="DA47" s="345"/>
      <c r="DB47" s="345"/>
      <c r="DC47" s="345"/>
      <c r="DD47" s="345"/>
      <c r="DE47" s="345"/>
      <c r="DF47" s="345"/>
      <c r="DG47" s="345"/>
      <c r="DH47" s="345"/>
      <c r="DI47" s="345"/>
      <c r="DJ47" s="345"/>
      <c r="DK47" s="345"/>
      <c r="DL47" s="345"/>
      <c r="DM47" s="345"/>
      <c r="DN47" s="345"/>
      <c r="DO47" s="345"/>
      <c r="DP47" s="345"/>
      <c r="DQ47" s="345"/>
      <c r="DR47" s="345"/>
      <c r="DS47" s="345"/>
      <c r="DT47" s="345"/>
      <c r="DU47" s="345"/>
      <c r="DV47" s="345"/>
      <c r="DW47" s="345"/>
      <c r="DX47" s="345"/>
      <c r="DY47" s="345"/>
      <c r="DZ47" s="345"/>
      <c r="EA47" s="345"/>
    </row>
    <row r="48" spans="1:131" ht="15.95" customHeight="1">
      <c r="A48" s="345"/>
      <c r="B48" s="345"/>
      <c r="C48" s="2447"/>
      <c r="D48" s="6058"/>
      <c r="E48" s="6059"/>
      <c r="F48" s="2513" t="s">
        <v>319</v>
      </c>
      <c r="G48" s="6024" t="str">
        <f>'Old Tax Regime'!D44</f>
        <v>TSGLI</v>
      </c>
      <c r="H48" s="6024"/>
      <c r="I48" s="6024"/>
      <c r="J48" s="6024"/>
      <c r="K48" s="6024"/>
      <c r="L48" s="2620" t="s">
        <v>5</v>
      </c>
      <c r="M48" s="2606">
        <v>0</v>
      </c>
      <c r="N48" s="2620" t="s">
        <v>5</v>
      </c>
      <c r="O48" s="2605">
        <v>0</v>
      </c>
      <c r="P48" s="6045"/>
      <c r="Q48" s="6046"/>
      <c r="R48" s="1827"/>
      <c r="S48" s="1827"/>
      <c r="T48" s="1827"/>
      <c r="U48" s="1827"/>
      <c r="V48" s="1827"/>
      <c r="W48" s="1827"/>
      <c r="X48" s="345"/>
      <c r="Y48" s="345"/>
      <c r="Z48" s="345"/>
      <c r="AA48" s="345"/>
      <c r="AB48" s="345"/>
      <c r="AC48" s="345"/>
      <c r="AD48" s="345"/>
      <c r="AE48" s="345"/>
      <c r="AF48" s="345"/>
      <c r="AG48" s="345"/>
      <c r="AH48" s="345"/>
      <c r="AI48" s="345"/>
      <c r="AJ48" s="345"/>
      <c r="AK48" s="345"/>
      <c r="AL48" s="345"/>
      <c r="AM48" s="345"/>
      <c r="AN48" s="345"/>
      <c r="AO48" s="345"/>
      <c r="AP48" s="345"/>
      <c r="AQ48" s="345"/>
      <c r="AR48" s="345"/>
      <c r="AS48" s="345"/>
      <c r="AT48" s="345"/>
      <c r="AU48" s="345"/>
      <c r="AV48" s="345"/>
      <c r="AW48" s="345"/>
      <c r="AX48" s="345"/>
      <c r="AY48" s="345"/>
      <c r="AZ48" s="345"/>
      <c r="BA48" s="345"/>
      <c r="BB48" s="345"/>
      <c r="BC48" s="345"/>
      <c r="BD48" s="345"/>
      <c r="BE48" s="345"/>
      <c r="BF48" s="345"/>
      <c r="BG48" s="345"/>
      <c r="BH48" s="345"/>
      <c r="BI48" s="345"/>
      <c r="BJ48" s="345"/>
      <c r="BK48" s="345"/>
      <c r="BL48" s="345"/>
      <c r="BM48" s="345"/>
      <c r="BN48" s="345"/>
      <c r="BO48" s="345"/>
      <c r="BP48" s="345"/>
      <c r="BQ48" s="345"/>
      <c r="BR48" s="345"/>
      <c r="BS48" s="345"/>
      <c r="BT48" s="345"/>
      <c r="BU48" s="345"/>
      <c r="BV48" s="345"/>
      <c r="BW48" s="345"/>
      <c r="BX48" s="345"/>
      <c r="BY48" s="345"/>
      <c r="BZ48" s="345"/>
      <c r="CA48" s="345"/>
      <c r="CB48" s="345"/>
      <c r="CC48" s="345"/>
      <c r="CD48" s="345"/>
      <c r="CE48" s="345"/>
      <c r="CF48" s="345"/>
      <c r="CG48" s="345"/>
      <c r="CH48" s="345"/>
      <c r="CI48" s="345"/>
      <c r="CJ48" s="345"/>
      <c r="CK48" s="345"/>
      <c r="CL48" s="345"/>
      <c r="CM48" s="345"/>
      <c r="CN48" s="345"/>
      <c r="CO48" s="345"/>
      <c r="CP48" s="345"/>
      <c r="CQ48" s="345"/>
      <c r="CR48" s="345"/>
      <c r="CS48" s="345"/>
      <c r="CT48" s="345"/>
      <c r="CU48" s="345"/>
      <c r="CV48" s="345"/>
      <c r="CW48" s="345"/>
      <c r="CX48" s="345"/>
      <c r="CY48" s="345"/>
      <c r="CZ48" s="345"/>
      <c r="DA48" s="345"/>
      <c r="DB48" s="345"/>
      <c r="DC48" s="345"/>
      <c r="DD48" s="345"/>
      <c r="DE48" s="345"/>
      <c r="DF48" s="345"/>
      <c r="DG48" s="345"/>
      <c r="DH48" s="345"/>
      <c r="DI48" s="345"/>
      <c r="DJ48" s="345"/>
      <c r="DK48" s="345"/>
      <c r="DL48" s="345"/>
      <c r="DM48" s="345"/>
      <c r="DN48" s="345"/>
      <c r="DO48" s="345"/>
      <c r="DP48" s="345"/>
      <c r="DQ48" s="345"/>
      <c r="DR48" s="345"/>
      <c r="DS48" s="345"/>
      <c r="DT48" s="345"/>
      <c r="DU48" s="345"/>
      <c r="DV48" s="345"/>
      <c r="DW48" s="345"/>
      <c r="DX48" s="345"/>
      <c r="DY48" s="345"/>
      <c r="DZ48" s="345"/>
      <c r="EA48" s="345"/>
    </row>
    <row r="49" spans="1:131" ht="15.95" customHeight="1">
      <c r="A49" s="345"/>
      <c r="B49" s="345"/>
      <c r="C49" s="2447"/>
      <c r="D49" s="6058"/>
      <c r="E49" s="6059"/>
      <c r="F49" s="2513" t="s">
        <v>319</v>
      </c>
      <c r="G49" s="6024" t="str">
        <f>'Old Tax Regime'!D45</f>
        <v>GIS</v>
      </c>
      <c r="H49" s="6024"/>
      <c r="I49" s="6024"/>
      <c r="J49" s="6024"/>
      <c r="K49" s="6024"/>
      <c r="L49" s="2620" t="s">
        <v>5</v>
      </c>
      <c r="M49" s="2606">
        <v>0</v>
      </c>
      <c r="N49" s="2620" t="s">
        <v>5</v>
      </c>
      <c r="O49" s="2605">
        <v>0</v>
      </c>
      <c r="P49" s="6045"/>
      <c r="Q49" s="6046"/>
      <c r="R49" s="1827"/>
      <c r="S49" s="1827"/>
      <c r="T49" s="1827"/>
      <c r="U49" s="1827"/>
      <c r="V49" s="1827"/>
      <c r="W49" s="1827"/>
      <c r="X49" s="345"/>
      <c r="Y49" s="345"/>
      <c r="Z49" s="345"/>
      <c r="AA49" s="345"/>
      <c r="AB49" s="345"/>
      <c r="AC49" s="345"/>
      <c r="AD49" s="345"/>
      <c r="AE49" s="345"/>
      <c r="AF49" s="345"/>
      <c r="AG49" s="345"/>
      <c r="AH49" s="345"/>
      <c r="AI49" s="345"/>
      <c r="AJ49" s="345"/>
      <c r="AK49" s="345"/>
      <c r="AL49" s="345"/>
      <c r="AM49" s="345"/>
      <c r="AN49" s="345"/>
      <c r="AO49" s="345"/>
      <c r="AP49" s="345"/>
      <c r="AQ49" s="345"/>
      <c r="AR49" s="345"/>
      <c r="AS49" s="345"/>
      <c r="AT49" s="345"/>
      <c r="AU49" s="345"/>
      <c r="AV49" s="345"/>
      <c r="AW49" s="345"/>
      <c r="AX49" s="345"/>
      <c r="AY49" s="345"/>
      <c r="AZ49" s="345"/>
      <c r="BA49" s="345"/>
      <c r="BB49" s="345"/>
      <c r="BC49" s="345"/>
      <c r="BD49" s="345"/>
      <c r="BE49" s="345"/>
      <c r="BF49" s="345"/>
      <c r="BG49" s="345"/>
      <c r="BH49" s="345"/>
      <c r="BI49" s="345"/>
      <c r="BJ49" s="345"/>
      <c r="BK49" s="345"/>
      <c r="BL49" s="345"/>
      <c r="BM49" s="345"/>
      <c r="BN49" s="345"/>
      <c r="BO49" s="345"/>
      <c r="BP49" s="345"/>
      <c r="BQ49" s="345"/>
      <c r="BR49" s="345"/>
      <c r="BS49" s="345"/>
      <c r="BT49" s="345"/>
      <c r="BU49" s="345"/>
      <c r="BV49" s="345"/>
      <c r="BW49" s="345"/>
      <c r="BX49" s="345"/>
      <c r="BY49" s="345"/>
      <c r="BZ49" s="345"/>
      <c r="CA49" s="345"/>
      <c r="CB49" s="345"/>
      <c r="CC49" s="345"/>
      <c r="CD49" s="345"/>
      <c r="CE49" s="345"/>
      <c r="CF49" s="345"/>
      <c r="CG49" s="345"/>
      <c r="CH49" s="345"/>
      <c r="CI49" s="345"/>
      <c r="CJ49" s="345"/>
      <c r="CK49" s="345"/>
      <c r="CL49" s="345"/>
      <c r="CM49" s="345"/>
      <c r="CN49" s="345"/>
      <c r="CO49" s="345"/>
      <c r="CP49" s="345"/>
      <c r="CQ49" s="345"/>
      <c r="CR49" s="345"/>
      <c r="CS49" s="345"/>
      <c r="CT49" s="345"/>
      <c r="CU49" s="345"/>
      <c r="CV49" s="345"/>
      <c r="CW49" s="345"/>
      <c r="CX49" s="345"/>
      <c r="CY49" s="345"/>
      <c r="CZ49" s="345"/>
      <c r="DA49" s="345"/>
      <c r="DB49" s="345"/>
      <c r="DC49" s="345"/>
      <c r="DD49" s="345"/>
      <c r="DE49" s="345"/>
      <c r="DF49" s="345"/>
      <c r="DG49" s="345"/>
      <c r="DH49" s="345"/>
      <c r="DI49" s="345"/>
      <c r="DJ49" s="345"/>
      <c r="DK49" s="345"/>
      <c r="DL49" s="345"/>
      <c r="DM49" s="345"/>
      <c r="DN49" s="345"/>
      <c r="DO49" s="345"/>
      <c r="DP49" s="345"/>
      <c r="DQ49" s="345"/>
      <c r="DR49" s="345"/>
      <c r="DS49" s="345"/>
      <c r="DT49" s="345"/>
      <c r="DU49" s="345"/>
      <c r="DV49" s="345"/>
      <c r="DW49" s="345"/>
      <c r="DX49" s="345"/>
      <c r="DY49" s="345"/>
      <c r="DZ49" s="345"/>
      <c r="EA49" s="345"/>
    </row>
    <row r="50" spans="1:131" ht="15.95" customHeight="1">
      <c r="A50" s="345"/>
      <c r="B50" s="345"/>
      <c r="C50" s="2447"/>
      <c r="D50" s="6058"/>
      <c r="E50" s="6059"/>
      <c r="F50" s="2513" t="str">
        <f>Formula!MJ16</f>
        <v>80C</v>
      </c>
      <c r="G50" s="6024" t="str">
        <f>'Old Tax Regime'!D46</f>
        <v>Tuition Fee for Children</v>
      </c>
      <c r="H50" s="6024"/>
      <c r="I50" s="6024"/>
      <c r="J50" s="6024"/>
      <c r="K50" s="6024"/>
      <c r="L50" s="2620" t="s">
        <v>5</v>
      </c>
      <c r="M50" s="2606">
        <v>0</v>
      </c>
      <c r="N50" s="2620" t="s">
        <v>5</v>
      </c>
      <c r="O50" s="2621">
        <v>0</v>
      </c>
      <c r="P50" s="6045"/>
      <c r="Q50" s="6046"/>
      <c r="R50" s="1827"/>
      <c r="S50" s="1827"/>
      <c r="T50" s="1827"/>
      <c r="U50" s="1827"/>
      <c r="V50" s="1827"/>
      <c r="W50" s="1827"/>
      <c r="X50" s="345"/>
      <c r="Y50" s="345"/>
      <c r="Z50" s="345"/>
      <c r="AA50" s="345"/>
      <c r="AB50" s="345"/>
      <c r="AC50" s="345"/>
      <c r="AD50" s="345"/>
      <c r="AE50" s="345"/>
      <c r="AF50" s="345"/>
      <c r="AG50" s="345"/>
      <c r="AH50" s="345"/>
      <c r="AI50" s="345"/>
      <c r="AJ50" s="345"/>
      <c r="AK50" s="345"/>
      <c r="AL50" s="345"/>
      <c r="AM50" s="345"/>
      <c r="AN50" s="345"/>
      <c r="AO50" s="345"/>
      <c r="AP50" s="345"/>
      <c r="AQ50" s="345"/>
      <c r="AR50" s="345"/>
      <c r="AS50" s="345"/>
      <c r="AT50" s="345"/>
      <c r="AU50" s="345"/>
      <c r="AV50" s="345"/>
      <c r="AW50" s="345"/>
      <c r="AX50" s="345"/>
      <c r="AY50" s="345"/>
      <c r="AZ50" s="345"/>
      <c r="BA50" s="345"/>
      <c r="BB50" s="345"/>
      <c r="BC50" s="345"/>
      <c r="BD50" s="345"/>
      <c r="BE50" s="345"/>
      <c r="BF50" s="345"/>
      <c r="BG50" s="345"/>
      <c r="BH50" s="345"/>
      <c r="BI50" s="345"/>
      <c r="BJ50" s="345"/>
      <c r="BK50" s="345"/>
      <c r="BL50" s="345"/>
      <c r="BM50" s="345"/>
      <c r="BN50" s="345"/>
      <c r="BO50" s="345"/>
      <c r="BP50" s="345"/>
      <c r="BQ50" s="345"/>
      <c r="BR50" s="345"/>
      <c r="BS50" s="345"/>
      <c r="BT50" s="345"/>
      <c r="BU50" s="345"/>
      <c r="BV50" s="345"/>
      <c r="BW50" s="345"/>
      <c r="BX50" s="345"/>
      <c r="BY50" s="345"/>
      <c r="BZ50" s="345"/>
      <c r="CA50" s="345"/>
      <c r="CB50" s="345"/>
      <c r="CC50" s="345"/>
      <c r="CD50" s="345"/>
      <c r="CE50" s="345"/>
      <c r="CF50" s="345"/>
      <c r="CG50" s="345"/>
      <c r="CH50" s="345"/>
      <c r="CI50" s="345"/>
      <c r="CJ50" s="345"/>
      <c r="CK50" s="345"/>
      <c r="CL50" s="345"/>
      <c r="CM50" s="345"/>
      <c r="CN50" s="345"/>
      <c r="CO50" s="345"/>
      <c r="CP50" s="345"/>
      <c r="CQ50" s="345"/>
      <c r="CR50" s="345"/>
      <c r="CS50" s="345"/>
      <c r="CT50" s="345"/>
      <c r="CU50" s="345"/>
      <c r="CV50" s="345"/>
      <c r="CW50" s="345"/>
      <c r="CX50" s="345"/>
      <c r="CY50" s="345"/>
      <c r="CZ50" s="345"/>
      <c r="DA50" s="345"/>
      <c r="DB50" s="345"/>
      <c r="DC50" s="345"/>
      <c r="DD50" s="345"/>
      <c r="DE50" s="345"/>
      <c r="DF50" s="345"/>
      <c r="DG50" s="345"/>
      <c r="DH50" s="345"/>
      <c r="DI50" s="345"/>
      <c r="DJ50" s="345"/>
      <c r="DK50" s="345"/>
      <c r="DL50" s="345"/>
      <c r="DM50" s="345"/>
      <c r="DN50" s="345"/>
      <c r="DO50" s="345"/>
      <c r="DP50" s="345"/>
      <c r="DQ50" s="345"/>
      <c r="DR50" s="345"/>
      <c r="DS50" s="345"/>
      <c r="DT50" s="345"/>
      <c r="DU50" s="345"/>
      <c r="DV50" s="345"/>
      <c r="DW50" s="345"/>
      <c r="DX50" s="345"/>
      <c r="DY50" s="345"/>
      <c r="DZ50" s="345"/>
      <c r="EA50" s="345"/>
    </row>
    <row r="51" spans="1:131" ht="15.95" customHeight="1">
      <c r="A51" s="345"/>
      <c r="B51" s="345"/>
      <c r="C51" s="2447"/>
      <c r="D51" s="6058"/>
      <c r="E51" s="6059"/>
      <c r="F51" s="2513" t="str">
        <f>Formula!MJ17</f>
        <v>80C</v>
      </c>
      <c r="G51" s="6024" t="str">
        <f>'Old Tax Regime'!D47</f>
        <v>Principle Amount of Home Loan installments</v>
      </c>
      <c r="H51" s="6024"/>
      <c r="I51" s="6024"/>
      <c r="J51" s="6024"/>
      <c r="K51" s="6024"/>
      <c r="L51" s="2620" t="s">
        <v>5</v>
      </c>
      <c r="M51" s="2606">
        <v>0</v>
      </c>
      <c r="N51" s="2620" t="s">
        <v>5</v>
      </c>
      <c r="O51" s="2621">
        <v>0</v>
      </c>
      <c r="P51" s="6045"/>
      <c r="Q51" s="6046"/>
      <c r="R51" s="1827"/>
      <c r="S51" s="1827"/>
      <c r="T51" s="1827"/>
      <c r="U51" s="1827"/>
      <c r="V51" s="1827"/>
      <c r="W51" s="1827"/>
      <c r="X51" s="345"/>
      <c r="Y51" s="345"/>
      <c r="Z51" s="345"/>
      <c r="AA51" s="345"/>
      <c r="AB51" s="345"/>
      <c r="AC51" s="345"/>
      <c r="AD51" s="345"/>
      <c r="AE51" s="345"/>
      <c r="AF51" s="345"/>
      <c r="AG51" s="345"/>
      <c r="AH51" s="345"/>
      <c r="AI51" s="345"/>
      <c r="AJ51" s="345"/>
      <c r="AK51" s="345"/>
      <c r="AL51" s="345"/>
      <c r="AM51" s="345"/>
      <c r="AN51" s="345"/>
      <c r="AO51" s="345"/>
      <c r="AP51" s="345"/>
      <c r="AQ51" s="345"/>
      <c r="AR51" s="345"/>
      <c r="AS51" s="345"/>
      <c r="AT51" s="345"/>
      <c r="AU51" s="345"/>
      <c r="AV51" s="345"/>
      <c r="AW51" s="345"/>
      <c r="AX51" s="345"/>
      <c r="AY51" s="345"/>
      <c r="AZ51" s="345"/>
      <c r="BA51" s="345"/>
      <c r="BB51" s="345"/>
      <c r="BC51" s="345"/>
      <c r="BD51" s="345"/>
      <c r="BE51" s="345"/>
      <c r="BF51" s="345"/>
      <c r="BG51" s="345"/>
      <c r="BH51" s="345"/>
      <c r="BI51" s="345"/>
      <c r="BJ51" s="345"/>
      <c r="BK51" s="345"/>
      <c r="BL51" s="345"/>
      <c r="BM51" s="345"/>
      <c r="BN51" s="345"/>
      <c r="BO51" s="345"/>
      <c r="BP51" s="345"/>
      <c r="BQ51" s="345"/>
      <c r="BR51" s="345"/>
      <c r="BS51" s="345"/>
      <c r="BT51" s="345"/>
      <c r="BU51" s="345"/>
      <c r="BV51" s="345"/>
      <c r="BW51" s="345"/>
      <c r="BX51" s="345"/>
      <c r="BY51" s="345"/>
      <c r="BZ51" s="345"/>
      <c r="CA51" s="345"/>
      <c r="CB51" s="345"/>
      <c r="CC51" s="345"/>
      <c r="CD51" s="345"/>
      <c r="CE51" s="345"/>
      <c r="CF51" s="345"/>
      <c r="CG51" s="345"/>
      <c r="CH51" s="345"/>
      <c r="CI51" s="345"/>
      <c r="CJ51" s="345"/>
      <c r="CK51" s="345"/>
      <c r="CL51" s="345"/>
      <c r="CM51" s="345"/>
      <c r="CN51" s="345"/>
      <c r="CO51" s="345"/>
      <c r="CP51" s="345"/>
      <c r="CQ51" s="345"/>
      <c r="CR51" s="345"/>
      <c r="CS51" s="345"/>
      <c r="CT51" s="345"/>
      <c r="CU51" s="345"/>
      <c r="CV51" s="345"/>
      <c r="CW51" s="345"/>
      <c r="CX51" s="345"/>
      <c r="CY51" s="345"/>
      <c r="CZ51" s="345"/>
      <c r="DA51" s="345"/>
      <c r="DB51" s="345"/>
      <c r="DC51" s="345"/>
      <c r="DD51" s="345"/>
      <c r="DE51" s="345"/>
      <c r="DF51" s="345"/>
      <c r="DG51" s="345"/>
      <c r="DH51" s="345"/>
      <c r="DI51" s="345"/>
      <c r="DJ51" s="345"/>
      <c r="DK51" s="345"/>
      <c r="DL51" s="345"/>
      <c r="DM51" s="345"/>
      <c r="DN51" s="345"/>
      <c r="DO51" s="345"/>
      <c r="DP51" s="345"/>
      <c r="DQ51" s="345"/>
      <c r="DR51" s="345"/>
      <c r="DS51" s="345"/>
      <c r="DT51" s="345"/>
      <c r="DU51" s="345"/>
      <c r="DV51" s="345"/>
      <c r="DW51" s="345"/>
      <c r="DX51" s="345"/>
      <c r="DY51" s="345"/>
      <c r="DZ51" s="345"/>
      <c r="EA51" s="345"/>
    </row>
    <row r="52" spans="1:131" ht="15.95" customHeight="1">
      <c r="A52" s="345"/>
      <c r="B52" s="345"/>
      <c r="C52" s="2447"/>
      <c r="D52" s="6058"/>
      <c r="E52" s="6059"/>
      <c r="F52" s="2513" t="str">
        <f>Formula!MJ18</f>
        <v>80C</v>
      </c>
      <c r="G52" s="6024" t="str">
        <f>'Old Tax Regime'!D48</f>
        <v>LIC Policies premium - Yearly</v>
      </c>
      <c r="H52" s="6024"/>
      <c r="I52" s="6024"/>
      <c r="J52" s="6024"/>
      <c r="K52" s="6024"/>
      <c r="L52" s="2620" t="s">
        <v>5</v>
      </c>
      <c r="M52" s="2606">
        <v>0</v>
      </c>
      <c r="N52" s="2620" t="s">
        <v>5</v>
      </c>
      <c r="O52" s="2621">
        <v>0</v>
      </c>
      <c r="P52" s="6045"/>
      <c r="Q52" s="6046"/>
      <c r="R52" s="1827"/>
      <c r="S52" s="1827"/>
      <c r="T52" s="1827"/>
      <c r="U52" s="1827"/>
      <c r="V52" s="1827"/>
      <c r="W52" s="1827"/>
      <c r="X52" s="345"/>
      <c r="Y52" s="345"/>
      <c r="Z52" s="345"/>
      <c r="AA52" s="345"/>
      <c r="AB52" s="345"/>
      <c r="AC52" s="345"/>
      <c r="AD52" s="345"/>
      <c r="AE52" s="345"/>
      <c r="AF52" s="345"/>
      <c r="AG52" s="345"/>
      <c r="AH52" s="345"/>
      <c r="AI52" s="345"/>
      <c r="AJ52" s="345"/>
      <c r="AK52" s="345"/>
      <c r="AL52" s="345"/>
      <c r="AM52" s="345"/>
      <c r="AN52" s="345"/>
      <c r="AO52" s="345"/>
      <c r="AP52" s="345"/>
      <c r="AQ52" s="345"/>
      <c r="AR52" s="345"/>
      <c r="AS52" s="345"/>
      <c r="AT52" s="345"/>
      <c r="AU52" s="345"/>
      <c r="AV52" s="345"/>
      <c r="AW52" s="345"/>
      <c r="AX52" s="345"/>
      <c r="AY52" s="345"/>
      <c r="AZ52" s="345"/>
      <c r="BA52" s="345"/>
      <c r="BB52" s="345"/>
      <c r="BC52" s="345"/>
      <c r="BD52" s="345"/>
      <c r="BE52" s="345"/>
      <c r="BF52" s="345"/>
      <c r="BG52" s="345"/>
      <c r="BH52" s="345"/>
      <c r="BI52" s="345"/>
      <c r="BJ52" s="345"/>
      <c r="BK52" s="345"/>
      <c r="BL52" s="345"/>
      <c r="BM52" s="345"/>
      <c r="BN52" s="345"/>
      <c r="BO52" s="345"/>
      <c r="BP52" s="345"/>
      <c r="BQ52" s="345"/>
      <c r="BR52" s="345"/>
      <c r="BS52" s="345"/>
      <c r="BT52" s="345"/>
      <c r="BU52" s="345"/>
      <c r="BV52" s="345"/>
      <c r="BW52" s="345"/>
      <c r="BX52" s="345"/>
      <c r="BY52" s="345"/>
      <c r="BZ52" s="345"/>
      <c r="CA52" s="345"/>
      <c r="CB52" s="345"/>
      <c r="CC52" s="345"/>
      <c r="CD52" s="345"/>
      <c r="CE52" s="345"/>
      <c r="CF52" s="345"/>
      <c r="CG52" s="345"/>
      <c r="CH52" s="345"/>
      <c r="CI52" s="345"/>
      <c r="CJ52" s="345"/>
      <c r="CK52" s="345"/>
      <c r="CL52" s="345"/>
      <c r="CM52" s="345"/>
      <c r="CN52" s="345"/>
      <c r="CO52" s="345"/>
      <c r="CP52" s="345"/>
      <c r="CQ52" s="345"/>
      <c r="CR52" s="345"/>
      <c r="CS52" s="345"/>
      <c r="CT52" s="345"/>
      <c r="CU52" s="345"/>
      <c r="CV52" s="345"/>
      <c r="CW52" s="345"/>
      <c r="CX52" s="345"/>
      <c r="CY52" s="345"/>
      <c r="CZ52" s="345"/>
      <c r="DA52" s="345"/>
      <c r="DB52" s="345"/>
      <c r="DC52" s="345"/>
      <c r="DD52" s="345"/>
      <c r="DE52" s="345"/>
      <c r="DF52" s="345"/>
      <c r="DG52" s="345"/>
      <c r="DH52" s="345"/>
      <c r="DI52" s="345"/>
      <c r="DJ52" s="345"/>
      <c r="DK52" s="345"/>
      <c r="DL52" s="345"/>
      <c r="DM52" s="345"/>
      <c r="DN52" s="345"/>
      <c r="DO52" s="345"/>
      <c r="DP52" s="345"/>
      <c r="DQ52" s="345"/>
      <c r="DR52" s="345"/>
      <c r="DS52" s="345"/>
      <c r="DT52" s="345"/>
      <c r="DU52" s="345"/>
      <c r="DV52" s="345"/>
      <c r="DW52" s="345"/>
      <c r="DX52" s="345"/>
      <c r="DY52" s="345"/>
      <c r="DZ52" s="345"/>
      <c r="EA52" s="345"/>
    </row>
    <row r="53" spans="1:131" ht="15.95" customHeight="1">
      <c r="A53" s="345"/>
      <c r="B53" s="345"/>
      <c r="C53" s="2447"/>
      <c r="D53" s="6058"/>
      <c r="E53" s="6059"/>
      <c r="F53" s="2513" t="str">
        <f>Formula!MJ19</f>
        <v>80C</v>
      </c>
      <c r="G53" s="6024" t="str">
        <f>'Old Tax Regime'!D49</f>
        <v>SBI  Life Insurance</v>
      </c>
      <c r="H53" s="6024"/>
      <c r="I53" s="6024"/>
      <c r="J53" s="6024"/>
      <c r="K53" s="6024"/>
      <c r="L53" s="2620" t="s">
        <v>5</v>
      </c>
      <c r="M53" s="2606">
        <v>0</v>
      </c>
      <c r="N53" s="2620" t="s">
        <v>5</v>
      </c>
      <c r="O53" s="2621">
        <v>0</v>
      </c>
      <c r="P53" s="6045"/>
      <c r="Q53" s="6046"/>
      <c r="R53" s="1827"/>
      <c r="S53" s="1827"/>
      <c r="T53" s="1827"/>
      <c r="U53" s="1827"/>
      <c r="V53" s="1827"/>
      <c r="W53" s="1827"/>
      <c r="X53" s="345"/>
      <c r="Y53" s="345"/>
      <c r="Z53" s="345"/>
      <c r="AA53" s="345"/>
      <c r="AB53" s="345"/>
      <c r="AC53" s="345"/>
      <c r="AD53" s="345"/>
      <c r="AE53" s="345"/>
      <c r="AF53" s="345"/>
      <c r="AG53" s="345"/>
      <c r="AH53" s="345"/>
      <c r="AI53" s="345"/>
      <c r="AJ53" s="345"/>
      <c r="AK53" s="345"/>
      <c r="AL53" s="345"/>
      <c r="AM53" s="345"/>
      <c r="AN53" s="345"/>
      <c r="AO53" s="345"/>
      <c r="AP53" s="345"/>
      <c r="AQ53" s="345"/>
      <c r="AR53" s="345"/>
      <c r="AS53" s="345"/>
      <c r="AT53" s="345"/>
      <c r="AU53" s="345"/>
      <c r="AV53" s="345"/>
      <c r="AW53" s="345"/>
      <c r="AX53" s="345"/>
      <c r="AY53" s="345"/>
      <c r="AZ53" s="345"/>
      <c r="BA53" s="345"/>
      <c r="BB53" s="345"/>
      <c r="BC53" s="345"/>
      <c r="BD53" s="345"/>
      <c r="BE53" s="345"/>
      <c r="BF53" s="345"/>
      <c r="BG53" s="345"/>
      <c r="BH53" s="345"/>
      <c r="BI53" s="345"/>
      <c r="BJ53" s="345"/>
      <c r="BK53" s="345"/>
      <c r="BL53" s="345"/>
      <c r="BM53" s="345"/>
      <c r="BN53" s="345"/>
      <c r="BO53" s="345"/>
      <c r="BP53" s="345"/>
      <c r="BQ53" s="345"/>
      <c r="BR53" s="345"/>
      <c r="BS53" s="345"/>
      <c r="BT53" s="345"/>
      <c r="BU53" s="345"/>
      <c r="BV53" s="345"/>
      <c r="BW53" s="345"/>
      <c r="BX53" s="345"/>
      <c r="BY53" s="345"/>
      <c r="BZ53" s="345"/>
      <c r="CA53" s="345"/>
      <c r="CB53" s="345"/>
      <c r="CC53" s="345"/>
      <c r="CD53" s="345"/>
      <c r="CE53" s="345"/>
      <c r="CF53" s="345"/>
      <c r="CG53" s="345"/>
      <c r="CH53" s="345"/>
      <c r="CI53" s="345"/>
      <c r="CJ53" s="345"/>
      <c r="CK53" s="345"/>
      <c r="CL53" s="345"/>
      <c r="CM53" s="345"/>
      <c r="CN53" s="345"/>
      <c r="CO53" s="345"/>
      <c r="CP53" s="345"/>
      <c r="CQ53" s="345"/>
      <c r="CR53" s="345"/>
      <c r="CS53" s="345"/>
      <c r="CT53" s="345"/>
      <c r="CU53" s="345"/>
      <c r="CV53" s="345"/>
      <c r="CW53" s="345"/>
      <c r="CX53" s="345"/>
      <c r="CY53" s="345"/>
      <c r="CZ53" s="345"/>
      <c r="DA53" s="345"/>
      <c r="DB53" s="345"/>
      <c r="DC53" s="345"/>
      <c r="DD53" s="345"/>
      <c r="DE53" s="345"/>
      <c r="DF53" s="345"/>
      <c r="DG53" s="345"/>
      <c r="DH53" s="345"/>
      <c r="DI53" s="345"/>
      <c r="DJ53" s="345"/>
      <c r="DK53" s="345"/>
      <c r="DL53" s="345"/>
      <c r="DM53" s="345"/>
      <c r="DN53" s="345"/>
      <c r="DO53" s="345"/>
      <c r="DP53" s="345"/>
      <c r="DQ53" s="345"/>
      <c r="DR53" s="345"/>
      <c r="DS53" s="345"/>
      <c r="DT53" s="345"/>
      <c r="DU53" s="345"/>
      <c r="DV53" s="345"/>
      <c r="DW53" s="345"/>
      <c r="DX53" s="345"/>
      <c r="DY53" s="345"/>
      <c r="DZ53" s="345"/>
      <c r="EA53" s="345"/>
    </row>
    <row r="54" spans="1:131" ht="15.95" customHeight="1">
      <c r="A54" s="345"/>
      <c r="B54" s="345"/>
      <c r="C54" s="2447"/>
      <c r="D54" s="6058"/>
      <c r="E54" s="6059"/>
      <c r="F54" s="2513" t="str">
        <f>Formula!MJ20</f>
        <v>80C</v>
      </c>
      <c r="G54" s="6024" t="str">
        <f>'Old Tax Regime'!D50</f>
        <v>Public Provident Fund</v>
      </c>
      <c r="H54" s="6024"/>
      <c r="I54" s="6024"/>
      <c r="J54" s="6024"/>
      <c r="K54" s="6024"/>
      <c r="L54" s="2620" t="s">
        <v>5</v>
      </c>
      <c r="M54" s="2606">
        <v>0</v>
      </c>
      <c r="N54" s="2620" t="s">
        <v>5</v>
      </c>
      <c r="O54" s="2621">
        <v>0</v>
      </c>
      <c r="P54" s="6045"/>
      <c r="Q54" s="6046"/>
      <c r="R54" s="1827"/>
      <c r="S54" s="1827"/>
      <c r="T54" s="1827"/>
      <c r="U54" s="1827"/>
      <c r="V54" s="1827"/>
      <c r="W54" s="1827"/>
      <c r="X54" s="345"/>
      <c r="Y54" s="345"/>
      <c r="Z54" s="345"/>
      <c r="AA54" s="345"/>
      <c r="AB54" s="345"/>
      <c r="AC54" s="345"/>
      <c r="AD54" s="345"/>
      <c r="AE54" s="345"/>
      <c r="AF54" s="345"/>
      <c r="AG54" s="345"/>
      <c r="AH54" s="345"/>
      <c r="AI54" s="345"/>
      <c r="AJ54" s="345"/>
      <c r="AK54" s="345"/>
      <c r="AL54" s="345"/>
      <c r="AM54" s="345"/>
      <c r="AN54" s="345"/>
      <c r="AO54" s="345"/>
      <c r="AP54" s="345"/>
      <c r="AQ54" s="345"/>
      <c r="AR54" s="345"/>
      <c r="AS54" s="345"/>
      <c r="AT54" s="345"/>
      <c r="AU54" s="345"/>
      <c r="AV54" s="345"/>
      <c r="AW54" s="345"/>
      <c r="AX54" s="345"/>
      <c r="AY54" s="345"/>
      <c r="AZ54" s="345"/>
      <c r="BA54" s="345"/>
      <c r="BB54" s="345"/>
      <c r="BC54" s="345"/>
      <c r="BD54" s="345"/>
      <c r="BE54" s="345"/>
      <c r="BF54" s="345"/>
      <c r="BG54" s="345"/>
      <c r="BH54" s="345"/>
      <c r="BI54" s="345"/>
      <c r="BJ54" s="345"/>
      <c r="BK54" s="345"/>
      <c r="BL54" s="345"/>
      <c r="BM54" s="345"/>
      <c r="BN54" s="345"/>
      <c r="BO54" s="345"/>
      <c r="BP54" s="345"/>
      <c r="BQ54" s="345"/>
      <c r="BR54" s="345"/>
      <c r="BS54" s="345"/>
      <c r="BT54" s="345"/>
      <c r="BU54" s="345"/>
      <c r="BV54" s="345"/>
      <c r="BW54" s="345"/>
      <c r="BX54" s="345"/>
      <c r="BY54" s="345"/>
      <c r="BZ54" s="345"/>
      <c r="CA54" s="345"/>
      <c r="CB54" s="345"/>
      <c r="CC54" s="345"/>
      <c r="CD54" s="345"/>
      <c r="CE54" s="345"/>
      <c r="CF54" s="345"/>
      <c r="CG54" s="345"/>
      <c r="CH54" s="345"/>
      <c r="CI54" s="345"/>
      <c r="CJ54" s="345"/>
      <c r="CK54" s="345"/>
      <c r="CL54" s="345"/>
      <c r="CM54" s="345"/>
      <c r="CN54" s="345"/>
      <c r="CO54" s="345"/>
      <c r="CP54" s="345"/>
      <c r="CQ54" s="345"/>
      <c r="CR54" s="345"/>
      <c r="CS54" s="345"/>
      <c r="CT54" s="345"/>
      <c r="CU54" s="345"/>
      <c r="CV54" s="345"/>
      <c r="CW54" s="345"/>
      <c r="CX54" s="345"/>
      <c r="CY54" s="345"/>
      <c r="CZ54" s="345"/>
      <c r="DA54" s="345"/>
      <c r="DB54" s="345"/>
      <c r="DC54" s="345"/>
      <c r="DD54" s="345"/>
      <c r="DE54" s="345"/>
      <c r="DF54" s="345"/>
      <c r="DG54" s="345"/>
      <c r="DH54" s="345"/>
      <c r="DI54" s="345"/>
      <c r="DJ54" s="345"/>
      <c r="DK54" s="345"/>
      <c r="DL54" s="345"/>
      <c r="DM54" s="345"/>
      <c r="DN54" s="345"/>
      <c r="DO54" s="345"/>
      <c r="DP54" s="345"/>
      <c r="DQ54" s="345"/>
      <c r="DR54" s="345"/>
      <c r="DS54" s="345"/>
      <c r="DT54" s="345"/>
      <c r="DU54" s="345"/>
      <c r="DV54" s="345"/>
      <c r="DW54" s="345"/>
      <c r="DX54" s="345"/>
      <c r="DY54" s="345"/>
      <c r="DZ54" s="345"/>
      <c r="EA54" s="345"/>
    </row>
    <row r="55" spans="1:131" ht="15.95" customHeight="1">
      <c r="A55" s="345"/>
      <c r="B55" s="345"/>
      <c r="C55" s="2447"/>
      <c r="D55" s="6058"/>
      <c r="E55" s="6059"/>
      <c r="F55" s="2513" t="str">
        <f>Formula!MJ21</f>
        <v>80C</v>
      </c>
      <c r="G55" s="6024" t="str">
        <f>'Old Tax Regime'!D51</f>
        <v>HDFC Life Insurance</v>
      </c>
      <c r="H55" s="6024"/>
      <c r="I55" s="6024"/>
      <c r="J55" s="6024"/>
      <c r="K55" s="6024"/>
      <c r="L55" s="2620" t="s">
        <v>5</v>
      </c>
      <c r="M55" s="2606">
        <v>0</v>
      </c>
      <c r="N55" s="2620" t="s">
        <v>5</v>
      </c>
      <c r="O55" s="2621"/>
      <c r="P55" s="6045"/>
      <c r="Q55" s="6046"/>
      <c r="R55" s="1827"/>
      <c r="S55" s="1827"/>
      <c r="T55" s="1827"/>
      <c r="U55" s="1827"/>
      <c r="V55" s="1827"/>
      <c r="W55" s="1827"/>
      <c r="X55" s="345"/>
      <c r="Y55" s="345"/>
      <c r="Z55" s="345"/>
      <c r="AA55" s="345"/>
      <c r="AB55" s="345"/>
      <c r="AC55" s="345"/>
      <c r="AD55" s="345"/>
      <c r="AE55" s="345"/>
      <c r="AF55" s="345"/>
      <c r="AG55" s="345"/>
      <c r="AH55" s="345"/>
      <c r="AI55" s="345"/>
      <c r="AJ55" s="345"/>
      <c r="AK55" s="345"/>
      <c r="AL55" s="345"/>
      <c r="AM55" s="345"/>
      <c r="AN55" s="345"/>
      <c r="AO55" s="345"/>
      <c r="AP55" s="345"/>
      <c r="AQ55" s="345"/>
      <c r="AR55" s="345"/>
      <c r="AS55" s="345"/>
      <c r="AT55" s="345"/>
      <c r="AU55" s="345"/>
      <c r="AV55" s="345"/>
      <c r="AW55" s="345"/>
      <c r="AX55" s="345"/>
      <c r="AY55" s="345"/>
      <c r="AZ55" s="345"/>
      <c r="BA55" s="345"/>
      <c r="BB55" s="345"/>
      <c r="BC55" s="345"/>
      <c r="BD55" s="345"/>
      <c r="BE55" s="345"/>
      <c r="BF55" s="345"/>
      <c r="BG55" s="345"/>
      <c r="BH55" s="345"/>
      <c r="BI55" s="345"/>
      <c r="BJ55" s="345"/>
      <c r="BK55" s="345"/>
      <c r="BL55" s="345"/>
      <c r="BM55" s="345"/>
      <c r="BN55" s="345"/>
      <c r="BO55" s="345"/>
      <c r="BP55" s="345"/>
      <c r="BQ55" s="345"/>
      <c r="BR55" s="345"/>
      <c r="BS55" s="345"/>
      <c r="BT55" s="345"/>
      <c r="BU55" s="345"/>
      <c r="BV55" s="345"/>
      <c r="BW55" s="345"/>
      <c r="BX55" s="345"/>
      <c r="BY55" s="345"/>
      <c r="BZ55" s="345"/>
      <c r="CA55" s="345"/>
      <c r="CB55" s="345"/>
      <c r="CC55" s="345"/>
      <c r="CD55" s="345"/>
      <c r="CE55" s="345"/>
      <c r="CF55" s="345"/>
      <c r="CG55" s="345"/>
      <c r="CH55" s="345"/>
      <c r="CI55" s="345"/>
      <c r="CJ55" s="345"/>
      <c r="CK55" s="345"/>
      <c r="CL55" s="345"/>
      <c r="CM55" s="345"/>
      <c r="CN55" s="345"/>
      <c r="CO55" s="345"/>
      <c r="CP55" s="345"/>
      <c r="CQ55" s="345"/>
      <c r="CR55" s="345"/>
      <c r="CS55" s="345"/>
      <c r="CT55" s="345"/>
      <c r="CU55" s="345"/>
      <c r="CV55" s="345"/>
      <c r="CW55" s="345"/>
      <c r="CX55" s="345"/>
      <c r="CY55" s="345"/>
      <c r="CZ55" s="345"/>
      <c r="DA55" s="345"/>
      <c r="DB55" s="345"/>
      <c r="DC55" s="345"/>
      <c r="DD55" s="345"/>
      <c r="DE55" s="345"/>
      <c r="DF55" s="345"/>
      <c r="DG55" s="345"/>
      <c r="DH55" s="345"/>
      <c r="DI55" s="345"/>
      <c r="DJ55" s="345"/>
      <c r="DK55" s="345"/>
      <c r="DL55" s="345"/>
      <c r="DM55" s="345"/>
      <c r="DN55" s="345"/>
      <c r="DO55" s="345"/>
      <c r="DP55" s="345"/>
      <c r="DQ55" s="345"/>
      <c r="DR55" s="345"/>
      <c r="DS55" s="345"/>
      <c r="DT55" s="345"/>
      <c r="DU55" s="345"/>
      <c r="DV55" s="345"/>
      <c r="DW55" s="345"/>
      <c r="DX55" s="345"/>
      <c r="DY55" s="345"/>
      <c r="DZ55" s="345"/>
      <c r="EA55" s="345"/>
    </row>
    <row r="56" spans="1:131" ht="15.95" customHeight="1">
      <c r="A56" s="345"/>
      <c r="B56" s="345"/>
      <c r="C56" s="2447"/>
      <c r="D56" s="6058"/>
      <c r="E56" s="6059"/>
      <c r="F56" s="2513" t="str">
        <f>Formula!MJ22</f>
        <v>80C</v>
      </c>
      <c r="G56" s="6024" t="str">
        <f>'Old Tax Regime'!D52</f>
        <v>Max NewYark Life Insurance</v>
      </c>
      <c r="H56" s="6024"/>
      <c r="I56" s="6024"/>
      <c r="J56" s="6024"/>
      <c r="K56" s="6024"/>
      <c r="L56" s="2620" t="s">
        <v>5</v>
      </c>
      <c r="M56" s="2606">
        <v>0</v>
      </c>
      <c r="N56" s="2620" t="s">
        <v>5</v>
      </c>
      <c r="O56" s="2621">
        <v>0</v>
      </c>
      <c r="P56" s="6045"/>
      <c r="Q56" s="6046"/>
      <c r="R56" s="1827"/>
      <c r="S56" s="1827"/>
      <c r="T56" s="1827"/>
      <c r="U56" s="1827"/>
      <c r="V56" s="1827"/>
      <c r="W56" s="1827"/>
      <c r="X56" s="345"/>
      <c r="Y56" s="345"/>
      <c r="Z56" s="345"/>
      <c r="AA56" s="345"/>
      <c r="AB56" s="345"/>
      <c r="AC56" s="345"/>
      <c r="AD56" s="345"/>
      <c r="AE56" s="345"/>
      <c r="AF56" s="345"/>
      <c r="AG56" s="345"/>
      <c r="AH56" s="345"/>
      <c r="AI56" s="345"/>
      <c r="AJ56" s="345"/>
      <c r="AK56" s="345"/>
      <c r="AL56" s="345"/>
      <c r="AM56" s="345"/>
      <c r="AN56" s="345"/>
      <c r="AO56" s="345"/>
      <c r="AP56" s="345"/>
      <c r="AQ56" s="345"/>
      <c r="AR56" s="345"/>
      <c r="AS56" s="345"/>
      <c r="AT56" s="345"/>
      <c r="AU56" s="345"/>
      <c r="AV56" s="345"/>
      <c r="AW56" s="345"/>
      <c r="AX56" s="345"/>
      <c r="AY56" s="345"/>
      <c r="AZ56" s="345"/>
      <c r="BA56" s="345"/>
      <c r="BB56" s="345"/>
      <c r="BC56" s="345"/>
      <c r="BD56" s="345"/>
      <c r="BE56" s="345"/>
      <c r="BF56" s="345"/>
      <c r="BG56" s="345"/>
      <c r="BH56" s="345"/>
      <c r="BI56" s="345"/>
      <c r="BJ56" s="345"/>
      <c r="BK56" s="345"/>
      <c r="BL56" s="345"/>
      <c r="BM56" s="345"/>
      <c r="BN56" s="345"/>
      <c r="BO56" s="345"/>
      <c r="BP56" s="345"/>
      <c r="BQ56" s="345"/>
      <c r="BR56" s="345"/>
      <c r="BS56" s="345"/>
      <c r="BT56" s="345"/>
      <c r="BU56" s="345"/>
      <c r="BV56" s="345"/>
      <c r="BW56" s="345"/>
      <c r="BX56" s="345"/>
      <c r="BY56" s="345"/>
      <c r="BZ56" s="345"/>
      <c r="CA56" s="345"/>
      <c r="CB56" s="345"/>
      <c r="CC56" s="345"/>
      <c r="CD56" s="345"/>
      <c r="CE56" s="345"/>
      <c r="CF56" s="345"/>
      <c r="CG56" s="345"/>
      <c r="CH56" s="345"/>
      <c r="CI56" s="345"/>
      <c r="CJ56" s="345"/>
      <c r="CK56" s="345"/>
      <c r="CL56" s="345"/>
      <c r="CM56" s="345"/>
      <c r="CN56" s="345"/>
      <c r="CO56" s="345"/>
      <c r="CP56" s="345"/>
      <c r="CQ56" s="345"/>
      <c r="CR56" s="345"/>
      <c r="CS56" s="345"/>
      <c r="CT56" s="345"/>
      <c r="CU56" s="345"/>
      <c r="CV56" s="345"/>
      <c r="CW56" s="345"/>
      <c r="CX56" s="345"/>
      <c r="CY56" s="345"/>
      <c r="CZ56" s="345"/>
      <c r="DA56" s="345"/>
      <c r="DB56" s="345"/>
      <c r="DC56" s="345"/>
      <c r="DD56" s="345"/>
      <c r="DE56" s="345"/>
      <c r="DF56" s="345"/>
      <c r="DG56" s="345"/>
      <c r="DH56" s="345"/>
      <c r="DI56" s="345"/>
      <c r="DJ56" s="345"/>
      <c r="DK56" s="345"/>
      <c r="DL56" s="345"/>
      <c r="DM56" s="345"/>
      <c r="DN56" s="345"/>
      <c r="DO56" s="345"/>
      <c r="DP56" s="345"/>
      <c r="DQ56" s="345"/>
      <c r="DR56" s="345"/>
      <c r="DS56" s="345"/>
      <c r="DT56" s="345"/>
      <c r="DU56" s="345"/>
      <c r="DV56" s="345"/>
      <c r="DW56" s="345"/>
      <c r="DX56" s="345"/>
      <c r="DY56" s="345"/>
      <c r="DZ56" s="345"/>
      <c r="EA56" s="345"/>
    </row>
    <row r="57" spans="1:131" ht="15.95" customHeight="1">
      <c r="A57" s="345"/>
      <c r="B57" s="345"/>
      <c r="C57" s="2447"/>
      <c r="D57" s="6058"/>
      <c r="E57" s="6059"/>
      <c r="F57" s="2513" t="str">
        <f>Formula!MJ23</f>
        <v>80C</v>
      </c>
      <c r="G57" s="6024" t="str">
        <f>'Old Tax Regime'!D53</f>
        <v>ICICI Life Insurance</v>
      </c>
      <c r="H57" s="6024"/>
      <c r="I57" s="6024"/>
      <c r="J57" s="6024"/>
      <c r="K57" s="6024"/>
      <c r="L57" s="2620" t="s">
        <v>5</v>
      </c>
      <c r="M57" s="2606">
        <v>0</v>
      </c>
      <c r="N57" s="2620" t="s">
        <v>5</v>
      </c>
      <c r="O57" s="2621">
        <v>0</v>
      </c>
      <c r="P57" s="6045"/>
      <c r="Q57" s="6046"/>
      <c r="R57" s="1827"/>
      <c r="S57" s="1827"/>
      <c r="T57" s="1827"/>
      <c r="U57" s="1827"/>
      <c r="V57" s="1827"/>
      <c r="W57" s="1827"/>
      <c r="X57" s="345"/>
      <c r="Y57" s="345"/>
      <c r="Z57" s="345"/>
      <c r="AA57" s="345"/>
      <c r="AB57" s="345"/>
      <c r="AC57" s="345"/>
      <c r="AD57" s="345"/>
      <c r="AE57" s="345"/>
      <c r="AF57" s="345"/>
      <c r="AG57" s="345"/>
      <c r="AH57" s="345"/>
      <c r="AI57" s="345"/>
      <c r="AJ57" s="345"/>
      <c r="AK57" s="345"/>
      <c r="AL57" s="345"/>
      <c r="AM57" s="345"/>
      <c r="AN57" s="345"/>
      <c r="AO57" s="345"/>
      <c r="AP57" s="345"/>
      <c r="AQ57" s="345"/>
      <c r="AR57" s="345"/>
      <c r="AS57" s="345"/>
      <c r="AT57" s="345"/>
      <c r="AU57" s="345"/>
      <c r="AV57" s="345"/>
      <c r="AW57" s="345"/>
      <c r="AX57" s="345"/>
      <c r="AY57" s="345"/>
      <c r="AZ57" s="345"/>
      <c r="BA57" s="345"/>
      <c r="BB57" s="345"/>
      <c r="BC57" s="345"/>
      <c r="BD57" s="345"/>
      <c r="BE57" s="345"/>
      <c r="BF57" s="345"/>
      <c r="BG57" s="345"/>
      <c r="BH57" s="345"/>
      <c r="BI57" s="345"/>
      <c r="BJ57" s="345"/>
      <c r="BK57" s="345"/>
      <c r="BL57" s="345"/>
      <c r="BM57" s="345"/>
      <c r="BN57" s="345"/>
      <c r="BO57" s="345"/>
      <c r="BP57" s="345"/>
      <c r="BQ57" s="345"/>
      <c r="BR57" s="345"/>
      <c r="BS57" s="345"/>
      <c r="BT57" s="345"/>
      <c r="BU57" s="345"/>
      <c r="BV57" s="345"/>
      <c r="BW57" s="345"/>
      <c r="BX57" s="345"/>
      <c r="BY57" s="345"/>
      <c r="BZ57" s="345"/>
      <c r="CA57" s="345"/>
      <c r="CB57" s="345"/>
      <c r="CC57" s="345"/>
      <c r="CD57" s="345"/>
      <c r="CE57" s="345"/>
      <c r="CF57" s="345"/>
      <c r="CG57" s="345"/>
      <c r="CH57" s="345"/>
      <c r="CI57" s="345"/>
      <c r="CJ57" s="345"/>
      <c r="CK57" s="345"/>
      <c r="CL57" s="345"/>
      <c r="CM57" s="345"/>
      <c r="CN57" s="345"/>
      <c r="CO57" s="345"/>
      <c r="CP57" s="345"/>
      <c r="CQ57" s="345"/>
      <c r="CR57" s="345"/>
      <c r="CS57" s="345"/>
      <c r="CT57" s="345"/>
      <c r="CU57" s="345"/>
      <c r="CV57" s="345"/>
      <c r="CW57" s="345"/>
      <c r="CX57" s="345"/>
      <c r="CY57" s="345"/>
      <c r="CZ57" s="345"/>
      <c r="DA57" s="345"/>
      <c r="DB57" s="345"/>
      <c r="DC57" s="345"/>
      <c r="DD57" s="345"/>
      <c r="DE57" s="345"/>
      <c r="DF57" s="345"/>
      <c r="DG57" s="345"/>
      <c r="DH57" s="345"/>
      <c r="DI57" s="345"/>
      <c r="DJ57" s="345"/>
      <c r="DK57" s="345"/>
      <c r="DL57" s="345"/>
      <c r="DM57" s="345"/>
      <c r="DN57" s="345"/>
      <c r="DO57" s="345"/>
      <c r="DP57" s="345"/>
      <c r="DQ57" s="345"/>
      <c r="DR57" s="345"/>
      <c r="DS57" s="345"/>
      <c r="DT57" s="345"/>
      <c r="DU57" s="345"/>
      <c r="DV57" s="345"/>
      <c r="DW57" s="345"/>
      <c r="DX57" s="345"/>
      <c r="DY57" s="345"/>
      <c r="DZ57" s="345"/>
      <c r="EA57" s="345"/>
    </row>
    <row r="58" spans="1:131" ht="15.95" customHeight="1">
      <c r="A58" s="345"/>
      <c r="B58" s="345"/>
      <c r="C58" s="2447"/>
      <c r="D58" s="6056"/>
      <c r="E58" s="6057"/>
      <c r="F58" s="6192" t="s">
        <v>199</v>
      </c>
      <c r="G58" s="6193"/>
      <c r="H58" s="6193"/>
      <c r="I58" s="6193"/>
      <c r="J58" s="6193"/>
      <c r="K58" s="6194"/>
      <c r="L58" s="2620" t="s">
        <v>5</v>
      </c>
      <c r="M58" s="2606">
        <f>SUM(M47:M57)</f>
        <v>0</v>
      </c>
      <c r="N58" s="2620" t="s">
        <v>5</v>
      </c>
      <c r="O58" s="2606">
        <v>0</v>
      </c>
      <c r="P58" s="6045"/>
      <c r="Q58" s="6046"/>
      <c r="R58" s="1827"/>
      <c r="S58" s="1827"/>
      <c r="T58" s="1827"/>
      <c r="U58" s="1827"/>
      <c r="V58" s="1827"/>
      <c r="W58" s="1827"/>
      <c r="X58" s="345"/>
      <c r="Y58" s="345"/>
      <c r="Z58" s="345"/>
      <c r="AA58" s="345"/>
      <c r="AB58" s="345"/>
      <c r="AC58" s="345"/>
      <c r="AD58" s="345"/>
      <c r="AE58" s="345"/>
      <c r="AF58" s="345"/>
      <c r="AG58" s="345"/>
      <c r="AH58" s="345"/>
      <c r="AI58" s="345"/>
      <c r="AJ58" s="345"/>
      <c r="AK58" s="345"/>
      <c r="AL58" s="345"/>
      <c r="AM58" s="345"/>
      <c r="AN58" s="345"/>
      <c r="AO58" s="345"/>
      <c r="AP58" s="345"/>
      <c r="AQ58" s="345"/>
      <c r="AR58" s="345"/>
      <c r="AS58" s="345"/>
      <c r="AT58" s="345"/>
      <c r="AU58" s="345"/>
      <c r="AV58" s="345"/>
      <c r="AW58" s="345"/>
      <c r="AX58" s="345"/>
      <c r="AY58" s="345"/>
      <c r="AZ58" s="345"/>
      <c r="BA58" s="345"/>
      <c r="BB58" s="345"/>
      <c r="BC58" s="345"/>
      <c r="BD58" s="345"/>
      <c r="BE58" s="345"/>
      <c r="BF58" s="345"/>
      <c r="BG58" s="345"/>
      <c r="BH58" s="345"/>
      <c r="BI58" s="345"/>
      <c r="BJ58" s="345"/>
      <c r="BK58" s="345"/>
      <c r="BL58" s="345"/>
      <c r="BM58" s="345"/>
      <c r="BN58" s="345"/>
      <c r="BO58" s="345"/>
      <c r="BP58" s="345"/>
      <c r="BQ58" s="345"/>
      <c r="BR58" s="345"/>
      <c r="BS58" s="345"/>
      <c r="BT58" s="345"/>
      <c r="BU58" s="345"/>
      <c r="BV58" s="345"/>
      <c r="BW58" s="345"/>
      <c r="BX58" s="345"/>
      <c r="BY58" s="345"/>
      <c r="BZ58" s="345"/>
      <c r="CA58" s="345"/>
      <c r="CB58" s="345"/>
      <c r="CC58" s="345"/>
      <c r="CD58" s="345"/>
      <c r="CE58" s="345"/>
      <c r="CF58" s="345"/>
      <c r="CG58" s="345"/>
      <c r="CH58" s="345"/>
      <c r="CI58" s="345"/>
      <c r="CJ58" s="345"/>
      <c r="CK58" s="345"/>
      <c r="CL58" s="345"/>
      <c r="CM58" s="345"/>
      <c r="CN58" s="345"/>
      <c r="CO58" s="345"/>
      <c r="CP58" s="345"/>
      <c r="CQ58" s="345"/>
      <c r="CR58" s="345"/>
      <c r="CS58" s="345"/>
      <c r="CT58" s="345"/>
      <c r="CU58" s="345"/>
      <c r="CV58" s="345"/>
      <c r="CW58" s="345"/>
      <c r="CX58" s="345"/>
      <c r="CY58" s="345"/>
      <c r="CZ58" s="345"/>
      <c r="DA58" s="345"/>
      <c r="DB58" s="345"/>
      <c r="DC58" s="345"/>
      <c r="DD58" s="345"/>
      <c r="DE58" s="345"/>
      <c r="DF58" s="345"/>
      <c r="DG58" s="345"/>
      <c r="DH58" s="345"/>
      <c r="DI58" s="345"/>
      <c r="DJ58" s="345"/>
      <c r="DK58" s="345"/>
      <c r="DL58" s="345"/>
      <c r="DM58" s="345"/>
      <c r="DN58" s="345"/>
      <c r="DO58" s="345"/>
      <c r="DP58" s="345"/>
      <c r="DQ58" s="345"/>
      <c r="DR58" s="345"/>
      <c r="DS58" s="345"/>
      <c r="DT58" s="345"/>
      <c r="DU58" s="345"/>
      <c r="DV58" s="345"/>
      <c r="DW58" s="345"/>
      <c r="DX58" s="345"/>
      <c r="DY58" s="345"/>
      <c r="DZ58" s="345"/>
      <c r="EA58" s="345"/>
    </row>
    <row r="59" spans="1:131" ht="15.95" customHeight="1">
      <c r="A59" s="345"/>
      <c r="B59" s="345"/>
      <c r="C59" s="2447"/>
      <c r="D59" s="6054"/>
      <c r="E59" s="6055"/>
      <c r="F59" s="6185" t="str">
        <f>'Old Tax Regime'!C55</f>
        <v xml:space="preserve">Savings U/S 80C </v>
      </c>
      <c r="G59" s="6186"/>
      <c r="H59" s="6186"/>
      <c r="I59" s="6186"/>
      <c r="J59" s="6186"/>
      <c r="K59" s="6187"/>
      <c r="L59" s="6195"/>
      <c r="M59" s="6196"/>
      <c r="N59" s="2620" t="s">
        <v>5</v>
      </c>
      <c r="O59" s="2513">
        <v>0</v>
      </c>
      <c r="P59" s="6045"/>
      <c r="Q59" s="6046"/>
      <c r="R59" s="1827"/>
      <c r="S59" s="1827"/>
      <c r="T59" s="1827"/>
      <c r="U59" s="1827"/>
      <c r="V59" s="1827"/>
      <c r="W59" s="1827"/>
      <c r="X59" s="345"/>
      <c r="Y59" s="345"/>
      <c r="Z59" s="345"/>
      <c r="AA59" s="345"/>
      <c r="AB59" s="345"/>
      <c r="AC59" s="345"/>
      <c r="AD59" s="345"/>
      <c r="AE59" s="345"/>
      <c r="AF59" s="345"/>
      <c r="AG59" s="345"/>
      <c r="AH59" s="345"/>
      <c r="AI59" s="345"/>
      <c r="AJ59" s="345"/>
      <c r="AK59" s="345"/>
      <c r="AL59" s="345"/>
      <c r="AM59" s="345"/>
      <c r="AN59" s="345"/>
      <c r="AO59" s="345"/>
      <c r="AP59" s="345"/>
      <c r="AQ59" s="345"/>
      <c r="AR59" s="345"/>
      <c r="AS59" s="345"/>
      <c r="AT59" s="345"/>
      <c r="AU59" s="345"/>
      <c r="AV59" s="345"/>
      <c r="AW59" s="345"/>
      <c r="AX59" s="345"/>
      <c r="AY59" s="345"/>
      <c r="AZ59" s="345"/>
      <c r="BA59" s="345"/>
      <c r="BB59" s="345"/>
      <c r="BC59" s="345"/>
      <c r="BD59" s="345"/>
      <c r="BE59" s="345"/>
      <c r="BF59" s="345"/>
      <c r="BG59" s="345"/>
      <c r="BH59" s="345"/>
      <c r="BI59" s="345"/>
      <c r="BJ59" s="345"/>
      <c r="BK59" s="345"/>
      <c r="BL59" s="345"/>
      <c r="BM59" s="345"/>
      <c r="BN59" s="345"/>
      <c r="BO59" s="345"/>
      <c r="BP59" s="345"/>
      <c r="BQ59" s="345"/>
      <c r="BR59" s="345"/>
      <c r="BS59" s="345"/>
      <c r="BT59" s="345"/>
      <c r="BU59" s="345"/>
      <c r="BV59" s="345"/>
      <c r="BW59" s="345"/>
      <c r="BX59" s="345"/>
      <c r="BY59" s="345"/>
      <c r="BZ59" s="345"/>
      <c r="CA59" s="345"/>
      <c r="CB59" s="345"/>
      <c r="CC59" s="345"/>
      <c r="CD59" s="345"/>
      <c r="CE59" s="345"/>
      <c r="CF59" s="345"/>
      <c r="CG59" s="345"/>
      <c r="CH59" s="345"/>
      <c r="CI59" s="345"/>
      <c r="CJ59" s="345"/>
      <c r="CK59" s="345"/>
      <c r="CL59" s="345"/>
      <c r="CM59" s="345"/>
      <c r="CN59" s="345"/>
      <c r="CO59" s="345"/>
      <c r="CP59" s="345"/>
      <c r="CQ59" s="345"/>
      <c r="CR59" s="345"/>
      <c r="CS59" s="345"/>
      <c r="CT59" s="345"/>
      <c r="CU59" s="345"/>
      <c r="CV59" s="345"/>
      <c r="CW59" s="345"/>
      <c r="CX59" s="345"/>
      <c r="CY59" s="345"/>
      <c r="CZ59" s="345"/>
      <c r="DA59" s="345"/>
      <c r="DB59" s="345"/>
      <c r="DC59" s="345"/>
      <c r="DD59" s="345"/>
      <c r="DE59" s="345"/>
      <c r="DF59" s="345"/>
      <c r="DG59" s="345"/>
      <c r="DH59" s="345"/>
      <c r="DI59" s="345"/>
      <c r="DJ59" s="345"/>
      <c r="DK59" s="345"/>
      <c r="DL59" s="345"/>
      <c r="DM59" s="345"/>
      <c r="DN59" s="345"/>
      <c r="DO59" s="345"/>
      <c r="DP59" s="345"/>
      <c r="DQ59" s="345"/>
      <c r="DR59" s="345"/>
      <c r="DS59" s="345"/>
      <c r="DT59" s="345"/>
      <c r="DU59" s="345"/>
      <c r="DV59" s="345"/>
      <c r="DW59" s="345"/>
      <c r="DX59" s="345"/>
      <c r="DY59" s="345"/>
      <c r="DZ59" s="345"/>
      <c r="EA59" s="345"/>
    </row>
    <row r="60" spans="1:131" ht="15.95" customHeight="1">
      <c r="A60" s="345"/>
      <c r="B60" s="345"/>
      <c r="C60" s="2447"/>
      <c r="D60" s="6056"/>
      <c r="E60" s="6057"/>
      <c r="F60" s="6185" t="str">
        <f>'Old Tax Regime'!C56</f>
        <v/>
      </c>
      <c r="G60" s="6186"/>
      <c r="H60" s="6186"/>
      <c r="I60" s="6186"/>
      <c r="J60" s="6186"/>
      <c r="K60" s="6187"/>
      <c r="L60" s="6197"/>
      <c r="M60" s="6198"/>
      <c r="N60" s="2620" t="s">
        <v>5</v>
      </c>
      <c r="O60" s="2622">
        <v>0</v>
      </c>
      <c r="P60" s="6047"/>
      <c r="Q60" s="6048"/>
      <c r="R60" s="1827"/>
      <c r="S60" s="1827"/>
      <c r="T60" s="1827"/>
      <c r="U60" s="1827"/>
      <c r="V60" s="1827"/>
      <c r="W60" s="1827"/>
      <c r="X60" s="345"/>
      <c r="Y60" s="345"/>
      <c r="Z60" s="345"/>
      <c r="AA60" s="345"/>
      <c r="AB60" s="345"/>
      <c r="AC60" s="345"/>
      <c r="AD60" s="345"/>
      <c r="AE60" s="345"/>
      <c r="AF60" s="345"/>
      <c r="AG60" s="345"/>
      <c r="AH60" s="345"/>
      <c r="AI60" s="345"/>
      <c r="AJ60" s="345"/>
      <c r="AK60" s="345"/>
      <c r="AL60" s="345"/>
      <c r="AM60" s="345"/>
      <c r="AN60" s="345"/>
      <c r="AO60" s="345"/>
      <c r="AP60" s="345"/>
      <c r="AQ60" s="345"/>
      <c r="AR60" s="345"/>
      <c r="AS60" s="345"/>
      <c r="AT60" s="345"/>
      <c r="AU60" s="345"/>
      <c r="AV60" s="345"/>
      <c r="AW60" s="345"/>
      <c r="AX60" s="345"/>
      <c r="AY60" s="345"/>
      <c r="AZ60" s="345"/>
      <c r="BA60" s="345"/>
      <c r="BB60" s="345"/>
      <c r="BC60" s="345"/>
      <c r="BD60" s="345"/>
      <c r="BE60" s="345"/>
      <c r="BF60" s="345"/>
      <c r="BG60" s="345"/>
      <c r="BH60" s="345"/>
      <c r="BI60" s="345"/>
      <c r="BJ60" s="345"/>
      <c r="BK60" s="345"/>
      <c r="BL60" s="345"/>
      <c r="BM60" s="345"/>
      <c r="BN60" s="345"/>
      <c r="BO60" s="345"/>
      <c r="BP60" s="345"/>
      <c r="BQ60" s="345"/>
      <c r="BR60" s="345"/>
      <c r="BS60" s="345"/>
      <c r="BT60" s="345"/>
      <c r="BU60" s="345"/>
      <c r="BV60" s="345"/>
      <c r="BW60" s="345"/>
      <c r="BX60" s="345"/>
      <c r="BY60" s="345"/>
      <c r="BZ60" s="345"/>
      <c r="CA60" s="345"/>
      <c r="CB60" s="345"/>
      <c r="CC60" s="345"/>
      <c r="CD60" s="345"/>
      <c r="CE60" s="345"/>
      <c r="CF60" s="345"/>
      <c r="CG60" s="345"/>
      <c r="CH60" s="345"/>
      <c r="CI60" s="345"/>
      <c r="CJ60" s="345"/>
      <c r="CK60" s="345"/>
      <c r="CL60" s="345"/>
      <c r="CM60" s="345"/>
      <c r="CN60" s="345"/>
      <c r="CO60" s="345"/>
      <c r="CP60" s="345"/>
      <c r="CQ60" s="345"/>
      <c r="CR60" s="345"/>
      <c r="CS60" s="345"/>
      <c r="CT60" s="345"/>
      <c r="CU60" s="345"/>
      <c r="CV60" s="345"/>
      <c r="CW60" s="345"/>
      <c r="CX60" s="345"/>
      <c r="CY60" s="345"/>
      <c r="CZ60" s="345"/>
      <c r="DA60" s="345"/>
      <c r="DB60" s="345"/>
      <c r="DC60" s="345"/>
      <c r="DD60" s="345"/>
      <c r="DE60" s="345"/>
      <c r="DF60" s="345"/>
      <c r="DG60" s="345"/>
      <c r="DH60" s="345"/>
      <c r="DI60" s="345"/>
      <c r="DJ60" s="345"/>
      <c r="DK60" s="345"/>
      <c r="DL60" s="345"/>
      <c r="DM60" s="345"/>
      <c r="DN60" s="345"/>
      <c r="DO60" s="345"/>
      <c r="DP60" s="345"/>
      <c r="DQ60" s="345"/>
      <c r="DR60" s="345"/>
      <c r="DS60" s="345"/>
      <c r="DT60" s="345"/>
      <c r="DU60" s="345"/>
      <c r="DV60" s="345"/>
      <c r="DW60" s="345"/>
      <c r="DX60" s="345"/>
      <c r="DY60" s="345"/>
      <c r="DZ60" s="345"/>
      <c r="EA60" s="345"/>
    </row>
    <row r="61" spans="1:131" ht="15.95" customHeight="1">
      <c r="A61" s="345"/>
      <c r="B61" s="345"/>
      <c r="C61" s="2447"/>
      <c r="D61" s="5884" t="s">
        <v>1508</v>
      </c>
      <c r="E61" s="5835"/>
      <c r="F61" s="6188" t="str">
        <f>'Old Tax Regime'!C57</f>
        <v>Total Savings U/S 80C( Limited  to  One Lakh Fifty Thousand)</v>
      </c>
      <c r="G61" s="6189"/>
      <c r="H61" s="6189"/>
      <c r="I61" s="6189"/>
      <c r="J61" s="6189"/>
      <c r="K61" s="6190"/>
      <c r="L61" s="6199"/>
      <c r="M61" s="6200"/>
      <c r="N61" s="2620" t="s">
        <v>5</v>
      </c>
      <c r="O61" s="2640">
        <f>SUM(O59+O60)</f>
        <v>0</v>
      </c>
      <c r="P61" s="2600" t="s">
        <v>5</v>
      </c>
      <c r="Q61" s="2641">
        <f>O61</f>
        <v>0</v>
      </c>
      <c r="R61" s="1827"/>
      <c r="S61" s="1827"/>
      <c r="T61" s="1827"/>
      <c r="U61" s="1827"/>
      <c r="V61" s="1827"/>
      <c r="W61" s="1827"/>
      <c r="X61" s="345"/>
      <c r="Y61" s="345"/>
      <c r="Z61" s="345"/>
      <c r="AA61" s="345"/>
      <c r="AB61" s="345"/>
      <c r="AC61" s="345"/>
      <c r="AD61" s="345"/>
      <c r="AE61" s="345"/>
      <c r="AF61" s="345"/>
      <c r="AG61" s="345"/>
      <c r="AH61" s="345"/>
      <c r="AI61" s="345"/>
      <c r="AJ61" s="345"/>
      <c r="AK61" s="345"/>
      <c r="AL61" s="345"/>
      <c r="AM61" s="345"/>
      <c r="AN61" s="345"/>
      <c r="AO61" s="345"/>
      <c r="AP61" s="345"/>
      <c r="AQ61" s="345"/>
      <c r="AR61" s="345"/>
      <c r="AS61" s="345"/>
      <c r="AT61" s="345"/>
      <c r="AU61" s="345"/>
      <c r="AV61" s="345"/>
      <c r="AW61" s="345"/>
      <c r="AX61" s="345"/>
      <c r="AY61" s="345"/>
      <c r="AZ61" s="345"/>
      <c r="BA61" s="345"/>
      <c r="BB61" s="345"/>
      <c r="BC61" s="345"/>
      <c r="BD61" s="345"/>
      <c r="BE61" s="345"/>
      <c r="BF61" s="345"/>
      <c r="BG61" s="345"/>
      <c r="BH61" s="345"/>
      <c r="BI61" s="345"/>
      <c r="BJ61" s="345"/>
      <c r="BK61" s="345"/>
      <c r="BL61" s="345"/>
      <c r="BM61" s="345"/>
      <c r="BN61" s="345"/>
      <c r="BO61" s="345"/>
      <c r="BP61" s="345"/>
      <c r="BQ61" s="345"/>
      <c r="BR61" s="345"/>
      <c r="BS61" s="345"/>
      <c r="BT61" s="345"/>
      <c r="BU61" s="345"/>
      <c r="BV61" s="345"/>
      <c r="BW61" s="345"/>
      <c r="BX61" s="345"/>
      <c r="BY61" s="345"/>
      <c r="BZ61" s="345"/>
      <c r="CA61" s="345"/>
      <c r="CB61" s="345"/>
      <c r="CC61" s="345"/>
      <c r="CD61" s="345"/>
      <c r="CE61" s="345"/>
      <c r="CF61" s="345"/>
      <c r="CG61" s="345"/>
      <c r="CH61" s="345"/>
      <c r="CI61" s="345"/>
      <c r="CJ61" s="345"/>
      <c r="CK61" s="345"/>
      <c r="CL61" s="345"/>
      <c r="CM61" s="345"/>
      <c r="CN61" s="345"/>
      <c r="CO61" s="345"/>
      <c r="CP61" s="345"/>
      <c r="CQ61" s="345"/>
      <c r="CR61" s="345"/>
      <c r="CS61" s="345"/>
      <c r="CT61" s="345"/>
      <c r="CU61" s="345"/>
      <c r="CV61" s="345"/>
      <c r="CW61" s="345"/>
      <c r="CX61" s="345"/>
      <c r="CY61" s="345"/>
      <c r="CZ61" s="345"/>
      <c r="DA61" s="345"/>
      <c r="DB61" s="345"/>
      <c r="DC61" s="345"/>
      <c r="DD61" s="345"/>
      <c r="DE61" s="345"/>
      <c r="DF61" s="345"/>
      <c r="DG61" s="345"/>
      <c r="DH61" s="345"/>
      <c r="DI61" s="345"/>
      <c r="DJ61" s="345"/>
      <c r="DK61" s="345"/>
      <c r="DL61" s="345"/>
      <c r="DM61" s="345"/>
      <c r="DN61" s="345"/>
      <c r="DO61" s="345"/>
      <c r="DP61" s="345"/>
      <c r="DQ61" s="345"/>
      <c r="DR61" s="345"/>
      <c r="DS61" s="345"/>
      <c r="DT61" s="345"/>
      <c r="DU61" s="345"/>
      <c r="DV61" s="345"/>
      <c r="DW61" s="345"/>
      <c r="DX61" s="345"/>
      <c r="DY61" s="345"/>
      <c r="DZ61" s="345"/>
      <c r="EA61" s="345"/>
    </row>
    <row r="62" spans="1:131" ht="15.95" customHeight="1">
      <c r="A62" s="345"/>
      <c r="B62" s="345"/>
      <c r="C62" s="2447"/>
      <c r="D62" s="5884" t="s">
        <v>1509</v>
      </c>
      <c r="E62" s="5835"/>
      <c r="F62" s="2645" t="str">
        <f>Formula!MJ24</f>
        <v>80CCD(1B)</v>
      </c>
      <c r="G62" s="6191" t="str">
        <f>Formula!MK24</f>
        <v xml:space="preserve">Contribution to National Pension Scheme (NPS) of Central Government </v>
      </c>
      <c r="H62" s="6191"/>
      <c r="I62" s="6191"/>
      <c r="J62" s="6191"/>
      <c r="K62" s="6191"/>
      <c r="L62" s="2623" t="s">
        <v>5</v>
      </c>
      <c r="M62" s="2513">
        <v>0</v>
      </c>
      <c r="N62" s="2620" t="s">
        <v>5</v>
      </c>
      <c r="O62" s="2513">
        <v>0</v>
      </c>
      <c r="P62" s="2601" t="s">
        <v>5</v>
      </c>
      <c r="Q62" s="2642">
        <f>O62</f>
        <v>0</v>
      </c>
      <c r="R62" s="1827"/>
      <c r="S62" s="1827"/>
      <c r="T62" s="1827"/>
      <c r="U62" s="1827"/>
      <c r="V62" s="1827"/>
      <c r="W62" s="1827"/>
      <c r="X62" s="345"/>
      <c r="Y62" s="345"/>
      <c r="Z62" s="345"/>
      <c r="AA62" s="345"/>
      <c r="AB62" s="345"/>
      <c r="AC62" s="345"/>
      <c r="AD62" s="345"/>
      <c r="AE62" s="345"/>
      <c r="AF62" s="345"/>
      <c r="AG62" s="345"/>
      <c r="AH62" s="345"/>
      <c r="AI62" s="345"/>
      <c r="AJ62" s="345"/>
      <c r="AK62" s="345"/>
      <c r="AL62" s="345"/>
      <c r="AM62" s="345"/>
      <c r="AN62" s="345"/>
      <c r="AO62" s="345"/>
      <c r="AP62" s="345"/>
      <c r="AQ62" s="345"/>
      <c r="AR62" s="345"/>
      <c r="AS62" s="345"/>
      <c r="AT62" s="345"/>
      <c r="AU62" s="345"/>
      <c r="AV62" s="345"/>
      <c r="AW62" s="345"/>
      <c r="AX62" s="345"/>
      <c r="AY62" s="345"/>
      <c r="AZ62" s="345"/>
      <c r="BA62" s="345"/>
      <c r="BB62" s="345"/>
      <c r="BC62" s="345"/>
      <c r="BD62" s="345"/>
      <c r="BE62" s="345"/>
      <c r="BF62" s="345"/>
      <c r="BG62" s="345"/>
      <c r="BH62" s="345"/>
      <c r="BI62" s="345"/>
      <c r="BJ62" s="345"/>
      <c r="BK62" s="345"/>
      <c r="BL62" s="345"/>
      <c r="BM62" s="345"/>
      <c r="BN62" s="345"/>
      <c r="BO62" s="345"/>
      <c r="BP62" s="345"/>
      <c r="BQ62" s="345"/>
      <c r="BR62" s="345"/>
      <c r="BS62" s="345"/>
      <c r="BT62" s="345"/>
      <c r="BU62" s="345"/>
      <c r="BV62" s="345"/>
      <c r="BW62" s="345"/>
      <c r="BX62" s="345"/>
      <c r="BY62" s="345"/>
      <c r="BZ62" s="345"/>
      <c r="CA62" s="345"/>
      <c r="CB62" s="345"/>
      <c r="CC62" s="345"/>
      <c r="CD62" s="345"/>
      <c r="CE62" s="345"/>
      <c r="CF62" s="345"/>
      <c r="CG62" s="345"/>
      <c r="CH62" s="345"/>
      <c r="CI62" s="345"/>
      <c r="CJ62" s="345"/>
      <c r="CK62" s="345"/>
      <c r="CL62" s="345"/>
      <c r="CM62" s="345"/>
      <c r="CN62" s="345"/>
      <c r="CO62" s="345"/>
      <c r="CP62" s="345"/>
      <c r="CQ62" s="345"/>
      <c r="CR62" s="345"/>
      <c r="CS62" s="345"/>
      <c r="CT62" s="345"/>
      <c r="CU62" s="345"/>
      <c r="CV62" s="345"/>
      <c r="CW62" s="345"/>
      <c r="CX62" s="345"/>
      <c r="CY62" s="345"/>
      <c r="CZ62" s="345"/>
      <c r="DA62" s="345"/>
      <c r="DB62" s="345"/>
      <c r="DC62" s="345"/>
      <c r="DD62" s="345"/>
      <c r="DE62" s="345"/>
      <c r="DF62" s="345"/>
      <c r="DG62" s="345"/>
      <c r="DH62" s="345"/>
      <c r="DI62" s="345"/>
      <c r="DJ62" s="345"/>
      <c r="DK62" s="345"/>
      <c r="DL62" s="345"/>
      <c r="DM62" s="345"/>
      <c r="DN62" s="345"/>
      <c r="DO62" s="345"/>
      <c r="DP62" s="345"/>
      <c r="DQ62" s="345"/>
      <c r="DR62" s="345"/>
      <c r="DS62" s="345"/>
      <c r="DT62" s="345"/>
      <c r="DU62" s="345"/>
      <c r="DV62" s="345"/>
      <c r="DW62" s="345"/>
      <c r="DX62" s="345"/>
      <c r="DY62" s="345"/>
      <c r="DZ62" s="345"/>
      <c r="EA62" s="345"/>
    </row>
    <row r="63" spans="1:131" ht="15.95" customHeight="1">
      <c r="A63" s="345"/>
      <c r="B63" s="345"/>
      <c r="C63" s="2447"/>
      <c r="D63" s="5884" t="s">
        <v>1511</v>
      </c>
      <c r="E63" s="5835"/>
      <c r="F63" s="2624" t="s">
        <v>322</v>
      </c>
      <c r="G63" s="2625"/>
      <c r="H63" s="2625"/>
      <c r="I63" s="2625"/>
      <c r="J63" s="2625"/>
      <c r="K63" s="2626"/>
      <c r="L63" s="6182"/>
      <c r="M63" s="6183"/>
      <c r="N63" s="6182"/>
      <c r="O63" s="6183"/>
      <c r="P63" s="5889"/>
      <c r="Q63" s="6014"/>
      <c r="R63" s="1827"/>
      <c r="S63" s="1827"/>
      <c r="T63" s="1827"/>
      <c r="U63" s="1827"/>
      <c r="V63" s="1827"/>
      <c r="W63" s="1827"/>
      <c r="X63" s="345"/>
      <c r="Y63" s="345"/>
      <c r="Z63" s="345"/>
      <c r="AA63" s="345"/>
      <c r="AB63" s="345"/>
      <c r="AC63" s="345"/>
      <c r="AD63" s="345"/>
      <c r="AE63" s="345"/>
      <c r="AF63" s="345"/>
      <c r="AG63" s="345"/>
      <c r="AH63" s="345"/>
      <c r="AI63" s="345"/>
      <c r="AJ63" s="345"/>
      <c r="AK63" s="345"/>
      <c r="AL63" s="345"/>
      <c r="AM63" s="345"/>
      <c r="AN63" s="345"/>
      <c r="AO63" s="345"/>
      <c r="AP63" s="345"/>
      <c r="AQ63" s="345"/>
      <c r="AR63" s="345"/>
      <c r="AS63" s="345"/>
      <c r="AT63" s="345"/>
      <c r="AU63" s="345"/>
      <c r="AV63" s="345"/>
      <c r="AW63" s="345"/>
      <c r="AX63" s="345"/>
      <c r="AY63" s="345"/>
      <c r="AZ63" s="345"/>
      <c r="BA63" s="345"/>
      <c r="BB63" s="345"/>
      <c r="BC63" s="345"/>
      <c r="BD63" s="345"/>
      <c r="BE63" s="345"/>
      <c r="BF63" s="345"/>
      <c r="BG63" s="345"/>
      <c r="BH63" s="345"/>
      <c r="BI63" s="345"/>
      <c r="BJ63" s="345"/>
      <c r="BK63" s="345"/>
      <c r="BL63" s="345"/>
      <c r="BM63" s="345"/>
      <c r="BN63" s="345"/>
      <c r="BO63" s="345"/>
      <c r="BP63" s="345"/>
      <c r="BQ63" s="345"/>
      <c r="BR63" s="345"/>
      <c r="BS63" s="345"/>
      <c r="BT63" s="345"/>
      <c r="BU63" s="345"/>
      <c r="BV63" s="345"/>
      <c r="BW63" s="345"/>
      <c r="BX63" s="345"/>
      <c r="BY63" s="345"/>
      <c r="BZ63" s="345"/>
      <c r="CA63" s="345"/>
      <c r="CB63" s="345"/>
      <c r="CC63" s="345"/>
      <c r="CD63" s="345"/>
      <c r="CE63" s="345"/>
      <c r="CF63" s="345"/>
      <c r="CG63" s="345"/>
      <c r="CH63" s="345"/>
      <c r="CI63" s="345"/>
      <c r="CJ63" s="345"/>
      <c r="CK63" s="345"/>
      <c r="CL63" s="345"/>
      <c r="CM63" s="345"/>
      <c r="CN63" s="345"/>
      <c r="CO63" s="345"/>
      <c r="CP63" s="345"/>
      <c r="CQ63" s="345"/>
      <c r="CR63" s="345"/>
      <c r="CS63" s="345"/>
      <c r="CT63" s="345"/>
      <c r="CU63" s="345"/>
      <c r="CV63" s="345"/>
      <c r="CW63" s="345"/>
      <c r="CX63" s="345"/>
      <c r="CY63" s="345"/>
      <c r="CZ63" s="345"/>
      <c r="DA63" s="345"/>
      <c r="DB63" s="345"/>
      <c r="DC63" s="345"/>
      <c r="DD63" s="345"/>
      <c r="DE63" s="345"/>
      <c r="DF63" s="345"/>
      <c r="DG63" s="345"/>
      <c r="DH63" s="345"/>
      <c r="DI63" s="345"/>
      <c r="DJ63" s="345"/>
      <c r="DK63" s="345"/>
      <c r="DL63" s="345"/>
      <c r="DM63" s="345"/>
      <c r="DN63" s="345"/>
      <c r="DO63" s="345"/>
      <c r="DP63" s="345"/>
      <c r="DQ63" s="345"/>
      <c r="DR63" s="345"/>
      <c r="DS63" s="345"/>
      <c r="DT63" s="345"/>
      <c r="DU63" s="345"/>
      <c r="DV63" s="345"/>
      <c r="DW63" s="345"/>
      <c r="DX63" s="345"/>
      <c r="DY63" s="345"/>
      <c r="DZ63" s="345"/>
      <c r="EA63" s="345"/>
    </row>
    <row r="64" spans="1:131" ht="15.95" customHeight="1">
      <c r="A64" s="345"/>
      <c r="B64" s="345"/>
      <c r="C64" s="2447"/>
      <c r="D64" s="5828"/>
      <c r="E64" s="5828"/>
      <c r="F64" s="2629" t="str">
        <f>'Old Tax Regime'!C27</f>
        <v>80G</v>
      </c>
      <c r="G64" s="5832" t="str">
        <f>'Old Tax Regime'!D27</f>
        <v>E.W.F &amp; S.W.F &amp; CMRF&amp;WMF</v>
      </c>
      <c r="H64" s="5832"/>
      <c r="I64" s="5832"/>
      <c r="J64" s="5832"/>
      <c r="K64" s="5832"/>
      <c r="L64" s="2623" t="s">
        <v>5</v>
      </c>
      <c r="M64" s="2508">
        <v>0</v>
      </c>
      <c r="N64" s="2627" t="s">
        <v>5</v>
      </c>
      <c r="O64" s="2508">
        <v>0</v>
      </c>
      <c r="P64" s="5859"/>
      <c r="Q64" s="6015"/>
      <c r="R64" s="1827"/>
      <c r="S64" s="1827"/>
      <c r="T64" s="1827"/>
      <c r="U64" s="1827"/>
      <c r="V64" s="1827"/>
      <c r="W64" s="1827"/>
      <c r="X64" s="345"/>
      <c r="Y64" s="345"/>
      <c r="Z64" s="345"/>
      <c r="AA64" s="345"/>
      <c r="AB64" s="345"/>
      <c r="AC64" s="345"/>
      <c r="AD64" s="345"/>
      <c r="AE64" s="345"/>
      <c r="AF64" s="345"/>
      <c r="AG64" s="345"/>
      <c r="AH64" s="345"/>
      <c r="AI64" s="345"/>
      <c r="AJ64" s="345"/>
      <c r="AK64" s="345"/>
      <c r="AL64" s="345"/>
      <c r="AM64" s="345"/>
      <c r="AN64" s="345"/>
      <c r="AO64" s="345"/>
      <c r="AP64" s="345"/>
      <c r="AQ64" s="345"/>
      <c r="AR64" s="345"/>
      <c r="AS64" s="345"/>
      <c r="AT64" s="345"/>
      <c r="AU64" s="345"/>
      <c r="AV64" s="345"/>
      <c r="AW64" s="345"/>
      <c r="AX64" s="345"/>
      <c r="AY64" s="345"/>
      <c r="AZ64" s="345"/>
      <c r="BA64" s="345"/>
      <c r="BB64" s="345"/>
      <c r="BC64" s="345"/>
      <c r="BD64" s="345"/>
      <c r="BE64" s="345"/>
      <c r="BF64" s="345"/>
      <c r="BG64" s="345"/>
      <c r="BH64" s="345"/>
      <c r="BI64" s="345"/>
      <c r="BJ64" s="345"/>
      <c r="BK64" s="345"/>
      <c r="BL64" s="345"/>
      <c r="BM64" s="345"/>
      <c r="BN64" s="345"/>
      <c r="BO64" s="345"/>
      <c r="BP64" s="345"/>
      <c r="BQ64" s="345"/>
      <c r="BR64" s="345"/>
      <c r="BS64" s="345"/>
      <c r="BT64" s="345"/>
      <c r="BU64" s="345"/>
      <c r="BV64" s="345"/>
      <c r="BW64" s="345"/>
      <c r="BX64" s="345"/>
      <c r="BY64" s="345"/>
      <c r="BZ64" s="345"/>
      <c r="CA64" s="345"/>
      <c r="CB64" s="345"/>
      <c r="CC64" s="345"/>
      <c r="CD64" s="345"/>
      <c r="CE64" s="345"/>
      <c r="CF64" s="345"/>
      <c r="CG64" s="345"/>
      <c r="CH64" s="345"/>
      <c r="CI64" s="345"/>
      <c r="CJ64" s="345"/>
      <c r="CK64" s="345"/>
      <c r="CL64" s="345"/>
      <c r="CM64" s="345"/>
      <c r="CN64" s="345"/>
      <c r="CO64" s="345"/>
      <c r="CP64" s="345"/>
      <c r="CQ64" s="345"/>
      <c r="CR64" s="345"/>
      <c r="CS64" s="345"/>
      <c r="CT64" s="345"/>
      <c r="CU64" s="345"/>
      <c r="CV64" s="345"/>
      <c r="CW64" s="345"/>
      <c r="CX64" s="345"/>
      <c r="CY64" s="345"/>
      <c r="CZ64" s="345"/>
      <c r="DA64" s="345"/>
      <c r="DB64" s="345"/>
      <c r="DC64" s="345"/>
      <c r="DD64" s="345"/>
      <c r="DE64" s="345"/>
      <c r="DF64" s="345"/>
      <c r="DG64" s="345"/>
      <c r="DH64" s="345"/>
      <c r="DI64" s="345"/>
      <c r="DJ64" s="345"/>
      <c r="DK64" s="345"/>
      <c r="DL64" s="345"/>
      <c r="DM64" s="345"/>
      <c r="DN64" s="345"/>
      <c r="DO64" s="345"/>
      <c r="DP64" s="345"/>
      <c r="DQ64" s="345"/>
      <c r="DR64" s="345"/>
      <c r="DS64" s="345"/>
      <c r="DT64" s="345"/>
      <c r="DU64" s="345"/>
      <c r="DV64" s="345"/>
      <c r="DW64" s="345"/>
      <c r="DX64" s="345"/>
      <c r="DY64" s="345"/>
      <c r="DZ64" s="345"/>
      <c r="EA64" s="345"/>
    </row>
    <row r="65" spans="1:131" ht="15.95" customHeight="1">
      <c r="A65" s="345"/>
      <c r="B65" s="345"/>
      <c r="C65" s="2447"/>
      <c r="D65" s="5828"/>
      <c r="E65" s="5828"/>
      <c r="F65" s="2629" t="str">
        <f>'Old Tax Regime'!C28</f>
        <v>80EE</v>
      </c>
      <c r="G65" s="5832" t="str">
        <f>'Old Tax Regime'!D28</f>
        <v xml:space="preserve"> Interest on loan taken for residential house property</v>
      </c>
      <c r="H65" s="5832"/>
      <c r="I65" s="5832"/>
      <c r="J65" s="5832"/>
      <c r="K65" s="5832"/>
      <c r="L65" s="2623" t="s">
        <v>5</v>
      </c>
      <c r="M65" s="2508">
        <v>0</v>
      </c>
      <c r="N65" s="2627" t="s">
        <v>5</v>
      </c>
      <c r="O65" s="2508">
        <v>0</v>
      </c>
      <c r="P65" s="5859"/>
      <c r="Q65" s="6015"/>
      <c r="R65" s="1827"/>
      <c r="S65" s="1827"/>
      <c r="T65" s="1827"/>
      <c r="U65" s="1827"/>
      <c r="V65" s="1827"/>
      <c r="W65" s="1827"/>
      <c r="X65" s="345"/>
      <c r="Y65" s="345"/>
      <c r="Z65" s="345"/>
      <c r="AA65" s="345"/>
      <c r="AB65" s="345"/>
      <c r="AC65" s="345"/>
      <c r="AD65" s="345"/>
      <c r="AE65" s="345"/>
      <c r="AF65" s="345"/>
      <c r="AG65" s="345"/>
      <c r="AH65" s="345"/>
      <c r="AI65" s="345"/>
      <c r="AJ65" s="345"/>
      <c r="AK65" s="345"/>
      <c r="AL65" s="345"/>
      <c r="AM65" s="345"/>
      <c r="AN65" s="345"/>
      <c r="AO65" s="345"/>
      <c r="AP65" s="345"/>
      <c r="AQ65" s="345"/>
      <c r="AR65" s="345"/>
      <c r="AS65" s="345"/>
      <c r="AT65" s="345"/>
      <c r="AU65" s="345"/>
      <c r="AV65" s="345"/>
      <c r="AW65" s="345"/>
      <c r="AX65" s="345"/>
      <c r="AY65" s="345"/>
      <c r="AZ65" s="345"/>
      <c r="BA65" s="345"/>
      <c r="BB65" s="345"/>
      <c r="BC65" s="345"/>
      <c r="BD65" s="345"/>
      <c r="BE65" s="345"/>
      <c r="BF65" s="345"/>
      <c r="BG65" s="345"/>
      <c r="BH65" s="345"/>
      <c r="BI65" s="345"/>
      <c r="BJ65" s="345"/>
      <c r="BK65" s="345"/>
      <c r="BL65" s="345"/>
      <c r="BM65" s="345"/>
      <c r="BN65" s="345"/>
      <c r="BO65" s="345"/>
      <c r="BP65" s="345"/>
      <c r="BQ65" s="345"/>
      <c r="BR65" s="345"/>
      <c r="BS65" s="345"/>
      <c r="BT65" s="345"/>
      <c r="BU65" s="345"/>
      <c r="BV65" s="345"/>
      <c r="BW65" s="345"/>
      <c r="BX65" s="345"/>
      <c r="BY65" s="345"/>
      <c r="BZ65" s="345"/>
      <c r="CA65" s="345"/>
      <c r="CB65" s="345"/>
      <c r="CC65" s="345"/>
      <c r="CD65" s="345"/>
      <c r="CE65" s="345"/>
      <c r="CF65" s="345"/>
      <c r="CG65" s="345"/>
      <c r="CH65" s="345"/>
      <c r="CI65" s="345"/>
      <c r="CJ65" s="345"/>
      <c r="CK65" s="345"/>
      <c r="CL65" s="345"/>
      <c r="CM65" s="345"/>
      <c r="CN65" s="345"/>
      <c r="CO65" s="345"/>
      <c r="CP65" s="345"/>
      <c r="CQ65" s="345"/>
      <c r="CR65" s="345"/>
      <c r="CS65" s="345"/>
      <c r="CT65" s="345"/>
      <c r="CU65" s="345"/>
      <c r="CV65" s="345"/>
      <c r="CW65" s="345"/>
      <c r="CX65" s="345"/>
      <c r="CY65" s="345"/>
      <c r="CZ65" s="345"/>
      <c r="DA65" s="345"/>
      <c r="DB65" s="345"/>
      <c r="DC65" s="345"/>
      <c r="DD65" s="345"/>
      <c r="DE65" s="345"/>
      <c r="DF65" s="345"/>
      <c r="DG65" s="345"/>
      <c r="DH65" s="345"/>
      <c r="DI65" s="345"/>
      <c r="DJ65" s="345"/>
      <c r="DK65" s="345"/>
      <c r="DL65" s="345"/>
      <c r="DM65" s="345"/>
      <c r="DN65" s="345"/>
      <c r="DO65" s="345"/>
      <c r="DP65" s="345"/>
      <c r="DQ65" s="345"/>
      <c r="DR65" s="345"/>
      <c r="DS65" s="345"/>
      <c r="DT65" s="345"/>
      <c r="DU65" s="345"/>
      <c r="DV65" s="345"/>
      <c r="DW65" s="345"/>
      <c r="DX65" s="345"/>
      <c r="DY65" s="345"/>
      <c r="DZ65" s="345"/>
      <c r="EA65" s="345"/>
    </row>
    <row r="66" spans="1:131" ht="15.95" customHeight="1">
      <c r="A66" s="345"/>
      <c r="B66" s="345"/>
      <c r="C66" s="2447"/>
      <c r="D66" s="5828"/>
      <c r="E66" s="5828"/>
      <c r="F66" s="2629" t="str">
        <f>'Old Tax Regime'!C29</f>
        <v>80EEA</v>
      </c>
      <c r="G66" s="5832" t="str">
        <f>'Old Tax Regime'!D29</f>
        <v xml:space="preserve"> Deduction in respect of interest on loan taken for certain house property</v>
      </c>
      <c r="H66" s="5832"/>
      <c r="I66" s="5832"/>
      <c r="J66" s="5832"/>
      <c r="K66" s="5832"/>
      <c r="L66" s="2623" t="s">
        <v>5</v>
      </c>
      <c r="M66" s="2508">
        <v>0</v>
      </c>
      <c r="N66" s="2627" t="s">
        <v>5</v>
      </c>
      <c r="O66" s="2508">
        <v>0</v>
      </c>
      <c r="P66" s="5859"/>
      <c r="Q66" s="6015"/>
      <c r="R66" s="1827"/>
      <c r="S66" s="1827"/>
      <c r="T66" s="1827"/>
      <c r="U66" s="1827"/>
      <c r="V66" s="1827"/>
      <c r="W66" s="1827"/>
      <c r="X66" s="345"/>
      <c r="Y66" s="345"/>
      <c r="Z66" s="345"/>
      <c r="AA66" s="345"/>
      <c r="AB66" s="345"/>
      <c r="AC66" s="345"/>
      <c r="AD66" s="345"/>
      <c r="AE66" s="345"/>
      <c r="AF66" s="345"/>
      <c r="AG66" s="345"/>
      <c r="AH66" s="345"/>
      <c r="AI66" s="345"/>
      <c r="AJ66" s="345"/>
      <c r="AK66" s="345"/>
      <c r="AL66" s="345"/>
      <c r="AM66" s="345"/>
      <c r="AN66" s="345"/>
      <c r="AO66" s="345"/>
      <c r="AP66" s="345"/>
      <c r="AQ66" s="345"/>
      <c r="AR66" s="345"/>
      <c r="AS66" s="345"/>
      <c r="AT66" s="345"/>
      <c r="AU66" s="345"/>
      <c r="AV66" s="345"/>
      <c r="AW66" s="345"/>
      <c r="AX66" s="345"/>
      <c r="AY66" s="345"/>
      <c r="AZ66" s="345"/>
      <c r="BA66" s="345"/>
      <c r="BB66" s="345"/>
      <c r="BC66" s="345"/>
      <c r="BD66" s="345"/>
      <c r="BE66" s="345"/>
      <c r="BF66" s="345"/>
      <c r="BG66" s="345"/>
      <c r="BH66" s="345"/>
      <c r="BI66" s="345"/>
      <c r="BJ66" s="345"/>
      <c r="BK66" s="345"/>
      <c r="BL66" s="345"/>
      <c r="BM66" s="345"/>
      <c r="BN66" s="345"/>
      <c r="BO66" s="345"/>
      <c r="BP66" s="345"/>
      <c r="BQ66" s="345"/>
      <c r="BR66" s="345"/>
      <c r="BS66" s="345"/>
      <c r="BT66" s="345"/>
      <c r="BU66" s="345"/>
      <c r="BV66" s="345"/>
      <c r="BW66" s="345"/>
      <c r="BX66" s="345"/>
      <c r="BY66" s="345"/>
      <c r="BZ66" s="345"/>
      <c r="CA66" s="345"/>
      <c r="CB66" s="345"/>
      <c r="CC66" s="345"/>
      <c r="CD66" s="345"/>
      <c r="CE66" s="345"/>
      <c r="CF66" s="345"/>
      <c r="CG66" s="345"/>
      <c r="CH66" s="345"/>
      <c r="CI66" s="345"/>
      <c r="CJ66" s="345"/>
      <c r="CK66" s="345"/>
      <c r="CL66" s="345"/>
      <c r="CM66" s="345"/>
      <c r="CN66" s="345"/>
      <c r="CO66" s="345"/>
      <c r="CP66" s="345"/>
      <c r="CQ66" s="345"/>
      <c r="CR66" s="345"/>
      <c r="CS66" s="345"/>
      <c r="CT66" s="345"/>
      <c r="CU66" s="345"/>
      <c r="CV66" s="345"/>
      <c r="CW66" s="345"/>
      <c r="CX66" s="345"/>
      <c r="CY66" s="345"/>
      <c r="CZ66" s="345"/>
      <c r="DA66" s="345"/>
      <c r="DB66" s="345"/>
      <c r="DC66" s="345"/>
      <c r="DD66" s="345"/>
      <c r="DE66" s="345"/>
      <c r="DF66" s="345"/>
      <c r="DG66" s="345"/>
      <c r="DH66" s="345"/>
      <c r="DI66" s="345"/>
      <c r="DJ66" s="345"/>
      <c r="DK66" s="345"/>
      <c r="DL66" s="345"/>
      <c r="DM66" s="345"/>
      <c r="DN66" s="345"/>
      <c r="DO66" s="345"/>
      <c r="DP66" s="345"/>
      <c r="DQ66" s="345"/>
      <c r="DR66" s="345"/>
      <c r="DS66" s="345"/>
      <c r="DT66" s="345"/>
      <c r="DU66" s="345"/>
      <c r="DV66" s="345"/>
      <c r="DW66" s="345"/>
      <c r="DX66" s="345"/>
      <c r="DY66" s="345"/>
      <c r="DZ66" s="345"/>
      <c r="EA66" s="345"/>
    </row>
    <row r="67" spans="1:131" ht="15.95" customHeight="1">
      <c r="A67" s="345"/>
      <c r="B67" s="345"/>
      <c r="C67" s="2447"/>
      <c r="D67" s="5828"/>
      <c r="E67" s="5828"/>
      <c r="F67" s="2629" t="str">
        <f>'Old Tax Regime'!C30</f>
        <v>80E</v>
      </c>
      <c r="G67" s="5832" t="str">
        <f>'Old Tax Regime'!D30</f>
        <v xml:space="preserve">Interest  on loan taken for higher Educational </v>
      </c>
      <c r="H67" s="5832"/>
      <c r="I67" s="5832"/>
      <c r="J67" s="5832"/>
      <c r="K67" s="5832"/>
      <c r="L67" s="2623" t="s">
        <v>5</v>
      </c>
      <c r="M67" s="2508">
        <v>0</v>
      </c>
      <c r="N67" s="2627" t="s">
        <v>5</v>
      </c>
      <c r="O67" s="2508">
        <v>0</v>
      </c>
      <c r="P67" s="5859"/>
      <c r="Q67" s="6015"/>
      <c r="R67" s="1827"/>
      <c r="S67" s="1827"/>
      <c r="T67" s="1827"/>
      <c r="U67" s="1827"/>
      <c r="V67" s="1827"/>
      <c r="W67" s="1827"/>
      <c r="X67" s="345"/>
      <c r="Y67" s="345"/>
      <c r="Z67" s="345"/>
      <c r="AA67" s="345"/>
      <c r="AB67" s="345"/>
      <c r="AC67" s="345"/>
      <c r="AD67" s="345"/>
      <c r="AE67" s="345"/>
      <c r="AF67" s="345"/>
      <c r="AG67" s="345"/>
      <c r="AH67" s="345"/>
      <c r="AI67" s="345"/>
      <c r="AJ67" s="345"/>
      <c r="AK67" s="345"/>
      <c r="AL67" s="345"/>
      <c r="AM67" s="345"/>
      <c r="AN67" s="345"/>
      <c r="AO67" s="345"/>
      <c r="AP67" s="345"/>
      <c r="AQ67" s="345"/>
      <c r="AR67" s="345"/>
      <c r="AS67" s="345"/>
      <c r="AT67" s="345"/>
      <c r="AU67" s="345"/>
      <c r="AV67" s="345"/>
      <c r="AW67" s="345"/>
      <c r="AX67" s="345"/>
      <c r="AY67" s="345"/>
      <c r="AZ67" s="345"/>
      <c r="BA67" s="345"/>
      <c r="BB67" s="345"/>
      <c r="BC67" s="345"/>
      <c r="BD67" s="345"/>
      <c r="BE67" s="345"/>
      <c r="BF67" s="345"/>
      <c r="BG67" s="345"/>
      <c r="BH67" s="345"/>
      <c r="BI67" s="345"/>
      <c r="BJ67" s="345"/>
      <c r="BK67" s="345"/>
      <c r="BL67" s="345"/>
      <c r="BM67" s="345"/>
      <c r="BN67" s="345"/>
      <c r="BO67" s="345"/>
      <c r="BP67" s="345"/>
      <c r="BQ67" s="345"/>
      <c r="BR67" s="345"/>
      <c r="BS67" s="345"/>
      <c r="BT67" s="345"/>
      <c r="BU67" s="345"/>
      <c r="BV67" s="345"/>
      <c r="BW67" s="345"/>
      <c r="BX67" s="345"/>
      <c r="BY67" s="345"/>
      <c r="BZ67" s="345"/>
      <c r="CA67" s="345"/>
      <c r="CB67" s="345"/>
      <c r="CC67" s="345"/>
      <c r="CD67" s="345"/>
      <c r="CE67" s="345"/>
      <c r="CF67" s="345"/>
      <c r="CG67" s="345"/>
      <c r="CH67" s="345"/>
      <c r="CI67" s="345"/>
      <c r="CJ67" s="345"/>
      <c r="CK67" s="345"/>
      <c r="CL67" s="345"/>
      <c r="CM67" s="345"/>
      <c r="CN67" s="345"/>
      <c r="CO67" s="345"/>
      <c r="CP67" s="345"/>
      <c r="CQ67" s="345"/>
      <c r="CR67" s="345"/>
      <c r="CS67" s="345"/>
      <c r="CT67" s="345"/>
      <c r="CU67" s="345"/>
      <c r="CV67" s="345"/>
      <c r="CW67" s="345"/>
      <c r="CX67" s="345"/>
      <c r="CY67" s="345"/>
      <c r="CZ67" s="345"/>
      <c r="DA67" s="345"/>
      <c r="DB67" s="345"/>
      <c r="DC67" s="345"/>
      <c r="DD67" s="345"/>
      <c r="DE67" s="345"/>
      <c r="DF67" s="345"/>
      <c r="DG67" s="345"/>
      <c r="DH67" s="345"/>
      <c r="DI67" s="345"/>
      <c r="DJ67" s="345"/>
      <c r="DK67" s="345"/>
      <c r="DL67" s="345"/>
      <c r="DM67" s="345"/>
      <c r="DN67" s="345"/>
      <c r="DO67" s="345"/>
      <c r="DP67" s="345"/>
      <c r="DQ67" s="345"/>
      <c r="DR67" s="345"/>
      <c r="DS67" s="345"/>
      <c r="DT67" s="345"/>
      <c r="DU67" s="345"/>
      <c r="DV67" s="345"/>
      <c r="DW67" s="345"/>
      <c r="DX67" s="345"/>
      <c r="DY67" s="345"/>
      <c r="DZ67" s="345"/>
      <c r="EA67" s="345"/>
    </row>
    <row r="68" spans="1:131" ht="15.95" customHeight="1">
      <c r="A68" s="345"/>
      <c r="B68" s="345"/>
      <c r="C68" s="2447"/>
      <c r="D68" s="5828"/>
      <c r="E68" s="5828"/>
      <c r="F68" s="2629" t="str">
        <f>'Old Tax Regime'!C31</f>
        <v>80D</v>
      </c>
      <c r="G68" s="5832" t="str">
        <f>'Old Tax Regime'!D31</f>
        <v>Deduction in respect of Health insurance Premium</v>
      </c>
      <c r="H68" s="5832"/>
      <c r="I68" s="5832"/>
      <c r="J68" s="5832"/>
      <c r="K68" s="5832"/>
      <c r="L68" s="2623" t="s">
        <v>5</v>
      </c>
      <c r="M68" s="2508">
        <v>0</v>
      </c>
      <c r="N68" s="2627" t="s">
        <v>5</v>
      </c>
      <c r="O68" s="2508">
        <v>0</v>
      </c>
      <c r="P68" s="5859"/>
      <c r="Q68" s="6015"/>
      <c r="R68" s="1827"/>
      <c r="S68" s="1827"/>
      <c r="T68" s="1827"/>
      <c r="U68" s="1827"/>
      <c r="V68" s="1827"/>
      <c r="W68" s="1827"/>
      <c r="X68" s="345"/>
      <c r="Y68" s="345"/>
      <c r="Z68" s="345"/>
      <c r="AA68" s="345"/>
      <c r="AB68" s="345"/>
      <c r="AC68" s="345"/>
      <c r="AD68" s="345"/>
      <c r="AE68" s="345"/>
      <c r="AF68" s="345"/>
      <c r="AG68" s="345"/>
      <c r="AH68" s="345"/>
      <c r="AI68" s="345"/>
      <c r="AJ68" s="345"/>
      <c r="AK68" s="345"/>
      <c r="AL68" s="345"/>
      <c r="AM68" s="345"/>
      <c r="AN68" s="345"/>
      <c r="AO68" s="345"/>
      <c r="AP68" s="345"/>
      <c r="AQ68" s="345"/>
      <c r="AR68" s="345"/>
      <c r="AS68" s="345"/>
      <c r="AT68" s="345"/>
      <c r="AU68" s="345"/>
      <c r="AV68" s="345"/>
      <c r="AW68" s="345"/>
      <c r="AX68" s="345"/>
      <c r="AY68" s="345"/>
      <c r="AZ68" s="345"/>
      <c r="BA68" s="345"/>
      <c r="BB68" s="345"/>
      <c r="BC68" s="345"/>
      <c r="BD68" s="345"/>
      <c r="BE68" s="345"/>
      <c r="BF68" s="345"/>
      <c r="BG68" s="345"/>
      <c r="BH68" s="345"/>
      <c r="BI68" s="345"/>
      <c r="BJ68" s="345"/>
      <c r="BK68" s="345"/>
      <c r="BL68" s="345"/>
      <c r="BM68" s="345"/>
      <c r="BN68" s="345"/>
      <c r="BO68" s="345"/>
      <c r="BP68" s="345"/>
      <c r="BQ68" s="345"/>
      <c r="BR68" s="345"/>
      <c r="BS68" s="345"/>
      <c r="BT68" s="345"/>
      <c r="BU68" s="345"/>
      <c r="BV68" s="345"/>
      <c r="BW68" s="345"/>
      <c r="BX68" s="345"/>
      <c r="BY68" s="345"/>
      <c r="BZ68" s="345"/>
      <c r="CA68" s="345"/>
      <c r="CB68" s="345"/>
      <c r="CC68" s="345"/>
      <c r="CD68" s="345"/>
      <c r="CE68" s="345"/>
      <c r="CF68" s="345"/>
      <c r="CG68" s="345"/>
      <c r="CH68" s="345"/>
      <c r="CI68" s="345"/>
      <c r="CJ68" s="345"/>
      <c r="CK68" s="345"/>
      <c r="CL68" s="345"/>
      <c r="CM68" s="345"/>
      <c r="CN68" s="345"/>
      <c r="CO68" s="345"/>
      <c r="CP68" s="345"/>
      <c r="CQ68" s="345"/>
      <c r="CR68" s="345"/>
      <c r="CS68" s="345"/>
      <c r="CT68" s="345"/>
      <c r="CU68" s="345"/>
      <c r="CV68" s="345"/>
      <c r="CW68" s="345"/>
      <c r="CX68" s="345"/>
      <c r="CY68" s="345"/>
      <c r="CZ68" s="345"/>
      <c r="DA68" s="345"/>
      <c r="DB68" s="345"/>
      <c r="DC68" s="345"/>
      <c r="DD68" s="345"/>
      <c r="DE68" s="345"/>
      <c r="DF68" s="345"/>
      <c r="DG68" s="345"/>
      <c r="DH68" s="345"/>
      <c r="DI68" s="345"/>
      <c r="DJ68" s="345"/>
      <c r="DK68" s="345"/>
      <c r="DL68" s="345"/>
      <c r="DM68" s="345"/>
      <c r="DN68" s="345"/>
      <c r="DO68" s="345"/>
      <c r="DP68" s="345"/>
      <c r="DQ68" s="345"/>
      <c r="DR68" s="345"/>
      <c r="DS68" s="345"/>
      <c r="DT68" s="345"/>
      <c r="DU68" s="345"/>
      <c r="DV68" s="345"/>
      <c r="DW68" s="345"/>
      <c r="DX68" s="345"/>
      <c r="DY68" s="345"/>
      <c r="DZ68" s="345"/>
      <c r="EA68" s="345"/>
    </row>
    <row r="69" spans="1:131" ht="15.95" customHeight="1">
      <c r="A69" s="345"/>
      <c r="B69" s="345"/>
      <c r="C69" s="2447"/>
      <c r="D69" s="5828"/>
      <c r="E69" s="5828"/>
      <c r="F69" s="2629" t="str">
        <f>'Old Tax Regime'!C32</f>
        <v>80DD</v>
      </c>
      <c r="G69" s="5832" t="str">
        <f>'Old Tax Regime'!D32</f>
        <v>Maintance including medical treatment of a dependent who is a person with disability</v>
      </c>
      <c r="H69" s="5832"/>
      <c r="I69" s="5832"/>
      <c r="J69" s="5832"/>
      <c r="K69" s="5832"/>
      <c r="L69" s="2623" t="s">
        <v>5</v>
      </c>
      <c r="M69" s="2508">
        <v>0</v>
      </c>
      <c r="N69" s="2627" t="s">
        <v>5</v>
      </c>
      <c r="O69" s="2508">
        <v>0</v>
      </c>
      <c r="P69" s="5859"/>
      <c r="Q69" s="6015"/>
      <c r="R69" s="1827"/>
      <c r="S69" s="1827"/>
      <c r="T69" s="1827"/>
      <c r="U69" s="1827"/>
      <c r="V69" s="1827"/>
      <c r="W69" s="1827"/>
      <c r="X69" s="345"/>
      <c r="Y69" s="345"/>
      <c r="Z69" s="345"/>
      <c r="AA69" s="345"/>
      <c r="AB69" s="345"/>
      <c r="AC69" s="345"/>
      <c r="AD69" s="345"/>
      <c r="AE69" s="345"/>
      <c r="AF69" s="345"/>
      <c r="AG69" s="345"/>
      <c r="AH69" s="345"/>
      <c r="AI69" s="345"/>
      <c r="AJ69" s="345"/>
      <c r="AK69" s="345"/>
      <c r="AL69" s="345"/>
      <c r="AM69" s="345"/>
      <c r="AN69" s="345"/>
      <c r="AO69" s="345"/>
      <c r="AP69" s="345"/>
      <c r="AQ69" s="345"/>
      <c r="AR69" s="345"/>
      <c r="AS69" s="345"/>
      <c r="AT69" s="345"/>
      <c r="AU69" s="345"/>
      <c r="AV69" s="345"/>
      <c r="AW69" s="345"/>
      <c r="AX69" s="345"/>
      <c r="AY69" s="345"/>
      <c r="AZ69" s="345"/>
      <c r="BA69" s="345"/>
      <c r="BB69" s="345"/>
      <c r="BC69" s="345"/>
      <c r="BD69" s="345"/>
      <c r="BE69" s="345"/>
      <c r="BF69" s="345"/>
      <c r="BG69" s="345"/>
      <c r="BH69" s="345"/>
      <c r="BI69" s="345"/>
      <c r="BJ69" s="345"/>
      <c r="BK69" s="345"/>
      <c r="BL69" s="345"/>
      <c r="BM69" s="345"/>
      <c r="BN69" s="345"/>
      <c r="BO69" s="345"/>
      <c r="BP69" s="345"/>
      <c r="BQ69" s="345"/>
      <c r="BR69" s="345"/>
      <c r="BS69" s="345"/>
      <c r="BT69" s="345"/>
      <c r="BU69" s="345"/>
      <c r="BV69" s="345"/>
      <c r="BW69" s="345"/>
      <c r="BX69" s="345"/>
      <c r="BY69" s="345"/>
      <c r="BZ69" s="345"/>
      <c r="CA69" s="345"/>
      <c r="CB69" s="345"/>
      <c r="CC69" s="345"/>
      <c r="CD69" s="345"/>
      <c r="CE69" s="345"/>
      <c r="CF69" s="345"/>
      <c r="CG69" s="345"/>
      <c r="CH69" s="345"/>
      <c r="CI69" s="345"/>
      <c r="CJ69" s="345"/>
      <c r="CK69" s="345"/>
      <c r="CL69" s="345"/>
      <c r="CM69" s="345"/>
      <c r="CN69" s="345"/>
      <c r="CO69" s="345"/>
      <c r="CP69" s="345"/>
      <c r="CQ69" s="345"/>
      <c r="CR69" s="345"/>
      <c r="CS69" s="345"/>
      <c r="CT69" s="345"/>
      <c r="CU69" s="345"/>
      <c r="CV69" s="345"/>
      <c r="CW69" s="345"/>
      <c r="CX69" s="345"/>
      <c r="CY69" s="345"/>
      <c r="CZ69" s="345"/>
      <c r="DA69" s="345"/>
      <c r="DB69" s="345"/>
      <c r="DC69" s="345"/>
      <c r="DD69" s="345"/>
      <c r="DE69" s="345"/>
      <c r="DF69" s="345"/>
      <c r="DG69" s="345"/>
      <c r="DH69" s="345"/>
      <c r="DI69" s="345"/>
      <c r="DJ69" s="345"/>
      <c r="DK69" s="345"/>
      <c r="DL69" s="345"/>
      <c r="DM69" s="345"/>
      <c r="DN69" s="345"/>
      <c r="DO69" s="345"/>
      <c r="DP69" s="345"/>
      <c r="DQ69" s="345"/>
      <c r="DR69" s="345"/>
      <c r="DS69" s="345"/>
      <c r="DT69" s="345"/>
      <c r="DU69" s="345"/>
      <c r="DV69" s="345"/>
      <c r="DW69" s="345"/>
      <c r="DX69" s="345"/>
      <c r="DY69" s="345"/>
      <c r="DZ69" s="345"/>
      <c r="EA69" s="345"/>
    </row>
    <row r="70" spans="1:131" ht="15.95" customHeight="1">
      <c r="A70" s="345"/>
      <c r="B70" s="345"/>
      <c r="C70" s="2447"/>
      <c r="D70" s="5828"/>
      <c r="E70" s="5828"/>
      <c r="F70" s="2629" t="str">
        <f>'Old Tax Regime'!C33</f>
        <v>80U</v>
      </c>
      <c r="G70" s="5832" t="str">
        <f>'Old Tax Regime'!D33</f>
        <v>In Case of a Tax Payer  with disability</v>
      </c>
      <c r="H70" s="5832"/>
      <c r="I70" s="5832"/>
      <c r="J70" s="5832"/>
      <c r="K70" s="5832"/>
      <c r="L70" s="2623" t="s">
        <v>5</v>
      </c>
      <c r="M70" s="2508">
        <v>0</v>
      </c>
      <c r="N70" s="2627" t="s">
        <v>5</v>
      </c>
      <c r="O70" s="2508">
        <v>0</v>
      </c>
      <c r="P70" s="5859"/>
      <c r="Q70" s="6015"/>
      <c r="R70" s="1827"/>
      <c r="S70" s="1827"/>
      <c r="T70" s="1827"/>
      <c r="U70" s="1827"/>
      <c r="V70" s="1827"/>
      <c r="W70" s="1827"/>
      <c r="X70" s="345"/>
      <c r="Y70" s="345"/>
      <c r="Z70" s="345"/>
      <c r="AA70" s="345"/>
      <c r="AB70" s="345"/>
      <c r="AC70" s="345"/>
      <c r="AD70" s="345"/>
      <c r="AE70" s="345"/>
      <c r="AF70" s="345"/>
      <c r="AG70" s="345"/>
      <c r="AH70" s="345"/>
      <c r="AI70" s="345"/>
      <c r="AJ70" s="345"/>
      <c r="AK70" s="345"/>
      <c r="AL70" s="345"/>
      <c r="AM70" s="345"/>
      <c r="AN70" s="345"/>
      <c r="AO70" s="345"/>
      <c r="AP70" s="345"/>
      <c r="AQ70" s="345"/>
      <c r="AR70" s="345"/>
      <c r="AS70" s="345"/>
      <c r="AT70" s="345"/>
      <c r="AU70" s="345"/>
      <c r="AV70" s="345"/>
      <c r="AW70" s="345"/>
      <c r="AX70" s="345"/>
      <c r="AY70" s="345"/>
      <c r="AZ70" s="345"/>
      <c r="BA70" s="345"/>
      <c r="BB70" s="345"/>
      <c r="BC70" s="345"/>
      <c r="BD70" s="345"/>
      <c r="BE70" s="345"/>
      <c r="BF70" s="345"/>
      <c r="BG70" s="345"/>
      <c r="BH70" s="345"/>
      <c r="BI70" s="345"/>
      <c r="BJ70" s="345"/>
      <c r="BK70" s="345"/>
      <c r="BL70" s="345"/>
      <c r="BM70" s="345"/>
      <c r="BN70" s="345"/>
      <c r="BO70" s="345"/>
      <c r="BP70" s="345"/>
      <c r="BQ70" s="345"/>
      <c r="BR70" s="345"/>
      <c r="BS70" s="345"/>
      <c r="BT70" s="345"/>
      <c r="BU70" s="345"/>
      <c r="BV70" s="345"/>
      <c r="BW70" s="345"/>
      <c r="BX70" s="345"/>
      <c r="BY70" s="345"/>
      <c r="BZ70" s="345"/>
      <c r="CA70" s="345"/>
      <c r="CB70" s="345"/>
      <c r="CC70" s="345"/>
      <c r="CD70" s="345"/>
      <c r="CE70" s="345"/>
      <c r="CF70" s="345"/>
      <c r="CG70" s="345"/>
      <c r="CH70" s="345"/>
      <c r="CI70" s="345"/>
      <c r="CJ70" s="345"/>
      <c r="CK70" s="345"/>
      <c r="CL70" s="345"/>
      <c r="CM70" s="345"/>
      <c r="CN70" s="345"/>
      <c r="CO70" s="345"/>
      <c r="CP70" s="345"/>
      <c r="CQ70" s="345"/>
      <c r="CR70" s="345"/>
      <c r="CS70" s="345"/>
      <c r="CT70" s="345"/>
      <c r="CU70" s="345"/>
      <c r="CV70" s="345"/>
      <c r="CW70" s="345"/>
      <c r="CX70" s="345"/>
      <c r="CY70" s="345"/>
      <c r="CZ70" s="345"/>
      <c r="DA70" s="345"/>
      <c r="DB70" s="345"/>
      <c r="DC70" s="345"/>
      <c r="DD70" s="345"/>
      <c r="DE70" s="345"/>
      <c r="DF70" s="345"/>
      <c r="DG70" s="345"/>
      <c r="DH70" s="345"/>
      <c r="DI70" s="345"/>
      <c r="DJ70" s="345"/>
      <c r="DK70" s="345"/>
      <c r="DL70" s="345"/>
      <c r="DM70" s="345"/>
      <c r="DN70" s="345"/>
      <c r="DO70" s="345"/>
      <c r="DP70" s="345"/>
      <c r="DQ70" s="345"/>
      <c r="DR70" s="345"/>
      <c r="DS70" s="345"/>
      <c r="DT70" s="345"/>
      <c r="DU70" s="345"/>
      <c r="DV70" s="345"/>
      <c r="DW70" s="345"/>
      <c r="DX70" s="345"/>
      <c r="DY70" s="345"/>
      <c r="DZ70" s="345"/>
      <c r="EA70" s="345"/>
    </row>
    <row r="71" spans="1:131" ht="15.95" customHeight="1">
      <c r="A71" s="345"/>
      <c r="B71" s="345"/>
      <c r="C71" s="2447"/>
      <c r="D71" s="5828"/>
      <c r="E71" s="5828"/>
      <c r="F71" s="2629" t="str">
        <f>'Old Tax Regime'!C34</f>
        <v>80DDB</v>
      </c>
      <c r="G71" s="5832" t="str">
        <f>'Old Tax Regime'!D34</f>
        <v>Medical Expenses incurred for Medical treatment of Specified diseases or ailments</v>
      </c>
      <c r="H71" s="5832"/>
      <c r="I71" s="5832"/>
      <c r="J71" s="5832"/>
      <c r="K71" s="5832"/>
      <c r="L71" s="2623" t="s">
        <v>5</v>
      </c>
      <c r="M71" s="2508">
        <v>0</v>
      </c>
      <c r="N71" s="2627" t="s">
        <v>5</v>
      </c>
      <c r="O71" s="2508">
        <v>0</v>
      </c>
      <c r="P71" s="5859"/>
      <c r="Q71" s="6015"/>
      <c r="R71" s="1827"/>
      <c r="S71" s="1827"/>
      <c r="T71" s="1827"/>
      <c r="U71" s="1827"/>
      <c r="V71" s="1827"/>
      <c r="W71" s="1827"/>
      <c r="X71" s="345"/>
      <c r="Y71" s="345"/>
      <c r="Z71" s="345"/>
      <c r="AA71" s="345"/>
      <c r="AB71" s="345"/>
      <c r="AC71" s="345"/>
      <c r="AD71" s="345"/>
      <c r="AE71" s="345"/>
      <c r="AF71" s="345"/>
      <c r="AG71" s="345"/>
      <c r="AH71" s="345"/>
      <c r="AI71" s="345"/>
      <c r="AJ71" s="345"/>
      <c r="AK71" s="345"/>
      <c r="AL71" s="345"/>
      <c r="AM71" s="345"/>
      <c r="AN71" s="345"/>
      <c r="AO71" s="345"/>
      <c r="AP71" s="345"/>
      <c r="AQ71" s="345"/>
      <c r="AR71" s="345"/>
      <c r="AS71" s="345"/>
      <c r="AT71" s="345"/>
      <c r="AU71" s="345"/>
      <c r="AV71" s="345"/>
      <c r="AW71" s="345"/>
      <c r="AX71" s="345"/>
      <c r="AY71" s="345"/>
      <c r="AZ71" s="345"/>
      <c r="BA71" s="345"/>
      <c r="BB71" s="345"/>
      <c r="BC71" s="345"/>
      <c r="BD71" s="345"/>
      <c r="BE71" s="345"/>
      <c r="BF71" s="345"/>
      <c r="BG71" s="345"/>
      <c r="BH71" s="345"/>
      <c r="BI71" s="345"/>
      <c r="BJ71" s="345"/>
      <c r="BK71" s="345"/>
      <c r="BL71" s="345"/>
      <c r="BM71" s="345"/>
      <c r="BN71" s="345"/>
      <c r="BO71" s="345"/>
      <c r="BP71" s="345"/>
      <c r="BQ71" s="345"/>
      <c r="BR71" s="345"/>
      <c r="BS71" s="345"/>
      <c r="BT71" s="345"/>
      <c r="BU71" s="345"/>
      <c r="BV71" s="345"/>
      <c r="BW71" s="345"/>
      <c r="BX71" s="345"/>
      <c r="BY71" s="345"/>
      <c r="BZ71" s="345"/>
      <c r="CA71" s="345"/>
      <c r="CB71" s="345"/>
      <c r="CC71" s="345"/>
      <c r="CD71" s="345"/>
      <c r="CE71" s="345"/>
      <c r="CF71" s="345"/>
      <c r="CG71" s="345"/>
      <c r="CH71" s="345"/>
      <c r="CI71" s="345"/>
      <c r="CJ71" s="345"/>
      <c r="CK71" s="345"/>
      <c r="CL71" s="345"/>
      <c r="CM71" s="345"/>
      <c r="CN71" s="345"/>
      <c r="CO71" s="345"/>
      <c r="CP71" s="345"/>
      <c r="CQ71" s="345"/>
      <c r="CR71" s="345"/>
      <c r="CS71" s="345"/>
      <c r="CT71" s="345"/>
      <c r="CU71" s="345"/>
      <c r="CV71" s="345"/>
      <c r="CW71" s="345"/>
      <c r="CX71" s="345"/>
      <c r="CY71" s="345"/>
      <c r="CZ71" s="345"/>
      <c r="DA71" s="345"/>
      <c r="DB71" s="345"/>
      <c r="DC71" s="345"/>
      <c r="DD71" s="345"/>
      <c r="DE71" s="345"/>
      <c r="DF71" s="345"/>
      <c r="DG71" s="345"/>
      <c r="DH71" s="345"/>
      <c r="DI71" s="345"/>
      <c r="DJ71" s="345"/>
      <c r="DK71" s="345"/>
      <c r="DL71" s="345"/>
      <c r="DM71" s="345"/>
      <c r="DN71" s="345"/>
      <c r="DO71" s="345"/>
      <c r="DP71" s="345"/>
      <c r="DQ71" s="345"/>
      <c r="DR71" s="345"/>
      <c r="DS71" s="345"/>
      <c r="DT71" s="345"/>
      <c r="DU71" s="345"/>
      <c r="DV71" s="345"/>
      <c r="DW71" s="345"/>
      <c r="DX71" s="345"/>
      <c r="DY71" s="345"/>
      <c r="DZ71" s="345"/>
      <c r="EA71" s="345"/>
    </row>
    <row r="72" spans="1:131" ht="15.95" customHeight="1">
      <c r="A72" s="345"/>
      <c r="B72" s="345"/>
      <c r="C72" s="2447"/>
      <c r="D72" s="5828"/>
      <c r="E72" s="5828"/>
      <c r="F72" s="2629" t="str">
        <f>'Old Tax Regime'!C35</f>
        <v>80TTA</v>
      </c>
      <c r="G72" s="5832" t="str">
        <f>'Old Tax Regime'!D35</f>
        <v>Interest on deposit in saving Accounts</v>
      </c>
      <c r="H72" s="5832"/>
      <c r="I72" s="5832"/>
      <c r="J72" s="5832"/>
      <c r="K72" s="5832"/>
      <c r="L72" s="2623" t="s">
        <v>5</v>
      </c>
      <c r="M72" s="2508">
        <v>0</v>
      </c>
      <c r="N72" s="2623" t="s">
        <v>5</v>
      </c>
      <c r="O72" s="2508">
        <v>0</v>
      </c>
      <c r="P72" s="5859"/>
      <c r="Q72" s="6015"/>
      <c r="R72" s="1827"/>
      <c r="S72" s="1827"/>
      <c r="T72" s="1827"/>
      <c r="U72" s="1827"/>
      <c r="V72" s="1827"/>
      <c r="W72" s="1827"/>
      <c r="X72" s="345"/>
      <c r="Y72" s="345"/>
      <c r="Z72" s="345"/>
      <c r="AA72" s="345"/>
      <c r="AB72" s="345"/>
      <c r="AC72" s="345"/>
      <c r="AD72" s="345"/>
      <c r="AE72" s="345"/>
      <c r="AF72" s="345"/>
      <c r="AG72" s="345"/>
      <c r="AH72" s="345"/>
      <c r="AI72" s="345"/>
      <c r="AJ72" s="345"/>
      <c r="AK72" s="345"/>
      <c r="AL72" s="345"/>
      <c r="AM72" s="345"/>
      <c r="AN72" s="345"/>
      <c r="AO72" s="345"/>
      <c r="AP72" s="345"/>
      <c r="AQ72" s="345"/>
      <c r="AR72" s="345"/>
      <c r="AS72" s="345"/>
      <c r="AT72" s="345"/>
      <c r="AU72" s="345"/>
      <c r="AV72" s="345"/>
      <c r="AW72" s="345"/>
      <c r="AX72" s="345"/>
      <c r="AY72" s="345"/>
      <c r="AZ72" s="345"/>
      <c r="BA72" s="345"/>
      <c r="BB72" s="345"/>
      <c r="BC72" s="345"/>
      <c r="BD72" s="345"/>
      <c r="BE72" s="345"/>
      <c r="BF72" s="345"/>
      <c r="BG72" s="345"/>
      <c r="BH72" s="345"/>
      <c r="BI72" s="345"/>
      <c r="BJ72" s="345"/>
      <c r="BK72" s="345"/>
      <c r="BL72" s="345"/>
      <c r="BM72" s="345"/>
      <c r="BN72" s="345"/>
      <c r="BO72" s="345"/>
      <c r="BP72" s="345"/>
      <c r="BQ72" s="345"/>
      <c r="BR72" s="345"/>
      <c r="BS72" s="345"/>
      <c r="BT72" s="345"/>
      <c r="BU72" s="345"/>
      <c r="BV72" s="345"/>
      <c r="BW72" s="345"/>
      <c r="BX72" s="345"/>
      <c r="BY72" s="345"/>
      <c r="BZ72" s="345"/>
      <c r="CA72" s="345"/>
      <c r="CB72" s="345"/>
      <c r="CC72" s="345"/>
      <c r="CD72" s="345"/>
      <c r="CE72" s="345"/>
      <c r="CF72" s="345"/>
      <c r="CG72" s="345"/>
      <c r="CH72" s="345"/>
      <c r="CI72" s="345"/>
      <c r="CJ72" s="345"/>
      <c r="CK72" s="345"/>
      <c r="CL72" s="345"/>
      <c r="CM72" s="345"/>
      <c r="CN72" s="345"/>
      <c r="CO72" s="345"/>
      <c r="CP72" s="345"/>
      <c r="CQ72" s="345"/>
      <c r="CR72" s="345"/>
      <c r="CS72" s="345"/>
      <c r="CT72" s="345"/>
      <c r="CU72" s="345"/>
      <c r="CV72" s="345"/>
      <c r="CW72" s="345"/>
      <c r="CX72" s="345"/>
      <c r="CY72" s="345"/>
      <c r="CZ72" s="345"/>
      <c r="DA72" s="345"/>
      <c r="DB72" s="345"/>
      <c r="DC72" s="345"/>
      <c r="DD72" s="345"/>
      <c r="DE72" s="345"/>
      <c r="DF72" s="345"/>
      <c r="DG72" s="345"/>
      <c r="DH72" s="345"/>
      <c r="DI72" s="345"/>
      <c r="DJ72" s="345"/>
      <c r="DK72" s="345"/>
      <c r="DL72" s="345"/>
      <c r="DM72" s="345"/>
      <c r="DN72" s="345"/>
      <c r="DO72" s="345"/>
      <c r="DP72" s="345"/>
      <c r="DQ72" s="345"/>
      <c r="DR72" s="345"/>
      <c r="DS72" s="345"/>
      <c r="DT72" s="345"/>
      <c r="DU72" s="345"/>
      <c r="DV72" s="345"/>
      <c r="DW72" s="345"/>
      <c r="DX72" s="345"/>
      <c r="DY72" s="345"/>
      <c r="DZ72" s="345"/>
      <c r="EA72" s="345"/>
    </row>
    <row r="73" spans="1:131" ht="15.95" customHeight="1">
      <c r="A73" s="345"/>
      <c r="B73" s="345"/>
      <c r="C73" s="2447"/>
      <c r="D73" s="5828"/>
      <c r="E73" s="5828"/>
      <c r="F73" s="2629" t="str">
        <f>'Old Tax Regime'!C36</f>
        <v>80EEB</v>
      </c>
      <c r="G73" s="5832" t="str">
        <f>'Old Tax Regime'!D36</f>
        <v>Deduction in respect of purchase of electric vehicle</v>
      </c>
      <c r="H73" s="5832"/>
      <c r="I73" s="5832"/>
      <c r="J73" s="5832"/>
      <c r="K73" s="5832"/>
      <c r="L73" s="2623" t="s">
        <v>5</v>
      </c>
      <c r="M73" s="2508">
        <v>0</v>
      </c>
      <c r="N73" s="2623" t="s">
        <v>5</v>
      </c>
      <c r="O73" s="2508">
        <v>0</v>
      </c>
      <c r="P73" s="5859"/>
      <c r="Q73" s="6015"/>
      <c r="R73" s="1827"/>
      <c r="S73" s="1827"/>
      <c r="T73" s="1827"/>
      <c r="U73" s="1827"/>
      <c r="V73" s="1827"/>
      <c r="W73" s="1827"/>
      <c r="X73" s="345"/>
      <c r="Y73" s="345"/>
      <c r="Z73" s="345"/>
      <c r="AA73" s="345"/>
      <c r="AB73" s="345"/>
      <c r="AC73" s="345"/>
      <c r="AD73" s="345"/>
      <c r="AE73" s="345"/>
      <c r="AF73" s="345"/>
      <c r="AG73" s="345"/>
      <c r="AH73" s="345"/>
      <c r="AI73" s="345"/>
      <c r="AJ73" s="345"/>
      <c r="AK73" s="345"/>
      <c r="AL73" s="345"/>
      <c r="AM73" s="345"/>
      <c r="AN73" s="345"/>
      <c r="AO73" s="345"/>
      <c r="AP73" s="345"/>
      <c r="AQ73" s="345"/>
      <c r="AR73" s="345"/>
      <c r="AS73" s="345"/>
      <c r="AT73" s="345"/>
      <c r="AU73" s="345"/>
      <c r="AV73" s="345"/>
      <c r="AW73" s="345"/>
      <c r="AX73" s="345"/>
      <c r="AY73" s="345"/>
      <c r="AZ73" s="345"/>
      <c r="BA73" s="345"/>
      <c r="BB73" s="345"/>
      <c r="BC73" s="345"/>
      <c r="BD73" s="345"/>
      <c r="BE73" s="345"/>
      <c r="BF73" s="345"/>
      <c r="BG73" s="345"/>
      <c r="BH73" s="345"/>
      <c r="BI73" s="345"/>
      <c r="BJ73" s="345"/>
      <c r="BK73" s="345"/>
      <c r="BL73" s="345"/>
      <c r="BM73" s="345"/>
      <c r="BN73" s="345"/>
      <c r="BO73" s="345"/>
      <c r="BP73" s="345"/>
      <c r="BQ73" s="345"/>
      <c r="BR73" s="345"/>
      <c r="BS73" s="345"/>
      <c r="BT73" s="345"/>
      <c r="BU73" s="345"/>
      <c r="BV73" s="345"/>
      <c r="BW73" s="345"/>
      <c r="BX73" s="345"/>
      <c r="BY73" s="345"/>
      <c r="BZ73" s="345"/>
      <c r="CA73" s="345"/>
      <c r="CB73" s="345"/>
      <c r="CC73" s="345"/>
      <c r="CD73" s="345"/>
      <c r="CE73" s="345"/>
      <c r="CF73" s="345"/>
      <c r="CG73" s="345"/>
      <c r="CH73" s="345"/>
      <c r="CI73" s="345"/>
      <c r="CJ73" s="345"/>
      <c r="CK73" s="345"/>
      <c r="CL73" s="345"/>
      <c r="CM73" s="345"/>
      <c r="CN73" s="345"/>
      <c r="CO73" s="345"/>
      <c r="CP73" s="345"/>
      <c r="CQ73" s="345"/>
      <c r="CR73" s="345"/>
      <c r="CS73" s="345"/>
      <c r="CT73" s="345"/>
      <c r="CU73" s="345"/>
      <c r="CV73" s="345"/>
      <c r="CW73" s="345"/>
      <c r="CX73" s="345"/>
      <c r="CY73" s="345"/>
      <c r="CZ73" s="345"/>
      <c r="DA73" s="345"/>
      <c r="DB73" s="345"/>
      <c r="DC73" s="345"/>
      <c r="DD73" s="345"/>
      <c r="DE73" s="345"/>
      <c r="DF73" s="345"/>
      <c r="DG73" s="345"/>
      <c r="DH73" s="345"/>
      <c r="DI73" s="345"/>
      <c r="DJ73" s="345"/>
      <c r="DK73" s="345"/>
      <c r="DL73" s="345"/>
      <c r="DM73" s="345"/>
      <c r="DN73" s="345"/>
      <c r="DO73" s="345"/>
      <c r="DP73" s="345"/>
      <c r="DQ73" s="345"/>
      <c r="DR73" s="345"/>
      <c r="DS73" s="345"/>
      <c r="DT73" s="345"/>
      <c r="DU73" s="345"/>
      <c r="DV73" s="345"/>
      <c r="DW73" s="345"/>
      <c r="DX73" s="345"/>
      <c r="DY73" s="345"/>
      <c r="DZ73" s="345"/>
      <c r="EA73" s="345"/>
    </row>
    <row r="74" spans="1:131" ht="15.95" customHeight="1">
      <c r="A74" s="345"/>
      <c r="B74" s="345"/>
      <c r="C74" s="2447"/>
      <c r="D74" s="5828"/>
      <c r="E74" s="5828"/>
      <c r="F74" s="2629" t="str">
        <f>'Old Tax Regime'!C37</f>
        <v>80GGC</v>
      </c>
      <c r="G74" s="5832" t="str">
        <f>'Old Tax Regime'!D37</f>
        <v>100% Deduction of  Donation Amount to Political Party or Electrol Trusts</v>
      </c>
      <c r="H74" s="5832"/>
      <c r="I74" s="5832"/>
      <c r="J74" s="5832"/>
      <c r="K74" s="5832"/>
      <c r="L74" s="2623" t="s">
        <v>5</v>
      </c>
      <c r="M74" s="2508">
        <v>0</v>
      </c>
      <c r="N74" s="2623" t="s">
        <v>5</v>
      </c>
      <c r="O74" s="2508">
        <v>0</v>
      </c>
      <c r="P74" s="5859"/>
      <c r="Q74" s="6015"/>
      <c r="R74" s="1827"/>
      <c r="S74" s="1827"/>
      <c r="T74" s="1827"/>
      <c r="U74" s="1827"/>
      <c r="V74" s="1827"/>
      <c r="W74" s="1827"/>
      <c r="X74" s="345"/>
      <c r="Y74" s="345"/>
      <c r="Z74" s="345"/>
      <c r="AA74" s="345"/>
      <c r="AB74" s="345"/>
      <c r="AC74" s="345"/>
      <c r="AD74" s="345"/>
      <c r="AE74" s="345"/>
      <c r="AF74" s="345"/>
      <c r="AG74" s="345"/>
      <c r="AH74" s="345"/>
      <c r="AI74" s="345"/>
      <c r="AJ74" s="345"/>
      <c r="AK74" s="345"/>
      <c r="AL74" s="345"/>
      <c r="AM74" s="345"/>
      <c r="AN74" s="345"/>
      <c r="AO74" s="345"/>
      <c r="AP74" s="345"/>
      <c r="AQ74" s="345"/>
      <c r="AR74" s="345"/>
      <c r="AS74" s="345"/>
      <c r="AT74" s="345"/>
      <c r="AU74" s="345"/>
      <c r="AV74" s="345"/>
      <c r="AW74" s="345"/>
      <c r="AX74" s="345"/>
      <c r="AY74" s="345"/>
      <c r="AZ74" s="345"/>
      <c r="BA74" s="345"/>
      <c r="BB74" s="345"/>
      <c r="BC74" s="345"/>
      <c r="BD74" s="345"/>
      <c r="BE74" s="345"/>
      <c r="BF74" s="345"/>
      <c r="BG74" s="345"/>
      <c r="BH74" s="345"/>
      <c r="BI74" s="345"/>
      <c r="BJ74" s="345"/>
      <c r="BK74" s="345"/>
      <c r="BL74" s="345"/>
      <c r="BM74" s="345"/>
      <c r="BN74" s="345"/>
      <c r="BO74" s="345"/>
      <c r="BP74" s="345"/>
      <c r="BQ74" s="345"/>
      <c r="BR74" s="345"/>
      <c r="BS74" s="345"/>
      <c r="BT74" s="345"/>
      <c r="BU74" s="345"/>
      <c r="BV74" s="345"/>
      <c r="BW74" s="345"/>
      <c r="BX74" s="345"/>
      <c r="BY74" s="345"/>
      <c r="BZ74" s="345"/>
      <c r="CA74" s="345"/>
      <c r="CB74" s="345"/>
      <c r="CC74" s="345"/>
      <c r="CD74" s="345"/>
      <c r="CE74" s="345"/>
      <c r="CF74" s="345"/>
      <c r="CG74" s="345"/>
      <c r="CH74" s="345"/>
      <c r="CI74" s="345"/>
      <c r="CJ74" s="345"/>
      <c r="CK74" s="345"/>
      <c r="CL74" s="345"/>
      <c r="CM74" s="345"/>
      <c r="CN74" s="345"/>
      <c r="CO74" s="345"/>
      <c r="CP74" s="345"/>
      <c r="CQ74" s="345"/>
      <c r="CR74" s="345"/>
      <c r="CS74" s="345"/>
      <c r="CT74" s="345"/>
      <c r="CU74" s="345"/>
      <c r="CV74" s="345"/>
      <c r="CW74" s="345"/>
      <c r="CX74" s="345"/>
      <c r="CY74" s="345"/>
      <c r="CZ74" s="345"/>
      <c r="DA74" s="345"/>
      <c r="DB74" s="345"/>
      <c r="DC74" s="345"/>
      <c r="DD74" s="345"/>
      <c r="DE74" s="345"/>
      <c r="DF74" s="345"/>
      <c r="DG74" s="345"/>
      <c r="DH74" s="345"/>
      <c r="DI74" s="345"/>
      <c r="DJ74" s="345"/>
      <c r="DK74" s="345"/>
      <c r="DL74" s="345"/>
      <c r="DM74" s="345"/>
      <c r="DN74" s="345"/>
      <c r="DO74" s="345"/>
      <c r="DP74" s="345"/>
      <c r="DQ74" s="345"/>
      <c r="DR74" s="345"/>
      <c r="DS74" s="345"/>
      <c r="DT74" s="345"/>
      <c r="DU74" s="345"/>
      <c r="DV74" s="345"/>
      <c r="DW74" s="345"/>
      <c r="DX74" s="345"/>
      <c r="DY74" s="345"/>
      <c r="DZ74" s="345"/>
      <c r="EA74" s="345"/>
    </row>
    <row r="75" spans="1:131" ht="15.95" customHeight="1">
      <c r="A75" s="345"/>
      <c r="B75" s="345"/>
      <c r="C75" s="2447"/>
      <c r="D75" s="5828"/>
      <c r="E75" s="5828"/>
      <c r="F75" s="2629" t="str">
        <f>'Old Tax Regime'!C38</f>
        <v>80G</v>
      </c>
      <c r="G75" s="5832" t="str">
        <f>'Old Tax Regime'!D38</f>
        <v>Donation entitled for 50% Deduction Subjected to Qualifying Limit</v>
      </c>
      <c r="H75" s="5832"/>
      <c r="I75" s="5832"/>
      <c r="J75" s="5832"/>
      <c r="K75" s="5832"/>
      <c r="L75" s="2623" t="s">
        <v>5</v>
      </c>
      <c r="M75" s="2508">
        <v>0</v>
      </c>
      <c r="N75" s="2623" t="s">
        <v>5</v>
      </c>
      <c r="O75" s="2508">
        <v>0</v>
      </c>
      <c r="P75" s="5859"/>
      <c r="Q75" s="6015"/>
      <c r="R75" s="1827"/>
      <c r="S75" s="1827"/>
      <c r="T75" s="1827"/>
      <c r="U75" s="1827"/>
      <c r="V75" s="1827"/>
      <c r="W75" s="1827"/>
      <c r="X75" s="345"/>
      <c r="Y75" s="345"/>
      <c r="Z75" s="345"/>
      <c r="AA75" s="345"/>
      <c r="AB75" s="345"/>
      <c r="AC75" s="345"/>
      <c r="AD75" s="345"/>
      <c r="AE75" s="345"/>
      <c r="AF75" s="345"/>
      <c r="AG75" s="345"/>
      <c r="AH75" s="345"/>
      <c r="AI75" s="345"/>
      <c r="AJ75" s="345"/>
      <c r="AK75" s="345"/>
      <c r="AL75" s="345"/>
      <c r="AM75" s="345"/>
      <c r="AN75" s="345"/>
      <c r="AO75" s="345"/>
      <c r="AP75" s="345"/>
      <c r="AQ75" s="345"/>
      <c r="AR75" s="345"/>
      <c r="AS75" s="345"/>
      <c r="AT75" s="345"/>
      <c r="AU75" s="345"/>
      <c r="AV75" s="345"/>
      <c r="AW75" s="345"/>
      <c r="AX75" s="345"/>
      <c r="AY75" s="345"/>
      <c r="AZ75" s="345"/>
      <c r="BA75" s="345"/>
      <c r="BB75" s="345"/>
      <c r="BC75" s="345"/>
      <c r="BD75" s="345"/>
      <c r="BE75" s="345"/>
      <c r="BF75" s="345"/>
      <c r="BG75" s="345"/>
      <c r="BH75" s="345"/>
      <c r="BI75" s="345"/>
      <c r="BJ75" s="345"/>
      <c r="BK75" s="345"/>
      <c r="BL75" s="345"/>
      <c r="BM75" s="345"/>
      <c r="BN75" s="345"/>
      <c r="BO75" s="345"/>
      <c r="BP75" s="345"/>
      <c r="BQ75" s="345"/>
      <c r="BR75" s="345"/>
      <c r="BS75" s="345"/>
      <c r="BT75" s="345"/>
      <c r="BU75" s="345"/>
      <c r="BV75" s="345"/>
      <c r="BW75" s="345"/>
      <c r="BX75" s="345"/>
      <c r="BY75" s="345"/>
      <c r="BZ75" s="345"/>
      <c r="CA75" s="345"/>
      <c r="CB75" s="345"/>
      <c r="CC75" s="345"/>
      <c r="CD75" s="345"/>
      <c r="CE75" s="345"/>
      <c r="CF75" s="345"/>
      <c r="CG75" s="345"/>
      <c r="CH75" s="345"/>
      <c r="CI75" s="345"/>
      <c r="CJ75" s="345"/>
      <c r="CK75" s="345"/>
      <c r="CL75" s="345"/>
      <c r="CM75" s="345"/>
      <c r="CN75" s="345"/>
      <c r="CO75" s="345"/>
      <c r="CP75" s="345"/>
      <c r="CQ75" s="345"/>
      <c r="CR75" s="345"/>
      <c r="CS75" s="345"/>
      <c r="CT75" s="345"/>
      <c r="CU75" s="345"/>
      <c r="CV75" s="345"/>
      <c r="CW75" s="345"/>
      <c r="CX75" s="345"/>
      <c r="CY75" s="345"/>
      <c r="CZ75" s="345"/>
      <c r="DA75" s="345"/>
      <c r="DB75" s="345"/>
      <c r="DC75" s="345"/>
      <c r="DD75" s="345"/>
      <c r="DE75" s="345"/>
      <c r="DF75" s="345"/>
      <c r="DG75" s="345"/>
      <c r="DH75" s="345"/>
      <c r="DI75" s="345"/>
      <c r="DJ75" s="345"/>
      <c r="DK75" s="345"/>
      <c r="DL75" s="345"/>
      <c r="DM75" s="345"/>
      <c r="DN75" s="345"/>
      <c r="DO75" s="345"/>
      <c r="DP75" s="345"/>
      <c r="DQ75" s="345"/>
      <c r="DR75" s="345"/>
      <c r="DS75" s="345"/>
      <c r="DT75" s="345"/>
      <c r="DU75" s="345"/>
      <c r="DV75" s="345"/>
      <c r="DW75" s="345"/>
      <c r="DX75" s="345"/>
      <c r="DY75" s="345"/>
      <c r="DZ75" s="345"/>
      <c r="EA75" s="345"/>
    </row>
    <row r="76" spans="1:131" ht="15.95" customHeight="1">
      <c r="A76" s="345"/>
      <c r="B76" s="345"/>
      <c r="C76" s="2447"/>
      <c r="D76" s="5828"/>
      <c r="E76" s="5828"/>
      <c r="F76" s="2629" t="str">
        <f>'Old Tax Regime'!C39</f>
        <v>80GGA</v>
      </c>
      <c r="G76" s="5832" t="str">
        <f>'Old Tax Regime'!D39</f>
        <v>Certain Donation for scientific research or rural development</v>
      </c>
      <c r="H76" s="5832"/>
      <c r="I76" s="5832"/>
      <c r="J76" s="5832"/>
      <c r="K76" s="5832"/>
      <c r="L76" s="2623" t="s">
        <v>5</v>
      </c>
      <c r="M76" s="2508">
        <v>0</v>
      </c>
      <c r="N76" s="2623" t="s">
        <v>5</v>
      </c>
      <c r="O76" s="2508">
        <v>0</v>
      </c>
      <c r="P76" s="5867"/>
      <c r="Q76" s="6016"/>
      <c r="R76" s="1827"/>
      <c r="S76" s="1827"/>
      <c r="T76" s="1827"/>
      <c r="U76" s="1827"/>
      <c r="V76" s="1827"/>
      <c r="W76" s="1827"/>
      <c r="X76" s="345"/>
      <c r="Y76" s="345"/>
      <c r="Z76" s="345"/>
      <c r="AA76" s="345"/>
      <c r="AB76" s="345"/>
      <c r="AC76" s="345"/>
      <c r="AD76" s="345"/>
      <c r="AE76" s="345"/>
      <c r="AF76" s="345"/>
      <c r="AG76" s="345"/>
      <c r="AH76" s="345"/>
      <c r="AI76" s="345"/>
      <c r="AJ76" s="345"/>
      <c r="AK76" s="345"/>
      <c r="AL76" s="345"/>
      <c r="AM76" s="345"/>
      <c r="AN76" s="345"/>
      <c r="AO76" s="345"/>
      <c r="AP76" s="345"/>
      <c r="AQ76" s="345"/>
      <c r="AR76" s="345"/>
      <c r="AS76" s="345"/>
      <c r="AT76" s="345"/>
      <c r="AU76" s="345"/>
      <c r="AV76" s="345"/>
      <c r="AW76" s="345"/>
      <c r="AX76" s="345"/>
      <c r="AY76" s="345"/>
      <c r="AZ76" s="345"/>
      <c r="BA76" s="345"/>
      <c r="BB76" s="345"/>
      <c r="BC76" s="345"/>
      <c r="BD76" s="345"/>
      <c r="BE76" s="345"/>
      <c r="BF76" s="345"/>
      <c r="BG76" s="345"/>
      <c r="BH76" s="345"/>
      <c r="BI76" s="345"/>
      <c r="BJ76" s="345"/>
      <c r="BK76" s="345"/>
      <c r="BL76" s="345"/>
      <c r="BM76" s="345"/>
      <c r="BN76" s="345"/>
      <c r="BO76" s="345"/>
      <c r="BP76" s="345"/>
      <c r="BQ76" s="345"/>
      <c r="BR76" s="345"/>
      <c r="BS76" s="345"/>
      <c r="BT76" s="345"/>
      <c r="BU76" s="345"/>
      <c r="BV76" s="345"/>
      <c r="BW76" s="345"/>
      <c r="BX76" s="345"/>
      <c r="BY76" s="345"/>
      <c r="BZ76" s="345"/>
      <c r="CA76" s="345"/>
      <c r="CB76" s="345"/>
      <c r="CC76" s="345"/>
      <c r="CD76" s="345"/>
      <c r="CE76" s="345"/>
      <c r="CF76" s="345"/>
      <c r="CG76" s="345"/>
      <c r="CH76" s="345"/>
      <c r="CI76" s="345"/>
      <c r="CJ76" s="345"/>
      <c r="CK76" s="345"/>
      <c r="CL76" s="345"/>
      <c r="CM76" s="345"/>
      <c r="CN76" s="345"/>
      <c r="CO76" s="345"/>
      <c r="CP76" s="345"/>
      <c r="CQ76" s="345"/>
      <c r="CR76" s="345"/>
      <c r="CS76" s="345"/>
      <c r="CT76" s="345"/>
      <c r="CU76" s="345"/>
      <c r="CV76" s="345"/>
      <c r="CW76" s="345"/>
      <c r="CX76" s="345"/>
      <c r="CY76" s="345"/>
      <c r="CZ76" s="345"/>
      <c r="DA76" s="345"/>
      <c r="DB76" s="345"/>
      <c r="DC76" s="345"/>
      <c r="DD76" s="345"/>
      <c r="DE76" s="345"/>
      <c r="DF76" s="345"/>
      <c r="DG76" s="345"/>
      <c r="DH76" s="345"/>
      <c r="DI76" s="345"/>
      <c r="DJ76" s="345"/>
      <c r="DK76" s="345"/>
      <c r="DL76" s="345"/>
      <c r="DM76" s="345"/>
      <c r="DN76" s="345"/>
      <c r="DO76" s="345"/>
      <c r="DP76" s="345"/>
      <c r="DQ76" s="345"/>
      <c r="DR76" s="345"/>
      <c r="DS76" s="345"/>
      <c r="DT76" s="345"/>
      <c r="DU76" s="345"/>
      <c r="DV76" s="345"/>
      <c r="DW76" s="345"/>
      <c r="DX76" s="345"/>
      <c r="DY76" s="345"/>
      <c r="DZ76" s="345"/>
      <c r="EA76" s="345"/>
    </row>
    <row r="77" spans="1:131" ht="18" customHeight="1">
      <c r="A77" s="345"/>
      <c r="B77" s="345"/>
      <c r="C77" s="2447"/>
      <c r="D77" s="5828"/>
      <c r="E77" s="5828"/>
      <c r="F77" s="2630"/>
      <c r="G77" s="6184" t="s">
        <v>22</v>
      </c>
      <c r="H77" s="6184"/>
      <c r="I77" s="6184"/>
      <c r="J77" s="6184"/>
      <c r="K77" s="2643"/>
      <c r="L77" s="2623" t="s">
        <v>5</v>
      </c>
      <c r="M77" s="2640">
        <f>SUM(M64:M76)</f>
        <v>0</v>
      </c>
      <c r="N77" s="2627" t="s">
        <v>5</v>
      </c>
      <c r="O77" s="2640">
        <f>SUM(O64:O76)</f>
        <v>0</v>
      </c>
      <c r="P77" s="2628" t="s">
        <v>5</v>
      </c>
      <c r="Q77" s="2641">
        <f>O77</f>
        <v>0</v>
      </c>
      <c r="R77" s="1827"/>
      <c r="S77" s="1827"/>
      <c r="T77" s="1827"/>
      <c r="U77" s="1827"/>
      <c r="V77" s="1827"/>
      <c r="W77" s="1827"/>
      <c r="X77" s="345"/>
      <c r="Y77" s="345"/>
      <c r="Z77" s="345"/>
      <c r="AA77" s="345"/>
      <c r="AB77" s="345"/>
      <c r="AC77" s="345"/>
      <c r="AD77" s="345"/>
      <c r="AE77" s="345"/>
      <c r="AF77" s="345"/>
      <c r="AG77" s="345"/>
      <c r="AH77" s="345"/>
      <c r="AI77" s="345"/>
      <c r="AJ77" s="345"/>
      <c r="AK77" s="345"/>
      <c r="AL77" s="345"/>
      <c r="AM77" s="345"/>
      <c r="AN77" s="345"/>
      <c r="AO77" s="345"/>
      <c r="AP77" s="345"/>
      <c r="AQ77" s="345"/>
      <c r="AR77" s="345"/>
      <c r="AS77" s="345"/>
      <c r="AT77" s="345"/>
      <c r="AU77" s="345"/>
      <c r="AV77" s="345"/>
      <c r="AW77" s="345"/>
      <c r="AX77" s="345"/>
      <c r="AY77" s="345"/>
      <c r="AZ77" s="345"/>
      <c r="BA77" s="345"/>
      <c r="BB77" s="345"/>
      <c r="BC77" s="345"/>
      <c r="BD77" s="345"/>
      <c r="BE77" s="345"/>
      <c r="BF77" s="345"/>
      <c r="BG77" s="345"/>
      <c r="BH77" s="345"/>
      <c r="BI77" s="345"/>
      <c r="BJ77" s="345"/>
      <c r="BK77" s="345"/>
      <c r="BL77" s="345"/>
      <c r="BM77" s="345"/>
      <c r="BN77" s="345"/>
      <c r="BO77" s="345"/>
      <c r="BP77" s="345"/>
      <c r="BQ77" s="345"/>
      <c r="BR77" s="345"/>
      <c r="BS77" s="345"/>
      <c r="BT77" s="345"/>
      <c r="BU77" s="345"/>
      <c r="BV77" s="345"/>
      <c r="BW77" s="345"/>
      <c r="BX77" s="345"/>
      <c r="BY77" s="345"/>
      <c r="BZ77" s="345"/>
      <c r="CA77" s="345"/>
      <c r="CB77" s="345"/>
      <c r="CC77" s="345"/>
      <c r="CD77" s="345"/>
      <c r="CE77" s="345"/>
      <c r="CF77" s="345"/>
      <c r="CG77" s="345"/>
      <c r="CH77" s="345"/>
      <c r="CI77" s="345"/>
      <c r="CJ77" s="345"/>
      <c r="CK77" s="345"/>
      <c r="CL77" s="345"/>
      <c r="CM77" s="345"/>
      <c r="CN77" s="345"/>
      <c r="CO77" s="345"/>
      <c r="CP77" s="345"/>
      <c r="CQ77" s="345"/>
      <c r="CR77" s="345"/>
      <c r="CS77" s="345"/>
      <c r="CT77" s="345"/>
      <c r="CU77" s="345"/>
      <c r="CV77" s="345"/>
      <c r="CW77" s="345"/>
      <c r="CX77" s="345"/>
      <c r="CY77" s="345"/>
      <c r="CZ77" s="345"/>
      <c r="DA77" s="345"/>
      <c r="DB77" s="345"/>
      <c r="DC77" s="345"/>
      <c r="DD77" s="345"/>
      <c r="DE77" s="345"/>
      <c r="DF77" s="345"/>
      <c r="DG77" s="345"/>
      <c r="DH77" s="345"/>
      <c r="DI77" s="345"/>
      <c r="DJ77" s="345"/>
      <c r="DK77" s="345"/>
      <c r="DL77" s="345"/>
      <c r="DM77" s="345"/>
      <c r="DN77" s="345"/>
      <c r="DO77" s="345"/>
      <c r="DP77" s="345"/>
      <c r="DQ77" s="345"/>
      <c r="DR77" s="345"/>
      <c r="DS77" s="345"/>
      <c r="DT77" s="345"/>
      <c r="DU77" s="345"/>
      <c r="DV77" s="345"/>
      <c r="DW77" s="345"/>
      <c r="DX77" s="345"/>
      <c r="DY77" s="345"/>
      <c r="DZ77" s="345"/>
      <c r="EA77" s="345"/>
    </row>
    <row r="78" spans="1:131" ht="18" customHeight="1">
      <c r="A78" s="345"/>
      <c r="B78" s="345"/>
      <c r="C78" s="2447"/>
      <c r="D78" s="5828" t="s">
        <v>1512</v>
      </c>
      <c r="E78" s="5828"/>
      <c r="F78" s="6020" t="s">
        <v>1559</v>
      </c>
      <c r="G78" s="6020"/>
      <c r="H78" s="6020"/>
      <c r="I78" s="6020"/>
      <c r="J78" s="6020"/>
      <c r="K78" s="6020"/>
      <c r="L78" s="6020"/>
      <c r="M78" s="6020"/>
      <c r="N78" s="6020"/>
      <c r="O78" s="6021"/>
      <c r="P78" s="6017" t="s">
        <v>5</v>
      </c>
      <c r="Q78" s="6019">
        <f>SUM(Q61+Q62+Q77)</f>
        <v>0</v>
      </c>
      <c r="R78" s="1827"/>
      <c r="S78" s="1827"/>
      <c r="T78" s="1827"/>
      <c r="U78" s="1827"/>
      <c r="V78" s="1827"/>
      <c r="W78" s="1827"/>
      <c r="X78" s="345"/>
      <c r="Y78" s="345"/>
      <c r="Z78" s="345"/>
      <c r="AA78" s="345"/>
      <c r="AB78" s="345"/>
      <c r="AC78" s="345"/>
      <c r="AD78" s="345"/>
      <c r="AE78" s="345"/>
      <c r="AF78" s="345"/>
      <c r="AG78" s="345"/>
      <c r="AH78" s="345"/>
      <c r="AI78" s="345"/>
      <c r="AJ78" s="345"/>
      <c r="AK78" s="345"/>
      <c r="AL78" s="345"/>
      <c r="AM78" s="345"/>
      <c r="AN78" s="345"/>
      <c r="AO78" s="345"/>
      <c r="AP78" s="345"/>
      <c r="AQ78" s="345"/>
      <c r="AR78" s="345"/>
      <c r="AS78" s="345"/>
      <c r="AT78" s="345"/>
      <c r="AU78" s="345"/>
      <c r="AV78" s="345"/>
      <c r="AW78" s="345"/>
      <c r="AX78" s="345"/>
      <c r="AY78" s="345"/>
      <c r="AZ78" s="345"/>
      <c r="BA78" s="345"/>
      <c r="BB78" s="345"/>
      <c r="BC78" s="345"/>
      <c r="BD78" s="345"/>
      <c r="BE78" s="345"/>
      <c r="BF78" s="345"/>
      <c r="BG78" s="345"/>
      <c r="BH78" s="345"/>
      <c r="BI78" s="345"/>
      <c r="BJ78" s="345"/>
      <c r="BK78" s="345"/>
      <c r="BL78" s="345"/>
      <c r="BM78" s="345"/>
      <c r="BN78" s="345"/>
      <c r="BO78" s="345"/>
      <c r="BP78" s="345"/>
      <c r="BQ78" s="345"/>
      <c r="BR78" s="345"/>
      <c r="BS78" s="345"/>
      <c r="BT78" s="345"/>
      <c r="BU78" s="345"/>
      <c r="BV78" s="345"/>
      <c r="BW78" s="345"/>
      <c r="BX78" s="345"/>
      <c r="BY78" s="345"/>
      <c r="BZ78" s="345"/>
      <c r="CA78" s="345"/>
      <c r="CB78" s="345"/>
      <c r="CC78" s="345"/>
      <c r="CD78" s="345"/>
      <c r="CE78" s="345"/>
      <c r="CF78" s="345"/>
      <c r="CG78" s="345"/>
      <c r="CH78" s="345"/>
      <c r="CI78" s="345"/>
      <c r="CJ78" s="345"/>
      <c r="CK78" s="345"/>
      <c r="CL78" s="345"/>
      <c r="CM78" s="345"/>
      <c r="CN78" s="345"/>
      <c r="CO78" s="345"/>
      <c r="CP78" s="345"/>
      <c r="CQ78" s="345"/>
      <c r="CR78" s="345"/>
      <c r="CS78" s="345"/>
      <c r="CT78" s="345"/>
      <c r="CU78" s="345"/>
      <c r="CV78" s="345"/>
      <c r="CW78" s="345"/>
      <c r="CX78" s="345"/>
      <c r="CY78" s="345"/>
      <c r="CZ78" s="345"/>
      <c r="DA78" s="345"/>
      <c r="DB78" s="345"/>
      <c r="DC78" s="345"/>
      <c r="DD78" s="345"/>
      <c r="DE78" s="345"/>
      <c r="DF78" s="345"/>
      <c r="DG78" s="345"/>
      <c r="DH78" s="345"/>
      <c r="DI78" s="345"/>
      <c r="DJ78" s="345"/>
      <c r="DK78" s="345"/>
      <c r="DL78" s="345"/>
      <c r="DM78" s="345"/>
      <c r="DN78" s="345"/>
      <c r="DO78" s="345"/>
      <c r="DP78" s="345"/>
      <c r="DQ78" s="345"/>
      <c r="DR78" s="345"/>
      <c r="DS78" s="345"/>
      <c r="DT78" s="345"/>
      <c r="DU78" s="345"/>
      <c r="DV78" s="345"/>
      <c r="DW78" s="345"/>
      <c r="DX78" s="345"/>
      <c r="DY78" s="345"/>
      <c r="DZ78" s="345"/>
      <c r="EA78" s="345"/>
    </row>
    <row r="79" spans="1:131" ht="18" customHeight="1">
      <c r="A79" s="345"/>
      <c r="B79" s="345"/>
      <c r="C79" s="2447"/>
      <c r="D79" s="5828"/>
      <c r="E79" s="5828"/>
      <c r="F79" s="6022"/>
      <c r="G79" s="6022"/>
      <c r="H79" s="6022"/>
      <c r="I79" s="6022"/>
      <c r="J79" s="6022"/>
      <c r="K79" s="6022"/>
      <c r="L79" s="6022"/>
      <c r="M79" s="6022"/>
      <c r="N79" s="6022"/>
      <c r="O79" s="6023"/>
      <c r="P79" s="6018"/>
      <c r="Q79" s="6019"/>
      <c r="R79" s="1827"/>
      <c r="S79" s="1827"/>
      <c r="T79" s="1827"/>
      <c r="U79" s="1827"/>
      <c r="V79" s="1827"/>
      <c r="W79" s="1827"/>
      <c r="X79" s="345"/>
      <c r="Y79" s="345"/>
      <c r="Z79" s="345"/>
      <c r="AA79" s="345"/>
      <c r="AB79" s="345"/>
      <c r="AC79" s="345"/>
      <c r="AD79" s="345"/>
      <c r="AE79" s="345"/>
      <c r="AF79" s="345"/>
      <c r="AG79" s="345"/>
      <c r="AH79" s="345"/>
      <c r="AI79" s="345"/>
      <c r="AJ79" s="345"/>
      <c r="AK79" s="345"/>
      <c r="AL79" s="345"/>
      <c r="AM79" s="345"/>
      <c r="AN79" s="345"/>
      <c r="AO79" s="345"/>
      <c r="AP79" s="345"/>
      <c r="AQ79" s="345"/>
      <c r="AR79" s="345"/>
      <c r="AS79" s="345"/>
      <c r="AT79" s="345"/>
      <c r="AU79" s="345"/>
      <c r="AV79" s="345"/>
      <c r="AW79" s="345"/>
      <c r="AX79" s="345"/>
      <c r="AY79" s="345"/>
      <c r="AZ79" s="345"/>
      <c r="BA79" s="345"/>
      <c r="BB79" s="345"/>
      <c r="BC79" s="345"/>
      <c r="BD79" s="345"/>
      <c r="BE79" s="345"/>
      <c r="BF79" s="345"/>
      <c r="BG79" s="345"/>
      <c r="BH79" s="345"/>
      <c r="BI79" s="345"/>
      <c r="BJ79" s="345"/>
      <c r="BK79" s="345"/>
      <c r="BL79" s="345"/>
      <c r="BM79" s="345"/>
      <c r="BN79" s="345"/>
      <c r="BO79" s="345"/>
      <c r="BP79" s="345"/>
      <c r="BQ79" s="345"/>
      <c r="BR79" s="345"/>
      <c r="BS79" s="345"/>
      <c r="BT79" s="345"/>
      <c r="BU79" s="345"/>
      <c r="BV79" s="345"/>
      <c r="BW79" s="345"/>
      <c r="BX79" s="345"/>
      <c r="BY79" s="345"/>
      <c r="BZ79" s="345"/>
      <c r="CA79" s="345"/>
      <c r="CB79" s="345"/>
      <c r="CC79" s="345"/>
      <c r="CD79" s="345"/>
      <c r="CE79" s="345"/>
      <c r="CF79" s="345"/>
      <c r="CG79" s="345"/>
      <c r="CH79" s="345"/>
      <c r="CI79" s="345"/>
      <c r="CJ79" s="345"/>
      <c r="CK79" s="345"/>
      <c r="CL79" s="345"/>
      <c r="CM79" s="345"/>
      <c r="CN79" s="345"/>
      <c r="CO79" s="345"/>
      <c r="CP79" s="345"/>
      <c r="CQ79" s="345"/>
      <c r="CR79" s="345"/>
      <c r="CS79" s="345"/>
      <c r="CT79" s="345"/>
      <c r="CU79" s="345"/>
      <c r="CV79" s="345"/>
      <c r="CW79" s="345"/>
      <c r="CX79" s="345"/>
      <c r="CY79" s="345"/>
      <c r="CZ79" s="345"/>
      <c r="DA79" s="345"/>
      <c r="DB79" s="345"/>
      <c r="DC79" s="345"/>
      <c r="DD79" s="345"/>
      <c r="DE79" s="345"/>
      <c r="DF79" s="345"/>
      <c r="DG79" s="345"/>
      <c r="DH79" s="345"/>
      <c r="DI79" s="345"/>
      <c r="DJ79" s="345"/>
      <c r="DK79" s="345"/>
      <c r="DL79" s="345"/>
      <c r="DM79" s="345"/>
      <c r="DN79" s="345"/>
      <c r="DO79" s="345"/>
      <c r="DP79" s="345"/>
      <c r="DQ79" s="345"/>
      <c r="DR79" s="345"/>
      <c r="DS79" s="345"/>
      <c r="DT79" s="345"/>
      <c r="DU79" s="345"/>
      <c r="DV79" s="345"/>
      <c r="DW79" s="345"/>
      <c r="DX79" s="345"/>
      <c r="DY79" s="345"/>
      <c r="DZ79" s="345"/>
      <c r="EA79" s="345"/>
    </row>
    <row r="80" spans="1:131" ht="9" customHeight="1" thickBot="1">
      <c r="A80" s="345"/>
      <c r="B80" s="345"/>
      <c r="C80" s="2448"/>
      <c r="D80" s="2449"/>
      <c r="E80" s="2449"/>
      <c r="F80" s="2450"/>
      <c r="G80" s="2450"/>
      <c r="H80" s="2450"/>
      <c r="I80" s="2450"/>
      <c r="J80" s="2450"/>
      <c r="K80" s="2450"/>
      <c r="L80" s="2450"/>
      <c r="M80" s="2450"/>
      <c r="N80" s="2450"/>
      <c r="O80" s="2450"/>
      <c r="P80" s="2450"/>
      <c r="Q80" s="2644"/>
      <c r="R80" s="1827"/>
      <c r="S80" s="1827"/>
      <c r="T80" s="1827"/>
      <c r="U80" s="1827"/>
      <c r="V80" s="1827"/>
      <c r="W80" s="1827"/>
      <c r="X80" s="345"/>
      <c r="Y80" s="345"/>
      <c r="Z80" s="345"/>
      <c r="AA80" s="345"/>
      <c r="AB80" s="345"/>
      <c r="AC80" s="345"/>
      <c r="AD80" s="345"/>
      <c r="AE80" s="345"/>
      <c r="AF80" s="345"/>
      <c r="AG80" s="345"/>
      <c r="AH80" s="345"/>
      <c r="AI80" s="345"/>
      <c r="AJ80" s="345"/>
      <c r="AK80" s="345"/>
      <c r="AL80" s="345"/>
      <c r="AM80" s="345"/>
      <c r="AN80" s="345"/>
      <c r="AO80" s="345"/>
      <c r="AP80" s="345"/>
      <c r="AQ80" s="345"/>
      <c r="AR80" s="345"/>
      <c r="AS80" s="345"/>
      <c r="AT80" s="345"/>
      <c r="AU80" s="345"/>
      <c r="AV80" s="345"/>
      <c r="AW80" s="345"/>
      <c r="AX80" s="345"/>
      <c r="AY80" s="345"/>
      <c r="AZ80" s="345"/>
      <c r="BA80" s="345"/>
      <c r="BB80" s="345"/>
      <c r="BC80" s="345"/>
      <c r="BD80" s="345"/>
      <c r="BE80" s="345"/>
      <c r="BF80" s="345"/>
      <c r="BG80" s="345"/>
      <c r="BH80" s="345"/>
      <c r="BI80" s="345"/>
      <c r="BJ80" s="345"/>
      <c r="BK80" s="345"/>
      <c r="BL80" s="345"/>
      <c r="BM80" s="345"/>
      <c r="BN80" s="345"/>
      <c r="BO80" s="345"/>
      <c r="BP80" s="345"/>
      <c r="BQ80" s="345"/>
      <c r="BR80" s="345"/>
      <c r="BS80" s="345"/>
      <c r="BT80" s="345"/>
      <c r="BU80" s="345"/>
      <c r="BV80" s="345"/>
      <c r="BW80" s="345"/>
      <c r="BX80" s="345"/>
      <c r="BY80" s="345"/>
      <c r="BZ80" s="345"/>
      <c r="CA80" s="345"/>
      <c r="CB80" s="345"/>
      <c r="CC80" s="345"/>
      <c r="CD80" s="345"/>
      <c r="CE80" s="345"/>
      <c r="CF80" s="345"/>
      <c r="CG80" s="345"/>
      <c r="CH80" s="345"/>
      <c r="CI80" s="345"/>
      <c r="CJ80" s="345"/>
      <c r="CK80" s="345"/>
      <c r="CL80" s="345"/>
      <c r="CM80" s="345"/>
      <c r="CN80" s="345"/>
      <c r="CO80" s="345"/>
      <c r="CP80" s="345"/>
      <c r="CQ80" s="345"/>
      <c r="CR80" s="345"/>
      <c r="CS80" s="345"/>
      <c r="CT80" s="345"/>
      <c r="CU80" s="345"/>
      <c r="CV80" s="345"/>
      <c r="CW80" s="345"/>
      <c r="CX80" s="345"/>
      <c r="CY80" s="345"/>
      <c r="CZ80" s="345"/>
      <c r="DA80" s="345"/>
      <c r="DB80" s="345"/>
      <c r="DC80" s="345"/>
      <c r="DD80" s="345"/>
      <c r="DE80" s="345"/>
      <c r="DF80" s="345"/>
      <c r="DG80" s="345"/>
      <c r="DH80" s="345"/>
      <c r="DI80" s="345"/>
      <c r="DJ80" s="345"/>
      <c r="DK80" s="345"/>
      <c r="DL80" s="345"/>
      <c r="DM80" s="345"/>
      <c r="DN80" s="345"/>
      <c r="DO80" s="345"/>
      <c r="DP80" s="345"/>
      <c r="DQ80" s="345"/>
      <c r="DR80" s="345"/>
      <c r="DS80" s="345"/>
      <c r="DT80" s="345"/>
      <c r="DU80" s="345"/>
      <c r="DV80" s="345"/>
      <c r="DW80" s="345"/>
      <c r="DX80" s="345"/>
      <c r="DY80" s="345"/>
      <c r="DZ80" s="345"/>
      <c r="EA80" s="345"/>
    </row>
    <row r="81" spans="1:131" ht="15.75" thickTop="1">
      <c r="A81" s="345"/>
      <c r="B81" s="345"/>
      <c r="C81" s="345"/>
      <c r="D81" s="345"/>
      <c r="E81" s="345"/>
      <c r="F81" s="345"/>
      <c r="G81" s="345"/>
      <c r="H81" s="345"/>
      <c r="I81" s="345"/>
      <c r="J81" s="345"/>
      <c r="K81" s="1827"/>
      <c r="L81" s="345"/>
      <c r="M81" s="345"/>
      <c r="N81" s="345"/>
      <c r="O81" s="345"/>
      <c r="P81" s="345"/>
      <c r="Q81" s="345"/>
      <c r="R81" s="345"/>
      <c r="S81" s="345"/>
      <c r="T81" s="345"/>
      <c r="U81" s="345"/>
      <c r="V81" s="345"/>
      <c r="W81" s="345"/>
      <c r="X81" s="345"/>
      <c r="Y81" s="345"/>
      <c r="Z81" s="345"/>
      <c r="AA81" s="345"/>
      <c r="AB81" s="345"/>
      <c r="AC81" s="345"/>
      <c r="AD81" s="345"/>
      <c r="AE81" s="345"/>
      <c r="AF81" s="345"/>
      <c r="AG81" s="345"/>
      <c r="AH81" s="345"/>
      <c r="AI81" s="345"/>
      <c r="AJ81" s="345"/>
      <c r="AK81" s="345"/>
      <c r="AL81" s="345"/>
      <c r="AM81" s="345"/>
      <c r="AN81" s="345"/>
      <c r="AO81" s="345"/>
      <c r="AP81" s="345"/>
      <c r="AQ81" s="345"/>
      <c r="AR81" s="345"/>
      <c r="AS81" s="345"/>
      <c r="AT81" s="345"/>
      <c r="AU81" s="345"/>
      <c r="AV81" s="345"/>
      <c r="AW81" s="345"/>
      <c r="AX81" s="345"/>
      <c r="AY81" s="345"/>
      <c r="AZ81" s="345"/>
      <c r="BA81" s="345"/>
      <c r="BB81" s="345"/>
      <c r="BC81" s="345"/>
      <c r="BD81" s="345"/>
      <c r="BE81" s="345"/>
      <c r="BF81" s="345"/>
      <c r="BG81" s="345"/>
      <c r="BH81" s="345"/>
      <c r="BI81" s="345"/>
      <c r="BJ81" s="345"/>
      <c r="BK81" s="345"/>
      <c r="BL81" s="345"/>
      <c r="BM81" s="345"/>
      <c r="BN81" s="345"/>
      <c r="BO81" s="345"/>
      <c r="BP81" s="345"/>
      <c r="BQ81" s="345"/>
      <c r="BR81" s="345"/>
      <c r="BS81" s="345"/>
      <c r="BT81" s="345"/>
      <c r="BU81" s="345"/>
      <c r="BV81" s="345"/>
      <c r="BW81" s="345"/>
      <c r="BX81" s="345"/>
      <c r="BY81" s="345"/>
      <c r="BZ81" s="345"/>
      <c r="CA81" s="345"/>
      <c r="CB81" s="345"/>
      <c r="CC81" s="345"/>
      <c r="CD81" s="345"/>
      <c r="CE81" s="345"/>
      <c r="CF81" s="345"/>
      <c r="CG81" s="345"/>
      <c r="CH81" s="345"/>
      <c r="CI81" s="345"/>
      <c r="CJ81" s="345"/>
      <c r="CK81" s="345"/>
      <c r="CL81" s="345"/>
      <c r="CM81" s="345"/>
      <c r="CN81" s="345"/>
      <c r="CO81" s="345"/>
      <c r="CP81" s="345"/>
      <c r="CQ81" s="345"/>
      <c r="CR81" s="345"/>
      <c r="CS81" s="345"/>
      <c r="CT81" s="345"/>
      <c r="CU81" s="345"/>
      <c r="CV81" s="345"/>
      <c r="CW81" s="345"/>
      <c r="CX81" s="345"/>
      <c r="CY81" s="345"/>
      <c r="CZ81" s="345"/>
      <c r="DA81" s="345"/>
      <c r="DB81" s="345"/>
      <c r="DC81" s="345"/>
      <c r="DD81" s="345"/>
      <c r="DE81" s="345"/>
      <c r="DF81" s="345"/>
      <c r="DG81" s="345"/>
      <c r="DH81" s="345"/>
      <c r="DI81" s="345"/>
      <c r="DJ81" s="345"/>
      <c r="DK81" s="345"/>
      <c r="DL81" s="345"/>
      <c r="DM81" s="345"/>
      <c r="DN81" s="345"/>
      <c r="DO81" s="345"/>
      <c r="DP81" s="345"/>
      <c r="DQ81" s="345"/>
      <c r="DR81" s="345"/>
      <c r="DS81" s="345"/>
      <c r="DT81" s="345"/>
      <c r="DU81" s="345"/>
      <c r="DV81" s="345"/>
      <c r="DW81" s="345"/>
      <c r="DX81" s="345"/>
      <c r="DY81" s="345"/>
      <c r="DZ81" s="345"/>
      <c r="EA81" s="345"/>
    </row>
    <row r="82" spans="1:131" hidden="1">
      <c r="A82" s="345"/>
      <c r="B82" s="345"/>
      <c r="C82" s="345"/>
      <c r="D82" s="345"/>
      <c r="E82" s="345"/>
      <c r="F82" s="345"/>
      <c r="G82" s="345"/>
      <c r="H82" s="345"/>
      <c r="I82" s="345"/>
      <c r="J82" s="345"/>
      <c r="K82" s="345"/>
      <c r="L82" s="345"/>
      <c r="M82" s="345"/>
      <c r="N82" s="345"/>
      <c r="O82" s="345"/>
      <c r="P82" s="345"/>
      <c r="Q82" s="345"/>
      <c r="R82" s="345"/>
      <c r="S82" s="345"/>
      <c r="T82" s="345"/>
      <c r="U82" s="345"/>
      <c r="V82" s="345"/>
      <c r="W82" s="345"/>
      <c r="X82" s="345"/>
      <c r="Y82" s="345"/>
      <c r="Z82" s="345"/>
      <c r="AA82" s="345"/>
      <c r="AB82" s="345"/>
      <c r="AC82" s="345"/>
      <c r="AD82" s="345"/>
      <c r="AE82" s="345"/>
      <c r="AF82" s="345"/>
      <c r="AG82" s="345"/>
      <c r="AH82" s="345"/>
      <c r="AI82" s="345"/>
      <c r="AJ82" s="345"/>
      <c r="AK82" s="345"/>
      <c r="AL82" s="345"/>
      <c r="AM82" s="345"/>
      <c r="AN82" s="345"/>
      <c r="AO82" s="345"/>
      <c r="AP82" s="345"/>
      <c r="AQ82" s="345"/>
      <c r="AR82" s="345"/>
      <c r="AS82" s="345"/>
      <c r="AT82" s="345"/>
      <c r="AU82" s="345"/>
      <c r="AV82" s="345"/>
      <c r="AW82" s="345"/>
      <c r="AX82" s="345"/>
      <c r="AY82" s="345"/>
      <c r="AZ82" s="345"/>
      <c r="BA82" s="345"/>
      <c r="BB82" s="345"/>
      <c r="BC82" s="345"/>
      <c r="BD82" s="345"/>
      <c r="BE82" s="345"/>
      <c r="BF82" s="345"/>
      <c r="BG82" s="345"/>
      <c r="BH82" s="345"/>
      <c r="BI82" s="345"/>
      <c r="BJ82" s="345"/>
      <c r="BK82" s="345"/>
      <c r="BL82" s="345"/>
      <c r="BM82" s="345"/>
      <c r="BN82" s="345"/>
      <c r="BO82" s="345"/>
      <c r="BP82" s="345"/>
      <c r="BQ82" s="345"/>
      <c r="BR82" s="345"/>
      <c r="BS82" s="345"/>
      <c r="BT82" s="345"/>
      <c r="BU82" s="345"/>
      <c r="BV82" s="345"/>
      <c r="BW82" s="345"/>
      <c r="BX82" s="345"/>
      <c r="BY82" s="345"/>
      <c r="BZ82" s="345"/>
      <c r="CA82" s="345"/>
      <c r="CB82" s="345"/>
      <c r="CC82" s="345"/>
      <c r="CD82" s="345"/>
      <c r="CE82" s="345"/>
      <c r="CF82" s="345"/>
      <c r="CG82" s="345"/>
      <c r="CH82" s="345"/>
      <c r="CI82" s="345"/>
      <c r="CJ82" s="345"/>
      <c r="CK82" s="345"/>
      <c r="CL82" s="345"/>
      <c r="CM82" s="345"/>
      <c r="CN82" s="345"/>
      <c r="CO82" s="345"/>
      <c r="CP82" s="345"/>
      <c r="CQ82" s="345"/>
      <c r="CR82" s="345"/>
      <c r="CS82" s="345"/>
      <c r="CT82" s="345"/>
      <c r="CU82" s="345"/>
      <c r="CV82" s="345"/>
      <c r="CW82" s="345"/>
      <c r="CX82" s="345"/>
      <c r="CY82" s="345"/>
      <c r="CZ82" s="345"/>
      <c r="DA82" s="345"/>
      <c r="DB82" s="345"/>
      <c r="DC82" s="345"/>
      <c r="DD82" s="345"/>
      <c r="DE82" s="345"/>
      <c r="DF82" s="345"/>
      <c r="DG82" s="345"/>
      <c r="DH82" s="345"/>
      <c r="DI82" s="345"/>
      <c r="DJ82" s="345"/>
      <c r="DK82" s="345"/>
      <c r="DL82" s="345"/>
      <c r="DM82" s="345"/>
      <c r="DN82" s="345"/>
      <c r="DO82" s="345"/>
      <c r="DP82" s="345"/>
      <c r="DQ82" s="345"/>
      <c r="DR82" s="345"/>
      <c r="DS82" s="345"/>
      <c r="DT82" s="345"/>
      <c r="DU82" s="345"/>
      <c r="DV82" s="345"/>
      <c r="DW82" s="345"/>
      <c r="DX82" s="345"/>
      <c r="DY82" s="345"/>
      <c r="DZ82" s="345"/>
      <c r="EA82" s="345"/>
    </row>
    <row r="83" spans="1:131" hidden="1">
      <c r="A83" s="345"/>
      <c r="B83" s="345"/>
      <c r="C83" s="345"/>
      <c r="D83" s="345"/>
      <c r="E83" s="345"/>
      <c r="F83" s="345"/>
      <c r="G83" s="345"/>
      <c r="H83" s="345"/>
      <c r="I83" s="345"/>
      <c r="J83" s="345"/>
      <c r="K83" s="345"/>
      <c r="L83" s="345"/>
      <c r="M83" s="345"/>
      <c r="N83" s="345"/>
      <c r="O83" s="345"/>
      <c r="P83" s="345"/>
      <c r="Q83" s="345"/>
      <c r="R83" s="345"/>
      <c r="S83" s="345"/>
      <c r="T83" s="345"/>
      <c r="U83" s="345"/>
      <c r="V83" s="345"/>
      <c r="W83" s="345"/>
      <c r="X83" s="345"/>
      <c r="Y83" s="345"/>
      <c r="Z83" s="345"/>
      <c r="AA83" s="345"/>
      <c r="AB83" s="345"/>
      <c r="AC83" s="345"/>
      <c r="AD83" s="345"/>
      <c r="AE83" s="345"/>
      <c r="AF83" s="345"/>
      <c r="AG83" s="345"/>
      <c r="AH83" s="345"/>
      <c r="AI83" s="345"/>
      <c r="AJ83" s="345"/>
      <c r="AK83" s="345"/>
      <c r="AL83" s="345"/>
      <c r="AM83" s="345"/>
      <c r="AN83" s="345"/>
      <c r="AO83" s="345"/>
      <c r="AP83" s="345"/>
      <c r="AQ83" s="345"/>
      <c r="AR83" s="345"/>
      <c r="AS83" s="345"/>
      <c r="AT83" s="345"/>
      <c r="AU83" s="345"/>
      <c r="AV83" s="345"/>
      <c r="AW83" s="345"/>
      <c r="AX83" s="345"/>
      <c r="AY83" s="345"/>
      <c r="AZ83" s="345"/>
      <c r="BA83" s="345"/>
      <c r="BB83" s="345"/>
      <c r="BC83" s="345"/>
      <c r="BD83" s="345"/>
      <c r="BE83" s="345"/>
      <c r="BF83" s="345"/>
      <c r="BG83" s="345"/>
      <c r="BH83" s="345"/>
      <c r="BI83" s="345"/>
      <c r="BJ83" s="345"/>
      <c r="BK83" s="345"/>
      <c r="BL83" s="345"/>
      <c r="BM83" s="345"/>
      <c r="BN83" s="345"/>
      <c r="BO83" s="345"/>
      <c r="BP83" s="345"/>
      <c r="BQ83" s="345"/>
      <c r="BR83" s="345"/>
      <c r="BS83" s="345"/>
      <c r="BT83" s="345"/>
      <c r="BU83" s="345"/>
      <c r="BV83" s="345"/>
      <c r="BW83" s="345"/>
      <c r="BX83" s="345"/>
      <c r="BY83" s="345"/>
      <c r="BZ83" s="345"/>
      <c r="CA83" s="345"/>
      <c r="CB83" s="345"/>
      <c r="CC83" s="345"/>
      <c r="CD83" s="345"/>
      <c r="CE83" s="345"/>
      <c r="CF83" s="345"/>
      <c r="CG83" s="345"/>
      <c r="CH83" s="345"/>
      <c r="CI83" s="345"/>
      <c r="CJ83" s="345"/>
      <c r="CK83" s="345"/>
      <c r="CL83" s="345"/>
      <c r="CM83" s="345"/>
      <c r="CN83" s="345"/>
      <c r="CO83" s="345"/>
      <c r="CP83" s="345"/>
      <c r="CQ83" s="345"/>
      <c r="CR83" s="345"/>
      <c r="CS83" s="345"/>
      <c r="CT83" s="345"/>
      <c r="CU83" s="345"/>
      <c r="CV83" s="345"/>
      <c r="CW83" s="345"/>
      <c r="CX83" s="345"/>
      <c r="CY83" s="345"/>
      <c r="CZ83" s="345"/>
      <c r="DA83" s="345"/>
      <c r="DB83" s="345"/>
      <c r="DC83" s="345"/>
      <c r="DD83" s="345"/>
      <c r="DE83" s="345"/>
      <c r="DF83" s="345"/>
      <c r="DG83" s="345"/>
      <c r="DH83" s="345"/>
      <c r="DI83" s="345"/>
      <c r="DJ83" s="345"/>
      <c r="DK83" s="345"/>
      <c r="DL83" s="345"/>
      <c r="DM83" s="345"/>
      <c r="DN83" s="345"/>
      <c r="DO83" s="345"/>
      <c r="DP83" s="345"/>
      <c r="DQ83" s="345"/>
      <c r="DR83" s="345"/>
      <c r="DS83" s="345"/>
      <c r="DT83" s="345"/>
      <c r="DU83" s="345"/>
      <c r="DV83" s="345"/>
      <c r="DW83" s="345"/>
      <c r="DX83" s="345"/>
      <c r="DY83" s="345"/>
      <c r="DZ83" s="345"/>
      <c r="EA83" s="345"/>
    </row>
    <row r="84" spans="1:131" hidden="1">
      <c r="A84" s="345"/>
      <c r="B84" s="345"/>
      <c r="C84" s="345"/>
      <c r="D84" s="345"/>
      <c r="E84" s="345"/>
      <c r="F84" s="345"/>
      <c r="G84" s="345"/>
      <c r="H84" s="345"/>
      <c r="I84" s="345"/>
      <c r="J84" s="345"/>
      <c r="K84" s="345"/>
      <c r="L84" s="345"/>
      <c r="M84" s="345"/>
      <c r="N84" s="345"/>
      <c r="O84" s="345"/>
      <c r="P84" s="345"/>
      <c r="Q84" s="345"/>
      <c r="R84" s="345"/>
      <c r="S84" s="345"/>
      <c r="T84" s="345"/>
      <c r="U84" s="345"/>
      <c r="V84" s="345"/>
      <c r="W84" s="345"/>
      <c r="X84" s="345"/>
      <c r="Y84" s="345"/>
      <c r="Z84" s="345"/>
      <c r="AA84" s="345"/>
      <c r="AB84" s="345"/>
      <c r="AC84" s="345"/>
      <c r="AD84" s="345"/>
      <c r="AE84" s="345"/>
      <c r="AF84" s="345"/>
      <c r="AG84" s="345"/>
      <c r="AH84" s="345"/>
      <c r="AI84" s="345"/>
      <c r="AJ84" s="345"/>
      <c r="AK84" s="345"/>
      <c r="AL84" s="345"/>
      <c r="AM84" s="345"/>
      <c r="AN84" s="345"/>
      <c r="AO84" s="345"/>
      <c r="AP84" s="345"/>
      <c r="AQ84" s="345"/>
      <c r="AR84" s="345"/>
      <c r="AS84" s="345"/>
      <c r="AT84" s="345"/>
      <c r="AU84" s="345"/>
      <c r="AV84" s="345"/>
      <c r="AW84" s="345"/>
      <c r="AX84" s="345"/>
      <c r="AY84" s="345"/>
      <c r="AZ84" s="345"/>
      <c r="BA84" s="345"/>
      <c r="BB84" s="345"/>
      <c r="BC84" s="345"/>
      <c r="BD84" s="345"/>
      <c r="BE84" s="345"/>
      <c r="BF84" s="345"/>
      <c r="BG84" s="345"/>
      <c r="BH84" s="345"/>
      <c r="BI84" s="345"/>
      <c r="BJ84" s="345"/>
      <c r="BK84" s="345"/>
      <c r="BL84" s="345"/>
      <c r="BM84" s="345"/>
      <c r="BN84" s="345"/>
      <c r="BO84" s="345"/>
      <c r="BP84" s="345"/>
      <c r="BQ84" s="345"/>
      <c r="BR84" s="345"/>
      <c r="BS84" s="345"/>
      <c r="BT84" s="345"/>
      <c r="BU84" s="345"/>
      <c r="BV84" s="345"/>
      <c r="BW84" s="345"/>
      <c r="BX84" s="345"/>
      <c r="BY84" s="345"/>
      <c r="BZ84" s="345"/>
      <c r="CA84" s="345"/>
      <c r="CB84" s="345"/>
      <c r="CC84" s="345"/>
      <c r="CD84" s="345"/>
      <c r="CE84" s="345"/>
      <c r="CF84" s="345"/>
      <c r="CG84" s="345"/>
      <c r="CH84" s="345"/>
      <c r="CI84" s="345"/>
      <c r="CJ84" s="345"/>
      <c r="CK84" s="345"/>
      <c r="CL84" s="345"/>
      <c r="CM84" s="345"/>
      <c r="CN84" s="345"/>
      <c r="CO84" s="345"/>
      <c r="CP84" s="345"/>
      <c r="CQ84" s="345"/>
      <c r="CR84" s="345"/>
      <c r="CS84" s="345"/>
      <c r="CT84" s="345"/>
      <c r="CU84" s="345"/>
      <c r="CV84" s="345"/>
      <c r="CW84" s="345"/>
      <c r="CX84" s="345"/>
      <c r="CY84" s="345"/>
      <c r="CZ84" s="345"/>
      <c r="DA84" s="345"/>
      <c r="DB84" s="345"/>
      <c r="DC84" s="345"/>
      <c r="DD84" s="345"/>
      <c r="DE84" s="345"/>
      <c r="DF84" s="345"/>
      <c r="DG84" s="345"/>
      <c r="DH84" s="345"/>
      <c r="DI84" s="345"/>
      <c r="DJ84" s="345"/>
      <c r="DK84" s="345"/>
      <c r="DL84" s="345"/>
      <c r="DM84" s="345"/>
      <c r="DN84" s="345"/>
      <c r="DO84" s="345"/>
      <c r="DP84" s="345"/>
      <c r="DQ84" s="345"/>
      <c r="DR84" s="345"/>
      <c r="DS84" s="345"/>
      <c r="DT84" s="345"/>
      <c r="DU84" s="345"/>
      <c r="DV84" s="345"/>
      <c r="DW84" s="345"/>
      <c r="DX84" s="345"/>
      <c r="DY84" s="345"/>
      <c r="DZ84" s="345"/>
      <c r="EA84" s="345"/>
    </row>
    <row r="85" spans="1:131" hidden="1">
      <c r="A85" s="345"/>
      <c r="B85" s="345"/>
      <c r="C85" s="345"/>
      <c r="D85" s="345"/>
      <c r="E85" s="345"/>
      <c r="F85" s="345"/>
      <c r="G85" s="345"/>
      <c r="H85" s="345"/>
      <c r="I85" s="345"/>
      <c r="J85" s="345"/>
      <c r="K85" s="345"/>
      <c r="L85" s="345"/>
      <c r="M85" s="345"/>
      <c r="N85" s="345"/>
      <c r="O85" s="345"/>
      <c r="P85" s="345"/>
      <c r="Q85" s="345"/>
      <c r="R85" s="345"/>
      <c r="S85" s="345"/>
      <c r="T85" s="345"/>
      <c r="U85" s="345"/>
      <c r="V85" s="345"/>
      <c r="W85" s="345"/>
      <c r="X85" s="345"/>
      <c r="Y85" s="345"/>
      <c r="Z85" s="345"/>
      <c r="AA85" s="345"/>
      <c r="AB85" s="345"/>
      <c r="AC85" s="345"/>
      <c r="AD85" s="345"/>
      <c r="AE85" s="345"/>
      <c r="AF85" s="345"/>
      <c r="AG85" s="345"/>
      <c r="AH85" s="345"/>
      <c r="AI85" s="345"/>
      <c r="AJ85" s="345"/>
      <c r="AK85" s="345"/>
      <c r="AL85" s="345"/>
      <c r="AM85" s="345"/>
      <c r="AN85" s="345"/>
      <c r="AO85" s="345"/>
      <c r="AP85" s="345"/>
      <c r="AQ85" s="345"/>
      <c r="AR85" s="345"/>
      <c r="AS85" s="345"/>
      <c r="AT85" s="345"/>
      <c r="AU85" s="345"/>
      <c r="AV85" s="345"/>
      <c r="AW85" s="345"/>
      <c r="AX85" s="345"/>
      <c r="AY85" s="345"/>
      <c r="AZ85" s="345"/>
      <c r="BA85" s="345"/>
      <c r="BB85" s="345"/>
      <c r="BC85" s="345"/>
      <c r="BD85" s="345"/>
      <c r="BE85" s="345"/>
      <c r="BF85" s="345"/>
      <c r="BG85" s="345"/>
      <c r="BH85" s="345"/>
      <c r="BI85" s="345"/>
      <c r="BJ85" s="345"/>
      <c r="BK85" s="345"/>
      <c r="BL85" s="345"/>
      <c r="BM85" s="345"/>
      <c r="BN85" s="345"/>
      <c r="BO85" s="345"/>
      <c r="BP85" s="345"/>
      <c r="BQ85" s="345"/>
      <c r="BR85" s="345"/>
      <c r="BS85" s="345"/>
      <c r="BT85" s="345"/>
      <c r="BU85" s="345"/>
      <c r="BV85" s="345"/>
      <c r="BW85" s="345"/>
      <c r="BX85" s="345"/>
      <c r="BY85" s="345"/>
      <c r="BZ85" s="345"/>
      <c r="CA85" s="345"/>
      <c r="CB85" s="345"/>
      <c r="CC85" s="345"/>
      <c r="CD85" s="345"/>
      <c r="CE85" s="345"/>
      <c r="CF85" s="345"/>
      <c r="CG85" s="345"/>
      <c r="CH85" s="345"/>
      <c r="CI85" s="345"/>
      <c r="CJ85" s="345"/>
      <c r="CK85" s="345"/>
      <c r="CL85" s="345"/>
      <c r="CM85" s="345"/>
      <c r="CN85" s="345"/>
      <c r="CO85" s="345"/>
      <c r="CP85" s="345"/>
      <c r="CQ85" s="345"/>
      <c r="CR85" s="345"/>
      <c r="CS85" s="345"/>
      <c r="CT85" s="345"/>
      <c r="CU85" s="345"/>
      <c r="CV85" s="345"/>
      <c r="CW85" s="345"/>
      <c r="CX85" s="345"/>
      <c r="CY85" s="345"/>
      <c r="CZ85" s="345"/>
      <c r="DA85" s="345"/>
      <c r="DB85" s="345"/>
      <c r="DC85" s="345"/>
      <c r="DD85" s="345"/>
      <c r="DE85" s="345"/>
      <c r="DF85" s="345"/>
      <c r="DG85" s="345"/>
      <c r="DH85" s="345"/>
      <c r="DI85" s="345"/>
      <c r="DJ85" s="345"/>
      <c r="DK85" s="345"/>
      <c r="DL85" s="345"/>
      <c r="DM85" s="345"/>
      <c r="DN85" s="345"/>
      <c r="DO85" s="345"/>
      <c r="DP85" s="345"/>
      <c r="DQ85" s="345"/>
      <c r="DR85" s="345"/>
      <c r="DS85" s="345"/>
      <c r="DT85" s="345"/>
      <c r="DU85" s="345"/>
      <c r="DV85" s="345"/>
      <c r="DW85" s="345"/>
      <c r="DX85" s="345"/>
      <c r="DY85" s="345"/>
      <c r="DZ85" s="345"/>
      <c r="EA85" s="345"/>
    </row>
    <row r="86" spans="1:131" hidden="1">
      <c r="A86" s="345"/>
      <c r="B86" s="345"/>
      <c r="C86" s="345"/>
      <c r="D86" s="345"/>
      <c r="E86" s="345"/>
      <c r="F86" s="345"/>
      <c r="G86" s="345"/>
      <c r="H86" s="345"/>
      <c r="I86" s="345"/>
      <c r="J86" s="345"/>
      <c r="K86" s="345"/>
      <c r="L86" s="345"/>
      <c r="M86" s="345"/>
      <c r="N86" s="345"/>
      <c r="O86" s="345"/>
      <c r="P86" s="345"/>
      <c r="Q86" s="345"/>
      <c r="R86" s="345"/>
      <c r="S86" s="345"/>
      <c r="T86" s="345"/>
      <c r="U86" s="345"/>
      <c r="V86" s="345"/>
      <c r="W86" s="345"/>
      <c r="X86" s="345"/>
      <c r="Y86" s="345"/>
      <c r="Z86" s="345"/>
      <c r="AA86" s="345"/>
      <c r="AB86" s="345"/>
      <c r="AC86" s="345"/>
      <c r="AD86" s="345"/>
      <c r="AE86" s="345"/>
      <c r="AF86" s="345"/>
      <c r="AG86" s="345"/>
      <c r="AH86" s="345"/>
      <c r="AI86" s="345"/>
      <c r="AJ86" s="345"/>
      <c r="AK86" s="345"/>
      <c r="AL86" s="345"/>
      <c r="AM86" s="345"/>
      <c r="AN86" s="345"/>
      <c r="AO86" s="345"/>
      <c r="AP86" s="345"/>
      <c r="AQ86" s="345"/>
      <c r="AR86" s="345"/>
      <c r="AS86" s="345"/>
      <c r="AT86" s="345"/>
      <c r="AU86" s="345"/>
      <c r="AV86" s="345"/>
      <c r="AW86" s="345"/>
      <c r="AX86" s="345"/>
      <c r="AY86" s="345"/>
      <c r="AZ86" s="345"/>
      <c r="BA86" s="345"/>
      <c r="BB86" s="345"/>
      <c r="BC86" s="345"/>
      <c r="BD86" s="345"/>
      <c r="BE86" s="345"/>
      <c r="BF86" s="345"/>
      <c r="BG86" s="345"/>
      <c r="BH86" s="345"/>
      <c r="BI86" s="345"/>
      <c r="BJ86" s="345"/>
      <c r="BK86" s="345"/>
      <c r="BL86" s="345"/>
      <c r="BM86" s="345"/>
      <c r="BN86" s="345"/>
      <c r="BO86" s="345"/>
      <c r="BP86" s="345"/>
      <c r="BQ86" s="345"/>
      <c r="BR86" s="345"/>
      <c r="BS86" s="345"/>
      <c r="BT86" s="345"/>
      <c r="BU86" s="345"/>
      <c r="BV86" s="345"/>
      <c r="BW86" s="345"/>
      <c r="BX86" s="345"/>
      <c r="BY86" s="345"/>
      <c r="BZ86" s="345"/>
      <c r="CA86" s="345"/>
      <c r="CB86" s="345"/>
      <c r="CC86" s="345"/>
      <c r="CD86" s="345"/>
      <c r="CE86" s="345"/>
      <c r="CF86" s="345"/>
      <c r="CG86" s="345"/>
      <c r="CH86" s="345"/>
      <c r="CI86" s="345"/>
      <c r="CJ86" s="345"/>
      <c r="CK86" s="345"/>
      <c r="CL86" s="345"/>
      <c r="CM86" s="345"/>
      <c r="CN86" s="345"/>
      <c r="CO86" s="345"/>
      <c r="CP86" s="345"/>
      <c r="CQ86" s="345"/>
      <c r="CR86" s="345"/>
      <c r="CS86" s="345"/>
      <c r="CT86" s="345"/>
      <c r="CU86" s="345"/>
      <c r="CV86" s="345"/>
      <c r="CW86" s="345"/>
      <c r="CX86" s="345"/>
      <c r="CY86" s="345"/>
      <c r="CZ86" s="345"/>
      <c r="DA86" s="345"/>
      <c r="DB86" s="345"/>
      <c r="DC86" s="345"/>
      <c r="DD86" s="345"/>
      <c r="DE86" s="345"/>
      <c r="DF86" s="345"/>
      <c r="DG86" s="345"/>
      <c r="DH86" s="345"/>
      <c r="DI86" s="345"/>
      <c r="DJ86" s="345"/>
      <c r="DK86" s="345"/>
      <c r="DL86" s="345"/>
      <c r="DM86" s="345"/>
      <c r="DN86" s="345"/>
      <c r="DO86" s="345"/>
      <c r="DP86" s="345"/>
      <c r="DQ86" s="345"/>
      <c r="DR86" s="345"/>
      <c r="DS86" s="345"/>
      <c r="DT86" s="345"/>
      <c r="DU86" s="345"/>
      <c r="DV86" s="345"/>
      <c r="DW86" s="345"/>
      <c r="DX86" s="345"/>
      <c r="DY86" s="345"/>
      <c r="DZ86" s="345"/>
      <c r="EA86" s="345"/>
    </row>
    <row r="87" spans="1:131" hidden="1">
      <c r="A87" s="345"/>
      <c r="B87" s="345"/>
      <c r="C87" s="345"/>
      <c r="D87" s="345"/>
      <c r="E87" s="345"/>
      <c r="F87" s="345"/>
      <c r="G87" s="345"/>
      <c r="H87" s="345"/>
      <c r="I87" s="345"/>
      <c r="J87" s="345"/>
      <c r="K87" s="345"/>
      <c r="L87" s="345"/>
      <c r="M87" s="345"/>
      <c r="N87" s="345"/>
      <c r="O87" s="345"/>
      <c r="P87" s="345"/>
      <c r="Q87" s="345"/>
      <c r="R87" s="345"/>
      <c r="S87" s="345"/>
      <c r="T87" s="345"/>
      <c r="U87" s="345"/>
      <c r="V87" s="345"/>
      <c r="W87" s="345"/>
      <c r="X87" s="345"/>
      <c r="Y87" s="345"/>
      <c r="Z87" s="345"/>
      <c r="AA87" s="345"/>
      <c r="AB87" s="345"/>
      <c r="AC87" s="345"/>
      <c r="AD87" s="345"/>
      <c r="AE87" s="345"/>
      <c r="AF87" s="345"/>
      <c r="AG87" s="345"/>
      <c r="AH87" s="345"/>
      <c r="AI87" s="345"/>
      <c r="AJ87" s="345"/>
      <c r="AK87" s="345"/>
      <c r="AL87" s="345"/>
      <c r="AM87" s="345"/>
      <c r="AN87" s="345"/>
      <c r="AO87" s="345"/>
      <c r="AP87" s="345"/>
      <c r="AQ87" s="345"/>
      <c r="AR87" s="345"/>
      <c r="AS87" s="345"/>
      <c r="AT87" s="345"/>
      <c r="AU87" s="345"/>
      <c r="AV87" s="345"/>
      <c r="AW87" s="345"/>
      <c r="AX87" s="345"/>
      <c r="AY87" s="345"/>
      <c r="AZ87" s="345"/>
      <c r="BA87" s="345"/>
      <c r="BB87" s="345"/>
      <c r="BC87" s="345"/>
      <c r="BD87" s="345"/>
      <c r="BE87" s="345"/>
      <c r="BF87" s="345"/>
      <c r="BG87" s="345"/>
      <c r="BH87" s="345"/>
      <c r="BI87" s="345"/>
      <c r="BJ87" s="345"/>
      <c r="BK87" s="345"/>
      <c r="BL87" s="345"/>
      <c r="BM87" s="345"/>
      <c r="BN87" s="345"/>
      <c r="BO87" s="345"/>
      <c r="BP87" s="345"/>
      <c r="BQ87" s="345"/>
      <c r="BR87" s="345"/>
      <c r="BS87" s="345"/>
      <c r="BT87" s="345"/>
      <c r="BU87" s="345"/>
      <c r="BV87" s="345"/>
      <c r="BW87" s="345"/>
      <c r="BX87" s="345"/>
      <c r="BY87" s="345"/>
      <c r="BZ87" s="345"/>
      <c r="CA87" s="345"/>
      <c r="CB87" s="345"/>
      <c r="CC87" s="345"/>
      <c r="CD87" s="345"/>
      <c r="CE87" s="345"/>
      <c r="CF87" s="345"/>
      <c r="CG87" s="345"/>
      <c r="CH87" s="345"/>
      <c r="CI87" s="345"/>
      <c r="CJ87" s="345"/>
      <c r="CK87" s="345"/>
      <c r="CL87" s="345"/>
      <c r="CM87" s="345"/>
      <c r="CN87" s="345"/>
      <c r="CO87" s="345"/>
      <c r="CP87" s="345"/>
      <c r="CQ87" s="345"/>
      <c r="CR87" s="345"/>
      <c r="CS87" s="345"/>
      <c r="CT87" s="345"/>
      <c r="CU87" s="345"/>
      <c r="CV87" s="345"/>
      <c r="CW87" s="345"/>
      <c r="CX87" s="345"/>
      <c r="CY87" s="345"/>
      <c r="CZ87" s="345"/>
      <c r="DA87" s="345"/>
      <c r="DB87" s="345"/>
      <c r="DC87" s="345"/>
      <c r="DD87" s="345"/>
      <c r="DE87" s="345"/>
      <c r="DF87" s="345"/>
      <c r="DG87" s="345"/>
      <c r="DH87" s="345"/>
      <c r="DI87" s="345"/>
      <c r="DJ87" s="345"/>
      <c r="DK87" s="345"/>
      <c r="DL87" s="345"/>
      <c r="DM87" s="345"/>
      <c r="DN87" s="345"/>
      <c r="DO87" s="345"/>
      <c r="DP87" s="345"/>
      <c r="DQ87" s="345"/>
      <c r="DR87" s="345"/>
      <c r="DS87" s="345"/>
      <c r="DT87" s="345"/>
      <c r="DU87" s="345"/>
      <c r="DV87" s="345"/>
      <c r="DW87" s="345"/>
      <c r="DX87" s="345"/>
      <c r="DY87" s="345"/>
      <c r="DZ87" s="345"/>
      <c r="EA87" s="345"/>
    </row>
    <row r="88" spans="1:131" hidden="1">
      <c r="A88" s="345"/>
      <c r="B88" s="345"/>
      <c r="C88" s="345"/>
      <c r="D88" s="345"/>
      <c r="E88" s="345"/>
      <c r="F88" s="345"/>
      <c r="G88" s="345"/>
      <c r="H88" s="345"/>
      <c r="I88" s="345"/>
      <c r="J88" s="345"/>
      <c r="K88" s="345"/>
      <c r="L88" s="345"/>
      <c r="M88" s="345"/>
      <c r="N88" s="345"/>
      <c r="O88" s="345"/>
      <c r="P88" s="345"/>
      <c r="Q88" s="345"/>
      <c r="R88" s="345"/>
      <c r="S88" s="345"/>
      <c r="T88" s="345"/>
      <c r="U88" s="345"/>
      <c r="V88" s="345"/>
      <c r="W88" s="345"/>
      <c r="X88" s="345"/>
      <c r="Y88" s="345"/>
      <c r="Z88" s="345"/>
      <c r="AA88" s="345"/>
      <c r="AB88" s="345"/>
      <c r="AC88" s="345"/>
      <c r="AD88" s="345"/>
      <c r="AE88" s="345"/>
      <c r="AF88" s="345"/>
      <c r="AG88" s="345"/>
      <c r="AH88" s="345"/>
      <c r="AI88" s="345"/>
      <c r="AJ88" s="345"/>
      <c r="AK88" s="345"/>
      <c r="AL88" s="345"/>
      <c r="AM88" s="345"/>
      <c r="AN88" s="345"/>
      <c r="AO88" s="345"/>
      <c r="AP88" s="345"/>
      <c r="AQ88" s="345"/>
      <c r="AR88" s="345"/>
      <c r="AS88" s="345"/>
      <c r="AT88" s="345"/>
      <c r="AU88" s="345"/>
      <c r="AV88" s="345"/>
      <c r="AW88" s="345"/>
      <c r="AX88" s="345"/>
      <c r="AY88" s="345"/>
      <c r="AZ88" s="345"/>
      <c r="BA88" s="345"/>
      <c r="BB88" s="345"/>
      <c r="BC88" s="345"/>
      <c r="BD88" s="345"/>
      <c r="BE88" s="345"/>
      <c r="BF88" s="345"/>
      <c r="BG88" s="345"/>
      <c r="BH88" s="345"/>
      <c r="BI88" s="345"/>
      <c r="BJ88" s="345"/>
      <c r="BK88" s="345"/>
      <c r="BL88" s="345"/>
      <c r="BM88" s="345"/>
      <c r="BN88" s="345"/>
      <c r="BO88" s="345"/>
      <c r="BP88" s="345"/>
      <c r="BQ88" s="345"/>
      <c r="BR88" s="345"/>
      <c r="BS88" s="345"/>
      <c r="BT88" s="345"/>
      <c r="BU88" s="345"/>
      <c r="BV88" s="345"/>
      <c r="BW88" s="345"/>
      <c r="BX88" s="345"/>
      <c r="BY88" s="345"/>
      <c r="BZ88" s="345"/>
      <c r="CA88" s="345"/>
      <c r="CB88" s="345"/>
      <c r="CC88" s="345"/>
      <c r="CD88" s="345"/>
      <c r="CE88" s="345"/>
      <c r="CF88" s="345"/>
      <c r="CG88" s="345"/>
      <c r="CH88" s="345"/>
      <c r="CI88" s="345"/>
      <c r="CJ88" s="345"/>
      <c r="CK88" s="345"/>
      <c r="CL88" s="345"/>
      <c r="CM88" s="345"/>
      <c r="CN88" s="345"/>
      <c r="CO88" s="345"/>
      <c r="CP88" s="345"/>
      <c r="CQ88" s="345"/>
      <c r="CR88" s="345"/>
      <c r="CS88" s="345"/>
      <c r="CT88" s="345"/>
      <c r="CU88" s="345"/>
      <c r="CV88" s="345"/>
      <c r="CW88" s="345"/>
      <c r="CX88" s="345"/>
      <c r="CY88" s="345"/>
      <c r="CZ88" s="345"/>
      <c r="DA88" s="345"/>
      <c r="DB88" s="345"/>
      <c r="DC88" s="345"/>
      <c r="DD88" s="345"/>
      <c r="DE88" s="345"/>
      <c r="DF88" s="345"/>
      <c r="DG88" s="345"/>
      <c r="DH88" s="345"/>
      <c r="DI88" s="345"/>
      <c r="DJ88" s="345"/>
      <c r="DK88" s="345"/>
      <c r="DL88" s="345"/>
      <c r="DM88" s="345"/>
      <c r="DN88" s="345"/>
      <c r="DO88" s="345"/>
      <c r="DP88" s="345"/>
      <c r="DQ88" s="345"/>
      <c r="DR88" s="345"/>
      <c r="DS88" s="345"/>
      <c r="DT88" s="345"/>
      <c r="DU88" s="345"/>
      <c r="DV88" s="345"/>
      <c r="DW88" s="345"/>
      <c r="DX88" s="345"/>
      <c r="DY88" s="345"/>
      <c r="DZ88" s="345"/>
      <c r="EA88" s="345"/>
    </row>
    <row r="89" spans="1:131" hidden="1">
      <c r="A89" s="345"/>
      <c r="B89" s="345"/>
      <c r="C89" s="345"/>
      <c r="D89" s="345"/>
      <c r="E89" s="345"/>
      <c r="F89" s="345"/>
      <c r="G89" s="345"/>
      <c r="H89" s="345"/>
      <c r="I89" s="345"/>
      <c r="J89" s="345"/>
      <c r="K89" s="345"/>
      <c r="L89" s="345"/>
      <c r="M89" s="345"/>
      <c r="N89" s="345"/>
      <c r="O89" s="345"/>
      <c r="P89" s="345"/>
      <c r="Q89" s="345"/>
      <c r="R89" s="345"/>
      <c r="S89" s="345"/>
      <c r="T89" s="345"/>
      <c r="U89" s="345"/>
      <c r="V89" s="345"/>
      <c r="W89" s="345"/>
      <c r="X89" s="345"/>
      <c r="Y89" s="345"/>
      <c r="Z89" s="345"/>
      <c r="AA89" s="345"/>
      <c r="AB89" s="345"/>
      <c r="AC89" s="345"/>
      <c r="AD89" s="345"/>
      <c r="AE89" s="345"/>
      <c r="AF89" s="345"/>
      <c r="AG89" s="345"/>
      <c r="AH89" s="345"/>
      <c r="AI89" s="345"/>
      <c r="AJ89" s="345"/>
      <c r="AK89" s="345"/>
      <c r="AL89" s="345"/>
      <c r="AM89" s="345"/>
      <c r="AN89" s="345"/>
      <c r="AO89" s="345"/>
      <c r="AP89" s="345"/>
      <c r="AQ89" s="345"/>
      <c r="AR89" s="345"/>
      <c r="AS89" s="345"/>
      <c r="AT89" s="345"/>
      <c r="AU89" s="345"/>
      <c r="AV89" s="345"/>
      <c r="AW89" s="345"/>
      <c r="AX89" s="345"/>
      <c r="AY89" s="345"/>
      <c r="AZ89" s="345"/>
      <c r="BA89" s="345"/>
      <c r="BB89" s="345"/>
      <c r="BC89" s="345"/>
      <c r="BD89" s="345"/>
      <c r="BE89" s="345"/>
      <c r="BF89" s="345"/>
      <c r="BG89" s="345"/>
      <c r="BH89" s="345"/>
      <c r="BI89" s="345"/>
      <c r="BJ89" s="345"/>
      <c r="BK89" s="345"/>
      <c r="BL89" s="345"/>
      <c r="BM89" s="345"/>
      <c r="BN89" s="345"/>
      <c r="BO89" s="345"/>
      <c r="BP89" s="345"/>
      <c r="BQ89" s="345"/>
      <c r="BR89" s="345"/>
      <c r="BS89" s="345"/>
      <c r="BT89" s="345"/>
      <c r="BU89" s="345"/>
      <c r="BV89" s="345"/>
      <c r="BW89" s="345"/>
      <c r="BX89" s="345"/>
      <c r="BY89" s="345"/>
      <c r="BZ89" s="345"/>
      <c r="CA89" s="345"/>
      <c r="CB89" s="345"/>
      <c r="CC89" s="345"/>
      <c r="CD89" s="345"/>
      <c r="CE89" s="345"/>
      <c r="CF89" s="345"/>
      <c r="CG89" s="345"/>
      <c r="CH89" s="345"/>
      <c r="CI89" s="345"/>
      <c r="CJ89" s="345"/>
      <c r="CK89" s="345"/>
      <c r="CL89" s="345"/>
      <c r="CM89" s="345"/>
      <c r="CN89" s="345"/>
      <c r="CO89" s="345"/>
      <c r="CP89" s="345"/>
      <c r="CQ89" s="345"/>
      <c r="CR89" s="345"/>
      <c r="CS89" s="345"/>
      <c r="CT89" s="345"/>
      <c r="CU89" s="345"/>
      <c r="CV89" s="345"/>
      <c r="CW89" s="345"/>
      <c r="CX89" s="345"/>
      <c r="CY89" s="345"/>
      <c r="CZ89" s="345"/>
      <c r="DA89" s="345"/>
      <c r="DB89" s="345"/>
      <c r="DC89" s="345"/>
      <c r="DD89" s="345"/>
      <c r="DE89" s="345"/>
      <c r="DF89" s="345"/>
      <c r="DG89" s="345"/>
      <c r="DH89" s="345"/>
      <c r="DI89" s="345"/>
      <c r="DJ89" s="345"/>
      <c r="DK89" s="345"/>
      <c r="DL89" s="345"/>
      <c r="DM89" s="345"/>
      <c r="DN89" s="345"/>
      <c r="DO89" s="345"/>
      <c r="DP89" s="345"/>
      <c r="DQ89" s="345"/>
      <c r="DR89" s="345"/>
      <c r="DS89" s="345"/>
      <c r="DT89" s="345"/>
      <c r="DU89" s="345"/>
      <c r="DV89" s="345"/>
      <c r="DW89" s="345"/>
      <c r="DX89" s="345"/>
      <c r="DY89" s="345"/>
      <c r="DZ89" s="345"/>
      <c r="EA89" s="345"/>
    </row>
    <row r="90" spans="1:131" hidden="1">
      <c r="A90" s="345"/>
      <c r="B90" s="345"/>
      <c r="C90" s="345"/>
      <c r="D90" s="345"/>
      <c r="E90" s="345"/>
      <c r="F90" s="345"/>
      <c r="G90" s="345"/>
      <c r="H90" s="345"/>
      <c r="I90" s="345"/>
      <c r="J90" s="345"/>
      <c r="K90" s="345"/>
      <c r="L90" s="345"/>
      <c r="M90" s="345"/>
      <c r="N90" s="345"/>
      <c r="O90" s="345"/>
      <c r="P90" s="345"/>
      <c r="Q90" s="345"/>
      <c r="R90" s="345"/>
      <c r="S90" s="345"/>
      <c r="T90" s="345"/>
      <c r="U90" s="345"/>
      <c r="V90" s="345"/>
      <c r="W90" s="345"/>
      <c r="X90" s="345"/>
      <c r="Y90" s="345"/>
      <c r="Z90" s="345"/>
      <c r="AA90" s="345"/>
      <c r="AB90" s="345"/>
      <c r="AC90" s="345"/>
      <c r="AD90" s="345"/>
      <c r="AE90" s="345"/>
      <c r="AF90" s="345"/>
      <c r="AG90" s="345"/>
      <c r="AH90" s="345"/>
      <c r="AI90" s="345"/>
      <c r="AJ90" s="345"/>
      <c r="AK90" s="345"/>
      <c r="AL90" s="345"/>
      <c r="AM90" s="345"/>
      <c r="AN90" s="345"/>
      <c r="AO90" s="345"/>
      <c r="AP90" s="345"/>
      <c r="AQ90" s="345"/>
      <c r="AR90" s="345"/>
      <c r="AS90" s="345"/>
      <c r="AT90" s="345"/>
      <c r="AU90" s="345"/>
      <c r="AV90" s="345"/>
      <c r="AW90" s="345"/>
      <c r="AX90" s="345"/>
      <c r="AY90" s="345"/>
      <c r="AZ90" s="345"/>
      <c r="BA90" s="345"/>
      <c r="BB90" s="345"/>
      <c r="BC90" s="345"/>
      <c r="BD90" s="345"/>
      <c r="BE90" s="345"/>
      <c r="BF90" s="345"/>
      <c r="BG90" s="345"/>
      <c r="BH90" s="345"/>
      <c r="BI90" s="345"/>
      <c r="BJ90" s="345"/>
      <c r="BK90" s="345"/>
      <c r="BL90" s="345"/>
      <c r="BM90" s="345"/>
      <c r="BN90" s="345"/>
      <c r="BO90" s="345"/>
      <c r="BP90" s="345"/>
      <c r="BQ90" s="345"/>
      <c r="BR90" s="345"/>
      <c r="BS90" s="345"/>
      <c r="BT90" s="345"/>
      <c r="BU90" s="345"/>
      <c r="BV90" s="345"/>
      <c r="BW90" s="345"/>
      <c r="BX90" s="345"/>
      <c r="BY90" s="345"/>
      <c r="BZ90" s="345"/>
      <c r="CA90" s="345"/>
      <c r="CB90" s="345"/>
      <c r="CC90" s="345"/>
      <c r="CD90" s="345"/>
      <c r="CE90" s="345"/>
      <c r="CF90" s="345"/>
      <c r="CG90" s="345"/>
      <c r="CH90" s="345"/>
      <c r="CI90" s="345"/>
      <c r="CJ90" s="345"/>
      <c r="CK90" s="345"/>
      <c r="CL90" s="345"/>
      <c r="CM90" s="345"/>
      <c r="CN90" s="345"/>
      <c r="CO90" s="345"/>
      <c r="CP90" s="345"/>
      <c r="CQ90" s="345"/>
      <c r="CR90" s="345"/>
      <c r="CS90" s="345"/>
      <c r="CT90" s="345"/>
      <c r="CU90" s="345"/>
      <c r="CV90" s="345"/>
      <c r="CW90" s="345"/>
      <c r="CX90" s="345"/>
      <c r="CY90" s="345"/>
      <c r="CZ90" s="345"/>
      <c r="DA90" s="345"/>
      <c r="DB90" s="345"/>
      <c r="DC90" s="345"/>
      <c r="DD90" s="345"/>
      <c r="DE90" s="345"/>
      <c r="DF90" s="345"/>
      <c r="DG90" s="345"/>
      <c r="DH90" s="345"/>
      <c r="DI90" s="345"/>
      <c r="DJ90" s="345"/>
      <c r="DK90" s="345"/>
      <c r="DL90" s="345"/>
      <c r="DM90" s="345"/>
      <c r="DN90" s="345"/>
      <c r="DO90" s="345"/>
      <c r="DP90" s="345"/>
      <c r="DQ90" s="345"/>
      <c r="DR90" s="345"/>
      <c r="DS90" s="345"/>
      <c r="DT90" s="345"/>
      <c r="DU90" s="345"/>
      <c r="DV90" s="345"/>
      <c r="DW90" s="345"/>
      <c r="DX90" s="345"/>
      <c r="DY90" s="345"/>
      <c r="DZ90" s="345"/>
      <c r="EA90" s="345"/>
    </row>
    <row r="91" spans="1:131" hidden="1">
      <c r="A91" s="345"/>
      <c r="B91" s="345"/>
      <c r="C91" s="345"/>
      <c r="D91" s="345"/>
      <c r="E91" s="345"/>
      <c r="F91" s="345"/>
      <c r="G91" s="345"/>
      <c r="H91" s="345"/>
      <c r="I91" s="345"/>
      <c r="J91" s="345"/>
      <c r="K91" s="345"/>
      <c r="L91" s="345"/>
      <c r="M91" s="345"/>
      <c r="N91" s="345"/>
      <c r="O91" s="345"/>
      <c r="P91" s="345"/>
      <c r="Q91" s="345"/>
      <c r="R91" s="345"/>
      <c r="S91" s="345"/>
      <c r="T91" s="345"/>
      <c r="U91" s="345"/>
      <c r="V91" s="345"/>
      <c r="W91" s="345"/>
      <c r="X91" s="345"/>
      <c r="Y91" s="345"/>
      <c r="Z91" s="345"/>
      <c r="AA91" s="345"/>
      <c r="AB91" s="345"/>
      <c r="AC91" s="345"/>
      <c r="AD91" s="345"/>
      <c r="AE91" s="345"/>
      <c r="AF91" s="345"/>
      <c r="AG91" s="345"/>
      <c r="AH91" s="345"/>
      <c r="AI91" s="345"/>
      <c r="AJ91" s="345"/>
      <c r="AK91" s="345"/>
      <c r="AL91" s="345"/>
      <c r="AM91" s="345"/>
      <c r="AN91" s="345"/>
      <c r="AO91" s="345"/>
      <c r="AP91" s="345"/>
      <c r="AQ91" s="345"/>
      <c r="AR91" s="345"/>
      <c r="AS91" s="345"/>
      <c r="AT91" s="345"/>
      <c r="AU91" s="345"/>
      <c r="AV91" s="345"/>
      <c r="AW91" s="345"/>
      <c r="AX91" s="345"/>
      <c r="AY91" s="345"/>
      <c r="AZ91" s="345"/>
      <c r="BA91" s="345"/>
      <c r="BB91" s="345"/>
      <c r="BC91" s="345"/>
      <c r="BD91" s="345"/>
      <c r="BE91" s="345"/>
      <c r="BF91" s="345"/>
      <c r="BG91" s="345"/>
      <c r="BH91" s="345"/>
      <c r="BI91" s="345"/>
      <c r="BJ91" s="345"/>
      <c r="BK91" s="345"/>
      <c r="BL91" s="345"/>
      <c r="BM91" s="345"/>
      <c r="BN91" s="345"/>
      <c r="BO91" s="345"/>
      <c r="BP91" s="345"/>
      <c r="BQ91" s="345"/>
      <c r="BR91" s="345"/>
      <c r="BS91" s="345"/>
      <c r="BT91" s="345"/>
      <c r="BU91" s="345"/>
      <c r="BV91" s="345"/>
      <c r="BW91" s="345"/>
      <c r="BX91" s="345"/>
      <c r="BY91" s="345"/>
      <c r="BZ91" s="345"/>
      <c r="CA91" s="345"/>
      <c r="CB91" s="345"/>
      <c r="CC91" s="345"/>
      <c r="CD91" s="345"/>
      <c r="CE91" s="345"/>
      <c r="CF91" s="345"/>
      <c r="CG91" s="345"/>
      <c r="CH91" s="345"/>
      <c r="CI91" s="345"/>
      <c r="CJ91" s="345"/>
      <c r="CK91" s="345"/>
      <c r="CL91" s="345"/>
      <c r="CM91" s="345"/>
      <c r="CN91" s="345"/>
      <c r="CO91" s="345"/>
      <c r="CP91" s="345"/>
      <c r="CQ91" s="345"/>
      <c r="CR91" s="345"/>
      <c r="CS91" s="345"/>
      <c r="CT91" s="345"/>
      <c r="CU91" s="345"/>
      <c r="CV91" s="345"/>
      <c r="CW91" s="345"/>
      <c r="CX91" s="345"/>
      <c r="CY91" s="345"/>
      <c r="CZ91" s="345"/>
      <c r="DA91" s="345"/>
      <c r="DB91" s="345"/>
      <c r="DC91" s="345"/>
      <c r="DD91" s="345"/>
      <c r="DE91" s="345"/>
      <c r="DF91" s="345"/>
      <c r="DG91" s="345"/>
      <c r="DH91" s="345"/>
      <c r="DI91" s="345"/>
      <c r="DJ91" s="345"/>
      <c r="DK91" s="345"/>
      <c r="DL91" s="345"/>
      <c r="DM91" s="345"/>
      <c r="DN91" s="345"/>
      <c r="DO91" s="345"/>
      <c r="DP91" s="345"/>
      <c r="DQ91" s="345"/>
      <c r="DR91" s="345"/>
      <c r="DS91" s="345"/>
      <c r="DT91" s="345"/>
      <c r="DU91" s="345"/>
      <c r="DV91" s="345"/>
      <c r="DW91" s="345"/>
      <c r="DX91" s="345"/>
      <c r="DY91" s="345"/>
      <c r="DZ91" s="345"/>
      <c r="EA91" s="345"/>
    </row>
    <row r="92" spans="1:131" hidden="1">
      <c r="A92" s="345"/>
      <c r="B92" s="345"/>
      <c r="C92" s="345"/>
      <c r="D92" s="345"/>
      <c r="E92" s="345"/>
      <c r="F92" s="345"/>
      <c r="G92" s="345"/>
      <c r="H92" s="345"/>
      <c r="I92" s="345"/>
      <c r="J92" s="345"/>
      <c r="K92" s="345"/>
      <c r="L92" s="345"/>
      <c r="M92" s="345"/>
      <c r="N92" s="345"/>
      <c r="O92" s="345"/>
      <c r="P92" s="345"/>
      <c r="Q92" s="345"/>
      <c r="R92" s="345"/>
      <c r="S92" s="345"/>
      <c r="T92" s="345"/>
      <c r="U92" s="345"/>
      <c r="V92" s="345"/>
      <c r="W92" s="345"/>
      <c r="X92" s="345"/>
      <c r="Y92" s="345"/>
      <c r="Z92" s="345"/>
      <c r="AA92" s="345"/>
      <c r="AB92" s="345"/>
      <c r="AC92" s="345"/>
      <c r="AD92" s="345"/>
      <c r="AE92" s="345"/>
      <c r="AF92" s="345"/>
      <c r="AG92" s="345"/>
      <c r="AH92" s="345"/>
      <c r="AI92" s="345"/>
      <c r="AJ92" s="345"/>
      <c r="AK92" s="345"/>
      <c r="AL92" s="345"/>
      <c r="AM92" s="345"/>
      <c r="AN92" s="345"/>
      <c r="AO92" s="345"/>
      <c r="AP92" s="345"/>
      <c r="AQ92" s="345"/>
      <c r="AR92" s="345"/>
      <c r="AS92" s="345"/>
      <c r="AT92" s="345"/>
      <c r="AU92" s="345"/>
      <c r="AV92" s="345"/>
      <c r="AW92" s="345"/>
      <c r="AX92" s="345"/>
      <c r="AY92" s="345"/>
      <c r="AZ92" s="345"/>
      <c r="BA92" s="345"/>
      <c r="BB92" s="345"/>
      <c r="BC92" s="345"/>
      <c r="BD92" s="345"/>
      <c r="BE92" s="345"/>
      <c r="BF92" s="345"/>
      <c r="BG92" s="345"/>
      <c r="BH92" s="345"/>
      <c r="BI92" s="345"/>
      <c r="BJ92" s="345"/>
      <c r="BK92" s="345"/>
      <c r="BL92" s="345"/>
      <c r="BM92" s="345"/>
      <c r="BN92" s="345"/>
      <c r="BO92" s="345"/>
      <c r="BP92" s="345"/>
      <c r="BQ92" s="345"/>
      <c r="BR92" s="345"/>
      <c r="BS92" s="345"/>
      <c r="BT92" s="345"/>
      <c r="BU92" s="345"/>
      <c r="BV92" s="345"/>
      <c r="BW92" s="345"/>
      <c r="BX92" s="345"/>
      <c r="BY92" s="345"/>
      <c r="BZ92" s="345"/>
      <c r="CA92" s="345"/>
      <c r="CB92" s="345"/>
      <c r="CC92" s="345"/>
      <c r="CD92" s="345"/>
      <c r="CE92" s="345"/>
      <c r="CF92" s="345"/>
      <c r="CG92" s="345"/>
      <c r="CH92" s="345"/>
      <c r="CI92" s="345"/>
      <c r="CJ92" s="345"/>
      <c r="CK92" s="345"/>
      <c r="CL92" s="345"/>
      <c r="CM92" s="345"/>
      <c r="CN92" s="345"/>
      <c r="CO92" s="345"/>
      <c r="CP92" s="345"/>
      <c r="CQ92" s="345"/>
      <c r="CR92" s="345"/>
      <c r="CS92" s="345"/>
      <c r="CT92" s="345"/>
      <c r="CU92" s="345"/>
      <c r="CV92" s="345"/>
      <c r="CW92" s="345"/>
      <c r="CX92" s="345"/>
      <c r="CY92" s="345"/>
      <c r="CZ92" s="345"/>
      <c r="DA92" s="345"/>
      <c r="DB92" s="345"/>
      <c r="DC92" s="345"/>
      <c r="DD92" s="345"/>
      <c r="DE92" s="345"/>
      <c r="DF92" s="345"/>
      <c r="DG92" s="345"/>
      <c r="DH92" s="345"/>
      <c r="DI92" s="345"/>
      <c r="DJ92" s="345"/>
      <c r="DK92" s="345"/>
      <c r="DL92" s="345"/>
      <c r="DM92" s="345"/>
      <c r="DN92" s="345"/>
      <c r="DO92" s="345"/>
      <c r="DP92" s="345"/>
      <c r="DQ92" s="345"/>
      <c r="DR92" s="345"/>
      <c r="DS92" s="345"/>
      <c r="DT92" s="345"/>
      <c r="DU92" s="345"/>
      <c r="DV92" s="345"/>
      <c r="DW92" s="345"/>
      <c r="DX92" s="345"/>
      <c r="DY92" s="345"/>
      <c r="DZ92" s="345"/>
      <c r="EA92" s="345"/>
    </row>
    <row r="93" spans="1:131" hidden="1">
      <c r="A93" s="345"/>
      <c r="B93" s="345"/>
      <c r="C93" s="345"/>
      <c r="D93" s="345"/>
      <c r="E93" s="345"/>
      <c r="F93" s="345"/>
      <c r="G93" s="345"/>
      <c r="H93" s="345"/>
      <c r="I93" s="345"/>
      <c r="J93" s="345"/>
      <c r="K93" s="345"/>
      <c r="L93" s="345"/>
      <c r="M93" s="345"/>
      <c r="N93" s="345"/>
      <c r="O93" s="345"/>
      <c r="P93" s="345"/>
      <c r="Q93" s="345"/>
      <c r="R93" s="345"/>
      <c r="S93" s="345"/>
      <c r="T93" s="345"/>
      <c r="U93" s="345"/>
      <c r="V93" s="345"/>
      <c r="W93" s="345"/>
      <c r="X93" s="345"/>
      <c r="Y93" s="345"/>
      <c r="Z93" s="345"/>
      <c r="AA93" s="345"/>
      <c r="AB93" s="345"/>
      <c r="AC93" s="345"/>
      <c r="AD93" s="345"/>
      <c r="AE93" s="345"/>
      <c r="AF93" s="345"/>
      <c r="AG93" s="345"/>
      <c r="AH93" s="345"/>
      <c r="AI93" s="345"/>
      <c r="AJ93" s="345"/>
      <c r="AK93" s="345"/>
      <c r="AL93" s="345"/>
      <c r="AM93" s="345"/>
      <c r="AN93" s="345"/>
      <c r="AO93" s="345"/>
      <c r="AP93" s="345"/>
      <c r="AQ93" s="345"/>
      <c r="AR93" s="345"/>
      <c r="AS93" s="345"/>
      <c r="AT93" s="345"/>
      <c r="AU93" s="345"/>
      <c r="AV93" s="345"/>
      <c r="AW93" s="345"/>
      <c r="AX93" s="345"/>
      <c r="AY93" s="345"/>
      <c r="AZ93" s="345"/>
      <c r="BA93" s="345"/>
      <c r="BB93" s="345"/>
      <c r="BC93" s="345"/>
      <c r="BD93" s="345"/>
      <c r="BE93" s="345"/>
      <c r="BF93" s="345"/>
      <c r="BG93" s="345"/>
      <c r="BH93" s="345"/>
      <c r="BI93" s="345"/>
      <c r="BJ93" s="345"/>
      <c r="BK93" s="345"/>
      <c r="BL93" s="345"/>
      <c r="BM93" s="345"/>
      <c r="BN93" s="345"/>
      <c r="BO93" s="345"/>
      <c r="BP93" s="345"/>
      <c r="BQ93" s="345"/>
      <c r="BR93" s="345"/>
      <c r="BS93" s="345"/>
      <c r="BT93" s="345"/>
      <c r="BU93" s="345"/>
      <c r="BV93" s="345"/>
      <c r="BW93" s="345"/>
      <c r="BX93" s="345"/>
      <c r="BY93" s="345"/>
      <c r="BZ93" s="345"/>
      <c r="CA93" s="345"/>
      <c r="CB93" s="345"/>
      <c r="CC93" s="345"/>
      <c r="CD93" s="345"/>
      <c r="CE93" s="345"/>
      <c r="CF93" s="345"/>
      <c r="CG93" s="345"/>
      <c r="CH93" s="345"/>
      <c r="CI93" s="345"/>
      <c r="CJ93" s="345"/>
      <c r="CK93" s="345"/>
      <c r="CL93" s="345"/>
      <c r="CM93" s="345"/>
      <c r="CN93" s="345"/>
      <c r="CO93" s="345"/>
      <c r="CP93" s="345"/>
      <c r="CQ93" s="345"/>
      <c r="CR93" s="345"/>
      <c r="CS93" s="345"/>
      <c r="CT93" s="345"/>
      <c r="CU93" s="345"/>
      <c r="CV93" s="345"/>
      <c r="CW93" s="345"/>
      <c r="CX93" s="345"/>
      <c r="CY93" s="345"/>
      <c r="CZ93" s="345"/>
      <c r="DA93" s="345"/>
      <c r="DB93" s="345"/>
      <c r="DC93" s="345"/>
      <c r="DD93" s="345"/>
      <c r="DE93" s="345"/>
      <c r="DF93" s="345"/>
      <c r="DG93" s="345"/>
      <c r="DH93" s="345"/>
      <c r="DI93" s="345"/>
      <c r="DJ93" s="345"/>
      <c r="DK93" s="345"/>
      <c r="DL93" s="345"/>
      <c r="DM93" s="345"/>
      <c r="DN93" s="345"/>
      <c r="DO93" s="345"/>
      <c r="DP93" s="345"/>
      <c r="DQ93" s="345"/>
      <c r="DR93" s="345"/>
      <c r="DS93" s="345"/>
      <c r="DT93" s="345"/>
      <c r="DU93" s="345"/>
      <c r="DV93" s="345"/>
      <c r="DW93" s="345"/>
      <c r="DX93" s="345"/>
      <c r="DY93" s="345"/>
      <c r="DZ93" s="345"/>
      <c r="EA93" s="345"/>
    </row>
    <row r="94" spans="1:131" hidden="1">
      <c r="A94" s="345"/>
      <c r="B94" s="345"/>
      <c r="C94" s="345"/>
      <c r="D94" s="345"/>
      <c r="E94" s="345"/>
      <c r="F94" s="345"/>
      <c r="G94" s="345"/>
      <c r="H94" s="345"/>
      <c r="I94" s="345"/>
      <c r="J94" s="345"/>
      <c r="K94" s="345"/>
      <c r="L94" s="345"/>
      <c r="M94" s="345"/>
      <c r="N94" s="345"/>
      <c r="O94" s="345"/>
      <c r="P94" s="345"/>
      <c r="Q94" s="345"/>
      <c r="R94" s="345"/>
      <c r="S94" s="345"/>
      <c r="T94" s="345"/>
      <c r="U94" s="345"/>
      <c r="V94" s="345"/>
      <c r="W94" s="345"/>
      <c r="X94" s="345"/>
      <c r="Y94" s="345"/>
      <c r="Z94" s="345"/>
      <c r="AA94" s="345"/>
      <c r="AB94" s="345"/>
      <c r="AC94" s="345"/>
      <c r="AD94" s="345"/>
      <c r="AE94" s="345"/>
      <c r="AF94" s="345"/>
      <c r="AG94" s="345"/>
      <c r="AH94" s="345"/>
      <c r="AI94" s="345"/>
      <c r="AJ94" s="345"/>
      <c r="AK94" s="345"/>
      <c r="AL94" s="345"/>
      <c r="AM94" s="345"/>
      <c r="AN94" s="345"/>
      <c r="AO94" s="345"/>
      <c r="AP94" s="345"/>
      <c r="AQ94" s="345"/>
      <c r="AR94" s="345"/>
      <c r="AS94" s="345"/>
      <c r="AT94" s="345"/>
      <c r="AU94" s="345"/>
      <c r="AV94" s="345"/>
      <c r="AW94" s="345"/>
      <c r="AX94" s="345"/>
      <c r="AY94" s="345"/>
      <c r="AZ94" s="345"/>
      <c r="BA94" s="345"/>
      <c r="BB94" s="345"/>
      <c r="BC94" s="345"/>
      <c r="BD94" s="345"/>
      <c r="BE94" s="345"/>
      <c r="BF94" s="345"/>
      <c r="BG94" s="345"/>
      <c r="BH94" s="345"/>
      <c r="BI94" s="345"/>
      <c r="BJ94" s="345"/>
      <c r="BK94" s="345"/>
      <c r="BL94" s="345"/>
      <c r="BM94" s="345"/>
      <c r="BN94" s="345"/>
      <c r="BO94" s="345"/>
      <c r="BP94" s="345"/>
      <c r="BQ94" s="345"/>
      <c r="BR94" s="345"/>
      <c r="BS94" s="345"/>
      <c r="BT94" s="345"/>
      <c r="BU94" s="345"/>
      <c r="BV94" s="345"/>
      <c r="BW94" s="345"/>
      <c r="BX94" s="345"/>
      <c r="BY94" s="345"/>
      <c r="BZ94" s="345"/>
      <c r="CA94" s="345"/>
      <c r="CB94" s="345"/>
      <c r="CC94" s="345"/>
      <c r="CD94" s="345"/>
      <c r="CE94" s="345"/>
      <c r="CF94" s="345"/>
      <c r="CG94" s="345"/>
      <c r="CH94" s="345"/>
      <c r="CI94" s="345"/>
      <c r="CJ94" s="345"/>
      <c r="CK94" s="345"/>
      <c r="CL94" s="345"/>
      <c r="CM94" s="345"/>
      <c r="CN94" s="345"/>
      <c r="CO94" s="345"/>
      <c r="CP94" s="345"/>
      <c r="CQ94" s="345"/>
      <c r="CR94" s="345"/>
      <c r="CS94" s="345"/>
      <c r="CT94" s="345"/>
      <c r="CU94" s="345"/>
      <c r="CV94" s="345"/>
      <c r="CW94" s="345"/>
      <c r="CX94" s="345"/>
      <c r="CY94" s="345"/>
      <c r="CZ94" s="345"/>
      <c r="DA94" s="345"/>
      <c r="DB94" s="345"/>
      <c r="DC94" s="345"/>
      <c r="DD94" s="345"/>
      <c r="DE94" s="345"/>
      <c r="DF94" s="345"/>
      <c r="DG94" s="345"/>
      <c r="DH94" s="345"/>
      <c r="DI94" s="345"/>
      <c r="DJ94" s="345"/>
      <c r="DK94" s="345"/>
      <c r="DL94" s="345"/>
      <c r="DM94" s="345"/>
      <c r="DN94" s="345"/>
      <c r="DO94" s="345"/>
      <c r="DP94" s="345"/>
      <c r="DQ94" s="345"/>
      <c r="DR94" s="345"/>
      <c r="DS94" s="345"/>
      <c r="DT94" s="345"/>
      <c r="DU94" s="345"/>
      <c r="DV94" s="345"/>
      <c r="DW94" s="345"/>
      <c r="DX94" s="345"/>
      <c r="DY94" s="345"/>
      <c r="DZ94" s="345"/>
      <c r="EA94" s="345"/>
    </row>
    <row r="95" spans="1:131" hidden="1">
      <c r="A95" s="345"/>
      <c r="B95" s="345"/>
      <c r="C95" s="345"/>
      <c r="D95" s="345"/>
      <c r="E95" s="345"/>
      <c r="F95" s="345"/>
      <c r="G95" s="345"/>
      <c r="H95" s="345"/>
      <c r="I95" s="345"/>
      <c r="J95" s="345"/>
      <c r="K95" s="345"/>
      <c r="L95" s="345"/>
      <c r="M95" s="345"/>
      <c r="N95" s="345"/>
      <c r="O95" s="345"/>
      <c r="P95" s="345"/>
      <c r="Q95" s="345"/>
      <c r="R95" s="345"/>
      <c r="S95" s="345"/>
      <c r="T95" s="345"/>
      <c r="U95" s="345"/>
      <c r="V95" s="345"/>
      <c r="W95" s="345"/>
      <c r="X95" s="345"/>
      <c r="Y95" s="345"/>
      <c r="Z95" s="345"/>
      <c r="AA95" s="345"/>
      <c r="AB95" s="345"/>
      <c r="AC95" s="345"/>
      <c r="AD95" s="345"/>
      <c r="AE95" s="345"/>
      <c r="AF95" s="345"/>
      <c r="AG95" s="345"/>
      <c r="AH95" s="345"/>
      <c r="AI95" s="345"/>
      <c r="AJ95" s="345"/>
      <c r="AK95" s="345"/>
      <c r="AL95" s="345"/>
      <c r="AM95" s="345"/>
      <c r="AN95" s="345"/>
      <c r="AO95" s="345"/>
      <c r="AP95" s="345"/>
      <c r="AQ95" s="345"/>
      <c r="AR95" s="345"/>
      <c r="AS95" s="345"/>
      <c r="AT95" s="345"/>
      <c r="AU95" s="345"/>
      <c r="AV95" s="345"/>
      <c r="AW95" s="345"/>
      <c r="AX95" s="345"/>
      <c r="AY95" s="345"/>
      <c r="AZ95" s="345"/>
      <c r="BA95" s="345"/>
      <c r="BB95" s="345"/>
      <c r="BC95" s="345"/>
      <c r="BD95" s="345"/>
      <c r="BE95" s="345"/>
      <c r="BF95" s="345"/>
      <c r="BG95" s="345"/>
      <c r="BH95" s="345"/>
      <c r="BI95" s="345"/>
      <c r="BJ95" s="345"/>
      <c r="BK95" s="345"/>
      <c r="BL95" s="345"/>
      <c r="BM95" s="345"/>
      <c r="BN95" s="345"/>
      <c r="BO95" s="345"/>
      <c r="BP95" s="345"/>
      <c r="BQ95" s="345"/>
      <c r="BR95" s="345"/>
      <c r="BS95" s="345"/>
      <c r="BT95" s="345"/>
      <c r="BU95" s="345"/>
      <c r="BV95" s="345"/>
      <c r="BW95" s="345"/>
      <c r="BX95" s="345"/>
      <c r="BY95" s="345"/>
      <c r="BZ95" s="345"/>
      <c r="CA95" s="345"/>
      <c r="CB95" s="345"/>
      <c r="CC95" s="345"/>
      <c r="CD95" s="345"/>
      <c r="CE95" s="345"/>
      <c r="CF95" s="345"/>
      <c r="CG95" s="345"/>
      <c r="CH95" s="345"/>
      <c r="CI95" s="345"/>
      <c r="CJ95" s="345"/>
      <c r="CK95" s="345"/>
      <c r="CL95" s="345"/>
      <c r="CM95" s="345"/>
      <c r="CN95" s="345"/>
      <c r="CO95" s="345"/>
      <c r="CP95" s="345"/>
      <c r="CQ95" s="345"/>
      <c r="CR95" s="345"/>
      <c r="CS95" s="345"/>
      <c r="CT95" s="345"/>
      <c r="CU95" s="345"/>
      <c r="CV95" s="345"/>
      <c r="CW95" s="345"/>
      <c r="CX95" s="345"/>
      <c r="CY95" s="345"/>
      <c r="CZ95" s="345"/>
      <c r="DA95" s="345"/>
      <c r="DB95" s="345"/>
      <c r="DC95" s="345"/>
      <c r="DD95" s="345"/>
      <c r="DE95" s="345"/>
      <c r="DF95" s="345"/>
      <c r="DG95" s="345"/>
      <c r="DH95" s="345"/>
      <c r="DI95" s="345"/>
      <c r="DJ95" s="345"/>
      <c r="DK95" s="345"/>
      <c r="DL95" s="345"/>
      <c r="DM95" s="345"/>
      <c r="DN95" s="345"/>
      <c r="DO95" s="345"/>
      <c r="DP95" s="345"/>
      <c r="DQ95" s="345"/>
      <c r="DR95" s="345"/>
      <c r="DS95" s="345"/>
      <c r="DT95" s="345"/>
      <c r="DU95" s="345"/>
      <c r="DV95" s="345"/>
      <c r="DW95" s="345"/>
      <c r="DX95" s="345"/>
      <c r="DY95" s="345"/>
      <c r="DZ95" s="345"/>
      <c r="EA95" s="345"/>
    </row>
    <row r="96" spans="1:131" hidden="1">
      <c r="A96" s="345"/>
      <c r="B96" s="345"/>
      <c r="C96" s="345"/>
      <c r="D96" s="345"/>
      <c r="E96" s="345"/>
      <c r="F96" s="345"/>
      <c r="G96" s="345"/>
      <c r="H96" s="345"/>
      <c r="I96" s="345"/>
      <c r="J96" s="345"/>
      <c r="K96" s="345"/>
      <c r="L96" s="345"/>
      <c r="M96" s="345"/>
      <c r="N96" s="345"/>
      <c r="O96" s="345"/>
      <c r="P96" s="345"/>
      <c r="Q96" s="345"/>
      <c r="R96" s="345"/>
      <c r="S96" s="345"/>
      <c r="T96" s="345"/>
      <c r="U96" s="345"/>
      <c r="V96" s="345"/>
      <c r="W96" s="345"/>
      <c r="X96" s="345"/>
      <c r="Y96" s="345"/>
      <c r="Z96" s="345"/>
      <c r="AA96" s="345"/>
      <c r="AB96" s="345"/>
      <c r="AC96" s="345"/>
      <c r="AD96" s="345"/>
      <c r="AE96" s="345"/>
      <c r="AF96" s="345"/>
      <c r="AG96" s="345"/>
      <c r="AH96" s="345"/>
      <c r="AI96" s="345"/>
      <c r="AJ96" s="345"/>
      <c r="AK96" s="345"/>
      <c r="AL96" s="345"/>
      <c r="AM96" s="345"/>
      <c r="AN96" s="345"/>
      <c r="AO96" s="345"/>
      <c r="AP96" s="345"/>
      <c r="AQ96" s="345"/>
      <c r="AR96" s="345"/>
      <c r="AS96" s="345"/>
      <c r="AT96" s="345"/>
      <c r="AU96" s="345"/>
      <c r="AV96" s="345"/>
      <c r="AW96" s="345"/>
      <c r="AX96" s="345"/>
      <c r="AY96" s="345"/>
      <c r="AZ96" s="345"/>
      <c r="BA96" s="345"/>
      <c r="BB96" s="345"/>
      <c r="BC96" s="345"/>
      <c r="BD96" s="345"/>
      <c r="BE96" s="345"/>
      <c r="BF96" s="345"/>
      <c r="BG96" s="345"/>
      <c r="BH96" s="345"/>
      <c r="BI96" s="345"/>
      <c r="BJ96" s="345"/>
      <c r="BK96" s="345"/>
      <c r="BL96" s="345"/>
      <c r="BM96" s="345"/>
      <c r="BN96" s="345"/>
      <c r="BO96" s="345"/>
      <c r="BP96" s="345"/>
      <c r="BQ96" s="345"/>
      <c r="BR96" s="345"/>
      <c r="BS96" s="345"/>
      <c r="BT96" s="345"/>
      <c r="BU96" s="345"/>
      <c r="BV96" s="345"/>
      <c r="BW96" s="345"/>
      <c r="BX96" s="345"/>
      <c r="BY96" s="345"/>
      <c r="BZ96" s="345"/>
      <c r="CA96" s="345"/>
      <c r="CB96" s="345"/>
      <c r="CC96" s="345"/>
      <c r="CD96" s="345"/>
      <c r="CE96" s="345"/>
      <c r="CF96" s="345"/>
      <c r="CG96" s="345"/>
      <c r="CH96" s="345"/>
      <c r="CI96" s="345"/>
      <c r="CJ96" s="345"/>
      <c r="CK96" s="345"/>
      <c r="CL96" s="345"/>
      <c r="CM96" s="345"/>
      <c r="CN96" s="345"/>
      <c r="CO96" s="345"/>
      <c r="CP96" s="345"/>
      <c r="CQ96" s="345"/>
      <c r="CR96" s="345"/>
      <c r="CS96" s="345"/>
      <c r="CT96" s="345"/>
      <c r="CU96" s="345"/>
      <c r="CV96" s="345"/>
      <c r="CW96" s="345"/>
      <c r="CX96" s="345"/>
      <c r="CY96" s="345"/>
      <c r="CZ96" s="345"/>
      <c r="DA96" s="345"/>
      <c r="DB96" s="345"/>
      <c r="DC96" s="345"/>
      <c r="DD96" s="345"/>
      <c r="DE96" s="345"/>
      <c r="DF96" s="345"/>
      <c r="DG96" s="345"/>
      <c r="DH96" s="345"/>
      <c r="DI96" s="345"/>
      <c r="DJ96" s="345"/>
      <c r="DK96" s="345"/>
      <c r="DL96" s="345"/>
      <c r="DM96" s="345"/>
      <c r="DN96" s="345"/>
      <c r="DO96" s="345"/>
      <c r="DP96" s="345"/>
      <c r="DQ96" s="345"/>
      <c r="DR96" s="345"/>
      <c r="DS96" s="345"/>
      <c r="DT96" s="345"/>
      <c r="DU96" s="345"/>
      <c r="DV96" s="345"/>
      <c r="DW96" s="345"/>
      <c r="DX96" s="345"/>
      <c r="DY96" s="345"/>
      <c r="DZ96" s="345"/>
      <c r="EA96" s="345"/>
    </row>
    <row r="97" spans="1:131" hidden="1">
      <c r="A97" s="345"/>
      <c r="B97" s="345"/>
      <c r="C97" s="345"/>
      <c r="D97" s="345"/>
      <c r="E97" s="345"/>
      <c r="F97" s="345"/>
      <c r="G97" s="345"/>
      <c r="H97" s="345"/>
      <c r="I97" s="345"/>
      <c r="J97" s="345"/>
      <c r="K97" s="345"/>
      <c r="L97" s="345"/>
      <c r="M97" s="345"/>
      <c r="N97" s="345"/>
      <c r="O97" s="345"/>
      <c r="P97" s="345"/>
      <c r="Q97" s="345"/>
      <c r="R97" s="345"/>
      <c r="S97" s="345"/>
      <c r="T97" s="345"/>
      <c r="U97" s="345"/>
      <c r="V97" s="345"/>
      <c r="W97" s="345"/>
      <c r="X97" s="345"/>
      <c r="Y97" s="345"/>
      <c r="Z97" s="345"/>
      <c r="AA97" s="345"/>
      <c r="AB97" s="345"/>
      <c r="AC97" s="345"/>
      <c r="AD97" s="345"/>
      <c r="AE97" s="345"/>
      <c r="AF97" s="345"/>
      <c r="AG97" s="345"/>
      <c r="AH97" s="345"/>
      <c r="AI97" s="345"/>
      <c r="AJ97" s="345"/>
      <c r="AK97" s="345"/>
      <c r="AL97" s="345"/>
      <c r="AM97" s="345"/>
      <c r="AN97" s="345"/>
      <c r="AO97" s="345"/>
      <c r="AP97" s="345"/>
      <c r="AQ97" s="345"/>
      <c r="AR97" s="345"/>
      <c r="AS97" s="345"/>
      <c r="AT97" s="345"/>
      <c r="AU97" s="345"/>
      <c r="AV97" s="345"/>
      <c r="AW97" s="345"/>
      <c r="AX97" s="345"/>
      <c r="AY97" s="345"/>
      <c r="AZ97" s="345"/>
      <c r="BA97" s="345"/>
      <c r="BB97" s="345"/>
      <c r="BC97" s="345"/>
      <c r="BD97" s="345"/>
      <c r="BE97" s="345"/>
      <c r="BF97" s="345"/>
      <c r="BG97" s="345"/>
      <c r="BH97" s="345"/>
      <c r="BI97" s="345"/>
      <c r="BJ97" s="345"/>
      <c r="BK97" s="345"/>
      <c r="BL97" s="345"/>
      <c r="BM97" s="345"/>
      <c r="BN97" s="345"/>
      <c r="BO97" s="345"/>
      <c r="BP97" s="345"/>
      <c r="BQ97" s="345"/>
      <c r="BR97" s="345"/>
      <c r="BS97" s="345"/>
      <c r="BT97" s="345"/>
      <c r="BU97" s="345"/>
      <c r="BV97" s="345"/>
      <c r="BW97" s="345"/>
      <c r="BX97" s="345"/>
      <c r="BY97" s="345"/>
      <c r="BZ97" s="345"/>
      <c r="CA97" s="345"/>
      <c r="CB97" s="345"/>
      <c r="CC97" s="345"/>
      <c r="CD97" s="345"/>
      <c r="CE97" s="345"/>
      <c r="CF97" s="345"/>
      <c r="CG97" s="345"/>
      <c r="CH97" s="345"/>
      <c r="CI97" s="345"/>
      <c r="CJ97" s="345"/>
      <c r="CK97" s="345"/>
      <c r="CL97" s="345"/>
      <c r="CM97" s="345"/>
      <c r="CN97" s="345"/>
      <c r="CO97" s="345"/>
      <c r="CP97" s="345"/>
      <c r="CQ97" s="345"/>
      <c r="CR97" s="345"/>
      <c r="CS97" s="345"/>
      <c r="CT97" s="345"/>
      <c r="CU97" s="345"/>
      <c r="CV97" s="345"/>
      <c r="CW97" s="345"/>
      <c r="CX97" s="345"/>
      <c r="CY97" s="345"/>
      <c r="CZ97" s="345"/>
      <c r="DA97" s="345"/>
      <c r="DB97" s="345"/>
      <c r="DC97" s="345"/>
      <c r="DD97" s="345"/>
      <c r="DE97" s="345"/>
      <c r="DF97" s="345"/>
      <c r="DG97" s="345"/>
      <c r="DH97" s="345"/>
      <c r="DI97" s="345"/>
      <c r="DJ97" s="345"/>
      <c r="DK97" s="345"/>
      <c r="DL97" s="345"/>
      <c r="DM97" s="345"/>
      <c r="DN97" s="345"/>
      <c r="DO97" s="345"/>
      <c r="DP97" s="345"/>
      <c r="DQ97" s="345"/>
      <c r="DR97" s="345"/>
      <c r="DS97" s="345"/>
      <c r="DT97" s="345"/>
      <c r="DU97" s="345"/>
      <c r="DV97" s="345"/>
      <c r="DW97" s="345"/>
      <c r="DX97" s="345"/>
      <c r="DY97" s="345"/>
      <c r="DZ97" s="345"/>
      <c r="EA97" s="345"/>
    </row>
    <row r="98" spans="1:131" hidden="1">
      <c r="A98" s="345"/>
      <c r="B98" s="345"/>
      <c r="C98" s="345"/>
      <c r="D98" s="345"/>
      <c r="E98" s="345"/>
      <c r="F98" s="345"/>
      <c r="G98" s="345"/>
      <c r="H98" s="345"/>
      <c r="I98" s="345"/>
      <c r="J98" s="345"/>
      <c r="K98" s="345"/>
      <c r="L98" s="345"/>
      <c r="M98" s="345"/>
      <c r="N98" s="345"/>
      <c r="O98" s="345"/>
      <c r="P98" s="345"/>
      <c r="Q98" s="345"/>
      <c r="R98" s="345"/>
      <c r="S98" s="345"/>
      <c r="T98" s="345"/>
      <c r="U98" s="345"/>
      <c r="V98" s="345"/>
      <c r="W98" s="345"/>
      <c r="X98" s="345"/>
      <c r="Y98" s="345"/>
      <c r="Z98" s="345"/>
      <c r="AA98" s="345"/>
      <c r="AB98" s="345"/>
      <c r="AC98" s="345"/>
      <c r="AD98" s="345"/>
      <c r="AE98" s="345"/>
      <c r="AF98" s="345"/>
      <c r="AG98" s="345"/>
      <c r="AH98" s="345"/>
      <c r="AI98" s="345"/>
      <c r="AJ98" s="345"/>
      <c r="AK98" s="345"/>
      <c r="AL98" s="345"/>
      <c r="AM98" s="345"/>
      <c r="AN98" s="345"/>
      <c r="AO98" s="345"/>
      <c r="AP98" s="345"/>
      <c r="AQ98" s="345"/>
      <c r="AR98" s="345"/>
      <c r="AS98" s="345"/>
      <c r="AT98" s="345"/>
      <c r="AU98" s="345"/>
      <c r="AV98" s="345"/>
      <c r="AW98" s="345"/>
      <c r="AX98" s="345"/>
      <c r="AY98" s="345"/>
      <c r="AZ98" s="345"/>
      <c r="BA98" s="345"/>
      <c r="BB98" s="345"/>
      <c r="BC98" s="345"/>
      <c r="BD98" s="345"/>
      <c r="BE98" s="345"/>
      <c r="BF98" s="345"/>
      <c r="BG98" s="345"/>
      <c r="BH98" s="345"/>
      <c r="BI98" s="345"/>
      <c r="BJ98" s="345"/>
      <c r="BK98" s="345"/>
      <c r="BL98" s="345"/>
      <c r="BM98" s="345"/>
      <c r="BN98" s="345"/>
      <c r="BO98" s="345"/>
      <c r="BP98" s="345"/>
      <c r="BQ98" s="345"/>
      <c r="BR98" s="345"/>
      <c r="BS98" s="345"/>
      <c r="BT98" s="345"/>
      <c r="BU98" s="345"/>
      <c r="BV98" s="345"/>
      <c r="BW98" s="345"/>
      <c r="BX98" s="345"/>
      <c r="BY98" s="345"/>
      <c r="BZ98" s="345"/>
      <c r="CA98" s="345"/>
      <c r="CB98" s="345"/>
      <c r="CC98" s="345"/>
      <c r="CD98" s="345"/>
      <c r="CE98" s="345"/>
      <c r="CF98" s="345"/>
      <c r="CG98" s="345"/>
      <c r="CH98" s="345"/>
      <c r="CI98" s="345"/>
      <c r="CJ98" s="345"/>
      <c r="CK98" s="345"/>
      <c r="CL98" s="345"/>
      <c r="CM98" s="345"/>
      <c r="CN98" s="345"/>
      <c r="CO98" s="345"/>
      <c r="CP98" s="345"/>
      <c r="CQ98" s="345"/>
      <c r="CR98" s="345"/>
      <c r="CS98" s="345"/>
      <c r="CT98" s="345"/>
      <c r="CU98" s="345"/>
      <c r="CV98" s="345"/>
      <c r="CW98" s="345"/>
      <c r="CX98" s="345"/>
      <c r="CY98" s="345"/>
      <c r="CZ98" s="345"/>
      <c r="DA98" s="345"/>
      <c r="DB98" s="345"/>
      <c r="DC98" s="345"/>
      <c r="DD98" s="345"/>
      <c r="DE98" s="345"/>
      <c r="DF98" s="345"/>
      <c r="DG98" s="345"/>
      <c r="DH98" s="345"/>
      <c r="DI98" s="345"/>
      <c r="DJ98" s="345"/>
      <c r="DK98" s="345"/>
      <c r="DL98" s="345"/>
      <c r="DM98" s="345"/>
      <c r="DN98" s="345"/>
      <c r="DO98" s="345"/>
      <c r="DP98" s="345"/>
      <c r="DQ98" s="345"/>
      <c r="DR98" s="345"/>
      <c r="DS98" s="345"/>
      <c r="DT98" s="345"/>
      <c r="DU98" s="345"/>
      <c r="DV98" s="345"/>
      <c r="DW98" s="345"/>
      <c r="DX98" s="345"/>
      <c r="DY98" s="345"/>
      <c r="DZ98" s="345"/>
      <c r="EA98" s="345"/>
    </row>
    <row r="99" spans="1:131" hidden="1">
      <c r="A99" s="345"/>
      <c r="B99" s="345"/>
      <c r="C99" s="345"/>
      <c r="D99" s="345"/>
      <c r="E99" s="345"/>
      <c r="F99" s="345"/>
      <c r="G99" s="345"/>
      <c r="H99" s="345"/>
      <c r="I99" s="345"/>
      <c r="J99" s="345"/>
      <c r="K99" s="345"/>
      <c r="L99" s="345"/>
      <c r="M99" s="345"/>
      <c r="N99" s="345"/>
      <c r="O99" s="345"/>
      <c r="P99" s="345"/>
      <c r="Q99" s="345"/>
      <c r="R99" s="345"/>
      <c r="S99" s="345"/>
      <c r="T99" s="345"/>
      <c r="U99" s="345"/>
      <c r="V99" s="345"/>
      <c r="W99" s="345"/>
      <c r="X99" s="345"/>
      <c r="Y99" s="345"/>
      <c r="Z99" s="345"/>
      <c r="AA99" s="345"/>
      <c r="AB99" s="345"/>
      <c r="AC99" s="345"/>
      <c r="AD99" s="345"/>
      <c r="AE99" s="345"/>
      <c r="AF99" s="345"/>
      <c r="AG99" s="345"/>
      <c r="AH99" s="345"/>
      <c r="AI99" s="345"/>
      <c r="AJ99" s="345"/>
      <c r="AK99" s="345"/>
      <c r="AL99" s="345"/>
      <c r="AM99" s="345"/>
      <c r="AN99" s="345"/>
      <c r="AO99" s="345"/>
      <c r="AP99" s="345"/>
      <c r="AQ99" s="345"/>
      <c r="AR99" s="345"/>
      <c r="AS99" s="345"/>
      <c r="AT99" s="345"/>
      <c r="AU99" s="345"/>
      <c r="AV99" s="345"/>
      <c r="AW99" s="345"/>
      <c r="AX99" s="345"/>
      <c r="AY99" s="345"/>
      <c r="AZ99" s="345"/>
      <c r="BA99" s="345"/>
      <c r="BB99" s="345"/>
      <c r="BC99" s="345"/>
      <c r="BD99" s="345"/>
      <c r="BE99" s="345"/>
      <c r="BF99" s="345"/>
      <c r="BG99" s="345"/>
      <c r="BH99" s="345"/>
      <c r="BI99" s="345"/>
      <c r="BJ99" s="345"/>
      <c r="BK99" s="345"/>
      <c r="BL99" s="345"/>
      <c r="BM99" s="345"/>
      <c r="BN99" s="345"/>
      <c r="BO99" s="345"/>
      <c r="BP99" s="345"/>
      <c r="BQ99" s="345"/>
      <c r="BR99" s="345"/>
      <c r="BS99" s="345"/>
      <c r="BT99" s="345"/>
      <c r="BU99" s="345"/>
      <c r="BV99" s="345"/>
      <c r="BW99" s="345"/>
      <c r="BX99" s="345"/>
      <c r="BY99" s="345"/>
      <c r="BZ99" s="345"/>
      <c r="CA99" s="345"/>
      <c r="CB99" s="345"/>
      <c r="CC99" s="345"/>
      <c r="CD99" s="345"/>
      <c r="CE99" s="345"/>
      <c r="CF99" s="345"/>
      <c r="CG99" s="345"/>
      <c r="CH99" s="345"/>
      <c r="CI99" s="345"/>
      <c r="CJ99" s="345"/>
      <c r="CK99" s="345"/>
      <c r="CL99" s="345"/>
      <c r="CM99" s="345"/>
      <c r="CN99" s="345"/>
      <c r="CO99" s="345"/>
      <c r="CP99" s="345"/>
      <c r="CQ99" s="345"/>
      <c r="CR99" s="345"/>
      <c r="CS99" s="345"/>
      <c r="CT99" s="345"/>
      <c r="CU99" s="345"/>
      <c r="CV99" s="345"/>
      <c r="CW99" s="345"/>
      <c r="CX99" s="345"/>
      <c r="CY99" s="345"/>
      <c r="CZ99" s="345"/>
      <c r="DA99" s="345"/>
      <c r="DB99" s="345"/>
      <c r="DC99" s="345"/>
      <c r="DD99" s="345"/>
      <c r="DE99" s="345"/>
      <c r="DF99" s="345"/>
      <c r="DG99" s="345"/>
      <c r="DH99" s="345"/>
      <c r="DI99" s="345"/>
      <c r="DJ99" s="345"/>
      <c r="DK99" s="345"/>
      <c r="DL99" s="345"/>
      <c r="DM99" s="345"/>
      <c r="DN99" s="345"/>
      <c r="DO99" s="345"/>
      <c r="DP99" s="345"/>
      <c r="DQ99" s="345"/>
      <c r="DR99" s="345"/>
      <c r="DS99" s="345"/>
      <c r="DT99" s="345"/>
      <c r="DU99" s="345"/>
      <c r="DV99" s="345"/>
      <c r="DW99" s="345"/>
      <c r="DX99" s="345"/>
      <c r="DY99" s="345"/>
      <c r="DZ99" s="345"/>
      <c r="EA99" s="345"/>
    </row>
    <row r="100" spans="1:131" hidden="1">
      <c r="A100" s="345"/>
      <c r="B100" s="345"/>
      <c r="C100" s="345"/>
      <c r="D100" s="345"/>
      <c r="E100" s="345"/>
      <c r="F100" s="345"/>
      <c r="G100" s="345"/>
      <c r="H100" s="345"/>
      <c r="I100" s="345"/>
      <c r="J100" s="345"/>
      <c r="K100" s="345"/>
      <c r="L100" s="345"/>
      <c r="M100" s="345"/>
      <c r="N100" s="345"/>
      <c r="O100" s="345"/>
      <c r="P100" s="345"/>
      <c r="Q100" s="345"/>
      <c r="R100" s="345"/>
      <c r="S100" s="345"/>
      <c r="T100" s="345"/>
      <c r="U100" s="345"/>
      <c r="V100" s="345"/>
      <c r="W100" s="345"/>
      <c r="X100" s="345"/>
      <c r="Y100" s="345"/>
      <c r="Z100" s="345"/>
      <c r="AA100" s="345"/>
      <c r="AB100" s="345"/>
      <c r="AC100" s="345"/>
      <c r="AD100" s="345"/>
      <c r="AE100" s="345"/>
      <c r="AF100" s="345"/>
      <c r="AG100" s="345"/>
      <c r="AH100" s="345"/>
      <c r="AI100" s="345"/>
      <c r="AJ100" s="345"/>
      <c r="AK100" s="345"/>
      <c r="AL100" s="345"/>
      <c r="AM100" s="345"/>
      <c r="AN100" s="345"/>
      <c r="AO100" s="345"/>
      <c r="AP100" s="345"/>
      <c r="AQ100" s="345"/>
      <c r="AR100" s="345"/>
      <c r="AS100" s="345"/>
      <c r="AT100" s="345"/>
      <c r="AU100" s="345"/>
      <c r="AV100" s="345"/>
      <c r="AW100" s="345"/>
      <c r="AX100" s="345"/>
      <c r="AY100" s="345"/>
      <c r="AZ100" s="345"/>
      <c r="BA100" s="345"/>
      <c r="BB100" s="345"/>
      <c r="BC100" s="345"/>
      <c r="BD100" s="345"/>
      <c r="BE100" s="345"/>
      <c r="BF100" s="345"/>
      <c r="BG100" s="345"/>
      <c r="BH100" s="345"/>
      <c r="BI100" s="345"/>
      <c r="BJ100" s="345"/>
      <c r="BK100" s="345"/>
      <c r="BL100" s="345"/>
      <c r="BM100" s="345"/>
      <c r="BN100" s="345"/>
      <c r="BO100" s="345"/>
      <c r="BP100" s="345"/>
      <c r="BQ100" s="345"/>
      <c r="BR100" s="345"/>
      <c r="BS100" s="345"/>
      <c r="BT100" s="345"/>
      <c r="BU100" s="345"/>
      <c r="BV100" s="345"/>
      <c r="BW100" s="345"/>
      <c r="BX100" s="345"/>
      <c r="BY100" s="345"/>
      <c r="BZ100" s="345"/>
      <c r="CA100" s="345"/>
      <c r="CB100" s="345"/>
      <c r="CC100" s="345"/>
      <c r="CD100" s="345"/>
      <c r="CE100" s="345"/>
      <c r="CF100" s="345"/>
      <c r="CG100" s="345"/>
      <c r="CH100" s="345"/>
      <c r="CI100" s="345"/>
      <c r="CJ100" s="345"/>
      <c r="CK100" s="345"/>
      <c r="CL100" s="345"/>
      <c r="CM100" s="345"/>
      <c r="CN100" s="345"/>
      <c r="CO100" s="345"/>
      <c r="CP100" s="345"/>
      <c r="CQ100" s="345"/>
      <c r="CR100" s="345"/>
      <c r="CS100" s="345"/>
      <c r="CT100" s="345"/>
      <c r="CU100" s="345"/>
      <c r="CV100" s="345"/>
      <c r="CW100" s="345"/>
      <c r="CX100" s="345"/>
      <c r="CY100" s="345"/>
      <c r="CZ100" s="345"/>
      <c r="DA100" s="345"/>
      <c r="DB100" s="345"/>
      <c r="DC100" s="345"/>
      <c r="DD100" s="345"/>
      <c r="DE100" s="345"/>
      <c r="DF100" s="345"/>
      <c r="DG100" s="345"/>
      <c r="DH100" s="345"/>
      <c r="DI100" s="345"/>
      <c r="DJ100" s="345"/>
      <c r="DK100" s="345"/>
      <c r="DL100" s="345"/>
      <c r="DM100" s="345"/>
      <c r="DN100" s="345"/>
      <c r="DO100" s="345"/>
      <c r="DP100" s="345"/>
      <c r="DQ100" s="345"/>
      <c r="DR100" s="345"/>
      <c r="DS100" s="345"/>
      <c r="DT100" s="345"/>
      <c r="DU100" s="345"/>
      <c r="DV100" s="345"/>
      <c r="DW100" s="345"/>
      <c r="DX100" s="345"/>
      <c r="DY100" s="345"/>
      <c r="DZ100" s="345"/>
      <c r="EA100" s="345"/>
    </row>
    <row r="101" spans="1:131" hidden="1">
      <c r="A101" s="345"/>
      <c r="B101" s="345"/>
      <c r="C101" s="345"/>
      <c r="D101" s="345"/>
      <c r="E101" s="345"/>
      <c r="F101" s="345"/>
      <c r="G101" s="345"/>
      <c r="H101" s="345"/>
      <c r="I101" s="345"/>
      <c r="J101" s="345"/>
      <c r="K101" s="345"/>
      <c r="L101" s="345"/>
      <c r="M101" s="345"/>
      <c r="N101" s="345"/>
      <c r="O101" s="345"/>
      <c r="P101" s="345"/>
      <c r="Q101" s="345"/>
      <c r="R101" s="345"/>
      <c r="S101" s="345"/>
      <c r="T101" s="345"/>
      <c r="U101" s="345"/>
      <c r="V101" s="345"/>
      <c r="W101" s="345"/>
      <c r="X101" s="345"/>
      <c r="Y101" s="345"/>
      <c r="Z101" s="345"/>
      <c r="AA101" s="345"/>
      <c r="AB101" s="345"/>
      <c r="AC101" s="345"/>
      <c r="AD101" s="345"/>
      <c r="AE101" s="345"/>
      <c r="AF101" s="345"/>
      <c r="AG101" s="345"/>
      <c r="AH101" s="345"/>
      <c r="AI101" s="345"/>
      <c r="AJ101" s="345"/>
      <c r="AK101" s="345"/>
      <c r="AL101" s="345"/>
      <c r="AM101" s="345"/>
      <c r="AN101" s="345"/>
      <c r="AO101" s="345"/>
      <c r="AP101" s="345"/>
      <c r="AQ101" s="345"/>
      <c r="AR101" s="345"/>
      <c r="AS101" s="345"/>
      <c r="AT101" s="345"/>
      <c r="AU101" s="345"/>
      <c r="AV101" s="345"/>
      <c r="AW101" s="345"/>
      <c r="AX101" s="345"/>
      <c r="AY101" s="345"/>
      <c r="AZ101" s="345"/>
      <c r="BA101" s="345"/>
      <c r="BB101" s="345"/>
      <c r="BC101" s="345"/>
      <c r="BD101" s="345"/>
      <c r="BE101" s="345"/>
      <c r="BF101" s="345"/>
      <c r="BG101" s="345"/>
      <c r="BH101" s="345"/>
      <c r="BI101" s="345"/>
      <c r="BJ101" s="345"/>
      <c r="BK101" s="345"/>
      <c r="BL101" s="345"/>
      <c r="BM101" s="345"/>
      <c r="BN101" s="345"/>
      <c r="BO101" s="345"/>
      <c r="BP101" s="345"/>
      <c r="BQ101" s="345"/>
      <c r="BR101" s="345"/>
      <c r="BS101" s="345"/>
      <c r="BT101" s="345"/>
      <c r="BU101" s="345"/>
      <c r="BV101" s="345"/>
      <c r="BW101" s="345"/>
      <c r="BX101" s="345"/>
      <c r="BY101" s="345"/>
      <c r="BZ101" s="345"/>
      <c r="CA101" s="345"/>
      <c r="CB101" s="345"/>
      <c r="CC101" s="345"/>
      <c r="CD101" s="345"/>
      <c r="CE101" s="345"/>
      <c r="CF101" s="345"/>
      <c r="CG101" s="345"/>
      <c r="CH101" s="345"/>
      <c r="CI101" s="345"/>
      <c r="CJ101" s="345"/>
      <c r="CK101" s="345"/>
      <c r="CL101" s="345"/>
      <c r="CM101" s="345"/>
      <c r="CN101" s="345"/>
      <c r="CO101" s="345"/>
      <c r="CP101" s="345"/>
      <c r="CQ101" s="345"/>
      <c r="CR101" s="345"/>
      <c r="CS101" s="345"/>
      <c r="CT101" s="345"/>
      <c r="CU101" s="345"/>
      <c r="CV101" s="345"/>
      <c r="CW101" s="345"/>
      <c r="CX101" s="345"/>
      <c r="CY101" s="345"/>
      <c r="CZ101" s="345"/>
      <c r="DA101" s="345"/>
      <c r="DB101" s="345"/>
      <c r="DC101" s="345"/>
      <c r="DD101" s="345"/>
      <c r="DE101" s="345"/>
      <c r="DF101" s="345"/>
      <c r="DG101" s="345"/>
      <c r="DH101" s="345"/>
      <c r="DI101" s="345"/>
      <c r="DJ101" s="345"/>
      <c r="DK101" s="345"/>
      <c r="DL101" s="345"/>
      <c r="DM101" s="345"/>
      <c r="DN101" s="345"/>
      <c r="DO101" s="345"/>
      <c r="DP101" s="345"/>
      <c r="DQ101" s="345"/>
      <c r="DR101" s="345"/>
      <c r="DS101" s="345"/>
      <c r="DT101" s="345"/>
      <c r="DU101" s="345"/>
      <c r="DV101" s="345"/>
      <c r="DW101" s="345"/>
      <c r="DX101" s="345"/>
      <c r="DY101" s="345"/>
      <c r="DZ101" s="345"/>
      <c r="EA101" s="345"/>
    </row>
    <row r="102" spans="1:131" hidden="1">
      <c r="A102" s="345"/>
      <c r="B102" s="345"/>
      <c r="C102" s="345"/>
      <c r="D102" s="345"/>
      <c r="E102" s="345"/>
      <c r="F102" s="345"/>
      <c r="G102" s="345"/>
      <c r="H102" s="345"/>
      <c r="I102" s="345"/>
      <c r="J102" s="345"/>
      <c r="K102" s="345"/>
      <c r="L102" s="345"/>
      <c r="M102" s="345"/>
      <c r="N102" s="345"/>
      <c r="O102" s="345"/>
      <c r="P102" s="345"/>
      <c r="Q102" s="345"/>
      <c r="R102" s="345"/>
      <c r="S102" s="345"/>
      <c r="T102" s="345"/>
      <c r="U102" s="345"/>
      <c r="V102" s="345"/>
      <c r="W102" s="345"/>
      <c r="X102" s="345"/>
      <c r="Y102" s="345"/>
      <c r="Z102" s="345"/>
      <c r="AA102" s="345"/>
      <c r="AB102" s="345"/>
      <c r="AC102" s="345"/>
      <c r="AD102" s="345"/>
      <c r="AE102" s="345"/>
      <c r="AF102" s="345"/>
      <c r="AG102" s="345"/>
      <c r="AH102" s="345"/>
      <c r="AI102" s="345"/>
      <c r="AJ102" s="345"/>
      <c r="AK102" s="345"/>
      <c r="AL102" s="345"/>
      <c r="AM102" s="345"/>
      <c r="AN102" s="345"/>
      <c r="AO102" s="345"/>
      <c r="AP102" s="345"/>
      <c r="AQ102" s="345"/>
      <c r="AR102" s="345"/>
      <c r="AS102" s="345"/>
      <c r="AT102" s="345"/>
      <c r="AU102" s="345"/>
      <c r="AV102" s="345"/>
      <c r="AW102" s="345"/>
      <c r="AX102" s="345"/>
      <c r="AY102" s="345"/>
      <c r="AZ102" s="345"/>
      <c r="BA102" s="345"/>
      <c r="BB102" s="345"/>
      <c r="BC102" s="345"/>
      <c r="BD102" s="345"/>
      <c r="BE102" s="345"/>
      <c r="BF102" s="345"/>
      <c r="BG102" s="345"/>
      <c r="BH102" s="345"/>
      <c r="BI102" s="345"/>
      <c r="BJ102" s="345"/>
      <c r="BK102" s="345"/>
      <c r="BL102" s="345"/>
      <c r="BM102" s="345"/>
      <c r="BN102" s="345"/>
      <c r="BO102" s="345"/>
      <c r="BP102" s="345"/>
      <c r="BQ102" s="345"/>
      <c r="BR102" s="345"/>
      <c r="BS102" s="345"/>
      <c r="BT102" s="345"/>
      <c r="BU102" s="345"/>
      <c r="BV102" s="345"/>
      <c r="BW102" s="345"/>
      <c r="BX102" s="345"/>
      <c r="BY102" s="345"/>
      <c r="BZ102" s="345"/>
      <c r="CA102" s="345"/>
      <c r="CB102" s="345"/>
      <c r="CC102" s="345"/>
      <c r="CD102" s="345"/>
      <c r="CE102" s="345"/>
      <c r="CF102" s="345"/>
      <c r="CG102" s="345"/>
      <c r="CH102" s="345"/>
      <c r="CI102" s="345"/>
      <c r="CJ102" s="345"/>
      <c r="CK102" s="345"/>
      <c r="CL102" s="345"/>
      <c r="CM102" s="345"/>
      <c r="CN102" s="345"/>
      <c r="CO102" s="345"/>
      <c r="CP102" s="345"/>
      <c r="CQ102" s="345"/>
      <c r="CR102" s="345"/>
      <c r="CS102" s="345"/>
      <c r="CT102" s="345"/>
      <c r="CU102" s="345"/>
      <c r="CV102" s="345"/>
      <c r="CW102" s="345"/>
      <c r="CX102" s="345"/>
      <c r="CY102" s="345"/>
      <c r="CZ102" s="345"/>
      <c r="DA102" s="345"/>
      <c r="DB102" s="345"/>
      <c r="DC102" s="345"/>
      <c r="DD102" s="345"/>
      <c r="DE102" s="345"/>
      <c r="DF102" s="345"/>
      <c r="DG102" s="345"/>
      <c r="DH102" s="345"/>
      <c r="DI102" s="345"/>
      <c r="DJ102" s="345"/>
      <c r="DK102" s="345"/>
      <c r="DL102" s="345"/>
      <c r="DM102" s="345"/>
      <c r="DN102" s="345"/>
      <c r="DO102" s="345"/>
      <c r="DP102" s="345"/>
      <c r="DQ102" s="345"/>
      <c r="DR102" s="345"/>
      <c r="DS102" s="345"/>
      <c r="DT102" s="345"/>
      <c r="DU102" s="345"/>
      <c r="DV102" s="345"/>
      <c r="DW102" s="345"/>
      <c r="DX102" s="345"/>
      <c r="DY102" s="345"/>
      <c r="DZ102" s="345"/>
      <c r="EA102" s="345"/>
    </row>
    <row r="103" spans="1:131" hidden="1">
      <c r="A103" s="345"/>
      <c r="B103" s="345"/>
      <c r="C103" s="345"/>
      <c r="D103" s="345"/>
      <c r="E103" s="345"/>
      <c r="F103" s="345"/>
      <c r="G103" s="345"/>
      <c r="H103" s="345"/>
      <c r="I103" s="345"/>
      <c r="J103" s="345"/>
      <c r="K103" s="345"/>
      <c r="L103" s="345"/>
      <c r="M103" s="345"/>
      <c r="N103" s="345"/>
      <c r="O103" s="345"/>
      <c r="P103" s="345"/>
      <c r="Q103" s="345"/>
      <c r="R103" s="345"/>
      <c r="S103" s="345"/>
      <c r="T103" s="345"/>
      <c r="U103" s="345"/>
      <c r="V103" s="345"/>
      <c r="W103" s="345"/>
      <c r="X103" s="345"/>
      <c r="Y103" s="345"/>
      <c r="Z103" s="345"/>
      <c r="AA103" s="345"/>
      <c r="AB103" s="345"/>
      <c r="AC103" s="345"/>
      <c r="AD103" s="345"/>
      <c r="AE103" s="345"/>
      <c r="AF103" s="345"/>
      <c r="AG103" s="345"/>
      <c r="AH103" s="345"/>
      <c r="AI103" s="345"/>
      <c r="AJ103" s="345"/>
      <c r="AK103" s="345"/>
      <c r="AL103" s="345"/>
      <c r="AM103" s="345"/>
      <c r="AN103" s="345"/>
      <c r="AO103" s="345"/>
      <c r="AP103" s="345"/>
      <c r="AQ103" s="345"/>
      <c r="AR103" s="345"/>
      <c r="AS103" s="345"/>
      <c r="AT103" s="345"/>
      <c r="AU103" s="345"/>
      <c r="AV103" s="345"/>
      <c r="AW103" s="345"/>
      <c r="AX103" s="345"/>
      <c r="AY103" s="345"/>
      <c r="AZ103" s="345"/>
      <c r="BA103" s="345"/>
      <c r="BB103" s="345"/>
      <c r="BC103" s="345"/>
      <c r="BD103" s="345"/>
      <c r="BE103" s="345"/>
      <c r="BF103" s="345"/>
      <c r="BG103" s="345"/>
      <c r="BH103" s="345"/>
      <c r="BI103" s="345"/>
      <c r="BJ103" s="345"/>
      <c r="BK103" s="345"/>
      <c r="BL103" s="345"/>
      <c r="BM103" s="345"/>
      <c r="BN103" s="345"/>
      <c r="BO103" s="345"/>
      <c r="BP103" s="345"/>
      <c r="BQ103" s="345"/>
      <c r="BR103" s="345"/>
      <c r="BS103" s="345"/>
      <c r="BT103" s="345"/>
      <c r="BU103" s="345"/>
      <c r="BV103" s="345"/>
      <c r="BW103" s="345"/>
      <c r="BX103" s="345"/>
      <c r="BY103" s="345"/>
      <c r="BZ103" s="345"/>
      <c r="CA103" s="345"/>
      <c r="CB103" s="345"/>
      <c r="CC103" s="345"/>
      <c r="CD103" s="345"/>
      <c r="CE103" s="345"/>
      <c r="CF103" s="345"/>
      <c r="CG103" s="345"/>
      <c r="CH103" s="345"/>
      <c r="CI103" s="345"/>
      <c r="CJ103" s="345"/>
      <c r="CK103" s="345"/>
      <c r="CL103" s="345"/>
      <c r="CM103" s="345"/>
      <c r="CN103" s="345"/>
      <c r="CO103" s="345"/>
      <c r="CP103" s="345"/>
      <c r="CQ103" s="345"/>
      <c r="CR103" s="345"/>
      <c r="CS103" s="345"/>
      <c r="CT103" s="345"/>
      <c r="CU103" s="345"/>
      <c r="CV103" s="345"/>
      <c r="CW103" s="345"/>
      <c r="CX103" s="345"/>
      <c r="CY103" s="345"/>
      <c r="CZ103" s="345"/>
      <c r="DA103" s="345"/>
      <c r="DB103" s="345"/>
      <c r="DC103" s="345"/>
      <c r="DD103" s="345"/>
      <c r="DE103" s="345"/>
      <c r="DF103" s="345"/>
      <c r="DG103" s="345"/>
      <c r="DH103" s="345"/>
      <c r="DI103" s="345"/>
      <c r="DJ103" s="345"/>
      <c r="DK103" s="345"/>
      <c r="DL103" s="345"/>
      <c r="DM103" s="345"/>
      <c r="DN103" s="345"/>
      <c r="DO103" s="345"/>
      <c r="DP103" s="345"/>
      <c r="DQ103" s="345"/>
      <c r="DR103" s="345"/>
      <c r="DS103" s="345"/>
      <c r="DT103" s="345"/>
      <c r="DU103" s="345"/>
      <c r="DV103" s="345"/>
      <c r="DW103" s="345"/>
      <c r="DX103" s="345"/>
      <c r="DY103" s="345"/>
      <c r="DZ103" s="345"/>
      <c r="EA103" s="345"/>
    </row>
    <row r="104" spans="1:131" hidden="1">
      <c r="A104" s="345"/>
      <c r="B104" s="345"/>
      <c r="C104" s="345"/>
      <c r="D104" s="345"/>
      <c r="E104" s="345"/>
      <c r="F104" s="345"/>
      <c r="G104" s="345"/>
      <c r="H104" s="345"/>
      <c r="I104" s="345"/>
      <c r="J104" s="345"/>
      <c r="K104" s="345"/>
      <c r="L104" s="345"/>
      <c r="M104" s="345"/>
      <c r="N104" s="345"/>
      <c r="O104" s="345"/>
      <c r="P104" s="345"/>
      <c r="Q104" s="345"/>
      <c r="R104" s="345"/>
      <c r="S104" s="345"/>
      <c r="T104" s="345"/>
      <c r="U104" s="345"/>
      <c r="V104" s="345"/>
      <c r="W104" s="345"/>
      <c r="X104" s="345"/>
      <c r="Y104" s="345"/>
      <c r="Z104" s="345"/>
      <c r="AA104" s="345"/>
      <c r="AB104" s="345"/>
      <c r="AC104" s="345"/>
      <c r="AD104" s="345"/>
      <c r="AE104" s="345"/>
      <c r="AF104" s="345"/>
      <c r="AG104" s="345"/>
      <c r="AH104" s="345"/>
      <c r="AI104" s="345"/>
      <c r="AJ104" s="345"/>
      <c r="AK104" s="345"/>
      <c r="AL104" s="345"/>
      <c r="AM104" s="345"/>
      <c r="AN104" s="345"/>
      <c r="AO104" s="345"/>
      <c r="AP104" s="345"/>
      <c r="AQ104" s="345"/>
      <c r="AR104" s="345"/>
      <c r="AS104" s="345"/>
      <c r="AT104" s="345"/>
      <c r="AU104" s="345"/>
      <c r="AV104" s="345"/>
      <c r="AW104" s="345"/>
      <c r="AX104" s="345"/>
      <c r="AY104" s="345"/>
      <c r="AZ104" s="345"/>
      <c r="BA104" s="345"/>
      <c r="BB104" s="345"/>
      <c r="BC104" s="345"/>
      <c r="BD104" s="345"/>
      <c r="BE104" s="345"/>
      <c r="BF104" s="345"/>
      <c r="BG104" s="345"/>
      <c r="BH104" s="345"/>
      <c r="BI104" s="345"/>
      <c r="BJ104" s="345"/>
      <c r="BK104" s="345"/>
      <c r="BL104" s="345"/>
      <c r="BM104" s="345"/>
      <c r="BN104" s="345"/>
      <c r="BO104" s="345"/>
      <c r="BP104" s="345"/>
      <c r="BQ104" s="345"/>
      <c r="BR104" s="345"/>
      <c r="BS104" s="345"/>
      <c r="BT104" s="345"/>
      <c r="BU104" s="345"/>
      <c r="BV104" s="345"/>
      <c r="BW104" s="345"/>
      <c r="BX104" s="345"/>
      <c r="BY104" s="345"/>
      <c r="BZ104" s="345"/>
      <c r="CA104" s="345"/>
      <c r="CB104" s="345"/>
      <c r="CC104" s="345"/>
      <c r="CD104" s="345"/>
      <c r="CE104" s="345"/>
      <c r="CF104" s="345"/>
      <c r="CG104" s="345"/>
      <c r="CH104" s="345"/>
      <c r="CI104" s="345"/>
      <c r="CJ104" s="345"/>
      <c r="CK104" s="345"/>
      <c r="CL104" s="345"/>
      <c r="CM104" s="345"/>
      <c r="CN104" s="345"/>
      <c r="CO104" s="345"/>
      <c r="CP104" s="345"/>
      <c r="CQ104" s="345"/>
      <c r="CR104" s="345"/>
      <c r="CS104" s="345"/>
      <c r="CT104" s="345"/>
      <c r="CU104" s="345"/>
      <c r="CV104" s="345"/>
      <c r="CW104" s="345"/>
      <c r="CX104" s="345"/>
      <c r="CY104" s="345"/>
      <c r="CZ104" s="345"/>
      <c r="DA104" s="345"/>
      <c r="DB104" s="345"/>
      <c r="DC104" s="345"/>
      <c r="DD104" s="345"/>
      <c r="DE104" s="345"/>
      <c r="DF104" s="345"/>
      <c r="DG104" s="345"/>
      <c r="DH104" s="345"/>
      <c r="DI104" s="345"/>
      <c r="DJ104" s="345"/>
      <c r="DK104" s="345"/>
      <c r="DL104" s="345"/>
      <c r="DM104" s="345"/>
      <c r="DN104" s="345"/>
      <c r="DO104" s="345"/>
      <c r="DP104" s="345"/>
      <c r="DQ104" s="345"/>
      <c r="DR104" s="345"/>
      <c r="DS104" s="345"/>
      <c r="DT104" s="345"/>
      <c r="DU104" s="345"/>
      <c r="DV104" s="345"/>
      <c r="DW104" s="345"/>
      <c r="DX104" s="345"/>
      <c r="DY104" s="345"/>
      <c r="DZ104" s="345"/>
      <c r="EA104" s="345"/>
    </row>
    <row r="105" spans="1:131" hidden="1">
      <c r="A105" s="345"/>
      <c r="B105" s="345"/>
      <c r="C105" s="345"/>
      <c r="D105" s="345"/>
      <c r="E105" s="345"/>
      <c r="F105" s="345"/>
      <c r="G105" s="345"/>
      <c r="H105" s="345"/>
      <c r="I105" s="345"/>
      <c r="J105" s="345"/>
      <c r="K105" s="345"/>
      <c r="L105" s="345"/>
      <c r="M105" s="345"/>
      <c r="N105" s="345"/>
      <c r="O105" s="345"/>
      <c r="P105" s="345"/>
      <c r="Q105" s="345"/>
      <c r="R105" s="345"/>
      <c r="S105" s="345"/>
      <c r="T105" s="345"/>
      <c r="U105" s="345"/>
      <c r="V105" s="345"/>
      <c r="W105" s="345"/>
      <c r="X105" s="345"/>
      <c r="Y105" s="345"/>
      <c r="Z105" s="345"/>
      <c r="AA105" s="345"/>
      <c r="AB105" s="345"/>
      <c r="AC105" s="345"/>
      <c r="AD105" s="345"/>
      <c r="AE105" s="345"/>
      <c r="AF105" s="345"/>
      <c r="AG105" s="345"/>
      <c r="AH105" s="345"/>
      <c r="AI105" s="345"/>
      <c r="AJ105" s="345"/>
      <c r="AK105" s="345"/>
      <c r="AL105" s="345"/>
      <c r="AM105" s="345"/>
      <c r="AN105" s="345"/>
      <c r="AO105" s="345"/>
      <c r="AP105" s="345"/>
      <c r="AQ105" s="345"/>
      <c r="AR105" s="345"/>
      <c r="AS105" s="345"/>
      <c r="AT105" s="345"/>
      <c r="AU105" s="345"/>
      <c r="AV105" s="345"/>
      <c r="AW105" s="345"/>
      <c r="AX105" s="345"/>
      <c r="AY105" s="345"/>
      <c r="AZ105" s="345"/>
      <c r="BA105" s="345"/>
      <c r="BB105" s="345"/>
      <c r="BC105" s="345"/>
      <c r="BD105" s="345"/>
      <c r="BE105" s="345"/>
      <c r="BF105" s="345"/>
      <c r="BG105" s="345"/>
      <c r="BH105" s="345"/>
      <c r="BI105" s="345"/>
      <c r="BJ105" s="345"/>
      <c r="BK105" s="345"/>
      <c r="BL105" s="345"/>
      <c r="BM105" s="345"/>
      <c r="BN105" s="345"/>
      <c r="BO105" s="345"/>
      <c r="BP105" s="345"/>
      <c r="BQ105" s="345"/>
      <c r="BR105" s="345"/>
      <c r="BS105" s="345"/>
      <c r="BT105" s="345"/>
      <c r="BU105" s="345"/>
      <c r="BV105" s="345"/>
      <c r="BW105" s="345"/>
      <c r="BX105" s="345"/>
      <c r="BY105" s="345"/>
      <c r="BZ105" s="345"/>
      <c r="CA105" s="345"/>
      <c r="CB105" s="345"/>
      <c r="CC105" s="345"/>
      <c r="CD105" s="345"/>
      <c r="CE105" s="345"/>
      <c r="CF105" s="345"/>
      <c r="CG105" s="345"/>
      <c r="CH105" s="345"/>
      <c r="CI105" s="345"/>
      <c r="CJ105" s="345"/>
      <c r="CK105" s="345"/>
      <c r="CL105" s="345"/>
      <c r="CM105" s="345"/>
      <c r="CN105" s="345"/>
      <c r="CO105" s="345"/>
      <c r="CP105" s="345"/>
      <c r="CQ105" s="345"/>
      <c r="CR105" s="345"/>
      <c r="CS105" s="345"/>
      <c r="CT105" s="345"/>
      <c r="CU105" s="345"/>
      <c r="CV105" s="345"/>
      <c r="CW105" s="345"/>
      <c r="CX105" s="345"/>
      <c r="CY105" s="345"/>
      <c r="CZ105" s="345"/>
      <c r="DA105" s="345"/>
      <c r="DB105" s="345"/>
      <c r="DC105" s="345"/>
      <c r="DD105" s="345"/>
      <c r="DE105" s="345"/>
      <c r="DF105" s="345"/>
      <c r="DG105" s="345"/>
      <c r="DH105" s="345"/>
      <c r="DI105" s="345"/>
      <c r="DJ105" s="345"/>
      <c r="DK105" s="345"/>
      <c r="DL105" s="345"/>
      <c r="DM105" s="345"/>
      <c r="DN105" s="345"/>
      <c r="DO105" s="345"/>
      <c r="DP105" s="345"/>
      <c r="DQ105" s="345"/>
      <c r="DR105" s="345"/>
      <c r="DS105" s="345"/>
      <c r="DT105" s="345"/>
      <c r="DU105" s="345"/>
      <c r="DV105" s="345"/>
      <c r="DW105" s="345"/>
      <c r="DX105" s="345"/>
      <c r="DY105" s="345"/>
      <c r="DZ105" s="345"/>
      <c r="EA105" s="345"/>
    </row>
    <row r="106" spans="1:131" hidden="1">
      <c r="A106" s="345"/>
      <c r="B106" s="345"/>
      <c r="C106" s="345"/>
      <c r="D106" s="345"/>
      <c r="E106" s="345"/>
      <c r="F106" s="345"/>
      <c r="G106" s="345"/>
      <c r="H106" s="345"/>
      <c r="I106" s="345"/>
      <c r="J106" s="345"/>
      <c r="K106" s="345"/>
      <c r="L106" s="345"/>
      <c r="M106" s="345"/>
      <c r="N106" s="345"/>
      <c r="O106" s="345"/>
      <c r="P106" s="345"/>
      <c r="Q106" s="345"/>
      <c r="R106" s="345"/>
      <c r="S106" s="345"/>
      <c r="T106" s="345"/>
      <c r="U106" s="345"/>
      <c r="V106" s="345"/>
      <c r="W106" s="345"/>
      <c r="X106" s="345"/>
      <c r="Y106" s="345"/>
      <c r="Z106" s="345"/>
      <c r="AA106" s="345"/>
      <c r="AB106" s="345"/>
      <c r="AC106" s="345"/>
      <c r="AD106" s="345"/>
      <c r="AE106" s="345"/>
      <c r="AF106" s="345"/>
      <c r="AG106" s="345"/>
      <c r="AH106" s="345"/>
      <c r="AI106" s="345"/>
      <c r="AJ106" s="345"/>
      <c r="AK106" s="345"/>
      <c r="AL106" s="345"/>
      <c r="AM106" s="345"/>
      <c r="AN106" s="345"/>
      <c r="AO106" s="345"/>
      <c r="AP106" s="345"/>
      <c r="AQ106" s="345"/>
      <c r="AR106" s="345"/>
      <c r="AS106" s="345"/>
      <c r="AT106" s="345"/>
      <c r="AU106" s="345"/>
      <c r="AV106" s="345"/>
      <c r="AW106" s="345"/>
      <c r="AX106" s="345"/>
      <c r="AY106" s="345"/>
      <c r="AZ106" s="345"/>
      <c r="BA106" s="345"/>
      <c r="BB106" s="345"/>
      <c r="BC106" s="345"/>
      <c r="BD106" s="345"/>
      <c r="BE106" s="345"/>
      <c r="BF106" s="345"/>
      <c r="BG106" s="345"/>
      <c r="BH106" s="345"/>
      <c r="BI106" s="345"/>
      <c r="BJ106" s="345"/>
      <c r="BK106" s="345"/>
      <c r="BL106" s="345"/>
      <c r="BM106" s="345"/>
      <c r="BN106" s="345"/>
      <c r="BO106" s="345"/>
      <c r="BP106" s="345"/>
      <c r="BQ106" s="345"/>
      <c r="BR106" s="345"/>
      <c r="BS106" s="345"/>
      <c r="BT106" s="345"/>
      <c r="BU106" s="345"/>
      <c r="BV106" s="345"/>
      <c r="BW106" s="345"/>
      <c r="BX106" s="345"/>
      <c r="BY106" s="345"/>
      <c r="BZ106" s="345"/>
      <c r="CA106" s="345"/>
      <c r="CB106" s="345"/>
      <c r="CC106" s="345"/>
      <c r="CD106" s="345"/>
      <c r="CE106" s="345"/>
      <c r="CF106" s="345"/>
      <c r="CG106" s="345"/>
      <c r="CH106" s="345"/>
      <c r="CI106" s="345"/>
      <c r="CJ106" s="345"/>
      <c r="CK106" s="345"/>
      <c r="CL106" s="345"/>
      <c r="CM106" s="345"/>
      <c r="CN106" s="345"/>
      <c r="CO106" s="345"/>
      <c r="CP106" s="345"/>
      <c r="CQ106" s="345"/>
      <c r="CR106" s="345"/>
      <c r="CS106" s="345"/>
      <c r="CT106" s="345"/>
      <c r="CU106" s="345"/>
      <c r="CV106" s="345"/>
      <c r="CW106" s="345"/>
      <c r="CX106" s="345"/>
      <c r="CY106" s="345"/>
      <c r="CZ106" s="345"/>
      <c r="DA106" s="345"/>
      <c r="DB106" s="345"/>
      <c r="DC106" s="345"/>
      <c r="DD106" s="345"/>
      <c r="DE106" s="345"/>
      <c r="DF106" s="345"/>
      <c r="DG106" s="345"/>
      <c r="DH106" s="345"/>
      <c r="DI106" s="345"/>
      <c r="DJ106" s="345"/>
      <c r="DK106" s="345"/>
      <c r="DL106" s="345"/>
      <c r="DM106" s="345"/>
      <c r="DN106" s="345"/>
      <c r="DO106" s="345"/>
      <c r="DP106" s="345"/>
      <c r="DQ106" s="345"/>
      <c r="DR106" s="345"/>
      <c r="DS106" s="345"/>
      <c r="DT106" s="345"/>
      <c r="DU106" s="345"/>
      <c r="DV106" s="345"/>
      <c r="DW106" s="345"/>
      <c r="DX106" s="345"/>
      <c r="DY106" s="345"/>
      <c r="DZ106" s="345"/>
      <c r="EA106" s="345"/>
    </row>
    <row r="107" spans="1:131" hidden="1">
      <c r="A107" s="345"/>
      <c r="B107" s="345"/>
      <c r="C107" s="345"/>
      <c r="D107" s="345"/>
      <c r="E107" s="345"/>
      <c r="F107" s="345"/>
      <c r="G107" s="345"/>
      <c r="H107" s="345"/>
      <c r="I107" s="345"/>
      <c r="J107" s="345"/>
      <c r="K107" s="345"/>
      <c r="L107" s="345"/>
      <c r="M107" s="345"/>
      <c r="N107" s="345"/>
      <c r="O107" s="345"/>
      <c r="P107" s="345"/>
      <c r="Q107" s="345"/>
      <c r="R107" s="345"/>
      <c r="S107" s="345"/>
      <c r="T107" s="345"/>
      <c r="U107" s="345"/>
      <c r="V107" s="345"/>
      <c r="W107" s="345"/>
      <c r="X107" s="345"/>
      <c r="Y107" s="345"/>
      <c r="Z107" s="345"/>
      <c r="AA107" s="345"/>
      <c r="AB107" s="345"/>
      <c r="AC107" s="345"/>
      <c r="AD107" s="345"/>
      <c r="AE107" s="345"/>
      <c r="AF107" s="345"/>
      <c r="AG107" s="345"/>
      <c r="AH107" s="345"/>
      <c r="AI107" s="345"/>
      <c r="AJ107" s="345"/>
      <c r="AK107" s="345"/>
      <c r="AL107" s="345"/>
      <c r="AM107" s="345"/>
      <c r="AN107" s="345"/>
      <c r="AO107" s="345"/>
      <c r="AP107" s="345"/>
      <c r="AQ107" s="345"/>
      <c r="AR107" s="345"/>
      <c r="AS107" s="345"/>
      <c r="AT107" s="345"/>
      <c r="AU107" s="345"/>
      <c r="AV107" s="345"/>
      <c r="AW107" s="345"/>
      <c r="AX107" s="345"/>
      <c r="AY107" s="345"/>
      <c r="AZ107" s="345"/>
      <c r="BA107" s="345"/>
      <c r="BB107" s="345"/>
      <c r="BC107" s="345"/>
      <c r="BD107" s="345"/>
      <c r="BE107" s="345"/>
      <c r="BF107" s="345"/>
      <c r="BG107" s="345"/>
      <c r="BH107" s="345"/>
      <c r="BI107" s="345"/>
      <c r="BJ107" s="345"/>
      <c r="BK107" s="345"/>
      <c r="BL107" s="345"/>
      <c r="BM107" s="345"/>
      <c r="BN107" s="345"/>
      <c r="BO107" s="345"/>
      <c r="BP107" s="345"/>
      <c r="BQ107" s="345"/>
      <c r="BR107" s="345"/>
      <c r="BS107" s="345"/>
      <c r="BT107" s="345"/>
      <c r="BU107" s="345"/>
      <c r="BV107" s="345"/>
      <c r="BW107" s="345"/>
      <c r="BX107" s="345"/>
      <c r="BY107" s="345"/>
      <c r="BZ107" s="345"/>
      <c r="CA107" s="345"/>
      <c r="CB107" s="345"/>
      <c r="CC107" s="345"/>
      <c r="CD107" s="345"/>
      <c r="CE107" s="345"/>
      <c r="CF107" s="345"/>
      <c r="CG107" s="345"/>
      <c r="CH107" s="345"/>
      <c r="CI107" s="345"/>
      <c r="CJ107" s="345"/>
      <c r="CK107" s="345"/>
      <c r="CL107" s="345"/>
      <c r="CM107" s="345"/>
      <c r="CN107" s="345"/>
      <c r="CO107" s="345"/>
      <c r="CP107" s="345"/>
      <c r="CQ107" s="345"/>
      <c r="CR107" s="345"/>
      <c r="CS107" s="345"/>
      <c r="CT107" s="345"/>
      <c r="CU107" s="345"/>
      <c r="CV107" s="345"/>
      <c r="CW107" s="345"/>
      <c r="CX107" s="345"/>
      <c r="CY107" s="345"/>
      <c r="CZ107" s="345"/>
      <c r="DA107" s="345"/>
      <c r="DB107" s="345"/>
      <c r="DC107" s="345"/>
      <c r="DD107" s="345"/>
      <c r="DE107" s="345"/>
      <c r="DF107" s="345"/>
      <c r="DG107" s="345"/>
      <c r="DH107" s="345"/>
      <c r="DI107" s="345"/>
      <c r="DJ107" s="345"/>
      <c r="DK107" s="345"/>
      <c r="DL107" s="345"/>
      <c r="DM107" s="345"/>
      <c r="DN107" s="345"/>
      <c r="DO107" s="345"/>
      <c r="DP107" s="345"/>
      <c r="DQ107" s="345"/>
      <c r="DR107" s="345"/>
      <c r="DS107" s="345"/>
      <c r="DT107" s="345"/>
      <c r="DU107" s="345"/>
      <c r="DV107" s="345"/>
      <c r="DW107" s="345"/>
      <c r="DX107" s="345"/>
      <c r="DY107" s="345"/>
      <c r="DZ107" s="345"/>
      <c r="EA107" s="345"/>
    </row>
    <row r="108" spans="1:131" hidden="1">
      <c r="A108" s="345"/>
      <c r="B108" s="345"/>
      <c r="C108" s="345"/>
      <c r="D108" s="345"/>
      <c r="E108" s="345"/>
      <c r="F108" s="345"/>
      <c r="G108" s="345"/>
      <c r="H108" s="345"/>
      <c r="I108" s="345"/>
      <c r="J108" s="345"/>
      <c r="K108" s="345"/>
      <c r="L108" s="345"/>
      <c r="M108" s="345"/>
      <c r="N108" s="345"/>
      <c r="O108" s="345"/>
      <c r="P108" s="345"/>
      <c r="Q108" s="345"/>
      <c r="R108" s="345"/>
      <c r="S108" s="345"/>
      <c r="T108" s="345"/>
      <c r="U108" s="345"/>
      <c r="V108" s="345"/>
      <c r="W108" s="345"/>
      <c r="X108" s="345"/>
      <c r="Y108" s="345"/>
      <c r="Z108" s="345"/>
      <c r="AA108" s="345"/>
      <c r="AB108" s="345"/>
      <c r="AC108" s="345"/>
      <c r="AD108" s="345"/>
      <c r="AE108" s="345"/>
      <c r="AF108" s="345"/>
      <c r="AG108" s="345"/>
      <c r="AH108" s="345"/>
      <c r="AI108" s="345"/>
      <c r="AJ108" s="345"/>
      <c r="AK108" s="345"/>
      <c r="AL108" s="345"/>
      <c r="AM108" s="345"/>
      <c r="AN108" s="345"/>
      <c r="AO108" s="345"/>
      <c r="AP108" s="345"/>
      <c r="AQ108" s="345"/>
      <c r="AR108" s="345"/>
      <c r="AS108" s="345"/>
      <c r="AT108" s="345"/>
      <c r="AU108" s="345"/>
      <c r="AV108" s="345"/>
      <c r="AW108" s="345"/>
      <c r="AX108" s="345"/>
      <c r="AY108" s="345"/>
      <c r="AZ108" s="345"/>
      <c r="BA108" s="345"/>
      <c r="BB108" s="345"/>
      <c r="BC108" s="345"/>
      <c r="BD108" s="345"/>
      <c r="BE108" s="345"/>
      <c r="BF108" s="345"/>
      <c r="BG108" s="345"/>
      <c r="BH108" s="345"/>
      <c r="BI108" s="345"/>
      <c r="BJ108" s="345"/>
      <c r="BK108" s="345"/>
      <c r="BL108" s="345"/>
      <c r="BM108" s="345"/>
      <c r="BN108" s="345"/>
      <c r="BO108" s="345"/>
      <c r="BP108" s="345"/>
      <c r="BQ108" s="345"/>
      <c r="BR108" s="345"/>
      <c r="BS108" s="345"/>
      <c r="BT108" s="345"/>
      <c r="BU108" s="345"/>
      <c r="BV108" s="345"/>
      <c r="BW108" s="345"/>
      <c r="BX108" s="345"/>
      <c r="BY108" s="345"/>
      <c r="BZ108" s="345"/>
      <c r="CA108" s="345"/>
      <c r="CB108" s="345"/>
      <c r="CC108" s="345"/>
      <c r="CD108" s="345"/>
      <c r="CE108" s="345"/>
      <c r="CF108" s="345"/>
      <c r="CG108" s="345"/>
      <c r="CH108" s="345"/>
      <c r="CI108" s="345"/>
      <c r="CJ108" s="345"/>
      <c r="CK108" s="345"/>
      <c r="CL108" s="345"/>
      <c r="CM108" s="345"/>
      <c r="CN108" s="345"/>
      <c r="CO108" s="345"/>
      <c r="CP108" s="345"/>
      <c r="CQ108" s="345"/>
      <c r="CR108" s="345"/>
      <c r="CS108" s="345"/>
      <c r="CT108" s="345"/>
      <c r="CU108" s="345"/>
      <c r="CV108" s="345"/>
      <c r="CW108" s="345"/>
      <c r="CX108" s="345"/>
      <c r="CY108" s="345"/>
      <c r="CZ108" s="345"/>
      <c r="DA108" s="345"/>
      <c r="DB108" s="345"/>
      <c r="DC108" s="345"/>
      <c r="DD108" s="345"/>
      <c r="DE108" s="345"/>
      <c r="DF108" s="345"/>
      <c r="DG108" s="345"/>
      <c r="DH108" s="345"/>
      <c r="DI108" s="345"/>
      <c r="DJ108" s="345"/>
      <c r="DK108" s="345"/>
      <c r="DL108" s="345"/>
      <c r="DM108" s="345"/>
      <c r="DN108" s="345"/>
      <c r="DO108" s="345"/>
      <c r="DP108" s="345"/>
      <c r="DQ108" s="345"/>
      <c r="DR108" s="345"/>
      <c r="DS108" s="345"/>
      <c r="DT108" s="345"/>
      <c r="DU108" s="345"/>
      <c r="DV108" s="345"/>
      <c r="DW108" s="345"/>
      <c r="DX108" s="345"/>
      <c r="DY108" s="345"/>
      <c r="DZ108" s="345"/>
      <c r="EA108" s="345"/>
    </row>
    <row r="109" spans="1:131" hidden="1">
      <c r="A109" s="345"/>
      <c r="B109" s="345"/>
      <c r="C109" s="345"/>
      <c r="D109" s="345"/>
      <c r="E109" s="345"/>
      <c r="F109" s="345"/>
      <c r="G109" s="345"/>
      <c r="H109" s="345"/>
      <c r="I109" s="345"/>
      <c r="J109" s="345"/>
      <c r="K109" s="345"/>
      <c r="L109" s="345"/>
      <c r="M109" s="345"/>
      <c r="N109" s="345"/>
      <c r="O109" s="345"/>
      <c r="P109" s="345"/>
      <c r="Q109" s="345"/>
      <c r="R109" s="345"/>
      <c r="S109" s="345"/>
      <c r="T109" s="345"/>
      <c r="U109" s="345"/>
      <c r="V109" s="345"/>
      <c r="W109" s="345"/>
      <c r="X109" s="345"/>
      <c r="Y109" s="345"/>
      <c r="Z109" s="345"/>
      <c r="AA109" s="345"/>
      <c r="AB109" s="345"/>
      <c r="AC109" s="345"/>
      <c r="AD109" s="345"/>
      <c r="AE109" s="345"/>
      <c r="AF109" s="345"/>
      <c r="AG109" s="345"/>
      <c r="AH109" s="345"/>
      <c r="AI109" s="345"/>
      <c r="AJ109" s="345"/>
      <c r="AK109" s="345"/>
      <c r="AL109" s="345"/>
      <c r="AM109" s="345"/>
      <c r="AN109" s="345"/>
      <c r="AO109" s="345"/>
      <c r="AP109" s="345"/>
      <c r="AQ109" s="345"/>
      <c r="AR109" s="345"/>
      <c r="AS109" s="345"/>
      <c r="AT109" s="345"/>
      <c r="AU109" s="345"/>
      <c r="AV109" s="345"/>
      <c r="AW109" s="345"/>
      <c r="AX109" s="345"/>
      <c r="AY109" s="345"/>
      <c r="AZ109" s="345"/>
      <c r="BA109" s="345"/>
      <c r="BB109" s="345"/>
      <c r="BC109" s="345"/>
      <c r="BD109" s="345"/>
      <c r="BE109" s="345"/>
      <c r="BF109" s="345"/>
      <c r="BG109" s="345"/>
      <c r="BH109" s="345"/>
      <c r="BI109" s="345"/>
      <c r="BJ109" s="345"/>
      <c r="BK109" s="345"/>
      <c r="BL109" s="345"/>
      <c r="BM109" s="345"/>
      <c r="BN109" s="345"/>
      <c r="BO109" s="345"/>
      <c r="BP109" s="345"/>
      <c r="BQ109" s="345"/>
      <c r="BR109" s="345"/>
      <c r="BS109" s="345"/>
      <c r="BT109" s="345"/>
      <c r="BU109" s="345"/>
      <c r="BV109" s="345"/>
      <c r="BW109" s="345"/>
      <c r="BX109" s="345"/>
      <c r="BY109" s="345"/>
      <c r="BZ109" s="345"/>
      <c r="CA109" s="345"/>
      <c r="CB109" s="345"/>
      <c r="CC109" s="345"/>
      <c r="CD109" s="345"/>
      <c r="CE109" s="345"/>
      <c r="CF109" s="345"/>
      <c r="CG109" s="345"/>
      <c r="CH109" s="345"/>
      <c r="CI109" s="345"/>
      <c r="CJ109" s="345"/>
      <c r="CK109" s="345"/>
      <c r="CL109" s="345"/>
      <c r="CM109" s="345"/>
      <c r="CN109" s="345"/>
      <c r="CO109" s="345"/>
      <c r="CP109" s="345"/>
      <c r="CQ109" s="345"/>
      <c r="CR109" s="345"/>
      <c r="CS109" s="345"/>
      <c r="CT109" s="345"/>
      <c r="CU109" s="345"/>
      <c r="CV109" s="345"/>
      <c r="CW109" s="345"/>
      <c r="CX109" s="345"/>
      <c r="CY109" s="345"/>
      <c r="CZ109" s="345"/>
      <c r="DA109" s="345"/>
      <c r="DB109" s="345"/>
      <c r="DC109" s="345"/>
      <c r="DD109" s="345"/>
      <c r="DE109" s="345"/>
      <c r="DF109" s="345"/>
      <c r="DG109" s="345"/>
      <c r="DH109" s="345"/>
      <c r="DI109" s="345"/>
      <c r="DJ109" s="345"/>
      <c r="DK109" s="345"/>
      <c r="DL109" s="345"/>
      <c r="DM109" s="345"/>
      <c r="DN109" s="345"/>
      <c r="DO109" s="345"/>
      <c r="DP109" s="345"/>
      <c r="DQ109" s="345"/>
      <c r="DR109" s="345"/>
      <c r="DS109" s="345"/>
      <c r="DT109" s="345"/>
      <c r="DU109" s="345"/>
      <c r="DV109" s="345"/>
      <c r="DW109" s="345"/>
      <c r="DX109" s="345"/>
      <c r="DY109" s="345"/>
      <c r="DZ109" s="345"/>
      <c r="EA109" s="345"/>
    </row>
    <row r="110" spans="1:131" hidden="1">
      <c r="A110" s="345"/>
      <c r="B110" s="345"/>
      <c r="C110" s="345"/>
      <c r="D110" s="345"/>
      <c r="E110" s="345"/>
      <c r="F110" s="345"/>
      <c r="G110" s="345"/>
      <c r="H110" s="345"/>
      <c r="I110" s="345"/>
      <c r="J110" s="345"/>
      <c r="K110" s="345"/>
      <c r="L110" s="345"/>
      <c r="M110" s="345"/>
      <c r="N110" s="345"/>
      <c r="O110" s="345"/>
      <c r="P110" s="345"/>
      <c r="Q110" s="345"/>
      <c r="R110" s="345"/>
      <c r="S110" s="345"/>
      <c r="T110" s="345"/>
      <c r="U110" s="345"/>
      <c r="V110" s="345"/>
      <c r="W110" s="345"/>
      <c r="X110" s="345"/>
      <c r="Y110" s="345"/>
      <c r="Z110" s="345"/>
      <c r="AA110" s="345"/>
      <c r="AB110" s="345"/>
      <c r="AC110" s="345"/>
      <c r="AD110" s="345"/>
      <c r="AE110" s="345"/>
      <c r="AF110" s="345"/>
      <c r="AG110" s="345"/>
      <c r="AH110" s="345"/>
      <c r="AI110" s="345"/>
      <c r="AJ110" s="345"/>
      <c r="AK110" s="345"/>
      <c r="AL110" s="345"/>
      <c r="AM110" s="345"/>
      <c r="AN110" s="345"/>
      <c r="AO110" s="345"/>
      <c r="AP110" s="345"/>
      <c r="AQ110" s="345"/>
      <c r="AR110" s="345"/>
      <c r="AS110" s="345"/>
      <c r="AT110" s="345"/>
      <c r="AU110" s="345"/>
      <c r="AV110" s="345"/>
      <c r="AW110" s="345"/>
      <c r="AX110" s="345"/>
      <c r="AY110" s="345"/>
      <c r="AZ110" s="345"/>
      <c r="BA110" s="345"/>
      <c r="BB110" s="345"/>
      <c r="BC110" s="345"/>
      <c r="BD110" s="345"/>
      <c r="BE110" s="345"/>
      <c r="BF110" s="345"/>
      <c r="BG110" s="345"/>
      <c r="BH110" s="345"/>
      <c r="BI110" s="345"/>
      <c r="BJ110" s="345"/>
      <c r="BK110" s="345"/>
      <c r="BL110" s="345"/>
      <c r="BM110" s="345"/>
      <c r="BN110" s="345"/>
      <c r="BO110" s="345"/>
      <c r="BP110" s="345"/>
      <c r="BQ110" s="345"/>
      <c r="BR110" s="345"/>
      <c r="BS110" s="345"/>
      <c r="BT110" s="345"/>
      <c r="BU110" s="345"/>
      <c r="BV110" s="345"/>
      <c r="BW110" s="345"/>
      <c r="BX110" s="345"/>
      <c r="BY110" s="345"/>
      <c r="BZ110" s="345"/>
      <c r="CA110" s="345"/>
      <c r="CB110" s="345"/>
      <c r="CC110" s="345"/>
      <c r="CD110" s="345"/>
      <c r="CE110" s="345"/>
      <c r="CF110" s="345"/>
      <c r="CG110" s="345"/>
      <c r="CH110" s="345"/>
      <c r="CI110" s="345"/>
      <c r="CJ110" s="345"/>
      <c r="CK110" s="345"/>
      <c r="CL110" s="345"/>
      <c r="CM110" s="345"/>
      <c r="CN110" s="345"/>
      <c r="CO110" s="345"/>
      <c r="CP110" s="345"/>
      <c r="CQ110" s="345"/>
      <c r="CR110" s="345"/>
      <c r="CS110" s="345"/>
      <c r="CT110" s="345"/>
      <c r="CU110" s="345"/>
      <c r="CV110" s="345"/>
      <c r="CW110" s="345"/>
      <c r="CX110" s="345"/>
      <c r="CY110" s="345"/>
      <c r="CZ110" s="345"/>
      <c r="DA110" s="345"/>
      <c r="DB110" s="345"/>
      <c r="DC110" s="345"/>
      <c r="DD110" s="345"/>
      <c r="DE110" s="345"/>
      <c r="DF110" s="345"/>
      <c r="DG110" s="345"/>
      <c r="DH110" s="345"/>
      <c r="DI110" s="345"/>
      <c r="DJ110" s="345"/>
      <c r="DK110" s="345"/>
      <c r="DL110" s="345"/>
      <c r="DM110" s="345"/>
      <c r="DN110" s="345"/>
      <c r="DO110" s="345"/>
      <c r="DP110" s="345"/>
      <c r="DQ110" s="345"/>
      <c r="DR110" s="345"/>
      <c r="DS110" s="345"/>
      <c r="DT110" s="345"/>
      <c r="DU110" s="345"/>
      <c r="DV110" s="345"/>
      <c r="DW110" s="345"/>
      <c r="DX110" s="345"/>
      <c r="DY110" s="345"/>
      <c r="DZ110" s="345"/>
      <c r="EA110" s="345"/>
    </row>
    <row r="111" spans="1:131" hidden="1">
      <c r="A111" s="345"/>
      <c r="B111" s="345"/>
      <c r="C111" s="345"/>
      <c r="D111" s="345"/>
      <c r="E111" s="345"/>
      <c r="F111" s="345"/>
      <c r="G111" s="345"/>
      <c r="H111" s="345"/>
      <c r="I111" s="345"/>
      <c r="J111" s="345"/>
      <c r="K111" s="345"/>
      <c r="L111" s="345"/>
      <c r="M111" s="345"/>
      <c r="N111" s="345"/>
      <c r="O111" s="345"/>
      <c r="P111" s="345"/>
      <c r="Q111" s="345"/>
      <c r="R111" s="345"/>
      <c r="S111" s="345"/>
      <c r="T111" s="345"/>
      <c r="U111" s="345"/>
      <c r="V111" s="345"/>
      <c r="W111" s="345"/>
      <c r="X111" s="345"/>
      <c r="Y111" s="345"/>
      <c r="Z111" s="345"/>
      <c r="AA111" s="345"/>
      <c r="AB111" s="345"/>
      <c r="AC111" s="345"/>
      <c r="AD111" s="345"/>
      <c r="AE111" s="345"/>
      <c r="AF111" s="345"/>
      <c r="AG111" s="345"/>
      <c r="AH111" s="345"/>
      <c r="AI111" s="345"/>
      <c r="AJ111" s="345"/>
      <c r="AK111" s="345"/>
      <c r="AL111" s="345"/>
      <c r="AM111" s="345"/>
      <c r="AN111" s="345"/>
      <c r="AO111" s="345"/>
      <c r="AP111" s="345"/>
      <c r="AQ111" s="345"/>
      <c r="AR111" s="345"/>
      <c r="AS111" s="345"/>
      <c r="AT111" s="345"/>
      <c r="AU111" s="345"/>
      <c r="AV111" s="345"/>
      <c r="AW111" s="345"/>
      <c r="AX111" s="345"/>
      <c r="AY111" s="345"/>
      <c r="AZ111" s="345"/>
      <c r="BA111" s="345"/>
      <c r="BB111" s="345"/>
      <c r="BC111" s="345"/>
      <c r="BD111" s="345"/>
      <c r="BE111" s="345"/>
      <c r="BF111" s="345"/>
      <c r="BG111" s="345"/>
      <c r="BH111" s="345"/>
      <c r="BI111" s="345"/>
      <c r="BJ111" s="345"/>
      <c r="BK111" s="345"/>
      <c r="BL111" s="345"/>
      <c r="BM111" s="345"/>
      <c r="BN111" s="345"/>
      <c r="BO111" s="345"/>
      <c r="BP111" s="345"/>
      <c r="BQ111" s="345"/>
      <c r="BR111" s="345"/>
      <c r="BS111" s="345"/>
      <c r="BT111" s="345"/>
      <c r="BU111" s="345"/>
      <c r="BV111" s="345"/>
      <c r="BW111" s="345"/>
      <c r="BX111" s="345"/>
      <c r="BY111" s="345"/>
      <c r="BZ111" s="345"/>
      <c r="CA111" s="345"/>
      <c r="CB111" s="345"/>
      <c r="CC111" s="345"/>
      <c r="CD111" s="345"/>
      <c r="CE111" s="345"/>
      <c r="CF111" s="345"/>
      <c r="CG111" s="345"/>
      <c r="CH111" s="345"/>
      <c r="CI111" s="345"/>
      <c r="CJ111" s="345"/>
      <c r="CK111" s="345"/>
      <c r="CL111" s="345"/>
      <c r="CM111" s="345"/>
      <c r="CN111" s="345"/>
      <c r="CO111" s="345"/>
      <c r="CP111" s="345"/>
      <c r="CQ111" s="345"/>
      <c r="CR111" s="345"/>
      <c r="CS111" s="345"/>
      <c r="CT111" s="345"/>
      <c r="CU111" s="345"/>
      <c r="CV111" s="345"/>
      <c r="CW111" s="345"/>
      <c r="CX111" s="345"/>
      <c r="CY111" s="345"/>
      <c r="CZ111" s="345"/>
      <c r="DA111" s="345"/>
      <c r="DB111" s="345"/>
      <c r="DC111" s="345"/>
      <c r="DD111" s="345"/>
      <c r="DE111" s="345"/>
      <c r="DF111" s="345"/>
      <c r="DG111" s="345"/>
      <c r="DH111" s="345"/>
      <c r="DI111" s="345"/>
      <c r="DJ111" s="345"/>
      <c r="DK111" s="345"/>
      <c r="DL111" s="345"/>
      <c r="DM111" s="345"/>
      <c r="DN111" s="345"/>
      <c r="DO111" s="345"/>
      <c r="DP111" s="345"/>
      <c r="DQ111" s="345"/>
      <c r="DR111" s="345"/>
      <c r="DS111" s="345"/>
      <c r="DT111" s="345"/>
      <c r="DU111" s="345"/>
      <c r="DV111" s="345"/>
      <c r="DW111" s="345"/>
      <c r="DX111" s="345"/>
      <c r="DY111" s="345"/>
      <c r="DZ111" s="345"/>
      <c r="EA111" s="345"/>
    </row>
    <row r="112" spans="1:131" hidden="1">
      <c r="A112" s="345"/>
      <c r="B112" s="345"/>
      <c r="C112" s="345"/>
      <c r="D112" s="345"/>
      <c r="E112" s="345"/>
      <c r="F112" s="345"/>
      <c r="G112" s="345"/>
      <c r="H112" s="345"/>
      <c r="I112" s="345"/>
      <c r="J112" s="345"/>
      <c r="K112" s="345"/>
      <c r="L112" s="345"/>
      <c r="M112" s="345"/>
      <c r="N112" s="345"/>
      <c r="O112" s="345"/>
      <c r="P112" s="345"/>
      <c r="Q112" s="345"/>
      <c r="R112" s="345"/>
      <c r="S112" s="345"/>
      <c r="T112" s="345"/>
      <c r="U112" s="345"/>
      <c r="V112" s="345"/>
      <c r="W112" s="345"/>
      <c r="X112" s="345"/>
      <c r="Y112" s="345"/>
      <c r="Z112" s="345"/>
      <c r="AA112" s="345"/>
      <c r="AB112" s="345"/>
      <c r="AC112" s="345"/>
      <c r="AD112" s="345"/>
      <c r="AE112" s="345"/>
      <c r="AF112" s="345"/>
      <c r="AG112" s="345"/>
      <c r="AH112" s="345"/>
      <c r="AI112" s="345"/>
      <c r="AJ112" s="345"/>
      <c r="AK112" s="345"/>
      <c r="AL112" s="345"/>
      <c r="AM112" s="345"/>
      <c r="AN112" s="345"/>
      <c r="AO112" s="345"/>
      <c r="AP112" s="345"/>
      <c r="AQ112" s="345"/>
      <c r="AR112" s="345"/>
      <c r="AS112" s="345"/>
      <c r="AT112" s="345"/>
      <c r="AU112" s="345"/>
      <c r="AV112" s="345"/>
      <c r="AW112" s="345"/>
      <c r="AX112" s="345"/>
      <c r="AY112" s="345"/>
      <c r="AZ112" s="345"/>
      <c r="BA112" s="345"/>
      <c r="BB112" s="345"/>
      <c r="BC112" s="345"/>
      <c r="BD112" s="345"/>
      <c r="BE112" s="345"/>
      <c r="BF112" s="345"/>
      <c r="BG112" s="345"/>
      <c r="BH112" s="345"/>
      <c r="BI112" s="345"/>
      <c r="BJ112" s="345"/>
      <c r="BK112" s="345"/>
      <c r="BL112" s="345"/>
      <c r="BM112" s="345"/>
      <c r="BN112" s="345"/>
      <c r="BO112" s="345"/>
      <c r="BP112" s="345"/>
      <c r="BQ112" s="345"/>
      <c r="BR112" s="345"/>
      <c r="BS112" s="345"/>
      <c r="BT112" s="345"/>
      <c r="BU112" s="345"/>
      <c r="BV112" s="345"/>
      <c r="BW112" s="345"/>
      <c r="BX112" s="345"/>
      <c r="BY112" s="345"/>
      <c r="BZ112" s="345"/>
      <c r="CA112" s="345"/>
      <c r="CB112" s="345"/>
      <c r="CC112" s="345"/>
      <c r="CD112" s="345"/>
      <c r="CE112" s="345"/>
      <c r="CF112" s="345"/>
      <c r="CG112" s="345"/>
      <c r="CH112" s="345"/>
      <c r="CI112" s="345"/>
      <c r="CJ112" s="345"/>
      <c r="CK112" s="345"/>
      <c r="CL112" s="345"/>
      <c r="CM112" s="345"/>
      <c r="CN112" s="345"/>
      <c r="CO112" s="345"/>
      <c r="CP112" s="345"/>
      <c r="CQ112" s="345"/>
      <c r="CR112" s="345"/>
      <c r="CS112" s="345"/>
      <c r="CT112" s="345"/>
      <c r="CU112" s="345"/>
      <c r="CV112" s="345"/>
      <c r="CW112" s="345"/>
      <c r="CX112" s="345"/>
      <c r="CY112" s="345"/>
      <c r="CZ112" s="345"/>
      <c r="DA112" s="345"/>
      <c r="DB112" s="345"/>
      <c r="DC112" s="345"/>
      <c r="DD112" s="345"/>
      <c r="DE112" s="345"/>
      <c r="DF112" s="345"/>
      <c r="DG112" s="345"/>
      <c r="DH112" s="345"/>
      <c r="DI112" s="345"/>
      <c r="DJ112" s="345"/>
      <c r="DK112" s="345"/>
      <c r="DL112" s="345"/>
      <c r="DM112" s="345"/>
      <c r="DN112" s="345"/>
      <c r="DO112" s="345"/>
      <c r="DP112" s="345"/>
      <c r="DQ112" s="345"/>
      <c r="DR112" s="345"/>
      <c r="DS112" s="345"/>
      <c r="DT112" s="345"/>
      <c r="DU112" s="345"/>
      <c r="DV112" s="345"/>
      <c r="DW112" s="345"/>
      <c r="DX112" s="345"/>
      <c r="DY112" s="345"/>
      <c r="DZ112" s="345"/>
      <c r="EA112" s="345"/>
    </row>
    <row r="113" spans="1:131" hidden="1">
      <c r="A113" s="345"/>
      <c r="B113" s="345"/>
      <c r="C113" s="345"/>
      <c r="D113" s="345"/>
      <c r="E113" s="345"/>
      <c r="F113" s="345"/>
      <c r="G113" s="345"/>
      <c r="H113" s="345"/>
      <c r="I113" s="345"/>
      <c r="J113" s="345"/>
      <c r="K113" s="345"/>
      <c r="L113" s="345"/>
      <c r="M113" s="345"/>
      <c r="N113" s="345"/>
      <c r="O113" s="345"/>
      <c r="P113" s="345"/>
      <c r="Q113" s="345"/>
      <c r="R113" s="345"/>
      <c r="S113" s="345"/>
      <c r="T113" s="345"/>
      <c r="U113" s="345"/>
      <c r="V113" s="345"/>
      <c r="W113" s="345"/>
      <c r="X113" s="345"/>
      <c r="Y113" s="345"/>
      <c r="Z113" s="345"/>
      <c r="AA113" s="345"/>
      <c r="AB113" s="345"/>
      <c r="AC113" s="345"/>
      <c r="AD113" s="345"/>
      <c r="AE113" s="345"/>
      <c r="AF113" s="345"/>
      <c r="AG113" s="345"/>
      <c r="AH113" s="345"/>
      <c r="AI113" s="345"/>
      <c r="AJ113" s="345"/>
      <c r="AK113" s="345"/>
      <c r="AL113" s="345"/>
      <c r="AM113" s="345"/>
      <c r="AN113" s="345"/>
      <c r="AO113" s="345"/>
      <c r="AP113" s="345"/>
      <c r="AQ113" s="345"/>
      <c r="AR113" s="345"/>
      <c r="AS113" s="345"/>
      <c r="AT113" s="345"/>
      <c r="AU113" s="345"/>
      <c r="AV113" s="345"/>
      <c r="AW113" s="345"/>
      <c r="AX113" s="345"/>
      <c r="AY113" s="345"/>
      <c r="AZ113" s="345"/>
      <c r="BA113" s="345"/>
      <c r="BB113" s="345"/>
      <c r="BC113" s="345"/>
      <c r="BD113" s="345"/>
      <c r="BE113" s="345"/>
      <c r="BF113" s="345"/>
      <c r="BG113" s="345"/>
      <c r="BH113" s="345"/>
      <c r="BI113" s="345"/>
      <c r="BJ113" s="345"/>
      <c r="BK113" s="345"/>
      <c r="BL113" s="345"/>
      <c r="BM113" s="345"/>
      <c r="BN113" s="345"/>
      <c r="BO113" s="345"/>
      <c r="BP113" s="345"/>
      <c r="BQ113" s="345"/>
      <c r="BR113" s="345"/>
      <c r="BS113" s="345"/>
      <c r="BT113" s="345"/>
      <c r="BU113" s="345"/>
      <c r="BV113" s="345"/>
      <c r="BW113" s="345"/>
      <c r="BX113" s="345"/>
      <c r="BY113" s="345"/>
      <c r="BZ113" s="345"/>
      <c r="CA113" s="345"/>
      <c r="CB113" s="345"/>
      <c r="CC113" s="345"/>
      <c r="CD113" s="345"/>
      <c r="CE113" s="345"/>
      <c r="CF113" s="345"/>
      <c r="CG113" s="345"/>
      <c r="CH113" s="345"/>
      <c r="CI113" s="345"/>
      <c r="CJ113" s="345"/>
      <c r="CK113" s="345"/>
      <c r="CL113" s="345"/>
      <c r="CM113" s="345"/>
      <c r="CN113" s="345"/>
      <c r="CO113" s="345"/>
      <c r="CP113" s="345"/>
      <c r="CQ113" s="345"/>
      <c r="CR113" s="345"/>
      <c r="CS113" s="345"/>
      <c r="CT113" s="345"/>
      <c r="CU113" s="345"/>
      <c r="CV113" s="345"/>
      <c r="CW113" s="345"/>
      <c r="CX113" s="345"/>
      <c r="CY113" s="345"/>
      <c r="CZ113" s="345"/>
      <c r="DA113" s="345"/>
      <c r="DB113" s="345"/>
      <c r="DC113" s="345"/>
      <c r="DD113" s="345"/>
      <c r="DE113" s="345"/>
      <c r="DF113" s="345"/>
      <c r="DG113" s="345"/>
      <c r="DH113" s="345"/>
      <c r="DI113" s="345"/>
      <c r="DJ113" s="345"/>
      <c r="DK113" s="345"/>
      <c r="DL113" s="345"/>
      <c r="DM113" s="345"/>
      <c r="DN113" s="345"/>
      <c r="DO113" s="345"/>
      <c r="DP113" s="345"/>
      <c r="DQ113" s="345"/>
      <c r="DR113" s="345"/>
      <c r="DS113" s="345"/>
      <c r="DT113" s="345"/>
      <c r="DU113" s="345"/>
      <c r="DV113" s="345"/>
      <c r="DW113" s="345"/>
      <c r="DX113" s="345"/>
      <c r="DY113" s="345"/>
      <c r="DZ113" s="345"/>
      <c r="EA113" s="345"/>
    </row>
    <row r="114" spans="1:131" hidden="1">
      <c r="A114" s="345"/>
      <c r="B114" s="345"/>
      <c r="C114" s="345"/>
      <c r="D114" s="345"/>
      <c r="E114" s="345"/>
      <c r="F114" s="345"/>
      <c r="G114" s="345"/>
      <c r="H114" s="345"/>
      <c r="I114" s="345"/>
      <c r="J114" s="345"/>
      <c r="K114" s="345"/>
      <c r="L114" s="345"/>
      <c r="M114" s="345"/>
      <c r="N114" s="345"/>
      <c r="O114" s="345"/>
      <c r="P114" s="345"/>
      <c r="Q114" s="345"/>
      <c r="R114" s="345"/>
      <c r="S114" s="345"/>
      <c r="T114" s="345"/>
      <c r="U114" s="345"/>
      <c r="V114" s="345"/>
      <c r="W114" s="345"/>
      <c r="X114" s="345"/>
      <c r="Y114" s="345"/>
      <c r="Z114" s="345"/>
      <c r="AA114" s="345"/>
      <c r="AB114" s="345"/>
      <c r="AC114" s="345"/>
      <c r="AD114" s="345"/>
      <c r="AE114" s="345"/>
      <c r="AF114" s="345"/>
      <c r="AG114" s="345"/>
      <c r="AH114" s="345"/>
      <c r="AI114" s="345"/>
      <c r="AJ114" s="345"/>
      <c r="AK114" s="345"/>
      <c r="AL114" s="345"/>
      <c r="AM114" s="345"/>
      <c r="AN114" s="345"/>
      <c r="AO114" s="345"/>
      <c r="AP114" s="345"/>
      <c r="AQ114" s="345"/>
      <c r="AR114" s="345"/>
      <c r="AS114" s="345"/>
      <c r="AT114" s="345"/>
      <c r="AU114" s="345"/>
      <c r="AV114" s="345"/>
      <c r="AW114" s="345"/>
      <c r="AX114" s="345"/>
      <c r="AY114" s="345"/>
      <c r="AZ114" s="345"/>
      <c r="BA114" s="345"/>
      <c r="BB114" s="345"/>
      <c r="BC114" s="345"/>
      <c r="BD114" s="345"/>
      <c r="BE114" s="345"/>
      <c r="BF114" s="345"/>
      <c r="BG114" s="345"/>
      <c r="BH114" s="345"/>
      <c r="BI114" s="345"/>
      <c r="BJ114" s="345"/>
      <c r="BK114" s="345"/>
      <c r="BL114" s="345"/>
      <c r="BM114" s="345"/>
      <c r="BN114" s="345"/>
      <c r="BO114" s="345"/>
      <c r="BP114" s="345"/>
      <c r="BQ114" s="345"/>
      <c r="BR114" s="345"/>
      <c r="BS114" s="345"/>
      <c r="BT114" s="345"/>
      <c r="BU114" s="345"/>
      <c r="BV114" s="345"/>
      <c r="BW114" s="345"/>
      <c r="BX114" s="345"/>
      <c r="BY114" s="345"/>
      <c r="BZ114" s="345"/>
      <c r="CA114" s="345"/>
      <c r="CB114" s="345"/>
      <c r="CC114" s="345"/>
      <c r="CD114" s="345"/>
      <c r="CE114" s="345"/>
      <c r="CF114" s="345"/>
      <c r="CG114" s="345"/>
      <c r="CH114" s="345"/>
      <c r="CI114" s="345"/>
      <c r="CJ114" s="345"/>
      <c r="CK114" s="345"/>
      <c r="CL114" s="345"/>
      <c r="CM114" s="345"/>
      <c r="CN114" s="345"/>
      <c r="CO114" s="345"/>
      <c r="CP114" s="345"/>
      <c r="CQ114" s="345"/>
      <c r="CR114" s="345"/>
      <c r="CS114" s="345"/>
      <c r="CT114" s="345"/>
      <c r="CU114" s="345"/>
      <c r="CV114" s="345"/>
      <c r="CW114" s="345"/>
      <c r="CX114" s="345"/>
      <c r="CY114" s="345"/>
      <c r="CZ114" s="345"/>
      <c r="DA114" s="345"/>
      <c r="DB114" s="345"/>
      <c r="DC114" s="345"/>
      <c r="DD114" s="345"/>
      <c r="DE114" s="345"/>
      <c r="DF114" s="345"/>
      <c r="DG114" s="345"/>
      <c r="DH114" s="345"/>
      <c r="DI114" s="345"/>
      <c r="DJ114" s="345"/>
      <c r="DK114" s="345"/>
      <c r="DL114" s="345"/>
      <c r="DM114" s="345"/>
      <c r="DN114" s="345"/>
      <c r="DO114" s="345"/>
      <c r="DP114" s="345"/>
      <c r="DQ114" s="345"/>
      <c r="DR114" s="345"/>
      <c r="DS114" s="345"/>
      <c r="DT114" s="345"/>
      <c r="DU114" s="345"/>
      <c r="DV114" s="345"/>
      <c r="DW114" s="345"/>
      <c r="DX114" s="345"/>
      <c r="DY114" s="345"/>
      <c r="DZ114" s="345"/>
      <c r="EA114" s="345"/>
    </row>
    <row r="115" spans="1:131" hidden="1">
      <c r="A115" s="345"/>
      <c r="B115" s="345"/>
      <c r="C115" s="345"/>
      <c r="D115" s="345"/>
      <c r="E115" s="345"/>
      <c r="F115" s="345"/>
      <c r="G115" s="345"/>
      <c r="H115" s="345"/>
      <c r="I115" s="345"/>
      <c r="J115" s="345"/>
      <c r="K115" s="345"/>
      <c r="L115" s="345"/>
      <c r="M115" s="345"/>
      <c r="N115" s="345"/>
      <c r="O115" s="345"/>
      <c r="P115" s="345"/>
      <c r="Q115" s="345"/>
      <c r="R115" s="345"/>
      <c r="S115" s="345"/>
      <c r="T115" s="345"/>
      <c r="U115" s="345"/>
      <c r="V115" s="345"/>
      <c r="W115" s="345"/>
      <c r="X115" s="345"/>
      <c r="Y115" s="345"/>
      <c r="Z115" s="345"/>
      <c r="AA115" s="345"/>
      <c r="AB115" s="345"/>
      <c r="AC115" s="345"/>
      <c r="AD115" s="345"/>
      <c r="AE115" s="345"/>
      <c r="AF115" s="345"/>
      <c r="AG115" s="345"/>
      <c r="AH115" s="345"/>
      <c r="AI115" s="345"/>
      <c r="AJ115" s="345"/>
      <c r="AK115" s="345"/>
      <c r="AL115" s="345"/>
      <c r="AM115" s="345"/>
      <c r="AN115" s="345"/>
      <c r="AO115" s="345"/>
      <c r="AP115" s="345"/>
      <c r="AQ115" s="345"/>
      <c r="AR115" s="345"/>
      <c r="AS115" s="345"/>
      <c r="AT115" s="345"/>
      <c r="AU115" s="345"/>
      <c r="AV115" s="345"/>
      <c r="AW115" s="345"/>
      <c r="AX115" s="345"/>
      <c r="AY115" s="345"/>
      <c r="AZ115" s="345"/>
      <c r="BA115" s="345"/>
      <c r="BB115" s="345"/>
      <c r="BC115" s="345"/>
      <c r="BD115" s="345"/>
      <c r="BE115" s="345"/>
      <c r="BF115" s="345"/>
      <c r="BG115" s="345"/>
      <c r="BH115" s="345"/>
      <c r="BI115" s="345"/>
      <c r="BJ115" s="345"/>
      <c r="BK115" s="345"/>
      <c r="BL115" s="345"/>
      <c r="BM115" s="345"/>
      <c r="BN115" s="345"/>
      <c r="BO115" s="345"/>
      <c r="BP115" s="345"/>
      <c r="BQ115" s="345"/>
      <c r="BR115" s="345"/>
      <c r="BS115" s="345"/>
      <c r="BT115" s="345"/>
      <c r="BU115" s="345"/>
      <c r="BV115" s="345"/>
      <c r="BW115" s="345"/>
      <c r="BX115" s="345"/>
      <c r="BY115" s="345"/>
      <c r="BZ115" s="345"/>
      <c r="CA115" s="345"/>
      <c r="CB115" s="345"/>
      <c r="CC115" s="345"/>
      <c r="CD115" s="345"/>
      <c r="CE115" s="345"/>
      <c r="CF115" s="345"/>
      <c r="CG115" s="345"/>
      <c r="CH115" s="345"/>
      <c r="CI115" s="345"/>
      <c r="CJ115" s="345"/>
      <c r="CK115" s="345"/>
      <c r="CL115" s="345"/>
      <c r="CM115" s="345"/>
      <c r="CN115" s="345"/>
      <c r="CO115" s="345"/>
      <c r="CP115" s="345"/>
      <c r="CQ115" s="345"/>
      <c r="CR115" s="345"/>
      <c r="CS115" s="345"/>
      <c r="CT115" s="345"/>
      <c r="CU115" s="345"/>
      <c r="CV115" s="345"/>
      <c r="CW115" s="345"/>
      <c r="CX115" s="345"/>
      <c r="CY115" s="345"/>
      <c r="CZ115" s="345"/>
      <c r="DA115" s="345"/>
      <c r="DB115" s="345"/>
      <c r="DC115" s="345"/>
      <c r="DD115" s="345"/>
      <c r="DE115" s="345"/>
      <c r="DF115" s="345"/>
      <c r="DG115" s="345"/>
      <c r="DH115" s="345"/>
      <c r="DI115" s="345"/>
      <c r="DJ115" s="345"/>
      <c r="DK115" s="345"/>
      <c r="DL115" s="345"/>
      <c r="DM115" s="345"/>
      <c r="DN115" s="345"/>
      <c r="DO115" s="345"/>
      <c r="DP115" s="345"/>
      <c r="DQ115" s="345"/>
      <c r="DR115" s="345"/>
      <c r="DS115" s="345"/>
      <c r="DT115" s="345"/>
      <c r="DU115" s="345"/>
      <c r="DV115" s="345"/>
      <c r="DW115" s="345"/>
      <c r="DX115" s="345"/>
      <c r="DY115" s="345"/>
      <c r="DZ115" s="345"/>
      <c r="EA115" s="345"/>
    </row>
    <row r="116" spans="1:131" hidden="1">
      <c r="A116" s="345"/>
      <c r="B116" s="345"/>
      <c r="C116" s="345"/>
      <c r="D116" s="345"/>
      <c r="E116" s="345"/>
      <c r="F116" s="345"/>
      <c r="G116" s="345"/>
      <c r="H116" s="345"/>
      <c r="I116" s="345"/>
      <c r="J116" s="345"/>
      <c r="K116" s="345"/>
      <c r="L116" s="345"/>
      <c r="M116" s="345"/>
      <c r="N116" s="345"/>
      <c r="O116" s="345"/>
      <c r="P116" s="345"/>
      <c r="Q116" s="345"/>
      <c r="R116" s="345"/>
      <c r="S116" s="345"/>
      <c r="T116" s="345"/>
      <c r="U116" s="345"/>
      <c r="V116" s="345"/>
      <c r="W116" s="345"/>
      <c r="X116" s="345"/>
      <c r="Y116" s="345"/>
      <c r="Z116" s="345"/>
      <c r="AA116" s="345"/>
      <c r="AB116" s="345"/>
      <c r="AC116" s="345"/>
      <c r="AD116" s="345"/>
      <c r="AE116" s="345"/>
      <c r="AF116" s="345"/>
      <c r="AG116" s="345"/>
      <c r="AH116" s="345"/>
      <c r="AI116" s="345"/>
      <c r="AJ116" s="345"/>
      <c r="AK116" s="345"/>
      <c r="AL116" s="345"/>
      <c r="AM116" s="345"/>
      <c r="AN116" s="345"/>
      <c r="AO116" s="345"/>
      <c r="AP116" s="345"/>
      <c r="AQ116" s="345"/>
      <c r="AR116" s="345"/>
      <c r="AS116" s="345"/>
      <c r="AT116" s="345"/>
      <c r="AU116" s="345"/>
      <c r="AV116" s="345"/>
      <c r="AW116" s="345"/>
      <c r="AX116" s="345"/>
      <c r="AY116" s="345"/>
      <c r="AZ116" s="345"/>
      <c r="BA116" s="345"/>
      <c r="BB116" s="345"/>
      <c r="BC116" s="345"/>
      <c r="BD116" s="345"/>
      <c r="BE116" s="345"/>
      <c r="BF116" s="345"/>
      <c r="BG116" s="345"/>
      <c r="BH116" s="345"/>
      <c r="BI116" s="345"/>
      <c r="BJ116" s="345"/>
      <c r="BK116" s="345"/>
      <c r="BL116" s="345"/>
      <c r="BM116" s="345"/>
      <c r="BN116" s="345"/>
      <c r="BO116" s="345"/>
      <c r="BP116" s="345"/>
      <c r="BQ116" s="345"/>
      <c r="BR116" s="345"/>
      <c r="BS116" s="345"/>
      <c r="BT116" s="345"/>
      <c r="BU116" s="345"/>
      <c r="BV116" s="345"/>
      <c r="BW116" s="345"/>
      <c r="BX116" s="345"/>
      <c r="BY116" s="345"/>
      <c r="BZ116" s="345"/>
      <c r="CA116" s="345"/>
      <c r="CB116" s="345"/>
      <c r="CC116" s="345"/>
      <c r="CD116" s="345"/>
      <c r="CE116" s="345"/>
      <c r="CF116" s="345"/>
      <c r="CG116" s="345"/>
      <c r="CH116" s="345"/>
      <c r="CI116" s="345"/>
      <c r="CJ116" s="345"/>
      <c r="CK116" s="345"/>
      <c r="CL116" s="345"/>
      <c r="CM116" s="345"/>
      <c r="CN116" s="345"/>
      <c r="CO116" s="345"/>
      <c r="CP116" s="345"/>
      <c r="CQ116" s="345"/>
      <c r="CR116" s="345"/>
      <c r="CS116" s="345"/>
      <c r="CT116" s="345"/>
      <c r="CU116" s="345"/>
      <c r="CV116" s="345"/>
      <c r="CW116" s="345"/>
      <c r="CX116" s="345"/>
      <c r="CY116" s="345"/>
      <c r="CZ116" s="345"/>
      <c r="DA116" s="345"/>
      <c r="DB116" s="345"/>
      <c r="DC116" s="345"/>
      <c r="DD116" s="345"/>
      <c r="DE116" s="345"/>
      <c r="DF116" s="345"/>
      <c r="DG116" s="345"/>
      <c r="DH116" s="345"/>
      <c r="DI116" s="345"/>
      <c r="DJ116" s="345"/>
      <c r="DK116" s="345"/>
      <c r="DL116" s="345"/>
      <c r="DM116" s="345"/>
      <c r="DN116" s="345"/>
      <c r="DO116" s="345"/>
      <c r="DP116" s="345"/>
      <c r="DQ116" s="345"/>
      <c r="DR116" s="345"/>
      <c r="DS116" s="345"/>
      <c r="DT116" s="345"/>
      <c r="DU116" s="345"/>
      <c r="DV116" s="345"/>
      <c r="DW116" s="345"/>
      <c r="DX116" s="345"/>
      <c r="DY116" s="345"/>
      <c r="DZ116" s="345"/>
      <c r="EA116" s="345"/>
    </row>
    <row r="117" spans="1:131" hidden="1">
      <c r="A117" s="345"/>
      <c r="B117" s="345"/>
      <c r="C117" s="345"/>
      <c r="D117" s="345"/>
      <c r="E117" s="345"/>
      <c r="F117" s="345"/>
      <c r="G117" s="345"/>
      <c r="H117" s="345"/>
      <c r="I117" s="345"/>
      <c r="J117" s="345"/>
      <c r="K117" s="345"/>
      <c r="L117" s="345"/>
      <c r="M117" s="345"/>
      <c r="N117" s="345"/>
      <c r="O117" s="345"/>
      <c r="P117" s="345"/>
      <c r="Q117" s="345"/>
      <c r="R117" s="345"/>
      <c r="S117" s="345"/>
      <c r="T117" s="345"/>
      <c r="U117" s="345"/>
      <c r="V117" s="345"/>
      <c r="W117" s="345"/>
      <c r="X117" s="345"/>
      <c r="Y117" s="345"/>
      <c r="Z117" s="345"/>
      <c r="AA117" s="345"/>
      <c r="AB117" s="345"/>
      <c r="AC117" s="345"/>
      <c r="AD117" s="345"/>
      <c r="AE117" s="345"/>
      <c r="AF117" s="345"/>
      <c r="AG117" s="345"/>
      <c r="AH117" s="345"/>
      <c r="AI117" s="345"/>
      <c r="AJ117" s="345"/>
      <c r="AK117" s="345"/>
      <c r="AL117" s="345"/>
      <c r="AM117" s="345"/>
      <c r="AN117" s="345"/>
      <c r="AO117" s="345"/>
      <c r="AP117" s="345"/>
      <c r="AQ117" s="345"/>
      <c r="AR117" s="345"/>
      <c r="AS117" s="345"/>
      <c r="AT117" s="345"/>
      <c r="AU117" s="345"/>
      <c r="AV117" s="345"/>
      <c r="AW117" s="345"/>
      <c r="AX117" s="345"/>
      <c r="AY117" s="345"/>
      <c r="AZ117" s="345"/>
      <c r="BA117" s="345"/>
      <c r="BB117" s="345"/>
      <c r="BC117" s="345"/>
      <c r="BD117" s="345"/>
      <c r="BE117" s="345"/>
      <c r="BF117" s="345"/>
      <c r="BG117" s="345"/>
      <c r="BH117" s="345"/>
      <c r="BI117" s="345"/>
      <c r="BJ117" s="345"/>
      <c r="BK117" s="345"/>
      <c r="BL117" s="345"/>
      <c r="BM117" s="345"/>
      <c r="BN117" s="345"/>
      <c r="BO117" s="345"/>
      <c r="BP117" s="345"/>
      <c r="BQ117" s="345"/>
      <c r="BR117" s="345"/>
      <c r="BS117" s="345"/>
      <c r="BT117" s="345"/>
      <c r="BU117" s="345"/>
      <c r="BV117" s="345"/>
      <c r="BW117" s="345"/>
      <c r="BX117" s="345"/>
      <c r="BY117" s="345"/>
      <c r="BZ117" s="345"/>
      <c r="CA117" s="345"/>
      <c r="CB117" s="345"/>
      <c r="CC117" s="345"/>
      <c r="CD117" s="345"/>
      <c r="CE117" s="345"/>
      <c r="CF117" s="345"/>
      <c r="CG117" s="345"/>
      <c r="CH117" s="345"/>
      <c r="CI117" s="345"/>
      <c r="CJ117" s="345"/>
      <c r="CK117" s="345"/>
      <c r="CL117" s="345"/>
      <c r="CM117" s="345"/>
      <c r="CN117" s="345"/>
      <c r="CO117" s="345"/>
      <c r="CP117" s="345"/>
      <c r="CQ117" s="345"/>
      <c r="CR117" s="345"/>
      <c r="CS117" s="345"/>
      <c r="CT117" s="345"/>
      <c r="CU117" s="345"/>
      <c r="CV117" s="345"/>
      <c r="CW117" s="345"/>
      <c r="CX117" s="345"/>
      <c r="CY117" s="345"/>
      <c r="CZ117" s="345"/>
      <c r="DA117" s="345"/>
      <c r="DB117" s="345"/>
      <c r="DC117" s="345"/>
      <c r="DD117" s="345"/>
      <c r="DE117" s="345"/>
      <c r="DF117" s="345"/>
      <c r="DG117" s="345"/>
      <c r="DH117" s="345"/>
      <c r="DI117" s="345"/>
      <c r="DJ117" s="345"/>
      <c r="DK117" s="345"/>
      <c r="DL117" s="345"/>
      <c r="DM117" s="345"/>
      <c r="DN117" s="345"/>
      <c r="DO117" s="345"/>
      <c r="DP117" s="345"/>
      <c r="DQ117" s="345"/>
      <c r="DR117" s="345"/>
      <c r="DS117" s="345"/>
      <c r="DT117" s="345"/>
      <c r="DU117" s="345"/>
      <c r="DV117" s="345"/>
      <c r="DW117" s="345"/>
      <c r="DX117" s="345"/>
      <c r="DY117" s="345"/>
      <c r="DZ117" s="345"/>
      <c r="EA117" s="345"/>
    </row>
    <row r="118" spans="1:131" hidden="1">
      <c r="A118" s="345"/>
      <c r="B118" s="345"/>
      <c r="C118" s="345"/>
      <c r="D118" s="345"/>
      <c r="E118" s="345"/>
      <c r="F118" s="345"/>
      <c r="G118" s="345"/>
      <c r="H118" s="345"/>
      <c r="I118" s="345"/>
      <c r="J118" s="345"/>
      <c r="K118" s="345"/>
      <c r="L118" s="345"/>
      <c r="M118" s="345"/>
      <c r="N118" s="345"/>
      <c r="O118" s="345"/>
      <c r="P118" s="345"/>
      <c r="Q118" s="345"/>
      <c r="R118" s="345"/>
      <c r="S118" s="345"/>
      <c r="T118" s="345"/>
      <c r="U118" s="345"/>
      <c r="V118" s="345"/>
      <c r="W118" s="345"/>
      <c r="X118" s="345"/>
      <c r="Y118" s="345"/>
      <c r="Z118" s="345"/>
      <c r="AA118" s="345"/>
      <c r="AB118" s="345"/>
      <c r="AC118" s="345"/>
      <c r="AD118" s="345"/>
      <c r="AE118" s="345"/>
      <c r="AF118" s="345"/>
      <c r="AG118" s="345"/>
      <c r="AH118" s="345"/>
      <c r="AI118" s="345"/>
      <c r="AJ118" s="345"/>
      <c r="AK118" s="345"/>
      <c r="AL118" s="345"/>
      <c r="AM118" s="345"/>
      <c r="AN118" s="345"/>
      <c r="AO118" s="345"/>
      <c r="AP118" s="345"/>
      <c r="AQ118" s="345"/>
      <c r="AR118" s="345"/>
      <c r="AS118" s="345"/>
      <c r="AT118" s="345"/>
      <c r="AU118" s="345"/>
      <c r="AV118" s="345"/>
      <c r="AW118" s="345"/>
      <c r="AX118" s="345"/>
      <c r="AY118" s="345"/>
      <c r="AZ118" s="345"/>
      <c r="BA118" s="345"/>
      <c r="BB118" s="345"/>
      <c r="BC118" s="345"/>
      <c r="BD118" s="345"/>
      <c r="BE118" s="345"/>
      <c r="BF118" s="345"/>
      <c r="BG118" s="345"/>
      <c r="BH118" s="345"/>
      <c r="BI118" s="345"/>
      <c r="BJ118" s="345"/>
      <c r="BK118" s="345"/>
      <c r="BL118" s="345"/>
      <c r="BM118" s="345"/>
      <c r="BN118" s="345"/>
      <c r="BO118" s="345"/>
      <c r="BP118" s="345"/>
      <c r="BQ118" s="345"/>
      <c r="BR118" s="345"/>
      <c r="BS118" s="345"/>
      <c r="BT118" s="345"/>
      <c r="BU118" s="345"/>
      <c r="BV118" s="345"/>
      <c r="BW118" s="345"/>
      <c r="BX118" s="345"/>
      <c r="BY118" s="345"/>
      <c r="BZ118" s="345"/>
      <c r="CA118" s="345"/>
      <c r="CB118" s="345"/>
      <c r="CC118" s="345"/>
      <c r="CD118" s="345"/>
      <c r="CE118" s="345"/>
      <c r="CF118" s="345"/>
      <c r="CG118" s="345"/>
      <c r="CH118" s="345"/>
      <c r="CI118" s="345"/>
      <c r="CJ118" s="345"/>
      <c r="CK118" s="345"/>
      <c r="CL118" s="345"/>
      <c r="CM118" s="345"/>
      <c r="CN118" s="345"/>
      <c r="CO118" s="345"/>
      <c r="CP118" s="345"/>
      <c r="CQ118" s="345"/>
      <c r="CR118" s="345"/>
      <c r="CS118" s="345"/>
      <c r="CT118" s="345"/>
      <c r="CU118" s="345"/>
      <c r="CV118" s="345"/>
      <c r="CW118" s="345"/>
      <c r="CX118" s="345"/>
      <c r="CY118" s="345"/>
      <c r="CZ118" s="345"/>
      <c r="DA118" s="345"/>
      <c r="DB118" s="345"/>
      <c r="DC118" s="345"/>
      <c r="DD118" s="345"/>
      <c r="DE118" s="345"/>
      <c r="DF118" s="345"/>
      <c r="DG118" s="345"/>
      <c r="DH118" s="345"/>
      <c r="DI118" s="345"/>
      <c r="DJ118" s="345"/>
      <c r="DK118" s="345"/>
      <c r="DL118" s="345"/>
      <c r="DM118" s="345"/>
      <c r="DN118" s="345"/>
      <c r="DO118" s="345"/>
      <c r="DP118" s="345"/>
      <c r="DQ118" s="345"/>
      <c r="DR118" s="345"/>
      <c r="DS118" s="345"/>
      <c r="DT118" s="345"/>
      <c r="DU118" s="345"/>
      <c r="DV118" s="345"/>
      <c r="DW118" s="345"/>
      <c r="DX118" s="345"/>
      <c r="DY118" s="345"/>
      <c r="DZ118" s="345"/>
      <c r="EA118" s="345"/>
    </row>
    <row r="119" spans="1:131" hidden="1">
      <c r="A119" s="345"/>
      <c r="B119" s="345"/>
      <c r="C119" s="345"/>
      <c r="D119" s="345"/>
      <c r="E119" s="345"/>
      <c r="F119" s="345"/>
      <c r="G119" s="345"/>
      <c r="H119" s="345"/>
      <c r="I119" s="345"/>
      <c r="J119" s="345"/>
      <c r="K119" s="345"/>
      <c r="L119" s="345"/>
      <c r="M119" s="345"/>
      <c r="N119" s="345"/>
      <c r="O119" s="345"/>
      <c r="P119" s="345"/>
      <c r="Q119" s="345"/>
      <c r="R119" s="345"/>
      <c r="S119" s="345"/>
      <c r="T119" s="345"/>
      <c r="U119" s="345"/>
      <c r="V119" s="345"/>
      <c r="W119" s="345"/>
      <c r="X119" s="345"/>
      <c r="Y119" s="345"/>
      <c r="Z119" s="345"/>
      <c r="AA119" s="345"/>
      <c r="AB119" s="345"/>
      <c r="AC119" s="345"/>
      <c r="AD119" s="345"/>
      <c r="AE119" s="345"/>
      <c r="AF119" s="345"/>
      <c r="AG119" s="345"/>
      <c r="AH119" s="345"/>
      <c r="AI119" s="345"/>
      <c r="AJ119" s="345"/>
      <c r="AK119" s="345"/>
      <c r="AL119" s="345"/>
      <c r="AM119" s="345"/>
      <c r="AN119" s="345"/>
      <c r="AO119" s="345"/>
      <c r="AP119" s="345"/>
      <c r="AQ119" s="345"/>
      <c r="AR119" s="345"/>
      <c r="AS119" s="345"/>
      <c r="AT119" s="345"/>
      <c r="AU119" s="345"/>
      <c r="AV119" s="345"/>
      <c r="AW119" s="345"/>
      <c r="AX119" s="345"/>
      <c r="AY119" s="345"/>
      <c r="AZ119" s="345"/>
      <c r="BA119" s="345"/>
      <c r="BB119" s="345"/>
      <c r="BC119" s="345"/>
      <c r="BD119" s="345"/>
      <c r="BE119" s="345"/>
      <c r="BF119" s="345"/>
      <c r="BG119" s="345"/>
      <c r="BH119" s="345"/>
      <c r="BI119" s="345"/>
      <c r="BJ119" s="345"/>
      <c r="BK119" s="345"/>
      <c r="BL119" s="345"/>
      <c r="BM119" s="345"/>
      <c r="BN119" s="345"/>
      <c r="BO119" s="345"/>
      <c r="BP119" s="345"/>
      <c r="BQ119" s="345"/>
      <c r="BR119" s="345"/>
      <c r="BS119" s="345"/>
      <c r="BT119" s="345"/>
      <c r="BU119" s="345"/>
      <c r="BV119" s="345"/>
      <c r="BW119" s="345"/>
      <c r="BX119" s="345"/>
      <c r="BY119" s="345"/>
      <c r="BZ119" s="345"/>
      <c r="CA119" s="345"/>
      <c r="CB119" s="345"/>
      <c r="CC119" s="345"/>
      <c r="CD119" s="345"/>
      <c r="CE119" s="345"/>
      <c r="CF119" s="345"/>
      <c r="CG119" s="345"/>
      <c r="CH119" s="345"/>
      <c r="CI119" s="345"/>
      <c r="CJ119" s="345"/>
      <c r="CK119" s="345"/>
      <c r="CL119" s="345"/>
      <c r="CM119" s="345"/>
      <c r="CN119" s="345"/>
      <c r="CO119" s="345"/>
      <c r="CP119" s="345"/>
      <c r="CQ119" s="345"/>
      <c r="CR119" s="345"/>
      <c r="CS119" s="345"/>
      <c r="CT119" s="345"/>
      <c r="CU119" s="345"/>
      <c r="CV119" s="345"/>
      <c r="CW119" s="345"/>
      <c r="CX119" s="345"/>
      <c r="CY119" s="345"/>
      <c r="CZ119" s="345"/>
      <c r="DA119" s="345"/>
      <c r="DB119" s="345"/>
      <c r="DC119" s="345"/>
      <c r="DD119" s="345"/>
      <c r="DE119" s="345"/>
      <c r="DF119" s="345"/>
      <c r="DG119" s="345"/>
      <c r="DH119" s="345"/>
      <c r="DI119" s="345"/>
      <c r="DJ119" s="345"/>
      <c r="DK119" s="345"/>
      <c r="DL119" s="345"/>
      <c r="DM119" s="345"/>
      <c r="DN119" s="345"/>
      <c r="DO119" s="345"/>
      <c r="DP119" s="345"/>
      <c r="DQ119" s="345"/>
      <c r="DR119" s="345"/>
      <c r="DS119" s="345"/>
      <c r="DT119" s="345"/>
      <c r="DU119" s="345"/>
      <c r="DV119" s="345"/>
      <c r="DW119" s="345"/>
      <c r="DX119" s="345"/>
      <c r="DY119" s="345"/>
      <c r="DZ119" s="345"/>
      <c r="EA119" s="345"/>
    </row>
    <row r="120" spans="1:131" hidden="1">
      <c r="A120" s="345"/>
      <c r="B120" s="345"/>
      <c r="C120" s="345"/>
      <c r="D120" s="345"/>
      <c r="E120" s="345"/>
      <c r="F120" s="345"/>
      <c r="G120" s="345"/>
      <c r="H120" s="345"/>
      <c r="I120" s="345"/>
      <c r="J120" s="345"/>
      <c r="K120" s="345"/>
      <c r="L120" s="345"/>
      <c r="M120" s="345"/>
      <c r="N120" s="345"/>
      <c r="O120" s="345"/>
      <c r="P120" s="345"/>
      <c r="Q120" s="345"/>
      <c r="R120" s="345"/>
      <c r="S120" s="345"/>
      <c r="T120" s="345"/>
      <c r="U120" s="345"/>
      <c r="V120" s="345"/>
      <c r="W120" s="345"/>
      <c r="X120" s="345"/>
      <c r="Y120" s="345"/>
      <c r="Z120" s="345"/>
      <c r="AA120" s="345"/>
      <c r="AB120" s="345"/>
      <c r="AC120" s="345"/>
      <c r="AD120" s="345"/>
      <c r="AE120" s="345"/>
      <c r="AF120" s="345"/>
      <c r="AG120" s="345"/>
      <c r="AH120" s="345"/>
      <c r="AI120" s="345"/>
      <c r="AJ120" s="345"/>
      <c r="AK120" s="345"/>
      <c r="AL120" s="345"/>
      <c r="AM120" s="345"/>
      <c r="AN120" s="345"/>
      <c r="AO120" s="345"/>
      <c r="AP120" s="345"/>
      <c r="AQ120" s="345"/>
      <c r="AR120" s="345"/>
      <c r="AS120" s="345"/>
      <c r="AT120" s="345"/>
      <c r="AU120" s="345"/>
      <c r="AV120" s="345"/>
      <c r="AW120" s="345"/>
      <c r="AX120" s="345"/>
      <c r="AY120" s="345"/>
      <c r="AZ120" s="345"/>
      <c r="BA120" s="345"/>
      <c r="BB120" s="345"/>
      <c r="BC120" s="345"/>
      <c r="BD120" s="345"/>
      <c r="BE120" s="345"/>
      <c r="BF120" s="345"/>
      <c r="BG120" s="345"/>
      <c r="BH120" s="345"/>
      <c r="BI120" s="345"/>
      <c r="BJ120" s="345"/>
      <c r="BK120" s="345"/>
      <c r="BL120" s="345"/>
      <c r="BM120" s="345"/>
      <c r="BN120" s="345"/>
      <c r="BO120" s="345"/>
      <c r="BP120" s="345"/>
      <c r="BQ120" s="345"/>
      <c r="BR120" s="345"/>
      <c r="BS120" s="345"/>
      <c r="BT120" s="345"/>
      <c r="BU120" s="345"/>
      <c r="BV120" s="345"/>
      <c r="BW120" s="345"/>
      <c r="BX120" s="345"/>
      <c r="BY120" s="345"/>
      <c r="BZ120" s="345"/>
      <c r="CA120" s="345"/>
      <c r="CB120" s="345"/>
      <c r="CC120" s="345"/>
      <c r="CD120" s="345"/>
      <c r="CE120" s="345"/>
      <c r="CF120" s="345"/>
      <c r="CG120" s="345"/>
      <c r="CH120" s="345"/>
      <c r="CI120" s="345"/>
      <c r="CJ120" s="345"/>
      <c r="CK120" s="345"/>
      <c r="CL120" s="345"/>
      <c r="CM120" s="345"/>
      <c r="CN120" s="345"/>
      <c r="CO120" s="345"/>
      <c r="CP120" s="345"/>
      <c r="CQ120" s="345"/>
      <c r="CR120" s="345"/>
      <c r="CS120" s="345"/>
      <c r="CT120" s="345"/>
      <c r="CU120" s="345"/>
      <c r="CV120" s="345"/>
      <c r="CW120" s="345"/>
      <c r="CX120" s="345"/>
      <c r="CY120" s="345"/>
      <c r="CZ120" s="345"/>
      <c r="DA120" s="345"/>
      <c r="DB120" s="345"/>
      <c r="DC120" s="345"/>
      <c r="DD120" s="345"/>
      <c r="DE120" s="345"/>
      <c r="DF120" s="345"/>
      <c r="DG120" s="345"/>
      <c r="DH120" s="345"/>
      <c r="DI120" s="345"/>
      <c r="DJ120" s="345"/>
      <c r="DK120" s="345"/>
      <c r="DL120" s="345"/>
      <c r="DM120" s="345"/>
      <c r="DN120" s="345"/>
      <c r="DO120" s="345"/>
      <c r="DP120" s="345"/>
      <c r="DQ120" s="345"/>
      <c r="DR120" s="345"/>
      <c r="DS120" s="345"/>
      <c r="DT120" s="345"/>
      <c r="DU120" s="345"/>
      <c r="DV120" s="345"/>
      <c r="DW120" s="345"/>
      <c r="DX120" s="345"/>
      <c r="DY120" s="345"/>
      <c r="DZ120" s="345"/>
      <c r="EA120" s="345"/>
    </row>
    <row r="121" spans="1:131" hidden="1">
      <c r="A121" s="345"/>
      <c r="B121" s="345"/>
      <c r="C121" s="345"/>
      <c r="D121" s="345"/>
      <c r="E121" s="345"/>
      <c r="F121" s="345"/>
      <c r="G121" s="345"/>
      <c r="H121" s="345"/>
      <c r="I121" s="345"/>
      <c r="J121" s="345"/>
      <c r="K121" s="345"/>
      <c r="L121" s="345"/>
      <c r="M121" s="345"/>
      <c r="N121" s="345"/>
      <c r="O121" s="345"/>
      <c r="P121" s="345"/>
      <c r="Q121" s="345"/>
      <c r="R121" s="345"/>
      <c r="S121" s="345"/>
      <c r="T121" s="345"/>
      <c r="U121" s="345"/>
      <c r="V121" s="345"/>
      <c r="W121" s="345"/>
      <c r="X121" s="345"/>
      <c r="Y121" s="345"/>
      <c r="Z121" s="345"/>
      <c r="AA121" s="345"/>
      <c r="AB121" s="345"/>
      <c r="AC121" s="345"/>
      <c r="AD121" s="345"/>
      <c r="AE121" s="345"/>
      <c r="AF121" s="345"/>
      <c r="AG121" s="345"/>
      <c r="AH121" s="345"/>
      <c r="AI121" s="345"/>
      <c r="AJ121" s="345"/>
      <c r="AK121" s="345"/>
      <c r="AL121" s="345"/>
      <c r="AM121" s="345"/>
      <c r="AN121" s="345"/>
      <c r="AO121" s="345"/>
      <c r="AP121" s="345"/>
      <c r="AQ121" s="345"/>
      <c r="AR121" s="345"/>
      <c r="AS121" s="345"/>
      <c r="AT121" s="345"/>
      <c r="AU121" s="345"/>
      <c r="AV121" s="345"/>
      <c r="AW121" s="345"/>
      <c r="AX121" s="345"/>
      <c r="AY121" s="345"/>
      <c r="AZ121" s="345"/>
      <c r="BA121" s="345"/>
      <c r="BB121" s="345"/>
      <c r="BC121" s="345"/>
      <c r="BD121" s="345"/>
      <c r="BE121" s="345"/>
      <c r="BF121" s="345"/>
      <c r="BG121" s="345"/>
      <c r="BH121" s="345"/>
      <c r="BI121" s="345"/>
      <c r="BJ121" s="345"/>
      <c r="BK121" s="345"/>
      <c r="BL121" s="345"/>
      <c r="BM121" s="345"/>
      <c r="BN121" s="345"/>
      <c r="BO121" s="345"/>
      <c r="BP121" s="345"/>
      <c r="BQ121" s="345"/>
      <c r="BR121" s="345"/>
      <c r="BS121" s="345"/>
      <c r="BT121" s="345"/>
      <c r="BU121" s="345"/>
      <c r="BV121" s="345"/>
      <c r="BW121" s="345"/>
      <c r="BX121" s="345"/>
      <c r="BY121" s="345"/>
      <c r="BZ121" s="345"/>
      <c r="CA121" s="345"/>
      <c r="CB121" s="345"/>
      <c r="CC121" s="345"/>
      <c r="CD121" s="345"/>
      <c r="CE121" s="345"/>
      <c r="CF121" s="345"/>
      <c r="CG121" s="345"/>
      <c r="CH121" s="345"/>
      <c r="CI121" s="345"/>
      <c r="CJ121" s="345"/>
      <c r="CK121" s="345"/>
      <c r="CL121" s="345"/>
      <c r="CM121" s="345"/>
      <c r="CN121" s="345"/>
      <c r="CO121" s="345"/>
      <c r="CP121" s="345"/>
      <c r="CQ121" s="345"/>
      <c r="CR121" s="345"/>
      <c r="CS121" s="345"/>
      <c r="CT121" s="345"/>
      <c r="CU121" s="345"/>
      <c r="CV121" s="345"/>
      <c r="CW121" s="345"/>
      <c r="CX121" s="345"/>
      <c r="CY121" s="345"/>
      <c r="CZ121" s="345"/>
      <c r="DA121" s="345"/>
      <c r="DB121" s="345"/>
      <c r="DC121" s="345"/>
      <c r="DD121" s="345"/>
      <c r="DE121" s="345"/>
      <c r="DF121" s="345"/>
      <c r="DG121" s="345"/>
      <c r="DH121" s="345"/>
      <c r="DI121" s="345"/>
      <c r="DJ121" s="345"/>
      <c r="DK121" s="345"/>
      <c r="DL121" s="345"/>
      <c r="DM121" s="345"/>
      <c r="DN121" s="345"/>
      <c r="DO121" s="345"/>
      <c r="DP121" s="345"/>
      <c r="DQ121" s="345"/>
      <c r="DR121" s="345"/>
      <c r="DS121" s="345"/>
      <c r="DT121" s="345"/>
      <c r="DU121" s="345"/>
      <c r="DV121" s="345"/>
      <c r="DW121" s="345"/>
      <c r="DX121" s="345"/>
      <c r="DY121" s="345"/>
      <c r="DZ121" s="345"/>
      <c r="EA121" s="345"/>
    </row>
    <row r="122" spans="1:131" hidden="1">
      <c r="A122" s="345"/>
      <c r="B122" s="345"/>
      <c r="C122" s="345"/>
      <c r="D122" s="345"/>
      <c r="E122" s="345"/>
      <c r="F122" s="345"/>
      <c r="G122" s="345"/>
      <c r="H122" s="345"/>
      <c r="I122" s="345"/>
      <c r="J122" s="345"/>
      <c r="K122" s="345"/>
      <c r="L122" s="345"/>
      <c r="M122" s="345"/>
      <c r="N122" s="345"/>
      <c r="O122" s="345"/>
      <c r="P122" s="345"/>
      <c r="Q122" s="345"/>
      <c r="R122" s="345"/>
      <c r="S122" s="345"/>
      <c r="T122" s="345"/>
      <c r="U122" s="345"/>
      <c r="V122" s="345"/>
      <c r="W122" s="345"/>
      <c r="X122" s="345"/>
      <c r="Y122" s="345"/>
      <c r="Z122" s="345"/>
      <c r="AA122" s="345"/>
      <c r="AB122" s="345"/>
      <c r="AC122" s="345"/>
      <c r="AD122" s="345"/>
      <c r="AE122" s="345"/>
      <c r="AF122" s="345"/>
      <c r="AG122" s="345"/>
      <c r="AH122" s="345"/>
      <c r="AI122" s="345"/>
      <c r="AJ122" s="345"/>
      <c r="AK122" s="345"/>
      <c r="AL122" s="345"/>
      <c r="AM122" s="345"/>
      <c r="AN122" s="345"/>
      <c r="AO122" s="345"/>
      <c r="AP122" s="345"/>
      <c r="AQ122" s="345"/>
      <c r="AR122" s="345"/>
      <c r="AS122" s="345"/>
      <c r="AT122" s="345"/>
      <c r="AU122" s="345"/>
      <c r="AV122" s="345"/>
      <c r="AW122" s="345"/>
      <c r="AX122" s="345"/>
      <c r="AY122" s="345"/>
      <c r="AZ122" s="345"/>
      <c r="BA122" s="345"/>
      <c r="BB122" s="345"/>
      <c r="BC122" s="345"/>
      <c r="BD122" s="345"/>
      <c r="BE122" s="345"/>
      <c r="BF122" s="345"/>
      <c r="BG122" s="345"/>
      <c r="BH122" s="345"/>
      <c r="BI122" s="345"/>
      <c r="BJ122" s="345"/>
      <c r="BK122" s="345"/>
      <c r="BL122" s="345"/>
      <c r="BM122" s="345"/>
      <c r="BN122" s="345"/>
      <c r="BO122" s="345"/>
      <c r="BP122" s="345"/>
      <c r="BQ122" s="345"/>
      <c r="BR122" s="345"/>
      <c r="BS122" s="345"/>
      <c r="BT122" s="345"/>
      <c r="BU122" s="345"/>
      <c r="BV122" s="345"/>
      <c r="BW122" s="345"/>
      <c r="BX122" s="345"/>
      <c r="BY122" s="345"/>
      <c r="BZ122" s="345"/>
      <c r="CA122" s="345"/>
      <c r="CB122" s="345"/>
      <c r="CC122" s="345"/>
      <c r="CD122" s="345"/>
      <c r="CE122" s="345"/>
      <c r="CF122" s="345"/>
      <c r="CG122" s="345"/>
      <c r="CH122" s="345"/>
      <c r="CI122" s="345"/>
      <c r="CJ122" s="345"/>
      <c r="CK122" s="345"/>
      <c r="CL122" s="345"/>
      <c r="CM122" s="345"/>
      <c r="CN122" s="345"/>
      <c r="CO122" s="345"/>
      <c r="CP122" s="345"/>
      <c r="CQ122" s="345"/>
      <c r="CR122" s="345"/>
      <c r="CS122" s="345"/>
      <c r="CT122" s="345"/>
      <c r="CU122" s="345"/>
      <c r="CV122" s="345"/>
      <c r="CW122" s="345"/>
      <c r="CX122" s="345"/>
      <c r="CY122" s="345"/>
      <c r="CZ122" s="345"/>
      <c r="DA122" s="345"/>
      <c r="DB122" s="345"/>
      <c r="DC122" s="345"/>
      <c r="DD122" s="345"/>
      <c r="DE122" s="345"/>
      <c r="DF122" s="345"/>
      <c r="DG122" s="345"/>
      <c r="DH122" s="345"/>
      <c r="DI122" s="345"/>
      <c r="DJ122" s="345"/>
      <c r="DK122" s="345"/>
      <c r="DL122" s="345"/>
      <c r="DM122" s="345"/>
      <c r="DN122" s="345"/>
      <c r="DO122" s="345"/>
      <c r="DP122" s="345"/>
      <c r="DQ122" s="345"/>
      <c r="DR122" s="345"/>
      <c r="DS122" s="345"/>
      <c r="DT122" s="345"/>
      <c r="DU122" s="345"/>
      <c r="DV122" s="345"/>
      <c r="DW122" s="345"/>
      <c r="DX122" s="345"/>
      <c r="DY122" s="345"/>
      <c r="DZ122" s="345"/>
      <c r="EA122" s="345"/>
    </row>
    <row r="123" spans="1:131" hidden="1">
      <c r="A123" s="345"/>
      <c r="B123" s="345"/>
      <c r="C123" s="345"/>
      <c r="D123" s="345"/>
      <c r="E123" s="345"/>
      <c r="F123" s="345"/>
      <c r="G123" s="345"/>
      <c r="H123" s="345"/>
      <c r="I123" s="345"/>
      <c r="J123" s="345"/>
      <c r="K123" s="345"/>
      <c r="L123" s="345"/>
      <c r="M123" s="345"/>
      <c r="N123" s="345"/>
      <c r="O123" s="345"/>
      <c r="P123" s="345"/>
      <c r="Q123" s="345"/>
      <c r="R123" s="345"/>
      <c r="S123" s="345"/>
      <c r="T123" s="345"/>
      <c r="U123" s="345"/>
      <c r="V123" s="345"/>
      <c r="W123" s="345"/>
      <c r="X123" s="345"/>
      <c r="Y123" s="345"/>
      <c r="Z123" s="345"/>
      <c r="AA123" s="345"/>
      <c r="AB123" s="345"/>
      <c r="AC123" s="345"/>
      <c r="AD123" s="345"/>
      <c r="AE123" s="345"/>
      <c r="AF123" s="345"/>
      <c r="AG123" s="345"/>
      <c r="AH123" s="345"/>
      <c r="AI123" s="345"/>
      <c r="AJ123" s="345"/>
      <c r="AK123" s="345"/>
      <c r="AL123" s="345"/>
      <c r="AM123" s="345"/>
      <c r="AN123" s="345"/>
      <c r="AO123" s="345"/>
      <c r="AP123" s="345"/>
      <c r="AQ123" s="345"/>
      <c r="AR123" s="345"/>
      <c r="AS123" s="345"/>
      <c r="AT123" s="345"/>
      <c r="AU123" s="345"/>
      <c r="AV123" s="345"/>
      <c r="AW123" s="345"/>
      <c r="AX123" s="345"/>
      <c r="AY123" s="345"/>
      <c r="AZ123" s="345"/>
      <c r="BA123" s="345"/>
      <c r="BB123" s="345"/>
      <c r="BC123" s="345"/>
      <c r="BD123" s="345"/>
      <c r="BE123" s="345"/>
      <c r="BF123" s="345"/>
      <c r="BG123" s="345"/>
      <c r="BH123" s="345"/>
      <c r="BI123" s="345"/>
      <c r="BJ123" s="345"/>
      <c r="BK123" s="345"/>
      <c r="BL123" s="345"/>
      <c r="BM123" s="345"/>
      <c r="BN123" s="345"/>
      <c r="BO123" s="345"/>
      <c r="BP123" s="345"/>
      <c r="BQ123" s="345"/>
      <c r="BR123" s="345"/>
      <c r="BS123" s="345"/>
      <c r="BT123" s="345"/>
      <c r="BU123" s="345"/>
      <c r="BV123" s="345"/>
      <c r="BW123" s="345"/>
      <c r="BX123" s="345"/>
      <c r="BY123" s="345"/>
      <c r="BZ123" s="345"/>
      <c r="CA123" s="345"/>
      <c r="CB123" s="345"/>
      <c r="CC123" s="345"/>
      <c r="CD123" s="345"/>
      <c r="CE123" s="345"/>
      <c r="CF123" s="345"/>
      <c r="CG123" s="345"/>
      <c r="CH123" s="345"/>
      <c r="CI123" s="345"/>
      <c r="CJ123" s="345"/>
      <c r="CK123" s="345"/>
      <c r="CL123" s="345"/>
      <c r="CM123" s="345"/>
      <c r="CN123" s="345"/>
      <c r="CO123" s="345"/>
      <c r="CP123" s="345"/>
      <c r="CQ123" s="345"/>
      <c r="CR123" s="345"/>
      <c r="CS123" s="345"/>
      <c r="CT123" s="345"/>
      <c r="CU123" s="345"/>
      <c r="CV123" s="345"/>
      <c r="CW123" s="345"/>
      <c r="CX123" s="345"/>
      <c r="CY123" s="345"/>
      <c r="CZ123" s="345"/>
      <c r="DA123" s="345"/>
      <c r="DB123" s="345"/>
      <c r="DC123" s="345"/>
      <c r="DD123" s="345"/>
      <c r="DE123" s="345"/>
      <c r="DF123" s="345"/>
      <c r="DG123" s="345"/>
      <c r="DH123" s="345"/>
      <c r="DI123" s="345"/>
      <c r="DJ123" s="345"/>
      <c r="DK123" s="345"/>
      <c r="DL123" s="345"/>
      <c r="DM123" s="345"/>
      <c r="DN123" s="345"/>
      <c r="DO123" s="345"/>
      <c r="DP123" s="345"/>
      <c r="DQ123" s="345"/>
      <c r="DR123" s="345"/>
      <c r="DS123" s="345"/>
      <c r="DT123" s="345"/>
      <c r="DU123" s="345"/>
      <c r="DV123" s="345"/>
      <c r="DW123" s="345"/>
      <c r="DX123" s="345"/>
      <c r="DY123" s="345"/>
      <c r="DZ123" s="345"/>
      <c r="EA123" s="345"/>
    </row>
    <row r="124" spans="1:131" hidden="1">
      <c r="A124" s="345"/>
      <c r="B124" s="345"/>
      <c r="C124" s="345"/>
      <c r="D124" s="345"/>
      <c r="E124" s="345"/>
      <c r="F124" s="345"/>
      <c r="G124" s="345"/>
      <c r="H124" s="345"/>
      <c r="I124" s="345"/>
      <c r="J124" s="345"/>
      <c r="K124" s="345"/>
      <c r="L124" s="345"/>
      <c r="M124" s="345"/>
      <c r="N124" s="345"/>
      <c r="O124" s="345"/>
      <c r="P124" s="345"/>
      <c r="Q124" s="345"/>
      <c r="R124" s="345"/>
      <c r="S124" s="345"/>
      <c r="T124" s="345"/>
      <c r="U124" s="345"/>
      <c r="V124" s="345"/>
      <c r="W124" s="345"/>
      <c r="X124" s="345"/>
      <c r="Y124" s="345"/>
      <c r="Z124" s="345"/>
      <c r="AA124" s="345"/>
      <c r="AB124" s="345"/>
      <c r="AC124" s="345"/>
      <c r="AD124" s="345"/>
      <c r="AE124" s="345"/>
      <c r="AF124" s="345"/>
      <c r="AG124" s="345"/>
      <c r="AH124" s="345"/>
      <c r="AI124" s="345"/>
      <c r="AJ124" s="345"/>
      <c r="AK124" s="345"/>
      <c r="AL124" s="345"/>
      <c r="AM124" s="345"/>
      <c r="AN124" s="345"/>
      <c r="AO124" s="345"/>
      <c r="AP124" s="345"/>
      <c r="AQ124" s="345"/>
      <c r="AR124" s="345"/>
      <c r="AS124" s="345"/>
      <c r="AT124" s="345"/>
      <c r="AU124" s="345"/>
      <c r="AV124" s="345"/>
      <c r="AW124" s="345"/>
      <c r="AX124" s="345"/>
      <c r="AY124" s="345"/>
      <c r="AZ124" s="345"/>
      <c r="BA124" s="345"/>
      <c r="BB124" s="345"/>
      <c r="BC124" s="345"/>
      <c r="BD124" s="345"/>
      <c r="BE124" s="345"/>
      <c r="BF124" s="345"/>
      <c r="BG124" s="345"/>
      <c r="BH124" s="345"/>
      <c r="BI124" s="345"/>
      <c r="BJ124" s="345"/>
      <c r="BK124" s="345"/>
      <c r="BL124" s="345"/>
      <c r="BM124" s="345"/>
      <c r="BN124" s="345"/>
      <c r="BO124" s="345"/>
      <c r="BP124" s="345"/>
      <c r="BQ124" s="345"/>
      <c r="BR124" s="345"/>
      <c r="BS124" s="345"/>
      <c r="BT124" s="345"/>
      <c r="BU124" s="345"/>
      <c r="BV124" s="345"/>
      <c r="BW124" s="345"/>
      <c r="BX124" s="345"/>
      <c r="BY124" s="345"/>
      <c r="BZ124" s="345"/>
      <c r="CA124" s="345"/>
      <c r="CB124" s="345"/>
      <c r="CC124" s="345"/>
      <c r="CD124" s="345"/>
      <c r="CE124" s="345"/>
      <c r="CF124" s="345"/>
      <c r="CG124" s="345"/>
      <c r="CH124" s="345"/>
      <c r="CI124" s="345"/>
      <c r="CJ124" s="345"/>
      <c r="CK124" s="345"/>
      <c r="CL124" s="345"/>
      <c r="CM124" s="345"/>
      <c r="CN124" s="345"/>
      <c r="CO124" s="345"/>
      <c r="CP124" s="345"/>
      <c r="CQ124" s="345"/>
      <c r="CR124" s="345"/>
      <c r="CS124" s="345"/>
      <c r="CT124" s="345"/>
      <c r="CU124" s="345"/>
      <c r="CV124" s="345"/>
      <c r="CW124" s="345"/>
      <c r="CX124" s="345"/>
      <c r="CY124" s="345"/>
      <c r="CZ124" s="345"/>
      <c r="DA124" s="345"/>
      <c r="DB124" s="345"/>
      <c r="DC124" s="345"/>
      <c r="DD124" s="345"/>
      <c r="DE124" s="345"/>
      <c r="DF124" s="345"/>
      <c r="DG124" s="345"/>
      <c r="DH124" s="345"/>
      <c r="DI124" s="345"/>
      <c r="DJ124" s="345"/>
      <c r="DK124" s="345"/>
      <c r="DL124" s="345"/>
      <c r="DM124" s="345"/>
      <c r="DN124" s="345"/>
      <c r="DO124" s="345"/>
      <c r="DP124" s="345"/>
      <c r="DQ124" s="345"/>
      <c r="DR124" s="345"/>
      <c r="DS124" s="345"/>
      <c r="DT124" s="345"/>
      <c r="DU124" s="345"/>
      <c r="DV124" s="345"/>
      <c r="DW124" s="345"/>
      <c r="DX124" s="345"/>
      <c r="DY124" s="345"/>
      <c r="DZ124" s="345"/>
      <c r="EA124" s="345"/>
    </row>
    <row r="125" spans="1:131" hidden="1">
      <c r="A125" s="345"/>
      <c r="B125" s="345"/>
      <c r="C125" s="345"/>
      <c r="D125" s="345"/>
      <c r="E125" s="345"/>
      <c r="F125" s="345"/>
      <c r="G125" s="345"/>
      <c r="H125" s="345"/>
      <c r="I125" s="345"/>
      <c r="J125" s="345"/>
      <c r="K125" s="345"/>
      <c r="L125" s="345"/>
      <c r="M125" s="345"/>
      <c r="N125" s="345"/>
      <c r="O125" s="345"/>
      <c r="P125" s="345"/>
      <c r="Q125" s="345"/>
      <c r="R125" s="345"/>
      <c r="S125" s="345"/>
      <c r="T125" s="345"/>
      <c r="U125" s="345"/>
      <c r="V125" s="345"/>
      <c r="W125" s="345"/>
      <c r="X125" s="345"/>
      <c r="Y125" s="345"/>
      <c r="Z125" s="345"/>
      <c r="AA125" s="345"/>
      <c r="AB125" s="345"/>
      <c r="AC125" s="345"/>
      <c r="AD125" s="345"/>
      <c r="AE125" s="345"/>
      <c r="AF125" s="345"/>
      <c r="AG125" s="345"/>
      <c r="AH125" s="345"/>
      <c r="AI125" s="345"/>
      <c r="AJ125" s="345"/>
      <c r="AK125" s="345"/>
      <c r="AL125" s="345"/>
      <c r="AM125" s="345"/>
      <c r="AN125" s="345"/>
      <c r="AO125" s="345"/>
      <c r="AP125" s="345"/>
      <c r="AQ125" s="345"/>
      <c r="AR125" s="345"/>
      <c r="AS125" s="345"/>
      <c r="AT125" s="345"/>
      <c r="AU125" s="345"/>
      <c r="AV125" s="345"/>
      <c r="AW125" s="345"/>
      <c r="AX125" s="345"/>
      <c r="AY125" s="345"/>
      <c r="AZ125" s="345"/>
      <c r="BA125" s="345"/>
      <c r="BB125" s="345"/>
      <c r="BC125" s="345"/>
      <c r="BD125" s="345"/>
      <c r="BE125" s="345"/>
      <c r="BF125" s="345"/>
      <c r="BG125" s="345"/>
      <c r="BH125" s="345"/>
      <c r="BI125" s="345"/>
      <c r="BJ125" s="345"/>
      <c r="BK125" s="345"/>
      <c r="BL125" s="345"/>
      <c r="BM125" s="345"/>
      <c r="BN125" s="345"/>
      <c r="BO125" s="345"/>
      <c r="BP125" s="345"/>
      <c r="BQ125" s="345"/>
      <c r="BR125" s="345"/>
      <c r="BS125" s="345"/>
      <c r="BT125" s="345"/>
      <c r="BU125" s="345"/>
      <c r="BV125" s="345"/>
      <c r="BW125" s="345"/>
      <c r="BX125" s="345"/>
      <c r="BY125" s="345"/>
      <c r="BZ125" s="345"/>
      <c r="CA125" s="345"/>
      <c r="CB125" s="345"/>
      <c r="CC125" s="345"/>
      <c r="CD125" s="345"/>
      <c r="CE125" s="345"/>
      <c r="CF125" s="345"/>
      <c r="CG125" s="345"/>
      <c r="CH125" s="345"/>
      <c r="CI125" s="345"/>
      <c r="CJ125" s="345"/>
      <c r="CK125" s="345"/>
      <c r="CL125" s="345"/>
      <c r="CM125" s="345"/>
      <c r="CN125" s="345"/>
      <c r="CO125" s="345"/>
      <c r="CP125" s="345"/>
      <c r="CQ125" s="345"/>
      <c r="CR125" s="345"/>
      <c r="CS125" s="345"/>
      <c r="CT125" s="345"/>
      <c r="CU125" s="345"/>
      <c r="CV125" s="345"/>
      <c r="CW125" s="345"/>
      <c r="CX125" s="345"/>
      <c r="CY125" s="345"/>
      <c r="CZ125" s="345"/>
      <c r="DA125" s="345"/>
      <c r="DB125" s="345"/>
      <c r="DC125" s="345"/>
      <c r="DD125" s="345"/>
      <c r="DE125" s="345"/>
      <c r="DF125" s="345"/>
      <c r="DG125" s="345"/>
      <c r="DH125" s="345"/>
      <c r="DI125" s="345"/>
      <c r="DJ125" s="345"/>
      <c r="DK125" s="345"/>
      <c r="DL125" s="345"/>
      <c r="DM125" s="345"/>
      <c r="DN125" s="345"/>
      <c r="DO125" s="345"/>
      <c r="DP125" s="345"/>
      <c r="DQ125" s="345"/>
      <c r="DR125" s="345"/>
      <c r="DS125" s="345"/>
      <c r="DT125" s="345"/>
      <c r="DU125" s="345"/>
      <c r="DV125" s="345"/>
      <c r="DW125" s="345"/>
      <c r="DX125" s="345"/>
      <c r="DY125" s="345"/>
      <c r="DZ125" s="345"/>
      <c r="EA125" s="345"/>
    </row>
    <row r="126" spans="1:131" hidden="1">
      <c r="A126" s="345"/>
      <c r="B126" s="345"/>
      <c r="C126" s="345"/>
      <c r="D126" s="345"/>
      <c r="E126" s="345"/>
      <c r="F126" s="345"/>
      <c r="G126" s="345"/>
      <c r="H126" s="345"/>
      <c r="I126" s="345"/>
      <c r="J126" s="345"/>
      <c r="K126" s="345"/>
      <c r="L126" s="345"/>
      <c r="M126" s="345"/>
      <c r="N126" s="345"/>
      <c r="O126" s="345"/>
      <c r="P126" s="345"/>
      <c r="Q126" s="345"/>
      <c r="R126" s="345"/>
      <c r="S126" s="345"/>
      <c r="T126" s="345"/>
      <c r="U126" s="345"/>
      <c r="V126" s="345"/>
      <c r="W126" s="345"/>
      <c r="X126" s="345"/>
      <c r="Y126" s="345"/>
      <c r="Z126" s="345"/>
      <c r="AA126" s="345"/>
      <c r="AB126" s="345"/>
      <c r="AC126" s="345"/>
      <c r="AD126" s="345"/>
      <c r="AE126" s="345"/>
      <c r="AF126" s="345"/>
      <c r="AG126" s="345"/>
      <c r="AH126" s="345"/>
      <c r="AI126" s="345"/>
      <c r="AJ126" s="345"/>
      <c r="AK126" s="345"/>
      <c r="AL126" s="345"/>
      <c r="AM126" s="345"/>
      <c r="AN126" s="345"/>
      <c r="AO126" s="345"/>
      <c r="AP126" s="345"/>
      <c r="AQ126" s="345"/>
      <c r="AR126" s="345"/>
      <c r="AS126" s="345"/>
      <c r="AT126" s="345"/>
      <c r="AU126" s="345"/>
      <c r="AV126" s="345"/>
      <c r="AW126" s="345"/>
      <c r="AX126" s="345"/>
      <c r="AY126" s="345"/>
      <c r="AZ126" s="345"/>
      <c r="BA126" s="345"/>
      <c r="BB126" s="345"/>
      <c r="BC126" s="345"/>
      <c r="BD126" s="345"/>
      <c r="BE126" s="345"/>
      <c r="BF126" s="345"/>
      <c r="BG126" s="345"/>
      <c r="BH126" s="345"/>
      <c r="BI126" s="345"/>
      <c r="BJ126" s="345"/>
      <c r="BK126" s="345"/>
      <c r="BL126" s="345"/>
      <c r="BM126" s="345"/>
      <c r="BN126" s="345"/>
      <c r="BO126" s="345"/>
      <c r="BP126" s="345"/>
      <c r="BQ126" s="345"/>
      <c r="BR126" s="345"/>
      <c r="BS126" s="345"/>
      <c r="BT126" s="345"/>
      <c r="BU126" s="345"/>
      <c r="BV126" s="345"/>
      <c r="BW126" s="345"/>
      <c r="BX126" s="345"/>
      <c r="BY126" s="345"/>
      <c r="BZ126" s="345"/>
      <c r="CA126" s="345"/>
      <c r="CB126" s="345"/>
      <c r="CC126" s="345"/>
      <c r="CD126" s="345"/>
      <c r="CE126" s="345"/>
      <c r="CF126" s="345"/>
      <c r="CG126" s="345"/>
      <c r="CH126" s="345"/>
      <c r="CI126" s="345"/>
      <c r="CJ126" s="345"/>
      <c r="CK126" s="345"/>
      <c r="CL126" s="345"/>
      <c r="CM126" s="345"/>
      <c r="CN126" s="345"/>
      <c r="CO126" s="345"/>
      <c r="CP126" s="345"/>
      <c r="CQ126" s="345"/>
      <c r="CR126" s="345"/>
      <c r="CS126" s="345"/>
      <c r="CT126" s="345"/>
      <c r="CU126" s="345"/>
      <c r="CV126" s="345"/>
      <c r="CW126" s="345"/>
      <c r="CX126" s="345"/>
      <c r="CY126" s="345"/>
      <c r="CZ126" s="345"/>
      <c r="DA126" s="345"/>
      <c r="DB126" s="345"/>
      <c r="DC126" s="345"/>
      <c r="DD126" s="345"/>
      <c r="DE126" s="345"/>
      <c r="DF126" s="345"/>
      <c r="DG126" s="345"/>
      <c r="DH126" s="345"/>
      <c r="DI126" s="345"/>
      <c r="DJ126" s="345"/>
      <c r="DK126" s="345"/>
      <c r="DL126" s="345"/>
      <c r="DM126" s="345"/>
      <c r="DN126" s="345"/>
      <c r="DO126" s="345"/>
      <c r="DP126" s="345"/>
      <c r="DQ126" s="345"/>
      <c r="DR126" s="345"/>
      <c r="DS126" s="345"/>
      <c r="DT126" s="345"/>
      <c r="DU126" s="345"/>
      <c r="DV126" s="345"/>
      <c r="DW126" s="345"/>
      <c r="DX126" s="345"/>
      <c r="DY126" s="345"/>
      <c r="DZ126" s="345"/>
      <c r="EA126" s="345"/>
    </row>
    <row r="127" spans="1:131" hidden="1">
      <c r="A127" s="345"/>
      <c r="B127" s="345"/>
      <c r="C127" s="345"/>
      <c r="D127" s="345"/>
      <c r="E127" s="345"/>
      <c r="F127" s="345"/>
      <c r="G127" s="345"/>
      <c r="H127" s="345"/>
      <c r="I127" s="345"/>
      <c r="J127" s="345"/>
      <c r="K127" s="345"/>
      <c r="L127" s="345"/>
      <c r="M127" s="345"/>
      <c r="N127" s="345"/>
      <c r="O127" s="345"/>
      <c r="P127" s="345"/>
      <c r="Q127" s="345"/>
      <c r="R127" s="345"/>
      <c r="S127" s="345"/>
      <c r="T127" s="345"/>
      <c r="U127" s="345"/>
      <c r="V127" s="345"/>
      <c r="W127" s="345"/>
      <c r="X127" s="345"/>
      <c r="Y127" s="345"/>
      <c r="Z127" s="345"/>
      <c r="AA127" s="345"/>
      <c r="AB127" s="345"/>
      <c r="AC127" s="345"/>
      <c r="AD127" s="345"/>
      <c r="AE127" s="345"/>
      <c r="AF127" s="345"/>
      <c r="AG127" s="345"/>
      <c r="AH127" s="345"/>
      <c r="AI127" s="345"/>
      <c r="AJ127" s="345"/>
      <c r="AK127" s="345"/>
      <c r="AL127" s="345"/>
      <c r="AM127" s="345"/>
      <c r="AN127" s="345"/>
      <c r="AO127" s="345"/>
      <c r="AP127" s="345"/>
      <c r="AQ127" s="345"/>
      <c r="AR127" s="345"/>
      <c r="AS127" s="345"/>
      <c r="AT127" s="345"/>
      <c r="AU127" s="345"/>
      <c r="AV127" s="345"/>
      <c r="AW127" s="345"/>
      <c r="AX127" s="345"/>
      <c r="AY127" s="345"/>
      <c r="AZ127" s="345"/>
      <c r="BA127" s="345"/>
      <c r="BB127" s="345"/>
      <c r="BC127" s="345"/>
      <c r="BD127" s="345"/>
      <c r="BE127" s="345"/>
      <c r="BF127" s="345"/>
      <c r="BG127" s="345"/>
      <c r="BH127" s="345"/>
      <c r="BI127" s="345"/>
      <c r="BJ127" s="345"/>
      <c r="BK127" s="345"/>
      <c r="BL127" s="345"/>
      <c r="BM127" s="345"/>
      <c r="BN127" s="345"/>
      <c r="BO127" s="345"/>
      <c r="BP127" s="345"/>
      <c r="BQ127" s="345"/>
      <c r="BR127" s="345"/>
      <c r="BS127" s="345"/>
      <c r="BT127" s="345"/>
      <c r="BU127" s="345"/>
      <c r="BV127" s="345"/>
      <c r="BW127" s="345"/>
      <c r="BX127" s="345"/>
      <c r="BY127" s="345"/>
      <c r="BZ127" s="345"/>
      <c r="CA127" s="345"/>
      <c r="CB127" s="345"/>
      <c r="CC127" s="345"/>
      <c r="CD127" s="345"/>
      <c r="CE127" s="345"/>
      <c r="CF127" s="345"/>
      <c r="CG127" s="345"/>
      <c r="CH127" s="345"/>
      <c r="CI127" s="345"/>
      <c r="CJ127" s="345"/>
      <c r="CK127" s="345"/>
      <c r="CL127" s="345"/>
      <c r="CM127" s="345"/>
      <c r="CN127" s="345"/>
      <c r="CO127" s="345"/>
      <c r="CP127" s="345"/>
      <c r="CQ127" s="345"/>
      <c r="CR127" s="345"/>
      <c r="CS127" s="345"/>
      <c r="CT127" s="345"/>
      <c r="CU127" s="345"/>
      <c r="CV127" s="345"/>
      <c r="CW127" s="345"/>
      <c r="CX127" s="345"/>
      <c r="CY127" s="345"/>
      <c r="CZ127" s="345"/>
      <c r="DA127" s="345"/>
      <c r="DB127" s="345"/>
      <c r="DC127" s="345"/>
      <c r="DD127" s="345"/>
      <c r="DE127" s="345"/>
      <c r="DF127" s="345"/>
      <c r="DG127" s="345"/>
      <c r="DH127" s="345"/>
      <c r="DI127" s="345"/>
      <c r="DJ127" s="345"/>
      <c r="DK127" s="345"/>
      <c r="DL127" s="345"/>
      <c r="DM127" s="345"/>
      <c r="DN127" s="345"/>
      <c r="DO127" s="345"/>
      <c r="DP127" s="345"/>
      <c r="DQ127" s="345"/>
      <c r="DR127" s="345"/>
      <c r="DS127" s="345"/>
      <c r="DT127" s="345"/>
      <c r="DU127" s="345"/>
      <c r="DV127" s="345"/>
      <c r="DW127" s="345"/>
      <c r="DX127" s="345"/>
      <c r="DY127" s="345"/>
      <c r="DZ127" s="345"/>
      <c r="EA127" s="345"/>
    </row>
    <row r="128" spans="1:131" hidden="1">
      <c r="A128" s="345"/>
      <c r="B128" s="345"/>
      <c r="C128" s="345"/>
      <c r="D128" s="345"/>
      <c r="E128" s="345"/>
      <c r="F128" s="345"/>
      <c r="G128" s="345"/>
      <c r="H128" s="345"/>
      <c r="I128" s="345"/>
      <c r="J128" s="345"/>
      <c r="K128" s="345"/>
      <c r="L128" s="345"/>
      <c r="M128" s="345"/>
      <c r="N128" s="345"/>
      <c r="O128" s="345"/>
      <c r="P128" s="345"/>
      <c r="Q128" s="345"/>
      <c r="R128" s="345"/>
      <c r="S128" s="345"/>
      <c r="T128" s="345"/>
      <c r="U128" s="345"/>
      <c r="V128" s="345"/>
      <c r="W128" s="345"/>
      <c r="X128" s="345"/>
      <c r="Y128" s="345"/>
      <c r="Z128" s="345"/>
      <c r="AA128" s="345"/>
      <c r="AB128" s="345"/>
      <c r="AC128" s="345"/>
      <c r="AD128" s="345"/>
      <c r="AE128" s="345"/>
      <c r="AF128" s="345"/>
      <c r="AG128" s="345"/>
      <c r="AH128" s="345"/>
      <c r="AI128" s="345"/>
      <c r="AJ128" s="345"/>
      <c r="AK128" s="345"/>
      <c r="AL128" s="345"/>
      <c r="AM128" s="345"/>
      <c r="AN128" s="345"/>
      <c r="AO128" s="345"/>
      <c r="AP128" s="345"/>
      <c r="AQ128" s="345"/>
      <c r="AR128" s="345"/>
      <c r="AS128" s="345"/>
      <c r="AT128" s="345"/>
      <c r="AU128" s="345"/>
      <c r="AV128" s="345"/>
      <c r="AW128" s="345"/>
      <c r="AX128" s="345"/>
      <c r="AY128" s="345"/>
      <c r="AZ128" s="345"/>
      <c r="BA128" s="345"/>
      <c r="BB128" s="345"/>
      <c r="BC128" s="345"/>
      <c r="BD128" s="345"/>
      <c r="BE128" s="345"/>
      <c r="BF128" s="345"/>
      <c r="BG128" s="345"/>
      <c r="BH128" s="345"/>
      <c r="BI128" s="345"/>
      <c r="BJ128" s="345"/>
      <c r="BK128" s="345"/>
      <c r="BL128" s="345"/>
      <c r="BM128" s="345"/>
      <c r="BN128" s="345"/>
      <c r="BO128" s="345"/>
      <c r="BP128" s="345"/>
      <c r="BQ128" s="345"/>
      <c r="BR128" s="345"/>
      <c r="BS128" s="345"/>
      <c r="BT128" s="345"/>
      <c r="BU128" s="345"/>
      <c r="BV128" s="345"/>
      <c r="BW128" s="345"/>
      <c r="BX128" s="345"/>
      <c r="BY128" s="345"/>
      <c r="BZ128" s="345"/>
      <c r="CA128" s="345"/>
      <c r="CB128" s="345"/>
      <c r="CC128" s="345"/>
      <c r="CD128" s="345"/>
      <c r="CE128" s="345"/>
      <c r="CF128" s="345"/>
      <c r="CG128" s="345"/>
      <c r="CH128" s="345"/>
      <c r="CI128" s="345"/>
      <c r="CJ128" s="345"/>
      <c r="CK128" s="345"/>
      <c r="CL128" s="345"/>
      <c r="CM128" s="345"/>
      <c r="CN128" s="345"/>
      <c r="CO128" s="345"/>
      <c r="CP128" s="345"/>
      <c r="CQ128" s="345"/>
      <c r="CR128" s="345"/>
      <c r="CS128" s="345"/>
      <c r="CT128" s="345"/>
      <c r="CU128" s="345"/>
      <c r="CV128" s="345"/>
      <c r="CW128" s="345"/>
      <c r="CX128" s="345"/>
      <c r="CY128" s="345"/>
      <c r="CZ128" s="345"/>
      <c r="DA128" s="345"/>
      <c r="DB128" s="345"/>
      <c r="DC128" s="345"/>
      <c r="DD128" s="345"/>
      <c r="DE128" s="345"/>
      <c r="DF128" s="345"/>
      <c r="DG128" s="345"/>
      <c r="DH128" s="345"/>
      <c r="DI128" s="345"/>
      <c r="DJ128" s="345"/>
      <c r="DK128" s="345"/>
      <c r="DL128" s="345"/>
      <c r="DM128" s="345"/>
      <c r="DN128" s="345"/>
      <c r="DO128" s="345"/>
      <c r="DP128" s="345"/>
      <c r="DQ128" s="345"/>
      <c r="DR128" s="345"/>
      <c r="DS128" s="345"/>
      <c r="DT128" s="345"/>
      <c r="DU128" s="345"/>
      <c r="DV128" s="345"/>
      <c r="DW128" s="345"/>
      <c r="DX128" s="345"/>
      <c r="DY128" s="345"/>
      <c r="DZ128" s="345"/>
      <c r="EA128" s="345"/>
    </row>
    <row r="129" spans="1:131" hidden="1">
      <c r="A129" s="345"/>
      <c r="B129" s="345"/>
      <c r="C129" s="345"/>
      <c r="D129" s="345"/>
      <c r="E129" s="345"/>
      <c r="F129" s="345"/>
      <c r="G129" s="345"/>
      <c r="H129" s="345"/>
      <c r="I129" s="345"/>
      <c r="J129" s="345"/>
      <c r="K129" s="345"/>
      <c r="L129" s="345"/>
      <c r="M129" s="345"/>
      <c r="N129" s="345"/>
      <c r="O129" s="345"/>
      <c r="P129" s="345"/>
      <c r="Q129" s="345"/>
      <c r="R129" s="345"/>
      <c r="S129" s="345"/>
      <c r="T129" s="345"/>
      <c r="U129" s="345"/>
      <c r="V129" s="345"/>
      <c r="W129" s="345"/>
      <c r="X129" s="345"/>
      <c r="Y129" s="345"/>
      <c r="Z129" s="345"/>
      <c r="AA129" s="345"/>
      <c r="AB129" s="345"/>
      <c r="AC129" s="345"/>
      <c r="AD129" s="345"/>
      <c r="AE129" s="345"/>
      <c r="AF129" s="345"/>
      <c r="AG129" s="345"/>
      <c r="AH129" s="345"/>
      <c r="AI129" s="345"/>
      <c r="AJ129" s="345"/>
      <c r="AK129" s="345"/>
      <c r="AL129" s="345"/>
      <c r="AM129" s="345"/>
      <c r="AN129" s="345"/>
      <c r="AO129" s="345"/>
      <c r="AP129" s="345"/>
      <c r="AQ129" s="345"/>
      <c r="AR129" s="345"/>
      <c r="AS129" s="345"/>
      <c r="AT129" s="345"/>
      <c r="AU129" s="345"/>
      <c r="AV129" s="345"/>
      <c r="AW129" s="345"/>
      <c r="AX129" s="345"/>
      <c r="AY129" s="345"/>
      <c r="AZ129" s="345"/>
      <c r="BA129" s="345"/>
      <c r="BB129" s="345"/>
      <c r="BC129" s="345"/>
      <c r="BD129" s="345"/>
      <c r="BE129" s="345"/>
      <c r="BF129" s="345"/>
      <c r="BG129" s="345"/>
      <c r="BH129" s="345"/>
      <c r="BI129" s="345"/>
      <c r="BJ129" s="345"/>
      <c r="BK129" s="345"/>
      <c r="BL129" s="345"/>
      <c r="BM129" s="345"/>
      <c r="BN129" s="345"/>
      <c r="BO129" s="345"/>
      <c r="BP129" s="345"/>
      <c r="BQ129" s="345"/>
      <c r="BR129" s="345"/>
      <c r="BS129" s="345"/>
      <c r="BT129" s="345"/>
      <c r="BU129" s="345"/>
      <c r="BV129" s="345"/>
      <c r="BW129" s="345"/>
      <c r="BX129" s="345"/>
      <c r="BY129" s="345"/>
      <c r="BZ129" s="345"/>
      <c r="CA129" s="345"/>
      <c r="CB129" s="345"/>
      <c r="CC129" s="345"/>
      <c r="CD129" s="345"/>
      <c r="CE129" s="345"/>
      <c r="CF129" s="345"/>
      <c r="CG129" s="345"/>
      <c r="CH129" s="345"/>
      <c r="CI129" s="345"/>
      <c r="CJ129" s="345"/>
      <c r="CK129" s="345"/>
      <c r="CL129" s="345"/>
      <c r="CM129" s="345"/>
      <c r="CN129" s="345"/>
      <c r="CO129" s="345"/>
      <c r="CP129" s="345"/>
      <c r="CQ129" s="345"/>
      <c r="CR129" s="345"/>
      <c r="CS129" s="345"/>
      <c r="CT129" s="345"/>
      <c r="CU129" s="345"/>
      <c r="CV129" s="345"/>
      <c r="CW129" s="345"/>
      <c r="CX129" s="345"/>
      <c r="CY129" s="345"/>
      <c r="CZ129" s="345"/>
      <c r="DA129" s="345"/>
      <c r="DB129" s="345"/>
      <c r="DC129" s="345"/>
      <c r="DD129" s="345"/>
      <c r="DE129" s="345"/>
      <c r="DF129" s="345"/>
      <c r="DG129" s="345"/>
      <c r="DH129" s="345"/>
      <c r="DI129" s="345"/>
      <c r="DJ129" s="345"/>
      <c r="DK129" s="345"/>
      <c r="DL129" s="345"/>
      <c r="DM129" s="345"/>
      <c r="DN129" s="345"/>
      <c r="DO129" s="345"/>
      <c r="DP129" s="345"/>
      <c r="DQ129" s="345"/>
      <c r="DR129" s="345"/>
      <c r="DS129" s="345"/>
      <c r="DT129" s="345"/>
      <c r="DU129" s="345"/>
      <c r="DV129" s="345"/>
      <c r="DW129" s="345"/>
      <c r="DX129" s="345"/>
      <c r="DY129" s="345"/>
      <c r="DZ129" s="345"/>
      <c r="EA129" s="345"/>
    </row>
    <row r="130" spans="1:131" hidden="1">
      <c r="A130" s="345"/>
      <c r="B130" s="345"/>
      <c r="C130" s="345"/>
      <c r="D130" s="345"/>
      <c r="E130" s="345"/>
      <c r="F130" s="345"/>
      <c r="G130" s="345"/>
      <c r="H130" s="345"/>
      <c r="I130" s="345"/>
      <c r="J130" s="345"/>
      <c r="K130" s="345"/>
      <c r="L130" s="345"/>
      <c r="M130" s="345"/>
      <c r="N130" s="345"/>
      <c r="O130" s="345"/>
      <c r="P130" s="345"/>
      <c r="Q130" s="345"/>
      <c r="R130" s="345"/>
      <c r="S130" s="345"/>
      <c r="T130" s="345"/>
      <c r="U130" s="345"/>
      <c r="V130" s="345"/>
      <c r="W130" s="345"/>
      <c r="X130" s="345"/>
      <c r="Y130" s="345"/>
      <c r="Z130" s="345"/>
      <c r="AA130" s="345"/>
      <c r="AB130" s="345"/>
      <c r="AC130" s="345"/>
      <c r="AD130" s="345"/>
      <c r="AE130" s="345"/>
      <c r="AF130" s="345"/>
      <c r="AG130" s="345"/>
      <c r="AH130" s="345"/>
      <c r="AI130" s="345"/>
      <c r="AJ130" s="345"/>
      <c r="AK130" s="345"/>
      <c r="AL130" s="345"/>
      <c r="AM130" s="345"/>
      <c r="AN130" s="345"/>
      <c r="AO130" s="345"/>
      <c r="AP130" s="345"/>
      <c r="AQ130" s="345"/>
      <c r="AR130" s="345"/>
      <c r="AS130" s="345"/>
      <c r="AT130" s="345"/>
      <c r="AU130" s="345"/>
      <c r="AV130" s="345"/>
      <c r="AW130" s="345"/>
      <c r="AX130" s="345"/>
      <c r="AY130" s="345"/>
      <c r="AZ130" s="345"/>
      <c r="BA130" s="345"/>
      <c r="BB130" s="345"/>
      <c r="BC130" s="345"/>
      <c r="BD130" s="345"/>
      <c r="BE130" s="345"/>
      <c r="BF130" s="345"/>
      <c r="BG130" s="345"/>
      <c r="BH130" s="345"/>
      <c r="BI130" s="345"/>
      <c r="BJ130" s="345"/>
      <c r="BK130" s="345"/>
      <c r="BL130" s="345"/>
      <c r="BM130" s="345"/>
      <c r="BN130" s="345"/>
      <c r="BO130" s="345"/>
      <c r="BP130" s="345"/>
      <c r="BQ130" s="345"/>
      <c r="BR130" s="345"/>
      <c r="BS130" s="345"/>
      <c r="BT130" s="345"/>
      <c r="BU130" s="345"/>
      <c r="BV130" s="345"/>
      <c r="BW130" s="345"/>
      <c r="BX130" s="345"/>
      <c r="BY130" s="345"/>
      <c r="BZ130" s="345"/>
      <c r="CA130" s="345"/>
      <c r="CB130" s="345"/>
      <c r="CC130" s="345"/>
      <c r="CD130" s="345"/>
      <c r="CE130" s="345"/>
      <c r="CF130" s="345"/>
      <c r="CG130" s="345"/>
      <c r="CH130" s="345"/>
      <c r="CI130" s="345"/>
      <c r="CJ130" s="345"/>
      <c r="CK130" s="345"/>
      <c r="CL130" s="345"/>
      <c r="CM130" s="345"/>
      <c r="CN130" s="345"/>
      <c r="CO130" s="345"/>
      <c r="CP130" s="345"/>
      <c r="CQ130" s="345"/>
      <c r="CR130" s="345"/>
      <c r="CS130" s="345"/>
      <c r="CT130" s="345"/>
      <c r="CU130" s="345"/>
      <c r="CV130" s="345"/>
      <c r="CW130" s="345"/>
      <c r="CX130" s="345"/>
      <c r="CY130" s="345"/>
      <c r="CZ130" s="345"/>
      <c r="DA130" s="345"/>
      <c r="DB130" s="345"/>
      <c r="DC130" s="345"/>
      <c r="DD130" s="345"/>
      <c r="DE130" s="345"/>
      <c r="DF130" s="345"/>
      <c r="DG130" s="345"/>
      <c r="DH130" s="345"/>
      <c r="DI130" s="345"/>
      <c r="DJ130" s="345"/>
      <c r="DK130" s="345"/>
      <c r="DL130" s="345"/>
      <c r="DM130" s="345"/>
      <c r="DN130" s="345"/>
      <c r="DO130" s="345"/>
      <c r="DP130" s="345"/>
      <c r="DQ130" s="345"/>
      <c r="DR130" s="345"/>
      <c r="DS130" s="345"/>
      <c r="DT130" s="345"/>
      <c r="DU130" s="345"/>
      <c r="DV130" s="345"/>
      <c r="DW130" s="345"/>
      <c r="DX130" s="345"/>
      <c r="DY130" s="345"/>
      <c r="DZ130" s="345"/>
      <c r="EA130" s="345"/>
    </row>
    <row r="131" spans="1:131" hidden="1">
      <c r="A131" s="345"/>
      <c r="B131" s="345"/>
      <c r="C131" s="345"/>
      <c r="D131" s="345"/>
      <c r="E131" s="345"/>
      <c r="F131" s="345"/>
      <c r="G131" s="345"/>
      <c r="H131" s="345"/>
      <c r="I131" s="345"/>
      <c r="J131" s="345"/>
      <c r="K131" s="345"/>
      <c r="L131" s="345"/>
      <c r="M131" s="345"/>
      <c r="N131" s="345"/>
      <c r="O131" s="345"/>
      <c r="P131" s="345"/>
      <c r="Q131" s="345"/>
      <c r="R131" s="345"/>
      <c r="S131" s="345"/>
      <c r="T131" s="345"/>
      <c r="U131" s="345"/>
      <c r="V131" s="345"/>
      <c r="W131" s="345"/>
      <c r="X131" s="345"/>
      <c r="Y131" s="345"/>
      <c r="Z131" s="345"/>
      <c r="AA131" s="345"/>
      <c r="AB131" s="345"/>
      <c r="AC131" s="345"/>
      <c r="AD131" s="345"/>
      <c r="AE131" s="345"/>
      <c r="AF131" s="345"/>
      <c r="AG131" s="345"/>
      <c r="AH131" s="345"/>
      <c r="AI131" s="345"/>
      <c r="AJ131" s="345"/>
      <c r="AK131" s="345"/>
      <c r="AL131" s="345"/>
      <c r="AM131" s="345"/>
      <c r="AN131" s="345"/>
      <c r="AO131" s="345"/>
      <c r="AP131" s="345"/>
      <c r="AQ131" s="345"/>
      <c r="AR131" s="345"/>
      <c r="AS131" s="345"/>
      <c r="AT131" s="345"/>
      <c r="AU131" s="345"/>
      <c r="AV131" s="345"/>
      <c r="AW131" s="345"/>
      <c r="AX131" s="345"/>
      <c r="AY131" s="345"/>
      <c r="AZ131" s="345"/>
      <c r="BA131" s="345"/>
      <c r="BB131" s="345"/>
      <c r="BC131" s="345"/>
      <c r="BD131" s="345"/>
      <c r="BE131" s="345"/>
      <c r="BF131" s="345"/>
      <c r="BG131" s="345"/>
      <c r="BH131" s="345"/>
      <c r="BI131" s="345"/>
      <c r="BJ131" s="345"/>
      <c r="BK131" s="345"/>
      <c r="BL131" s="345"/>
      <c r="BM131" s="345"/>
      <c r="BN131" s="345"/>
      <c r="BO131" s="345"/>
      <c r="BP131" s="345"/>
      <c r="BQ131" s="345"/>
      <c r="BR131" s="345"/>
      <c r="BS131" s="345"/>
      <c r="BT131" s="345"/>
      <c r="BU131" s="345"/>
      <c r="BV131" s="345"/>
      <c r="BW131" s="345"/>
      <c r="BX131" s="345"/>
      <c r="BY131" s="345"/>
      <c r="BZ131" s="345"/>
      <c r="CA131" s="345"/>
      <c r="CB131" s="345"/>
      <c r="CC131" s="345"/>
      <c r="CD131" s="345"/>
      <c r="CE131" s="345"/>
      <c r="CF131" s="345"/>
      <c r="CG131" s="345"/>
      <c r="CH131" s="345"/>
      <c r="CI131" s="345"/>
      <c r="CJ131" s="345"/>
      <c r="CK131" s="345"/>
      <c r="CL131" s="345"/>
      <c r="CM131" s="345"/>
      <c r="CN131" s="345"/>
      <c r="CO131" s="345"/>
      <c r="CP131" s="345"/>
      <c r="CQ131" s="345"/>
      <c r="CR131" s="345"/>
      <c r="CS131" s="345"/>
      <c r="CT131" s="345"/>
      <c r="CU131" s="345"/>
      <c r="CV131" s="345"/>
      <c r="CW131" s="345"/>
      <c r="CX131" s="345"/>
      <c r="CY131" s="345"/>
      <c r="CZ131" s="345"/>
      <c r="DA131" s="345"/>
      <c r="DB131" s="345"/>
      <c r="DC131" s="345"/>
      <c r="DD131" s="345"/>
      <c r="DE131" s="345"/>
      <c r="DF131" s="345"/>
      <c r="DG131" s="345"/>
      <c r="DH131" s="345"/>
      <c r="DI131" s="345"/>
      <c r="DJ131" s="345"/>
      <c r="DK131" s="345"/>
      <c r="DL131" s="345"/>
      <c r="DM131" s="345"/>
      <c r="DN131" s="345"/>
      <c r="DO131" s="345"/>
      <c r="DP131" s="345"/>
      <c r="DQ131" s="345"/>
      <c r="DR131" s="345"/>
      <c r="DS131" s="345"/>
      <c r="DT131" s="345"/>
      <c r="DU131" s="345"/>
      <c r="DV131" s="345"/>
      <c r="DW131" s="345"/>
      <c r="DX131" s="345"/>
      <c r="DY131" s="345"/>
      <c r="DZ131" s="345"/>
      <c r="EA131" s="345"/>
    </row>
    <row r="132" spans="1:131" hidden="1">
      <c r="A132" s="345"/>
      <c r="B132" s="345"/>
      <c r="C132" s="345"/>
      <c r="D132" s="345"/>
      <c r="E132" s="345"/>
      <c r="F132" s="345"/>
      <c r="G132" s="345"/>
      <c r="H132" s="345"/>
      <c r="I132" s="345"/>
      <c r="J132" s="345"/>
      <c r="K132" s="345"/>
      <c r="L132" s="345"/>
      <c r="M132" s="345"/>
      <c r="N132" s="345"/>
      <c r="O132" s="345"/>
      <c r="P132" s="345"/>
      <c r="Q132" s="345"/>
      <c r="R132" s="345"/>
      <c r="S132" s="345"/>
      <c r="T132" s="345"/>
      <c r="U132" s="345"/>
      <c r="V132" s="345"/>
      <c r="W132" s="345"/>
      <c r="X132" s="345"/>
      <c r="Y132" s="345"/>
      <c r="Z132" s="345"/>
      <c r="AA132" s="345"/>
      <c r="AB132" s="345"/>
      <c r="AC132" s="345"/>
      <c r="AD132" s="345"/>
      <c r="AE132" s="345"/>
      <c r="AF132" s="345"/>
      <c r="AG132" s="345"/>
      <c r="AH132" s="345"/>
      <c r="AI132" s="345"/>
      <c r="AJ132" s="345"/>
      <c r="AK132" s="345"/>
      <c r="AL132" s="345"/>
      <c r="AM132" s="345"/>
      <c r="AN132" s="345"/>
      <c r="AO132" s="345"/>
      <c r="AP132" s="345"/>
      <c r="AQ132" s="345"/>
      <c r="AR132" s="345"/>
      <c r="AS132" s="345"/>
      <c r="AT132" s="345"/>
      <c r="AU132" s="345"/>
      <c r="AV132" s="345"/>
      <c r="AW132" s="345"/>
      <c r="AX132" s="345"/>
      <c r="AY132" s="345"/>
      <c r="AZ132" s="345"/>
      <c r="BA132" s="345"/>
      <c r="BB132" s="345"/>
      <c r="BC132" s="345"/>
      <c r="BD132" s="345"/>
      <c r="BE132" s="345"/>
      <c r="BF132" s="345"/>
      <c r="BG132" s="345"/>
      <c r="BH132" s="345"/>
      <c r="BI132" s="345"/>
      <c r="BJ132" s="345"/>
      <c r="BK132" s="345"/>
      <c r="BL132" s="345"/>
      <c r="BM132" s="345"/>
      <c r="BN132" s="345"/>
      <c r="BO132" s="345"/>
      <c r="BP132" s="345"/>
      <c r="BQ132" s="345"/>
      <c r="BR132" s="345"/>
      <c r="BS132" s="345"/>
      <c r="BT132" s="345"/>
      <c r="BU132" s="345"/>
      <c r="BV132" s="345"/>
      <c r="BW132" s="345"/>
      <c r="BX132" s="345"/>
      <c r="BY132" s="345"/>
      <c r="BZ132" s="345"/>
      <c r="CA132" s="345"/>
      <c r="CB132" s="345"/>
      <c r="CC132" s="345"/>
      <c r="CD132" s="345"/>
      <c r="CE132" s="345"/>
      <c r="CF132" s="345"/>
      <c r="CG132" s="345"/>
      <c r="CH132" s="345"/>
      <c r="CI132" s="345"/>
      <c r="CJ132" s="345"/>
      <c r="CK132" s="345"/>
      <c r="CL132" s="345"/>
      <c r="CM132" s="345"/>
      <c r="CN132" s="345"/>
      <c r="CO132" s="345"/>
      <c r="CP132" s="345"/>
      <c r="CQ132" s="345"/>
      <c r="CR132" s="345"/>
      <c r="CS132" s="345"/>
      <c r="CT132" s="345"/>
      <c r="CU132" s="345"/>
      <c r="CV132" s="345"/>
      <c r="CW132" s="345"/>
      <c r="CX132" s="345"/>
      <c r="CY132" s="345"/>
      <c r="CZ132" s="345"/>
      <c r="DA132" s="345"/>
      <c r="DB132" s="345"/>
      <c r="DC132" s="345"/>
      <c r="DD132" s="345"/>
      <c r="DE132" s="345"/>
      <c r="DF132" s="345"/>
      <c r="DG132" s="345"/>
      <c r="DH132" s="345"/>
      <c r="DI132" s="345"/>
      <c r="DJ132" s="345"/>
      <c r="DK132" s="345"/>
      <c r="DL132" s="345"/>
      <c r="DM132" s="345"/>
      <c r="DN132" s="345"/>
      <c r="DO132" s="345"/>
      <c r="DP132" s="345"/>
      <c r="DQ132" s="345"/>
      <c r="DR132" s="345"/>
      <c r="DS132" s="345"/>
      <c r="DT132" s="345"/>
      <c r="DU132" s="345"/>
      <c r="DV132" s="345"/>
      <c r="DW132" s="345"/>
      <c r="DX132" s="345"/>
      <c r="DY132" s="345"/>
      <c r="DZ132" s="345"/>
      <c r="EA132" s="345"/>
    </row>
    <row r="133" spans="1:131" hidden="1">
      <c r="A133" s="345"/>
      <c r="B133" s="345"/>
      <c r="C133" s="345"/>
      <c r="D133" s="345"/>
      <c r="E133" s="345"/>
      <c r="F133" s="345"/>
      <c r="G133" s="345"/>
      <c r="H133" s="345"/>
      <c r="I133" s="345"/>
      <c r="J133" s="345"/>
      <c r="K133" s="345"/>
      <c r="L133" s="345"/>
      <c r="M133" s="345"/>
      <c r="N133" s="345"/>
      <c r="O133" s="345"/>
      <c r="P133" s="345"/>
      <c r="Q133" s="345"/>
      <c r="R133" s="345"/>
      <c r="S133" s="345"/>
      <c r="T133" s="345"/>
      <c r="U133" s="345"/>
      <c r="V133" s="345"/>
      <c r="W133" s="345"/>
      <c r="X133" s="345"/>
      <c r="Y133" s="345"/>
      <c r="Z133" s="345"/>
      <c r="AA133" s="345"/>
      <c r="AB133" s="345"/>
      <c r="AC133" s="345"/>
      <c r="AD133" s="345"/>
      <c r="AE133" s="345"/>
      <c r="AF133" s="345"/>
      <c r="AG133" s="345"/>
      <c r="AH133" s="345"/>
      <c r="AI133" s="345"/>
      <c r="AJ133" s="345"/>
      <c r="AK133" s="345"/>
      <c r="AL133" s="345"/>
      <c r="AM133" s="345"/>
      <c r="AN133" s="345"/>
      <c r="AO133" s="345"/>
      <c r="AP133" s="345"/>
      <c r="AQ133" s="345"/>
      <c r="AR133" s="345"/>
      <c r="AS133" s="345"/>
      <c r="AT133" s="345"/>
      <c r="AU133" s="345"/>
      <c r="AV133" s="345"/>
      <c r="AW133" s="345"/>
      <c r="AX133" s="345"/>
      <c r="AY133" s="345"/>
      <c r="AZ133" s="345"/>
      <c r="BA133" s="345"/>
      <c r="BB133" s="345"/>
      <c r="BC133" s="345"/>
      <c r="BD133" s="345"/>
      <c r="BE133" s="345"/>
      <c r="BF133" s="345"/>
      <c r="BG133" s="345"/>
      <c r="BH133" s="345"/>
      <c r="BI133" s="345"/>
      <c r="BJ133" s="345"/>
      <c r="BK133" s="345"/>
      <c r="BL133" s="345"/>
      <c r="BM133" s="345"/>
      <c r="BN133" s="345"/>
      <c r="BO133" s="345"/>
      <c r="BP133" s="345"/>
      <c r="BQ133" s="345"/>
      <c r="BR133" s="345"/>
      <c r="BS133" s="345"/>
      <c r="BT133" s="345"/>
      <c r="BU133" s="345"/>
      <c r="BV133" s="345"/>
      <c r="BW133" s="345"/>
      <c r="BX133" s="345"/>
      <c r="BY133" s="345"/>
      <c r="BZ133" s="345"/>
      <c r="CA133" s="345"/>
      <c r="CB133" s="345"/>
      <c r="CC133" s="345"/>
      <c r="CD133" s="345"/>
      <c r="CE133" s="345"/>
      <c r="CF133" s="345"/>
      <c r="CG133" s="345"/>
      <c r="CH133" s="345"/>
      <c r="CI133" s="345"/>
      <c r="CJ133" s="345"/>
      <c r="CK133" s="345"/>
      <c r="CL133" s="345"/>
      <c r="CM133" s="345"/>
      <c r="CN133" s="345"/>
      <c r="CO133" s="345"/>
      <c r="CP133" s="345"/>
      <c r="CQ133" s="345"/>
      <c r="CR133" s="345"/>
      <c r="CS133" s="345"/>
      <c r="CT133" s="345"/>
      <c r="CU133" s="345"/>
      <c r="CV133" s="345"/>
      <c r="CW133" s="345"/>
      <c r="CX133" s="345"/>
      <c r="CY133" s="345"/>
      <c r="CZ133" s="345"/>
      <c r="DA133" s="345"/>
      <c r="DB133" s="345"/>
      <c r="DC133" s="345"/>
      <c r="DD133" s="345"/>
      <c r="DE133" s="345"/>
      <c r="DF133" s="345"/>
      <c r="DG133" s="345"/>
      <c r="DH133" s="345"/>
      <c r="DI133" s="345"/>
      <c r="DJ133" s="345"/>
      <c r="DK133" s="345"/>
      <c r="DL133" s="345"/>
      <c r="DM133" s="345"/>
      <c r="DN133" s="345"/>
      <c r="DO133" s="345"/>
      <c r="DP133" s="345"/>
      <c r="DQ133" s="345"/>
      <c r="DR133" s="345"/>
      <c r="DS133" s="345"/>
      <c r="DT133" s="345"/>
      <c r="DU133" s="345"/>
      <c r="DV133" s="345"/>
      <c r="DW133" s="345"/>
      <c r="DX133" s="345"/>
      <c r="DY133" s="345"/>
      <c r="DZ133" s="345"/>
      <c r="EA133" s="345"/>
    </row>
    <row r="134" spans="1:131" hidden="1">
      <c r="A134" s="345"/>
      <c r="B134" s="345"/>
      <c r="C134" s="345"/>
      <c r="D134" s="345"/>
      <c r="E134" s="345"/>
      <c r="F134" s="345"/>
      <c r="G134" s="345"/>
      <c r="H134" s="345"/>
      <c r="I134" s="345"/>
      <c r="J134" s="345"/>
      <c r="K134" s="345"/>
      <c r="L134" s="345"/>
      <c r="M134" s="345"/>
      <c r="N134" s="345"/>
      <c r="O134" s="345"/>
      <c r="P134" s="345"/>
      <c r="Q134" s="345"/>
      <c r="R134" s="345"/>
      <c r="S134" s="345"/>
      <c r="T134" s="345"/>
      <c r="U134" s="345"/>
      <c r="V134" s="345"/>
      <c r="W134" s="345"/>
      <c r="X134" s="345"/>
      <c r="Y134" s="345"/>
      <c r="Z134" s="345"/>
      <c r="AA134" s="345"/>
      <c r="AB134" s="345"/>
      <c r="AC134" s="345"/>
      <c r="AD134" s="345"/>
      <c r="AE134" s="345"/>
      <c r="AF134" s="345"/>
      <c r="AG134" s="345"/>
      <c r="AH134" s="345"/>
      <c r="AI134" s="345"/>
      <c r="AJ134" s="345"/>
      <c r="AK134" s="345"/>
      <c r="AL134" s="345"/>
      <c r="AM134" s="345"/>
      <c r="AN134" s="345"/>
      <c r="AO134" s="345"/>
      <c r="AP134" s="345"/>
      <c r="AQ134" s="345"/>
      <c r="AR134" s="345"/>
      <c r="AS134" s="345"/>
      <c r="AT134" s="345"/>
      <c r="AU134" s="345"/>
      <c r="AV134" s="345"/>
      <c r="AW134" s="345"/>
      <c r="AX134" s="345"/>
      <c r="AY134" s="345"/>
      <c r="AZ134" s="345"/>
      <c r="BA134" s="345"/>
      <c r="BB134" s="345"/>
      <c r="BC134" s="345"/>
      <c r="BD134" s="345"/>
      <c r="BE134" s="345"/>
      <c r="BF134" s="345"/>
      <c r="BG134" s="345"/>
      <c r="BH134" s="345"/>
      <c r="BI134" s="345"/>
      <c r="BJ134" s="345"/>
      <c r="BK134" s="345"/>
      <c r="BL134" s="345"/>
      <c r="BM134" s="345"/>
      <c r="BN134" s="345"/>
      <c r="BO134" s="345"/>
      <c r="BP134" s="345"/>
      <c r="BQ134" s="345"/>
      <c r="BR134" s="345"/>
      <c r="BS134" s="345"/>
      <c r="BT134" s="345"/>
      <c r="BU134" s="345"/>
      <c r="BV134" s="345"/>
      <c r="BW134" s="345"/>
      <c r="BX134" s="345"/>
      <c r="BY134" s="345"/>
      <c r="BZ134" s="345"/>
      <c r="CA134" s="345"/>
      <c r="CB134" s="345"/>
      <c r="CC134" s="345"/>
      <c r="CD134" s="345"/>
      <c r="CE134" s="345"/>
      <c r="CF134" s="345"/>
      <c r="CG134" s="345"/>
      <c r="CH134" s="345"/>
      <c r="CI134" s="345"/>
      <c r="CJ134" s="345"/>
      <c r="CK134" s="345"/>
      <c r="CL134" s="345"/>
      <c r="CM134" s="345"/>
      <c r="CN134" s="345"/>
      <c r="CO134" s="345"/>
      <c r="CP134" s="345"/>
      <c r="CQ134" s="345"/>
      <c r="CR134" s="345"/>
      <c r="CS134" s="345"/>
      <c r="CT134" s="345"/>
      <c r="CU134" s="345"/>
      <c r="CV134" s="345"/>
      <c r="CW134" s="345"/>
      <c r="CX134" s="345"/>
      <c r="CY134" s="345"/>
      <c r="CZ134" s="345"/>
      <c r="DA134" s="345"/>
      <c r="DB134" s="345"/>
      <c r="DC134" s="345"/>
      <c r="DD134" s="345"/>
      <c r="DE134" s="345"/>
      <c r="DF134" s="345"/>
      <c r="DG134" s="345"/>
      <c r="DH134" s="345"/>
      <c r="DI134" s="345"/>
      <c r="DJ134" s="345"/>
      <c r="DK134" s="345"/>
      <c r="DL134" s="345"/>
      <c r="DM134" s="345"/>
      <c r="DN134" s="345"/>
      <c r="DO134" s="345"/>
      <c r="DP134" s="345"/>
      <c r="DQ134" s="345"/>
      <c r="DR134" s="345"/>
      <c r="DS134" s="345"/>
      <c r="DT134" s="345"/>
      <c r="DU134" s="345"/>
      <c r="DV134" s="345"/>
      <c r="DW134" s="345"/>
      <c r="DX134" s="345"/>
      <c r="DY134" s="345"/>
      <c r="DZ134" s="345"/>
      <c r="EA134" s="345"/>
    </row>
    <row r="135" spans="1:131" hidden="1">
      <c r="A135" s="345"/>
      <c r="B135" s="345"/>
      <c r="C135" s="345"/>
      <c r="D135" s="345"/>
      <c r="E135" s="345"/>
      <c r="F135" s="345"/>
      <c r="G135" s="345"/>
      <c r="H135" s="345"/>
      <c r="I135" s="345"/>
      <c r="J135" s="345"/>
      <c r="K135" s="345"/>
      <c r="L135" s="345"/>
      <c r="M135" s="345"/>
      <c r="N135" s="345"/>
      <c r="O135" s="345"/>
      <c r="P135" s="345"/>
      <c r="Q135" s="345"/>
      <c r="R135" s="345"/>
      <c r="S135" s="345"/>
      <c r="T135" s="345"/>
      <c r="U135" s="345"/>
      <c r="V135" s="345"/>
      <c r="W135" s="345"/>
      <c r="X135" s="345"/>
      <c r="Y135" s="345"/>
      <c r="Z135" s="345"/>
      <c r="AA135" s="345"/>
      <c r="AB135" s="345"/>
      <c r="AC135" s="345"/>
      <c r="AD135" s="345"/>
      <c r="AE135" s="345"/>
      <c r="AF135" s="345"/>
      <c r="AG135" s="345"/>
      <c r="AH135" s="345"/>
      <c r="AI135" s="345"/>
      <c r="AJ135" s="345"/>
      <c r="AK135" s="345"/>
      <c r="AL135" s="345"/>
      <c r="AM135" s="345"/>
      <c r="AN135" s="345"/>
      <c r="AO135" s="345"/>
      <c r="AP135" s="345"/>
      <c r="AQ135" s="345"/>
      <c r="AR135" s="345"/>
      <c r="AS135" s="345"/>
      <c r="AT135" s="345"/>
      <c r="AU135" s="345"/>
      <c r="AV135" s="345"/>
      <c r="AW135" s="345"/>
      <c r="AX135" s="345"/>
      <c r="AY135" s="345"/>
      <c r="AZ135" s="345"/>
      <c r="BA135" s="345"/>
      <c r="BB135" s="345"/>
      <c r="BC135" s="345"/>
      <c r="BD135" s="345"/>
      <c r="BE135" s="345"/>
      <c r="BF135" s="345"/>
      <c r="BG135" s="345"/>
      <c r="BH135" s="345"/>
      <c r="BI135" s="345"/>
      <c r="BJ135" s="345"/>
      <c r="BK135" s="345"/>
      <c r="BL135" s="345"/>
      <c r="BM135" s="345"/>
      <c r="BN135" s="345"/>
      <c r="BO135" s="345"/>
      <c r="BP135" s="345"/>
      <c r="BQ135" s="345"/>
      <c r="BR135" s="345"/>
      <c r="BS135" s="345"/>
      <c r="BT135" s="345"/>
      <c r="BU135" s="345"/>
      <c r="BV135" s="345"/>
      <c r="BW135" s="345"/>
      <c r="BX135" s="345"/>
      <c r="BY135" s="345"/>
      <c r="BZ135" s="345"/>
      <c r="CA135" s="345"/>
      <c r="CB135" s="345"/>
      <c r="CC135" s="345"/>
      <c r="CD135" s="345"/>
      <c r="CE135" s="345"/>
      <c r="CF135" s="345"/>
      <c r="CG135" s="345"/>
      <c r="CH135" s="345"/>
      <c r="CI135" s="345"/>
      <c r="CJ135" s="345"/>
      <c r="CK135" s="345"/>
      <c r="CL135" s="345"/>
      <c r="CM135" s="345"/>
      <c r="CN135" s="345"/>
      <c r="CO135" s="345"/>
      <c r="CP135" s="345"/>
      <c r="CQ135" s="345"/>
      <c r="CR135" s="345"/>
      <c r="CS135" s="345"/>
      <c r="CT135" s="345"/>
      <c r="CU135" s="345"/>
      <c r="CV135" s="345"/>
      <c r="CW135" s="345"/>
      <c r="CX135" s="345"/>
      <c r="CY135" s="345"/>
      <c r="CZ135" s="345"/>
      <c r="DA135" s="345"/>
      <c r="DB135" s="345"/>
      <c r="DC135" s="345"/>
      <c r="DD135" s="345"/>
      <c r="DE135" s="345"/>
      <c r="DF135" s="345"/>
      <c r="DG135" s="345"/>
      <c r="DH135" s="345"/>
      <c r="DI135" s="345"/>
      <c r="DJ135" s="345"/>
      <c r="DK135" s="345"/>
      <c r="DL135" s="345"/>
      <c r="DM135" s="345"/>
      <c r="DN135" s="345"/>
      <c r="DO135" s="345"/>
      <c r="DP135" s="345"/>
      <c r="DQ135" s="345"/>
      <c r="DR135" s="345"/>
      <c r="DS135" s="345"/>
      <c r="DT135" s="345"/>
      <c r="DU135" s="345"/>
      <c r="DV135" s="345"/>
      <c r="DW135" s="345"/>
      <c r="DX135" s="345"/>
      <c r="DY135" s="345"/>
      <c r="DZ135" s="345"/>
      <c r="EA135" s="345"/>
    </row>
    <row r="136" spans="1:131" hidden="1">
      <c r="A136" s="345"/>
      <c r="B136" s="345"/>
      <c r="C136" s="345"/>
      <c r="D136" s="345"/>
      <c r="E136" s="345"/>
      <c r="F136" s="345"/>
      <c r="G136" s="345"/>
      <c r="H136" s="345"/>
      <c r="I136" s="345"/>
      <c r="J136" s="345"/>
      <c r="K136" s="345"/>
      <c r="L136" s="345"/>
      <c r="M136" s="345"/>
      <c r="N136" s="345"/>
      <c r="O136" s="345"/>
      <c r="P136" s="345"/>
      <c r="Q136" s="345"/>
      <c r="R136" s="345"/>
      <c r="S136" s="345"/>
      <c r="T136" s="345"/>
      <c r="U136" s="345"/>
      <c r="V136" s="345"/>
      <c r="W136" s="345"/>
      <c r="X136" s="345"/>
      <c r="Y136" s="345"/>
      <c r="Z136" s="345"/>
      <c r="AA136" s="345"/>
      <c r="AB136" s="345"/>
      <c r="AC136" s="345"/>
      <c r="AD136" s="345"/>
      <c r="AE136" s="345"/>
      <c r="AF136" s="345"/>
      <c r="AG136" s="345"/>
      <c r="AH136" s="345"/>
      <c r="AI136" s="345"/>
      <c r="AJ136" s="345"/>
      <c r="AK136" s="345"/>
      <c r="AL136" s="345"/>
      <c r="AM136" s="345"/>
      <c r="AN136" s="345"/>
      <c r="AO136" s="345"/>
      <c r="AP136" s="345"/>
      <c r="AQ136" s="345"/>
      <c r="AR136" s="345"/>
      <c r="AS136" s="345"/>
      <c r="AT136" s="345"/>
      <c r="AU136" s="345"/>
      <c r="AV136" s="345"/>
      <c r="AW136" s="345"/>
      <c r="AX136" s="345"/>
      <c r="AY136" s="345"/>
      <c r="AZ136" s="345"/>
      <c r="BA136" s="345"/>
      <c r="BB136" s="345"/>
      <c r="BC136" s="345"/>
      <c r="BD136" s="345"/>
      <c r="BE136" s="345"/>
      <c r="BF136" s="345"/>
      <c r="BG136" s="345"/>
      <c r="BH136" s="345"/>
      <c r="BI136" s="345"/>
      <c r="BJ136" s="345"/>
      <c r="BK136" s="345"/>
      <c r="BL136" s="345"/>
      <c r="BM136" s="345"/>
      <c r="BN136" s="345"/>
      <c r="BO136" s="345"/>
      <c r="BP136" s="345"/>
      <c r="BQ136" s="345"/>
      <c r="BR136" s="345"/>
      <c r="BS136" s="345"/>
      <c r="BT136" s="345"/>
      <c r="BU136" s="345"/>
      <c r="BV136" s="345"/>
      <c r="BW136" s="345"/>
      <c r="BX136" s="345"/>
      <c r="BY136" s="345"/>
      <c r="BZ136" s="345"/>
      <c r="CA136" s="345"/>
      <c r="CB136" s="345"/>
      <c r="CC136" s="345"/>
      <c r="CD136" s="345"/>
      <c r="CE136" s="345"/>
      <c r="CF136" s="345"/>
      <c r="CG136" s="345"/>
      <c r="CH136" s="345"/>
      <c r="CI136" s="345"/>
      <c r="CJ136" s="345"/>
      <c r="CK136" s="345"/>
      <c r="CL136" s="345"/>
      <c r="CM136" s="345"/>
      <c r="CN136" s="345"/>
      <c r="CO136" s="345"/>
      <c r="CP136" s="345"/>
      <c r="CQ136" s="345"/>
      <c r="CR136" s="345"/>
      <c r="CS136" s="345"/>
      <c r="CT136" s="345"/>
      <c r="CU136" s="345"/>
      <c r="CV136" s="345"/>
      <c r="CW136" s="345"/>
      <c r="CX136" s="345"/>
      <c r="CY136" s="345"/>
      <c r="CZ136" s="345"/>
      <c r="DA136" s="345"/>
      <c r="DB136" s="345"/>
      <c r="DC136" s="345"/>
      <c r="DD136" s="345"/>
      <c r="DE136" s="345"/>
      <c r="DF136" s="345"/>
      <c r="DG136" s="345"/>
      <c r="DH136" s="345"/>
      <c r="DI136" s="345"/>
      <c r="DJ136" s="345"/>
      <c r="DK136" s="345"/>
      <c r="DL136" s="345"/>
      <c r="DM136" s="345"/>
      <c r="DN136" s="345"/>
      <c r="DO136" s="345"/>
      <c r="DP136" s="345"/>
      <c r="DQ136" s="345"/>
      <c r="DR136" s="345"/>
      <c r="DS136" s="345"/>
      <c r="DT136" s="345"/>
      <c r="DU136" s="345"/>
      <c r="DV136" s="345"/>
      <c r="DW136" s="345"/>
      <c r="DX136" s="345"/>
      <c r="DY136" s="345"/>
      <c r="DZ136" s="345"/>
      <c r="EA136" s="345"/>
    </row>
    <row r="137" spans="1:131" hidden="1">
      <c r="A137" s="345"/>
      <c r="B137" s="345"/>
      <c r="C137" s="345"/>
      <c r="D137" s="345"/>
      <c r="E137" s="345"/>
      <c r="F137" s="345"/>
      <c r="G137" s="345"/>
      <c r="H137" s="345"/>
      <c r="I137" s="345"/>
      <c r="J137" s="345"/>
      <c r="K137" s="345"/>
      <c r="L137" s="345"/>
      <c r="M137" s="345"/>
      <c r="N137" s="345"/>
      <c r="O137" s="345"/>
      <c r="P137" s="345"/>
      <c r="Q137" s="345"/>
      <c r="R137" s="345"/>
      <c r="S137" s="345"/>
      <c r="T137" s="345"/>
      <c r="U137" s="345"/>
      <c r="V137" s="345"/>
      <c r="W137" s="345"/>
      <c r="X137" s="345"/>
      <c r="Y137" s="345"/>
      <c r="Z137" s="345"/>
      <c r="AA137" s="345"/>
      <c r="AB137" s="345"/>
      <c r="AC137" s="345"/>
      <c r="AD137" s="345"/>
      <c r="AE137" s="345"/>
      <c r="AF137" s="345"/>
      <c r="AG137" s="345"/>
      <c r="AH137" s="345"/>
      <c r="AI137" s="345"/>
      <c r="AJ137" s="345"/>
      <c r="AK137" s="345"/>
      <c r="AL137" s="345"/>
      <c r="AM137" s="345"/>
      <c r="AN137" s="345"/>
      <c r="AO137" s="345"/>
      <c r="AP137" s="345"/>
      <c r="AQ137" s="345"/>
      <c r="AR137" s="345"/>
      <c r="AS137" s="345"/>
      <c r="AT137" s="345"/>
      <c r="AU137" s="345"/>
      <c r="AV137" s="345"/>
      <c r="AW137" s="345"/>
      <c r="AX137" s="345"/>
      <c r="AY137" s="345"/>
      <c r="AZ137" s="345"/>
      <c r="BA137" s="345"/>
      <c r="BB137" s="345"/>
      <c r="BC137" s="345"/>
      <c r="BD137" s="345"/>
      <c r="BE137" s="345"/>
      <c r="BF137" s="345"/>
      <c r="BG137" s="345"/>
      <c r="BH137" s="345"/>
      <c r="BI137" s="345"/>
      <c r="BJ137" s="345"/>
      <c r="BK137" s="345"/>
      <c r="BL137" s="345"/>
      <c r="BM137" s="345"/>
      <c r="BN137" s="345"/>
      <c r="BO137" s="345"/>
      <c r="BP137" s="345"/>
      <c r="BQ137" s="345"/>
      <c r="BR137" s="345"/>
      <c r="BS137" s="345"/>
      <c r="BT137" s="345"/>
      <c r="BU137" s="345"/>
      <c r="BV137" s="345"/>
      <c r="BW137" s="345"/>
      <c r="BX137" s="345"/>
      <c r="BY137" s="345"/>
      <c r="BZ137" s="345"/>
      <c r="CA137" s="345"/>
      <c r="CB137" s="345"/>
      <c r="CC137" s="345"/>
      <c r="CD137" s="345"/>
      <c r="CE137" s="345"/>
      <c r="CF137" s="345"/>
      <c r="CG137" s="345"/>
      <c r="CH137" s="345"/>
      <c r="CI137" s="345"/>
      <c r="CJ137" s="345"/>
      <c r="CK137" s="345"/>
      <c r="CL137" s="345"/>
      <c r="CM137" s="345"/>
      <c r="CN137" s="345"/>
      <c r="CO137" s="345"/>
      <c r="CP137" s="345"/>
      <c r="CQ137" s="345"/>
      <c r="CR137" s="345"/>
      <c r="CS137" s="345"/>
      <c r="CT137" s="345"/>
      <c r="CU137" s="345"/>
      <c r="CV137" s="345"/>
      <c r="CW137" s="345"/>
      <c r="CX137" s="345"/>
      <c r="CY137" s="345"/>
      <c r="CZ137" s="345"/>
      <c r="DA137" s="345"/>
      <c r="DB137" s="345"/>
      <c r="DC137" s="345"/>
      <c r="DD137" s="345"/>
      <c r="DE137" s="345"/>
      <c r="DF137" s="345"/>
      <c r="DG137" s="345"/>
      <c r="DH137" s="345"/>
      <c r="DI137" s="345"/>
      <c r="DJ137" s="345"/>
      <c r="DK137" s="345"/>
      <c r="DL137" s="345"/>
      <c r="DM137" s="345"/>
      <c r="DN137" s="345"/>
      <c r="DO137" s="345"/>
      <c r="DP137" s="345"/>
      <c r="DQ137" s="345"/>
      <c r="DR137" s="345"/>
      <c r="DS137" s="345"/>
      <c r="DT137" s="345"/>
      <c r="DU137" s="345"/>
      <c r="DV137" s="345"/>
      <c r="DW137" s="345"/>
      <c r="DX137" s="345"/>
      <c r="DY137" s="345"/>
      <c r="DZ137" s="345"/>
      <c r="EA137" s="345"/>
    </row>
    <row r="138" spans="1:131" hidden="1">
      <c r="A138" s="345"/>
      <c r="B138" s="345"/>
      <c r="C138" s="345"/>
      <c r="D138" s="345"/>
      <c r="E138" s="345"/>
      <c r="F138" s="345"/>
      <c r="G138" s="345"/>
      <c r="H138" s="345"/>
      <c r="I138" s="345"/>
      <c r="J138" s="345"/>
      <c r="K138" s="345"/>
      <c r="L138" s="345"/>
      <c r="M138" s="345"/>
      <c r="N138" s="345"/>
      <c r="O138" s="345"/>
      <c r="P138" s="345"/>
      <c r="Q138" s="345"/>
      <c r="R138" s="345"/>
      <c r="S138" s="345"/>
      <c r="T138" s="345"/>
      <c r="U138" s="345"/>
      <c r="V138" s="345"/>
      <c r="W138" s="345"/>
      <c r="X138" s="345"/>
      <c r="Y138" s="345"/>
      <c r="Z138" s="345"/>
      <c r="AA138" s="345"/>
      <c r="AB138" s="345"/>
      <c r="AC138" s="345"/>
      <c r="AD138" s="345"/>
      <c r="AE138" s="345"/>
      <c r="AF138" s="345"/>
      <c r="AG138" s="345"/>
      <c r="AH138" s="345"/>
      <c r="AI138" s="345"/>
      <c r="AJ138" s="345"/>
      <c r="AK138" s="345"/>
      <c r="AL138" s="345"/>
      <c r="AM138" s="345"/>
      <c r="AN138" s="345"/>
      <c r="AO138" s="345"/>
      <c r="AP138" s="345"/>
      <c r="AQ138" s="345"/>
      <c r="AR138" s="345"/>
      <c r="AS138" s="345"/>
      <c r="AT138" s="345"/>
      <c r="AU138" s="345"/>
      <c r="AV138" s="345"/>
      <c r="AW138" s="345"/>
      <c r="AX138" s="345"/>
      <c r="AY138" s="345"/>
      <c r="AZ138" s="345"/>
      <c r="BA138" s="345"/>
      <c r="BB138" s="345"/>
      <c r="BC138" s="345"/>
      <c r="BD138" s="345"/>
      <c r="BE138" s="345"/>
      <c r="BF138" s="345"/>
      <c r="BG138" s="345"/>
      <c r="BH138" s="345"/>
      <c r="BI138" s="345"/>
      <c r="BJ138" s="345"/>
      <c r="BK138" s="345"/>
      <c r="BL138" s="345"/>
      <c r="BM138" s="345"/>
      <c r="BN138" s="345"/>
      <c r="BO138" s="345"/>
      <c r="BP138" s="345"/>
      <c r="BQ138" s="345"/>
      <c r="BR138" s="345"/>
      <c r="BS138" s="345"/>
      <c r="BT138" s="345"/>
      <c r="BU138" s="345"/>
      <c r="BV138" s="345"/>
      <c r="BW138" s="345"/>
      <c r="BX138" s="345"/>
      <c r="BY138" s="345"/>
      <c r="BZ138" s="345"/>
      <c r="CA138" s="345"/>
      <c r="CB138" s="345"/>
      <c r="CC138" s="345"/>
      <c r="CD138" s="345"/>
      <c r="CE138" s="345"/>
      <c r="CF138" s="345"/>
      <c r="CG138" s="345"/>
      <c r="CH138" s="345"/>
      <c r="CI138" s="345"/>
      <c r="CJ138" s="345"/>
      <c r="CK138" s="345"/>
      <c r="CL138" s="345"/>
      <c r="CM138" s="345"/>
      <c r="CN138" s="345"/>
      <c r="CO138" s="345"/>
      <c r="CP138" s="345"/>
      <c r="CQ138" s="345"/>
      <c r="CR138" s="345"/>
      <c r="CS138" s="345"/>
      <c r="CT138" s="345"/>
      <c r="CU138" s="345"/>
      <c r="CV138" s="345"/>
      <c r="CW138" s="345"/>
      <c r="CX138" s="345"/>
      <c r="CY138" s="345"/>
      <c r="CZ138" s="345"/>
      <c r="DA138" s="345"/>
      <c r="DB138" s="345"/>
      <c r="DC138" s="345"/>
      <c r="DD138" s="345"/>
      <c r="DE138" s="345"/>
      <c r="DF138" s="345"/>
      <c r="DG138" s="345"/>
      <c r="DH138" s="345"/>
      <c r="DI138" s="345"/>
      <c r="DJ138" s="345"/>
      <c r="DK138" s="345"/>
      <c r="DL138" s="345"/>
      <c r="DM138" s="345"/>
      <c r="DN138" s="345"/>
      <c r="DO138" s="345"/>
      <c r="DP138" s="345"/>
      <c r="DQ138" s="345"/>
      <c r="DR138" s="345"/>
      <c r="DS138" s="345"/>
      <c r="DT138" s="345"/>
      <c r="DU138" s="345"/>
      <c r="DV138" s="345"/>
      <c r="DW138" s="345"/>
      <c r="DX138" s="345"/>
      <c r="DY138" s="345"/>
      <c r="DZ138" s="345"/>
      <c r="EA138" s="345"/>
    </row>
    <row r="139" spans="1:131" hidden="1">
      <c r="A139" s="345"/>
      <c r="B139" s="345"/>
      <c r="C139" s="345"/>
      <c r="D139" s="345"/>
      <c r="E139" s="345"/>
      <c r="F139" s="345"/>
      <c r="G139" s="345"/>
      <c r="H139" s="345"/>
      <c r="I139" s="345"/>
      <c r="J139" s="345"/>
      <c r="K139" s="345"/>
      <c r="L139" s="345"/>
      <c r="M139" s="345"/>
      <c r="N139" s="345"/>
      <c r="O139" s="345"/>
      <c r="P139" s="345"/>
      <c r="Q139" s="345"/>
      <c r="R139" s="345"/>
      <c r="S139" s="345"/>
      <c r="T139" s="345"/>
      <c r="U139" s="345"/>
      <c r="V139" s="345"/>
      <c r="W139" s="345"/>
      <c r="X139" s="345"/>
      <c r="Y139" s="345"/>
      <c r="Z139" s="345"/>
      <c r="AA139" s="345"/>
      <c r="AB139" s="345"/>
      <c r="AC139" s="345"/>
      <c r="AD139" s="345"/>
      <c r="AE139" s="345"/>
      <c r="AF139" s="345"/>
      <c r="AG139" s="345"/>
      <c r="AH139" s="345"/>
      <c r="AI139" s="345"/>
      <c r="AJ139" s="345"/>
      <c r="AK139" s="345"/>
      <c r="AL139" s="345"/>
      <c r="AM139" s="345"/>
      <c r="AN139" s="345"/>
      <c r="AO139" s="345"/>
      <c r="AP139" s="345"/>
      <c r="AQ139" s="345"/>
      <c r="AR139" s="345"/>
      <c r="AS139" s="345"/>
      <c r="AT139" s="345"/>
      <c r="AU139" s="345"/>
      <c r="AV139" s="345"/>
      <c r="AW139" s="345"/>
      <c r="AX139" s="345"/>
      <c r="AY139" s="345"/>
      <c r="AZ139" s="345"/>
      <c r="BA139" s="345"/>
      <c r="BB139" s="345"/>
      <c r="BC139" s="345"/>
      <c r="BD139" s="345"/>
      <c r="BE139" s="345"/>
      <c r="BF139" s="345"/>
      <c r="BG139" s="345"/>
      <c r="BH139" s="345"/>
      <c r="BI139" s="345"/>
      <c r="BJ139" s="345"/>
      <c r="BK139" s="345"/>
      <c r="BL139" s="345"/>
      <c r="BM139" s="345"/>
      <c r="BN139" s="345"/>
      <c r="BO139" s="345"/>
      <c r="BP139" s="345"/>
      <c r="BQ139" s="345"/>
      <c r="BR139" s="345"/>
      <c r="BS139" s="345"/>
      <c r="BT139" s="345"/>
      <c r="BU139" s="345"/>
      <c r="BV139" s="345"/>
      <c r="BW139" s="345"/>
      <c r="BX139" s="345"/>
      <c r="BY139" s="345"/>
      <c r="BZ139" s="345"/>
      <c r="CA139" s="345"/>
      <c r="CB139" s="345"/>
      <c r="CC139" s="345"/>
      <c r="CD139" s="345"/>
      <c r="CE139" s="345"/>
      <c r="CF139" s="345"/>
      <c r="CG139" s="345"/>
      <c r="CH139" s="345"/>
      <c r="CI139" s="345"/>
      <c r="CJ139" s="345"/>
      <c r="CK139" s="345"/>
      <c r="CL139" s="345"/>
      <c r="CM139" s="345"/>
      <c r="CN139" s="345"/>
      <c r="CO139" s="345"/>
      <c r="CP139" s="345"/>
      <c r="CQ139" s="345"/>
      <c r="CR139" s="345"/>
      <c r="CS139" s="345"/>
      <c r="CT139" s="345"/>
      <c r="CU139" s="345"/>
      <c r="CV139" s="345"/>
      <c r="CW139" s="345"/>
      <c r="CX139" s="345"/>
      <c r="CY139" s="345"/>
      <c r="CZ139" s="345"/>
      <c r="DA139" s="345"/>
      <c r="DB139" s="345"/>
      <c r="DC139" s="345"/>
      <c r="DD139" s="345"/>
      <c r="DE139" s="345"/>
      <c r="DF139" s="345"/>
      <c r="DG139" s="345"/>
      <c r="DH139" s="345"/>
      <c r="DI139" s="345"/>
      <c r="DJ139" s="345"/>
      <c r="DK139" s="345"/>
      <c r="DL139" s="345"/>
      <c r="DM139" s="345"/>
      <c r="DN139" s="345"/>
      <c r="DO139" s="345"/>
      <c r="DP139" s="345"/>
      <c r="DQ139" s="345"/>
      <c r="DR139" s="345"/>
      <c r="DS139" s="345"/>
      <c r="DT139" s="345"/>
      <c r="DU139" s="345"/>
      <c r="DV139" s="345"/>
      <c r="DW139" s="345"/>
      <c r="DX139" s="345"/>
      <c r="DY139" s="345"/>
      <c r="DZ139" s="345"/>
      <c r="EA139" s="345"/>
    </row>
    <row r="140" spans="1:131" hidden="1">
      <c r="A140" s="345"/>
      <c r="B140" s="345"/>
      <c r="C140" s="345"/>
      <c r="D140" s="345"/>
      <c r="E140" s="345"/>
      <c r="F140" s="345"/>
      <c r="G140" s="345"/>
      <c r="H140" s="345"/>
      <c r="I140" s="345"/>
      <c r="J140" s="345"/>
      <c r="K140" s="345"/>
      <c r="L140" s="345"/>
      <c r="M140" s="345"/>
      <c r="N140" s="345"/>
      <c r="O140" s="345"/>
      <c r="P140" s="345"/>
      <c r="Q140" s="345"/>
      <c r="R140" s="345"/>
      <c r="S140" s="345"/>
      <c r="T140" s="345"/>
      <c r="U140" s="345"/>
      <c r="V140" s="345"/>
      <c r="W140" s="345"/>
      <c r="X140" s="345"/>
      <c r="Y140" s="345"/>
      <c r="Z140" s="345"/>
      <c r="AA140" s="345"/>
      <c r="AB140" s="345"/>
      <c r="AC140" s="345"/>
      <c r="AD140" s="345"/>
      <c r="AE140" s="345"/>
      <c r="AF140" s="345"/>
      <c r="AG140" s="345"/>
      <c r="AH140" s="345"/>
      <c r="AI140" s="345"/>
      <c r="AJ140" s="345"/>
      <c r="AK140" s="345"/>
      <c r="AL140" s="345"/>
      <c r="AM140" s="345"/>
      <c r="AN140" s="345"/>
      <c r="AO140" s="345"/>
      <c r="AP140" s="345"/>
      <c r="AQ140" s="345"/>
      <c r="AR140" s="345"/>
      <c r="AS140" s="345"/>
      <c r="AT140" s="345"/>
      <c r="AU140" s="345"/>
      <c r="AV140" s="345"/>
      <c r="AW140" s="345"/>
      <c r="AX140" s="345"/>
      <c r="AY140" s="345"/>
      <c r="AZ140" s="345"/>
      <c r="BA140" s="345"/>
      <c r="BB140" s="345"/>
      <c r="BC140" s="345"/>
      <c r="BD140" s="345"/>
      <c r="BE140" s="345"/>
      <c r="BF140" s="345"/>
      <c r="BG140" s="345"/>
      <c r="BH140" s="345"/>
      <c r="BI140" s="345"/>
      <c r="BJ140" s="345"/>
      <c r="BK140" s="345"/>
      <c r="BL140" s="345"/>
      <c r="BM140" s="345"/>
      <c r="BN140" s="345"/>
      <c r="BO140" s="345"/>
      <c r="BP140" s="345"/>
      <c r="BQ140" s="345"/>
      <c r="BR140" s="345"/>
      <c r="BS140" s="345"/>
      <c r="BT140" s="345"/>
      <c r="BU140" s="345"/>
      <c r="BV140" s="345"/>
      <c r="BW140" s="345"/>
      <c r="BX140" s="345"/>
      <c r="BY140" s="345"/>
      <c r="BZ140" s="345"/>
      <c r="CA140" s="345"/>
      <c r="CB140" s="345"/>
      <c r="CC140" s="345"/>
      <c r="CD140" s="345"/>
      <c r="CE140" s="345"/>
      <c r="CF140" s="345"/>
      <c r="CG140" s="345"/>
      <c r="CH140" s="345"/>
      <c r="CI140" s="345"/>
      <c r="CJ140" s="345"/>
      <c r="CK140" s="345"/>
      <c r="CL140" s="345"/>
      <c r="CM140" s="345"/>
      <c r="CN140" s="345"/>
      <c r="CO140" s="345"/>
      <c r="CP140" s="345"/>
      <c r="CQ140" s="345"/>
      <c r="CR140" s="345"/>
      <c r="CS140" s="345"/>
      <c r="CT140" s="345"/>
      <c r="CU140" s="345"/>
      <c r="CV140" s="345"/>
      <c r="CW140" s="345"/>
      <c r="CX140" s="345"/>
      <c r="CY140" s="345"/>
      <c r="CZ140" s="345"/>
      <c r="DA140" s="345"/>
      <c r="DB140" s="345"/>
      <c r="DC140" s="345"/>
      <c r="DD140" s="345"/>
      <c r="DE140" s="345"/>
      <c r="DF140" s="345"/>
      <c r="DG140" s="345"/>
      <c r="DH140" s="345"/>
      <c r="DI140" s="345"/>
      <c r="DJ140" s="345"/>
      <c r="DK140" s="345"/>
      <c r="DL140" s="345"/>
      <c r="DM140" s="345"/>
      <c r="DN140" s="345"/>
      <c r="DO140" s="345"/>
      <c r="DP140" s="345"/>
      <c r="DQ140" s="345"/>
      <c r="DR140" s="345"/>
      <c r="DS140" s="345"/>
      <c r="DT140" s="345"/>
      <c r="DU140" s="345"/>
      <c r="DV140" s="345"/>
      <c r="DW140" s="345"/>
      <c r="DX140" s="345"/>
      <c r="DY140" s="345"/>
      <c r="DZ140" s="345"/>
      <c r="EA140" s="345"/>
    </row>
    <row r="141" spans="1:131" hidden="1">
      <c r="A141" s="345"/>
      <c r="B141" s="345"/>
      <c r="C141" s="345"/>
      <c r="D141" s="345"/>
      <c r="E141" s="345"/>
      <c r="F141" s="345"/>
      <c r="G141" s="345"/>
      <c r="H141" s="345"/>
      <c r="I141" s="345"/>
      <c r="J141" s="345"/>
      <c r="K141" s="345"/>
      <c r="L141" s="345"/>
      <c r="M141" s="345"/>
      <c r="N141" s="345"/>
      <c r="O141" s="345"/>
      <c r="P141" s="345"/>
      <c r="Q141" s="345"/>
      <c r="R141" s="345"/>
      <c r="S141" s="345"/>
      <c r="T141" s="345"/>
      <c r="U141" s="345"/>
      <c r="V141" s="345"/>
      <c r="W141" s="345"/>
      <c r="X141" s="345"/>
      <c r="Y141" s="345"/>
      <c r="Z141" s="345"/>
      <c r="AA141" s="345"/>
      <c r="AB141" s="345"/>
      <c r="AC141" s="345"/>
      <c r="AD141" s="345"/>
      <c r="AE141" s="345"/>
      <c r="AF141" s="345"/>
      <c r="AG141" s="345"/>
      <c r="AH141" s="345"/>
      <c r="AI141" s="345"/>
      <c r="AJ141" s="345"/>
      <c r="AK141" s="345"/>
      <c r="AL141" s="345"/>
      <c r="AM141" s="345"/>
      <c r="AN141" s="345"/>
      <c r="AO141" s="345"/>
      <c r="AP141" s="345"/>
      <c r="AQ141" s="345"/>
      <c r="AR141" s="345"/>
      <c r="AS141" s="345"/>
      <c r="AT141" s="345"/>
      <c r="AU141" s="345"/>
      <c r="AV141" s="345"/>
      <c r="AW141" s="345"/>
      <c r="AX141" s="345"/>
      <c r="AY141" s="345"/>
      <c r="AZ141" s="345"/>
      <c r="BA141" s="345"/>
      <c r="BB141" s="345"/>
      <c r="BC141" s="345"/>
      <c r="BD141" s="345"/>
      <c r="BE141" s="345"/>
      <c r="BF141" s="345"/>
      <c r="BG141" s="345"/>
      <c r="BH141" s="345"/>
      <c r="BI141" s="345"/>
      <c r="BJ141" s="345"/>
      <c r="BK141" s="345"/>
      <c r="BL141" s="345"/>
      <c r="BM141" s="345"/>
      <c r="BN141" s="345"/>
      <c r="BO141" s="345"/>
      <c r="BP141" s="345"/>
      <c r="BQ141" s="345"/>
      <c r="BR141" s="345"/>
      <c r="BS141" s="345"/>
      <c r="BT141" s="345"/>
      <c r="BU141" s="345"/>
      <c r="BV141" s="345"/>
      <c r="BW141" s="345"/>
      <c r="BX141" s="345"/>
      <c r="BY141" s="345"/>
      <c r="BZ141" s="345"/>
      <c r="CA141" s="345"/>
      <c r="CB141" s="345"/>
      <c r="CC141" s="345"/>
      <c r="CD141" s="345"/>
      <c r="CE141" s="345"/>
      <c r="CF141" s="345"/>
      <c r="CG141" s="345"/>
      <c r="CH141" s="345"/>
      <c r="CI141" s="345"/>
      <c r="CJ141" s="345"/>
      <c r="CK141" s="345"/>
      <c r="CL141" s="345"/>
      <c r="CM141" s="345"/>
      <c r="CN141" s="345"/>
      <c r="CO141" s="345"/>
      <c r="CP141" s="345"/>
      <c r="CQ141" s="345"/>
      <c r="CR141" s="345"/>
      <c r="CS141" s="345"/>
      <c r="CT141" s="345"/>
      <c r="CU141" s="345"/>
      <c r="CV141" s="345"/>
      <c r="CW141" s="345"/>
      <c r="CX141" s="345"/>
      <c r="CY141" s="345"/>
      <c r="CZ141" s="345"/>
      <c r="DA141" s="345"/>
      <c r="DB141" s="345"/>
      <c r="DC141" s="345"/>
      <c r="DD141" s="345"/>
      <c r="DE141" s="345"/>
      <c r="DF141" s="345"/>
      <c r="DG141" s="345"/>
      <c r="DH141" s="345"/>
      <c r="DI141" s="345"/>
      <c r="DJ141" s="345"/>
      <c r="DK141" s="345"/>
      <c r="DL141" s="345"/>
      <c r="DM141" s="345"/>
      <c r="DN141" s="345"/>
      <c r="DO141" s="345"/>
      <c r="DP141" s="345"/>
      <c r="DQ141" s="345"/>
      <c r="DR141" s="345"/>
      <c r="DS141" s="345"/>
      <c r="DT141" s="345"/>
      <c r="DU141" s="345"/>
      <c r="DV141" s="345"/>
      <c r="DW141" s="345"/>
      <c r="DX141" s="345"/>
      <c r="DY141" s="345"/>
      <c r="DZ141" s="345"/>
      <c r="EA141" s="345"/>
    </row>
    <row r="142" spans="1:131" hidden="1">
      <c r="A142" s="345"/>
      <c r="B142" s="345"/>
      <c r="C142" s="345"/>
      <c r="D142" s="345"/>
      <c r="E142" s="345"/>
      <c r="F142" s="345"/>
      <c r="G142" s="345"/>
      <c r="H142" s="345"/>
      <c r="I142" s="345"/>
      <c r="J142" s="345"/>
      <c r="K142" s="345"/>
      <c r="L142" s="345"/>
      <c r="M142" s="345"/>
      <c r="N142" s="345"/>
      <c r="O142" s="345"/>
      <c r="P142" s="345"/>
      <c r="Q142" s="345"/>
      <c r="R142" s="345"/>
      <c r="S142" s="345"/>
      <c r="T142" s="345"/>
      <c r="U142" s="345"/>
      <c r="V142" s="345"/>
      <c r="W142" s="345"/>
      <c r="X142" s="345"/>
      <c r="Y142" s="345"/>
      <c r="Z142" s="345"/>
      <c r="AA142" s="345"/>
      <c r="AB142" s="345"/>
      <c r="AC142" s="345"/>
      <c r="AD142" s="345"/>
      <c r="AE142" s="345"/>
      <c r="AF142" s="345"/>
      <c r="AG142" s="345"/>
      <c r="AH142" s="345"/>
      <c r="AI142" s="345"/>
      <c r="AJ142" s="345"/>
      <c r="AK142" s="345"/>
      <c r="AL142" s="345"/>
      <c r="AM142" s="345"/>
      <c r="AN142" s="345"/>
      <c r="AO142" s="345"/>
      <c r="AP142" s="345"/>
      <c r="AQ142" s="345"/>
      <c r="AR142" s="345"/>
      <c r="AS142" s="345"/>
      <c r="AT142" s="345"/>
      <c r="AU142" s="345"/>
      <c r="AV142" s="345"/>
      <c r="AW142" s="345"/>
      <c r="AX142" s="345"/>
      <c r="AY142" s="345"/>
      <c r="AZ142" s="345"/>
      <c r="BA142" s="345"/>
      <c r="BB142" s="345"/>
      <c r="BC142" s="345"/>
      <c r="BD142" s="345"/>
      <c r="BE142" s="345"/>
      <c r="BF142" s="345"/>
      <c r="BG142" s="345"/>
      <c r="BH142" s="345"/>
      <c r="BI142" s="345"/>
      <c r="BJ142" s="345"/>
      <c r="BK142" s="345"/>
      <c r="BL142" s="345"/>
      <c r="BM142" s="345"/>
      <c r="BN142" s="345"/>
      <c r="BO142" s="345"/>
      <c r="BP142" s="345"/>
      <c r="BQ142" s="345"/>
      <c r="BR142" s="345"/>
      <c r="BS142" s="345"/>
      <c r="BT142" s="345"/>
      <c r="BU142" s="345"/>
      <c r="BV142" s="345"/>
      <c r="BW142" s="345"/>
      <c r="BX142" s="345"/>
      <c r="BY142" s="345"/>
      <c r="BZ142" s="345"/>
      <c r="CA142" s="345"/>
      <c r="CB142" s="345"/>
      <c r="CC142" s="345"/>
      <c r="CD142" s="345"/>
      <c r="CE142" s="345"/>
      <c r="CF142" s="345"/>
      <c r="CG142" s="345"/>
      <c r="CH142" s="345"/>
      <c r="CI142" s="345"/>
      <c r="CJ142" s="345"/>
      <c r="CK142" s="345"/>
      <c r="CL142" s="345"/>
      <c r="CM142" s="345"/>
      <c r="CN142" s="345"/>
      <c r="CO142" s="345"/>
      <c r="CP142" s="345"/>
      <c r="CQ142" s="345"/>
      <c r="CR142" s="345"/>
      <c r="CS142" s="345"/>
      <c r="CT142" s="345"/>
      <c r="CU142" s="345"/>
      <c r="CV142" s="345"/>
      <c r="CW142" s="345"/>
      <c r="CX142" s="345"/>
      <c r="CY142" s="345"/>
      <c r="CZ142" s="345"/>
      <c r="DA142" s="345"/>
      <c r="DB142" s="345"/>
      <c r="DC142" s="345"/>
      <c r="DD142" s="345"/>
      <c r="DE142" s="345"/>
      <c r="DF142" s="345"/>
      <c r="DG142" s="345"/>
      <c r="DH142" s="345"/>
      <c r="DI142" s="345"/>
      <c r="DJ142" s="345"/>
      <c r="DK142" s="345"/>
      <c r="DL142" s="345"/>
      <c r="DM142" s="345"/>
      <c r="DN142" s="345"/>
      <c r="DO142" s="345"/>
      <c r="DP142" s="345"/>
      <c r="DQ142" s="345"/>
      <c r="DR142" s="345"/>
      <c r="DS142" s="345"/>
      <c r="DT142" s="345"/>
      <c r="DU142" s="345"/>
      <c r="DV142" s="345"/>
      <c r="DW142" s="345"/>
      <c r="DX142" s="345"/>
      <c r="DY142" s="345"/>
      <c r="DZ142" s="345"/>
      <c r="EA142" s="345"/>
    </row>
    <row r="143" spans="1:131" hidden="1">
      <c r="A143" s="345"/>
      <c r="B143" s="345"/>
      <c r="C143" s="345"/>
      <c r="D143" s="345"/>
      <c r="E143" s="345"/>
      <c r="F143" s="345"/>
      <c r="G143" s="345"/>
      <c r="H143" s="345"/>
      <c r="I143" s="345"/>
      <c r="J143" s="345"/>
      <c r="K143" s="345"/>
      <c r="L143" s="345"/>
      <c r="M143" s="345"/>
      <c r="N143" s="345"/>
      <c r="O143" s="345"/>
      <c r="P143" s="345"/>
      <c r="Q143" s="345"/>
      <c r="R143" s="345"/>
      <c r="S143" s="345"/>
      <c r="T143" s="345"/>
      <c r="U143" s="345"/>
      <c r="V143" s="345"/>
      <c r="W143" s="345"/>
      <c r="X143" s="345"/>
      <c r="Y143" s="345"/>
      <c r="Z143" s="345"/>
      <c r="AA143" s="345"/>
      <c r="AB143" s="345"/>
      <c r="AC143" s="345"/>
      <c r="AD143" s="345"/>
      <c r="AE143" s="345"/>
      <c r="AF143" s="345"/>
      <c r="AG143" s="345"/>
      <c r="AH143" s="345"/>
      <c r="AI143" s="345"/>
      <c r="AJ143" s="345"/>
      <c r="AK143" s="345"/>
      <c r="AL143" s="345"/>
      <c r="AM143" s="345"/>
      <c r="AN143" s="345"/>
      <c r="AO143" s="345"/>
      <c r="AP143" s="345"/>
      <c r="AQ143" s="345"/>
      <c r="AR143" s="345"/>
      <c r="AS143" s="345"/>
      <c r="AT143" s="345"/>
      <c r="AU143" s="345"/>
      <c r="AV143" s="345"/>
      <c r="AW143" s="345"/>
      <c r="AX143" s="345"/>
      <c r="AY143" s="345"/>
      <c r="AZ143" s="345"/>
      <c r="BA143" s="345"/>
      <c r="BB143" s="345"/>
      <c r="BC143" s="345"/>
      <c r="BD143" s="345"/>
      <c r="BE143" s="345"/>
      <c r="BF143" s="345"/>
      <c r="BG143" s="345"/>
      <c r="BH143" s="345"/>
      <c r="BI143" s="345"/>
      <c r="BJ143" s="345"/>
      <c r="BK143" s="345"/>
      <c r="BL143" s="345"/>
      <c r="BM143" s="345"/>
      <c r="BN143" s="345"/>
      <c r="BO143" s="345"/>
      <c r="BP143" s="345"/>
      <c r="BQ143" s="345"/>
      <c r="BR143" s="345"/>
      <c r="BS143" s="345"/>
      <c r="BT143" s="345"/>
      <c r="BU143" s="345"/>
      <c r="BV143" s="345"/>
      <c r="BW143" s="345"/>
      <c r="BX143" s="345"/>
      <c r="BY143" s="345"/>
      <c r="BZ143" s="345"/>
      <c r="CA143" s="345"/>
      <c r="CB143" s="345"/>
      <c r="CC143" s="345"/>
      <c r="CD143" s="345"/>
      <c r="CE143" s="345"/>
      <c r="CF143" s="345"/>
      <c r="CG143" s="345"/>
      <c r="CH143" s="345"/>
      <c r="CI143" s="345"/>
      <c r="CJ143" s="345"/>
      <c r="CK143" s="345"/>
      <c r="CL143" s="345"/>
      <c r="CM143" s="345"/>
      <c r="CN143" s="345"/>
      <c r="CO143" s="345"/>
      <c r="CP143" s="345"/>
      <c r="CQ143" s="345"/>
      <c r="CR143" s="345"/>
      <c r="CS143" s="345"/>
      <c r="CT143" s="345"/>
      <c r="CU143" s="345"/>
      <c r="CV143" s="345"/>
      <c r="CW143" s="345"/>
      <c r="CX143" s="345"/>
      <c r="CY143" s="345"/>
      <c r="CZ143" s="345"/>
      <c r="DA143" s="345"/>
      <c r="DB143" s="345"/>
      <c r="DC143" s="345"/>
      <c r="DD143" s="345"/>
      <c r="DE143" s="345"/>
      <c r="DF143" s="345"/>
      <c r="DG143" s="345"/>
      <c r="DH143" s="345"/>
      <c r="DI143" s="345"/>
      <c r="DJ143" s="345"/>
      <c r="DK143" s="345"/>
      <c r="DL143" s="345"/>
      <c r="DM143" s="345"/>
      <c r="DN143" s="345"/>
      <c r="DO143" s="345"/>
      <c r="DP143" s="345"/>
      <c r="DQ143" s="345"/>
      <c r="DR143" s="345"/>
      <c r="DS143" s="345"/>
      <c r="DT143" s="345"/>
      <c r="DU143" s="345"/>
      <c r="DV143" s="345"/>
      <c r="DW143" s="345"/>
      <c r="DX143" s="345"/>
      <c r="DY143" s="345"/>
      <c r="DZ143" s="345"/>
      <c r="EA143" s="345"/>
    </row>
    <row r="144" spans="1:131" hidden="1">
      <c r="A144" s="345"/>
      <c r="B144" s="345"/>
      <c r="C144" s="345"/>
      <c r="D144" s="345"/>
      <c r="E144" s="345"/>
      <c r="F144" s="345"/>
      <c r="G144" s="345"/>
      <c r="H144" s="345"/>
      <c r="I144" s="345"/>
      <c r="J144" s="345"/>
      <c r="K144" s="345"/>
      <c r="L144" s="345"/>
      <c r="M144" s="345"/>
      <c r="N144" s="345"/>
      <c r="O144" s="345"/>
      <c r="P144" s="345"/>
      <c r="Q144" s="345"/>
      <c r="R144" s="345"/>
      <c r="S144" s="345"/>
      <c r="T144" s="345"/>
      <c r="U144" s="345"/>
      <c r="V144" s="345"/>
      <c r="W144" s="345"/>
      <c r="X144" s="345"/>
      <c r="Y144" s="345"/>
      <c r="Z144" s="345"/>
      <c r="AA144" s="345"/>
      <c r="AB144" s="345"/>
      <c r="AC144" s="345"/>
      <c r="AD144" s="345"/>
      <c r="AE144" s="345"/>
      <c r="AF144" s="345"/>
      <c r="AG144" s="345"/>
      <c r="AH144" s="345"/>
      <c r="AI144" s="345"/>
      <c r="AJ144" s="345"/>
      <c r="AK144" s="345"/>
      <c r="AL144" s="345"/>
      <c r="AM144" s="345"/>
      <c r="AN144" s="345"/>
      <c r="AO144" s="345"/>
      <c r="AP144" s="345"/>
      <c r="AQ144" s="345"/>
      <c r="AR144" s="345"/>
      <c r="AS144" s="345"/>
      <c r="AT144" s="345"/>
      <c r="AU144" s="345"/>
      <c r="AV144" s="345"/>
      <c r="AW144" s="345"/>
      <c r="AX144" s="345"/>
      <c r="AY144" s="345"/>
      <c r="AZ144" s="345"/>
      <c r="BA144" s="345"/>
      <c r="BB144" s="345"/>
      <c r="BC144" s="345"/>
      <c r="BD144" s="345"/>
      <c r="BE144" s="345"/>
      <c r="BF144" s="345"/>
      <c r="BG144" s="345"/>
      <c r="BH144" s="345"/>
      <c r="BI144" s="345"/>
      <c r="BJ144" s="345"/>
      <c r="BK144" s="345"/>
      <c r="BL144" s="345"/>
      <c r="BM144" s="345"/>
      <c r="BN144" s="345"/>
      <c r="BO144" s="345"/>
      <c r="BP144" s="345"/>
      <c r="BQ144" s="345"/>
      <c r="BR144" s="345"/>
      <c r="BS144" s="345"/>
      <c r="BT144" s="345"/>
      <c r="BU144" s="345"/>
      <c r="BV144" s="345"/>
      <c r="BW144" s="345"/>
      <c r="BX144" s="345"/>
      <c r="BY144" s="345"/>
      <c r="BZ144" s="345"/>
      <c r="CA144" s="345"/>
      <c r="CB144" s="345"/>
      <c r="CC144" s="345"/>
      <c r="CD144" s="345"/>
      <c r="CE144" s="345"/>
      <c r="CF144" s="345"/>
      <c r="CG144" s="345"/>
      <c r="CH144" s="345"/>
      <c r="CI144" s="345"/>
      <c r="CJ144" s="345"/>
      <c r="CK144" s="345"/>
      <c r="CL144" s="345"/>
      <c r="CM144" s="345"/>
      <c r="CN144" s="345"/>
      <c r="CO144" s="345"/>
      <c r="CP144" s="345"/>
      <c r="CQ144" s="345"/>
      <c r="CR144" s="345"/>
      <c r="CS144" s="345"/>
      <c r="CT144" s="345"/>
      <c r="CU144" s="345"/>
      <c r="CV144" s="345"/>
      <c r="CW144" s="345"/>
      <c r="CX144" s="345"/>
      <c r="CY144" s="345"/>
      <c r="CZ144" s="345"/>
      <c r="DA144" s="345"/>
      <c r="DB144" s="345"/>
      <c r="DC144" s="345"/>
      <c r="DD144" s="345"/>
      <c r="DE144" s="345"/>
      <c r="DF144" s="345"/>
      <c r="DG144" s="345"/>
      <c r="DH144" s="345"/>
      <c r="DI144" s="345"/>
      <c r="DJ144" s="345"/>
      <c r="DK144" s="345"/>
      <c r="DL144" s="345"/>
      <c r="DM144" s="345"/>
      <c r="DN144" s="345"/>
      <c r="DO144" s="345"/>
      <c r="DP144" s="345"/>
      <c r="DQ144" s="345"/>
      <c r="DR144" s="345"/>
      <c r="DS144" s="345"/>
      <c r="DT144" s="345"/>
      <c r="DU144" s="345"/>
      <c r="DV144" s="345"/>
      <c r="DW144" s="345"/>
      <c r="DX144" s="345"/>
      <c r="DY144" s="345"/>
      <c r="DZ144" s="345"/>
      <c r="EA144" s="345"/>
    </row>
    <row r="145" spans="1:131" hidden="1">
      <c r="A145" s="345"/>
      <c r="B145" s="345"/>
      <c r="C145" s="345"/>
      <c r="D145" s="345"/>
      <c r="E145" s="345"/>
      <c r="F145" s="345"/>
      <c r="G145" s="345"/>
      <c r="H145" s="345"/>
      <c r="I145" s="345"/>
      <c r="J145" s="345"/>
      <c r="K145" s="345"/>
      <c r="L145" s="345"/>
      <c r="M145" s="345"/>
      <c r="N145" s="345"/>
      <c r="O145" s="345"/>
      <c r="P145" s="345"/>
      <c r="Q145" s="345"/>
      <c r="R145" s="345"/>
      <c r="S145" s="345"/>
      <c r="T145" s="345"/>
      <c r="U145" s="345"/>
      <c r="V145" s="345"/>
      <c r="W145" s="345"/>
      <c r="X145" s="345"/>
      <c r="Y145" s="345"/>
      <c r="Z145" s="345"/>
      <c r="AA145" s="345"/>
      <c r="AB145" s="345"/>
      <c r="AC145" s="345"/>
      <c r="AD145" s="345"/>
      <c r="AE145" s="345"/>
      <c r="AF145" s="345"/>
      <c r="AG145" s="345"/>
      <c r="AH145" s="345"/>
      <c r="AI145" s="345"/>
      <c r="AJ145" s="345"/>
      <c r="AK145" s="345"/>
      <c r="AL145" s="345"/>
      <c r="AM145" s="345"/>
      <c r="AN145" s="345"/>
      <c r="AO145" s="345"/>
      <c r="AP145" s="345"/>
      <c r="AQ145" s="345"/>
      <c r="AR145" s="345"/>
      <c r="AS145" s="345"/>
      <c r="AT145" s="345"/>
      <c r="AU145" s="345"/>
      <c r="AV145" s="345"/>
      <c r="AW145" s="345"/>
      <c r="AX145" s="345"/>
      <c r="AY145" s="345"/>
      <c r="AZ145" s="345"/>
      <c r="BA145" s="345"/>
      <c r="BB145" s="345"/>
      <c r="BC145" s="345"/>
      <c r="BD145" s="345"/>
      <c r="BE145" s="345"/>
      <c r="BF145" s="345"/>
      <c r="BG145" s="345"/>
      <c r="BH145" s="345"/>
      <c r="BI145" s="345"/>
      <c r="BJ145" s="345"/>
      <c r="BK145" s="345"/>
      <c r="BL145" s="345"/>
      <c r="BM145" s="345"/>
      <c r="BN145" s="345"/>
      <c r="BO145" s="345"/>
      <c r="BP145" s="345"/>
      <c r="BQ145" s="345"/>
      <c r="BR145" s="345"/>
      <c r="BS145" s="345"/>
      <c r="BT145" s="345"/>
      <c r="BU145" s="345"/>
      <c r="BV145" s="345"/>
      <c r="BW145" s="345"/>
      <c r="BX145" s="345"/>
      <c r="BY145" s="345"/>
      <c r="BZ145" s="345"/>
      <c r="CA145" s="345"/>
      <c r="CB145" s="345"/>
      <c r="CC145" s="345"/>
      <c r="CD145" s="345"/>
      <c r="CE145" s="345"/>
      <c r="CF145" s="345"/>
      <c r="CG145" s="345"/>
      <c r="CH145" s="345"/>
      <c r="CI145" s="345"/>
      <c r="CJ145" s="345"/>
      <c r="CK145" s="345"/>
      <c r="CL145" s="345"/>
      <c r="CM145" s="345"/>
      <c r="CN145" s="345"/>
      <c r="CO145" s="345"/>
      <c r="CP145" s="345"/>
      <c r="CQ145" s="345"/>
      <c r="CR145" s="345"/>
      <c r="CS145" s="345"/>
      <c r="CT145" s="345"/>
      <c r="CU145" s="345"/>
      <c r="CV145" s="345"/>
      <c r="CW145" s="345"/>
      <c r="CX145" s="345"/>
      <c r="CY145" s="345"/>
      <c r="CZ145" s="345"/>
      <c r="DA145" s="345"/>
      <c r="DB145" s="345"/>
      <c r="DC145" s="345"/>
      <c r="DD145" s="345"/>
      <c r="DE145" s="345"/>
      <c r="DF145" s="345"/>
      <c r="DG145" s="345"/>
      <c r="DH145" s="345"/>
      <c r="DI145" s="345"/>
      <c r="DJ145" s="345"/>
      <c r="DK145" s="345"/>
      <c r="DL145" s="345"/>
      <c r="DM145" s="345"/>
      <c r="DN145" s="345"/>
      <c r="DO145" s="345"/>
      <c r="DP145" s="345"/>
      <c r="DQ145" s="345"/>
      <c r="DR145" s="345"/>
      <c r="DS145" s="345"/>
      <c r="DT145" s="345"/>
      <c r="DU145" s="345"/>
      <c r="DV145" s="345"/>
      <c r="DW145" s="345"/>
      <c r="DX145" s="345"/>
      <c r="DY145" s="345"/>
      <c r="DZ145" s="345"/>
      <c r="EA145" s="345"/>
    </row>
    <row r="146" spans="1:131" hidden="1">
      <c r="A146" s="345"/>
      <c r="B146" s="345"/>
      <c r="C146" s="345"/>
      <c r="D146" s="345"/>
      <c r="E146" s="345"/>
      <c r="F146" s="345"/>
      <c r="G146" s="345"/>
      <c r="H146" s="345"/>
      <c r="I146" s="345"/>
      <c r="J146" s="345"/>
      <c r="K146" s="345"/>
      <c r="L146" s="345"/>
      <c r="M146" s="345"/>
      <c r="N146" s="345"/>
      <c r="O146" s="345"/>
      <c r="P146" s="345"/>
      <c r="Q146" s="345"/>
      <c r="R146" s="345"/>
      <c r="S146" s="345"/>
      <c r="T146" s="345"/>
      <c r="U146" s="345"/>
      <c r="V146" s="345"/>
      <c r="W146" s="345"/>
      <c r="X146" s="345"/>
      <c r="Y146" s="345"/>
      <c r="Z146" s="345"/>
      <c r="AA146" s="345"/>
      <c r="AB146" s="345"/>
      <c r="AC146" s="345"/>
      <c r="AD146" s="345"/>
      <c r="AE146" s="345"/>
      <c r="AF146" s="345"/>
      <c r="AG146" s="345"/>
      <c r="AH146" s="345"/>
      <c r="AI146" s="345"/>
      <c r="AJ146" s="345"/>
      <c r="AK146" s="345"/>
      <c r="AL146" s="345"/>
      <c r="AM146" s="345"/>
      <c r="AN146" s="345"/>
      <c r="AO146" s="345"/>
      <c r="AP146" s="345"/>
      <c r="AQ146" s="345"/>
      <c r="AR146" s="345"/>
      <c r="AS146" s="345"/>
      <c r="AT146" s="345"/>
      <c r="AU146" s="345"/>
      <c r="AV146" s="345"/>
      <c r="AW146" s="345"/>
      <c r="AX146" s="345"/>
      <c r="AY146" s="345"/>
      <c r="AZ146" s="345"/>
      <c r="BA146" s="345"/>
      <c r="BB146" s="345"/>
      <c r="BC146" s="345"/>
      <c r="BD146" s="345"/>
      <c r="BE146" s="345"/>
      <c r="BF146" s="345"/>
      <c r="BG146" s="345"/>
      <c r="BH146" s="345"/>
      <c r="BI146" s="345"/>
      <c r="BJ146" s="345"/>
      <c r="BK146" s="345"/>
      <c r="BL146" s="345"/>
      <c r="BM146" s="345"/>
      <c r="BN146" s="345"/>
      <c r="BO146" s="345"/>
      <c r="BP146" s="345"/>
      <c r="BQ146" s="345"/>
      <c r="BR146" s="345"/>
      <c r="BS146" s="345"/>
      <c r="BT146" s="345"/>
      <c r="BU146" s="345"/>
      <c r="BV146" s="345"/>
      <c r="BW146" s="345"/>
      <c r="BX146" s="345"/>
      <c r="BY146" s="345"/>
      <c r="BZ146" s="345"/>
      <c r="CA146" s="345"/>
      <c r="CB146" s="345"/>
      <c r="CC146" s="345"/>
      <c r="CD146" s="345"/>
      <c r="CE146" s="345"/>
      <c r="CF146" s="345"/>
      <c r="CG146" s="345"/>
      <c r="CH146" s="345"/>
      <c r="CI146" s="345"/>
      <c r="CJ146" s="345"/>
      <c r="CK146" s="345"/>
      <c r="CL146" s="345"/>
      <c r="CM146" s="345"/>
      <c r="CN146" s="345"/>
      <c r="CO146" s="345"/>
      <c r="CP146" s="345"/>
      <c r="CQ146" s="345"/>
      <c r="CR146" s="345"/>
      <c r="CS146" s="345"/>
      <c r="CT146" s="345"/>
      <c r="CU146" s="345"/>
      <c r="CV146" s="345"/>
      <c r="CW146" s="345"/>
      <c r="CX146" s="345"/>
      <c r="CY146" s="345"/>
      <c r="CZ146" s="345"/>
      <c r="DA146" s="345"/>
      <c r="DB146" s="345"/>
      <c r="DC146" s="345"/>
      <c r="DD146" s="345"/>
      <c r="DE146" s="345"/>
      <c r="DF146" s="345"/>
      <c r="DG146" s="345"/>
      <c r="DH146" s="345"/>
      <c r="DI146" s="345"/>
      <c r="DJ146" s="345"/>
      <c r="DK146" s="345"/>
      <c r="DL146" s="345"/>
      <c r="DM146" s="345"/>
      <c r="DN146" s="345"/>
      <c r="DO146" s="345"/>
      <c r="DP146" s="345"/>
      <c r="DQ146" s="345"/>
      <c r="DR146" s="345"/>
      <c r="DS146" s="345"/>
      <c r="DT146" s="345"/>
      <c r="DU146" s="345"/>
      <c r="DV146" s="345"/>
      <c r="DW146" s="345"/>
      <c r="DX146" s="345"/>
      <c r="DY146" s="345"/>
      <c r="DZ146" s="345"/>
      <c r="EA146" s="345"/>
    </row>
    <row r="147" spans="1:131" hidden="1">
      <c r="A147" s="345"/>
      <c r="B147" s="345"/>
      <c r="C147" s="345"/>
      <c r="D147" s="345"/>
      <c r="E147" s="345"/>
      <c r="F147" s="345"/>
      <c r="G147" s="345"/>
      <c r="H147" s="345"/>
      <c r="I147" s="345"/>
      <c r="J147" s="345"/>
      <c r="K147" s="345"/>
      <c r="L147" s="345"/>
      <c r="M147" s="345"/>
      <c r="N147" s="345"/>
      <c r="O147" s="345"/>
      <c r="P147" s="345"/>
      <c r="Q147" s="345"/>
      <c r="R147" s="345"/>
      <c r="S147" s="345"/>
      <c r="T147" s="345"/>
      <c r="U147" s="345"/>
      <c r="V147" s="345"/>
      <c r="W147" s="345"/>
      <c r="X147" s="345"/>
      <c r="Y147" s="345"/>
      <c r="Z147" s="345"/>
      <c r="AA147" s="345"/>
      <c r="AB147" s="345"/>
      <c r="AC147" s="345"/>
      <c r="AD147" s="345"/>
      <c r="AE147" s="345"/>
      <c r="AF147" s="345"/>
      <c r="AG147" s="345"/>
      <c r="AH147" s="345"/>
      <c r="AI147" s="345"/>
      <c r="AJ147" s="345"/>
      <c r="AK147" s="345"/>
      <c r="AL147" s="345"/>
      <c r="AM147" s="345"/>
      <c r="AN147" s="345"/>
      <c r="AO147" s="345"/>
      <c r="AP147" s="345"/>
      <c r="AQ147" s="345"/>
      <c r="AR147" s="345"/>
      <c r="AS147" s="345"/>
      <c r="AT147" s="345"/>
      <c r="AU147" s="345"/>
      <c r="AV147" s="345"/>
      <c r="AW147" s="345"/>
      <c r="AX147" s="345"/>
      <c r="AY147" s="345"/>
      <c r="AZ147" s="345"/>
      <c r="BA147" s="345"/>
      <c r="BB147" s="345"/>
      <c r="BC147" s="345"/>
      <c r="BD147" s="345"/>
      <c r="BE147" s="345"/>
      <c r="BF147" s="345"/>
      <c r="BG147" s="345"/>
      <c r="BH147" s="345"/>
      <c r="BI147" s="345"/>
      <c r="BJ147" s="345"/>
      <c r="BK147" s="345"/>
      <c r="BL147" s="345"/>
      <c r="BM147" s="345"/>
      <c r="BN147" s="345"/>
      <c r="BO147" s="345"/>
      <c r="BP147" s="345"/>
      <c r="BQ147" s="345"/>
      <c r="BR147" s="345"/>
      <c r="BS147" s="345"/>
      <c r="BT147" s="345"/>
      <c r="BU147" s="345"/>
      <c r="BV147" s="345"/>
      <c r="BW147" s="345"/>
      <c r="BX147" s="345"/>
      <c r="BY147" s="345"/>
      <c r="BZ147" s="345"/>
      <c r="CA147" s="345"/>
      <c r="CB147" s="345"/>
      <c r="CC147" s="345"/>
      <c r="CD147" s="345"/>
      <c r="CE147" s="345"/>
      <c r="CF147" s="345"/>
      <c r="CG147" s="345"/>
      <c r="CH147" s="345"/>
      <c r="CI147" s="345"/>
      <c r="CJ147" s="345"/>
      <c r="CK147" s="345"/>
      <c r="CL147" s="345"/>
      <c r="CM147" s="345"/>
      <c r="CN147" s="345"/>
      <c r="CO147" s="345"/>
      <c r="CP147" s="345"/>
      <c r="CQ147" s="345"/>
      <c r="CR147" s="345"/>
      <c r="CS147" s="345"/>
      <c r="CT147" s="345"/>
      <c r="CU147" s="345"/>
      <c r="CV147" s="345"/>
      <c r="CW147" s="345"/>
      <c r="CX147" s="345"/>
      <c r="CY147" s="345"/>
      <c r="CZ147" s="345"/>
      <c r="DA147" s="345"/>
      <c r="DB147" s="345"/>
      <c r="DC147" s="345"/>
      <c r="DD147" s="345"/>
      <c r="DE147" s="345"/>
      <c r="DF147" s="345"/>
      <c r="DG147" s="345"/>
      <c r="DH147" s="345"/>
      <c r="DI147" s="345"/>
      <c r="DJ147" s="345"/>
      <c r="DK147" s="345"/>
      <c r="DL147" s="345"/>
      <c r="DM147" s="345"/>
      <c r="DN147" s="345"/>
      <c r="DO147" s="345"/>
      <c r="DP147" s="345"/>
      <c r="DQ147" s="345"/>
      <c r="DR147" s="345"/>
      <c r="DS147" s="345"/>
      <c r="DT147" s="345"/>
      <c r="DU147" s="345"/>
      <c r="DV147" s="345"/>
      <c r="DW147" s="345"/>
      <c r="DX147" s="345"/>
      <c r="DY147" s="345"/>
      <c r="DZ147" s="345"/>
      <c r="EA147" s="345"/>
    </row>
    <row r="148" spans="1:131" hidden="1">
      <c r="A148" s="345"/>
      <c r="B148" s="345"/>
      <c r="C148" s="345"/>
      <c r="D148" s="345"/>
      <c r="E148" s="345"/>
      <c r="F148" s="345"/>
      <c r="G148" s="345"/>
      <c r="H148" s="345"/>
      <c r="I148" s="345"/>
      <c r="J148" s="345"/>
      <c r="K148" s="345"/>
      <c r="L148" s="345"/>
      <c r="M148" s="345"/>
      <c r="N148" s="345"/>
      <c r="O148" s="345"/>
      <c r="P148" s="345"/>
      <c r="Q148" s="345"/>
      <c r="R148" s="345"/>
      <c r="S148" s="345"/>
      <c r="T148" s="345"/>
      <c r="U148" s="345"/>
      <c r="V148" s="345"/>
      <c r="W148" s="345"/>
      <c r="X148" s="345"/>
      <c r="Y148" s="345"/>
      <c r="Z148" s="345"/>
      <c r="AA148" s="345"/>
      <c r="AB148" s="345"/>
      <c r="AC148" s="345"/>
      <c r="AD148" s="345"/>
      <c r="AE148" s="345"/>
      <c r="AF148" s="345"/>
      <c r="AG148" s="345"/>
      <c r="AH148" s="345"/>
      <c r="AI148" s="345"/>
      <c r="AJ148" s="345"/>
      <c r="AK148" s="345"/>
      <c r="AL148" s="345"/>
      <c r="AM148" s="345"/>
      <c r="AN148" s="345"/>
      <c r="AO148" s="345"/>
      <c r="AP148" s="345"/>
      <c r="AQ148" s="345"/>
      <c r="AR148" s="345"/>
      <c r="AS148" s="345"/>
      <c r="AT148" s="345"/>
      <c r="AU148" s="345"/>
      <c r="AV148" s="345"/>
      <c r="AW148" s="345"/>
      <c r="AX148" s="345"/>
      <c r="AY148" s="345"/>
      <c r="AZ148" s="345"/>
      <c r="BA148" s="345"/>
      <c r="BB148" s="345"/>
      <c r="BC148" s="345"/>
      <c r="BD148" s="345"/>
      <c r="BE148" s="345"/>
      <c r="BF148" s="345"/>
      <c r="BG148" s="345"/>
      <c r="BH148" s="345"/>
      <c r="BI148" s="345"/>
      <c r="BJ148" s="345"/>
      <c r="BK148" s="345"/>
      <c r="BL148" s="345"/>
      <c r="BM148" s="345"/>
      <c r="BN148" s="345"/>
      <c r="BO148" s="345"/>
      <c r="BP148" s="345"/>
      <c r="BQ148" s="345"/>
      <c r="BR148" s="345"/>
      <c r="BS148" s="345"/>
      <c r="BT148" s="345"/>
      <c r="BU148" s="345"/>
      <c r="BV148" s="345"/>
      <c r="BW148" s="345"/>
      <c r="BX148" s="345"/>
      <c r="BY148" s="345"/>
      <c r="BZ148" s="345"/>
      <c r="CA148" s="345"/>
      <c r="CB148" s="345"/>
      <c r="CC148" s="345"/>
      <c r="CD148" s="345"/>
      <c r="CE148" s="345"/>
      <c r="CF148" s="345"/>
      <c r="CG148" s="345"/>
      <c r="CH148" s="345"/>
      <c r="CI148" s="345"/>
      <c r="CJ148" s="345"/>
      <c r="CK148" s="345"/>
      <c r="CL148" s="345"/>
      <c r="CM148" s="345"/>
      <c r="CN148" s="345"/>
      <c r="CO148" s="345"/>
      <c r="CP148" s="345"/>
      <c r="CQ148" s="345"/>
      <c r="CR148" s="345"/>
      <c r="CS148" s="345"/>
      <c r="CT148" s="345"/>
      <c r="CU148" s="345"/>
      <c r="CV148" s="345"/>
      <c r="CW148" s="345"/>
      <c r="CX148" s="345"/>
      <c r="CY148" s="345"/>
      <c r="CZ148" s="345"/>
      <c r="DA148" s="345"/>
      <c r="DB148" s="345"/>
      <c r="DC148" s="345"/>
      <c r="DD148" s="345"/>
      <c r="DE148" s="345"/>
      <c r="DF148" s="345"/>
      <c r="DG148" s="345"/>
      <c r="DH148" s="345"/>
      <c r="DI148" s="345"/>
      <c r="DJ148" s="345"/>
      <c r="DK148" s="345"/>
      <c r="DL148" s="345"/>
      <c r="DM148" s="345"/>
      <c r="DN148" s="345"/>
      <c r="DO148" s="345"/>
      <c r="DP148" s="345"/>
      <c r="DQ148" s="345"/>
      <c r="DR148" s="345"/>
      <c r="DS148" s="345"/>
      <c r="DT148" s="345"/>
      <c r="DU148" s="345"/>
      <c r="DV148" s="345"/>
      <c r="DW148" s="345"/>
      <c r="DX148" s="345"/>
      <c r="DY148" s="345"/>
      <c r="DZ148" s="345"/>
      <c r="EA148" s="345"/>
    </row>
    <row r="149" spans="1:131" hidden="1">
      <c r="A149" s="345"/>
      <c r="B149" s="345"/>
      <c r="C149" s="345"/>
      <c r="D149" s="345"/>
      <c r="E149" s="345"/>
      <c r="F149" s="345"/>
      <c r="G149" s="345"/>
      <c r="H149" s="345"/>
      <c r="I149" s="345"/>
      <c r="J149" s="345"/>
      <c r="K149" s="345"/>
      <c r="L149" s="345"/>
      <c r="M149" s="345"/>
      <c r="N149" s="345"/>
      <c r="O149" s="345"/>
      <c r="P149" s="345"/>
      <c r="Q149" s="345"/>
      <c r="R149" s="345"/>
      <c r="S149" s="345"/>
      <c r="T149" s="345"/>
      <c r="U149" s="345"/>
      <c r="V149" s="345"/>
      <c r="W149" s="345"/>
      <c r="X149" s="345"/>
      <c r="Y149" s="345"/>
      <c r="Z149" s="345"/>
      <c r="AA149" s="345"/>
      <c r="AB149" s="345"/>
      <c r="AC149" s="345"/>
      <c r="AD149" s="345"/>
      <c r="AE149" s="345"/>
      <c r="AF149" s="345"/>
      <c r="AG149" s="345"/>
      <c r="AH149" s="345"/>
      <c r="AI149" s="345"/>
      <c r="AJ149" s="345"/>
      <c r="AK149" s="345"/>
      <c r="AL149" s="345"/>
      <c r="AM149" s="345"/>
      <c r="AN149" s="345"/>
      <c r="AO149" s="345"/>
      <c r="AP149" s="345"/>
      <c r="AQ149" s="345"/>
      <c r="AR149" s="345"/>
      <c r="AS149" s="345"/>
      <c r="AT149" s="345"/>
      <c r="AU149" s="345"/>
      <c r="AV149" s="345"/>
      <c r="AW149" s="345"/>
      <c r="AX149" s="345"/>
      <c r="AY149" s="345"/>
      <c r="AZ149" s="345"/>
      <c r="BA149" s="345"/>
      <c r="BB149" s="345"/>
      <c r="BC149" s="345"/>
      <c r="BD149" s="345"/>
      <c r="BE149" s="345"/>
      <c r="BF149" s="345"/>
      <c r="BG149" s="345"/>
      <c r="BH149" s="345"/>
      <c r="BI149" s="345"/>
      <c r="BJ149" s="345"/>
      <c r="BK149" s="345"/>
      <c r="BL149" s="345"/>
      <c r="BM149" s="345"/>
      <c r="BN149" s="345"/>
      <c r="BO149" s="345"/>
      <c r="BP149" s="345"/>
      <c r="BQ149" s="345"/>
      <c r="BR149" s="345"/>
      <c r="BS149" s="345"/>
      <c r="BT149" s="345"/>
      <c r="BU149" s="345"/>
      <c r="BV149" s="345"/>
      <c r="BW149" s="345"/>
      <c r="BX149" s="345"/>
      <c r="BY149" s="345"/>
      <c r="BZ149" s="345"/>
      <c r="CA149" s="345"/>
      <c r="CB149" s="345"/>
      <c r="CC149" s="345"/>
      <c r="CD149" s="345"/>
      <c r="CE149" s="345"/>
      <c r="CF149" s="345"/>
      <c r="CG149" s="345"/>
      <c r="CH149" s="345"/>
      <c r="CI149" s="345"/>
      <c r="CJ149" s="345"/>
      <c r="CK149" s="345"/>
      <c r="CL149" s="345"/>
      <c r="CM149" s="345"/>
      <c r="CN149" s="345"/>
      <c r="CO149" s="345"/>
      <c r="CP149" s="345"/>
      <c r="CQ149" s="345"/>
      <c r="CR149" s="345"/>
      <c r="CS149" s="345"/>
      <c r="CT149" s="345"/>
      <c r="CU149" s="345"/>
      <c r="CV149" s="345"/>
      <c r="CW149" s="345"/>
      <c r="CX149" s="345"/>
      <c r="CY149" s="345"/>
      <c r="CZ149" s="345"/>
      <c r="DA149" s="345"/>
      <c r="DB149" s="345"/>
      <c r="DC149" s="345"/>
      <c r="DD149" s="345"/>
      <c r="DE149" s="345"/>
      <c r="DF149" s="345"/>
      <c r="DG149" s="345"/>
      <c r="DH149" s="345"/>
      <c r="DI149" s="345"/>
      <c r="DJ149" s="345"/>
      <c r="DK149" s="345"/>
      <c r="DL149" s="345"/>
      <c r="DM149" s="345"/>
      <c r="DN149" s="345"/>
      <c r="DO149" s="345"/>
      <c r="DP149" s="345"/>
      <c r="DQ149" s="345"/>
      <c r="DR149" s="345"/>
      <c r="DS149" s="345"/>
      <c r="DT149" s="345"/>
      <c r="DU149" s="345"/>
      <c r="DV149" s="345"/>
      <c r="DW149" s="345"/>
      <c r="DX149" s="345"/>
      <c r="DY149" s="345"/>
      <c r="DZ149" s="345"/>
      <c r="EA149" s="345"/>
    </row>
    <row r="150" spans="1:131" hidden="1">
      <c r="A150" s="345"/>
      <c r="B150" s="345"/>
      <c r="C150" s="345"/>
      <c r="D150" s="345"/>
      <c r="E150" s="345"/>
      <c r="F150" s="345"/>
      <c r="G150" s="345"/>
      <c r="H150" s="345"/>
      <c r="I150" s="345"/>
      <c r="J150" s="345"/>
      <c r="K150" s="345"/>
      <c r="L150" s="345"/>
      <c r="M150" s="345"/>
      <c r="N150" s="345"/>
      <c r="O150" s="345"/>
      <c r="P150" s="345"/>
      <c r="Q150" s="345"/>
      <c r="R150" s="345"/>
      <c r="S150" s="345"/>
      <c r="T150" s="345"/>
      <c r="U150" s="345"/>
      <c r="V150" s="345"/>
      <c r="W150" s="345"/>
      <c r="X150" s="345"/>
      <c r="Y150" s="345"/>
      <c r="Z150" s="345"/>
      <c r="AA150" s="345"/>
      <c r="AB150" s="345"/>
      <c r="AC150" s="345"/>
      <c r="AD150" s="345"/>
      <c r="AE150" s="345"/>
      <c r="AF150" s="345"/>
      <c r="AG150" s="345"/>
      <c r="AH150" s="345"/>
      <c r="AI150" s="345"/>
      <c r="AJ150" s="345"/>
      <c r="AK150" s="345"/>
      <c r="AL150" s="345"/>
      <c r="AM150" s="345"/>
      <c r="AN150" s="345"/>
      <c r="AO150" s="345"/>
      <c r="AP150" s="345"/>
      <c r="AQ150" s="345"/>
      <c r="AR150" s="345"/>
      <c r="AS150" s="345"/>
      <c r="AT150" s="345"/>
      <c r="AU150" s="345"/>
      <c r="AV150" s="345"/>
      <c r="AW150" s="345"/>
      <c r="AX150" s="345"/>
      <c r="AY150" s="345"/>
      <c r="AZ150" s="345"/>
      <c r="BA150" s="345"/>
      <c r="BB150" s="345"/>
      <c r="BC150" s="345"/>
      <c r="BD150" s="345"/>
      <c r="BE150" s="345"/>
      <c r="BF150" s="345"/>
      <c r="BG150" s="345"/>
      <c r="BH150" s="345"/>
      <c r="BI150" s="345"/>
      <c r="BJ150" s="345"/>
      <c r="BK150" s="345"/>
      <c r="BL150" s="345"/>
      <c r="BM150" s="345"/>
      <c r="BN150" s="345"/>
      <c r="BO150" s="345"/>
      <c r="BP150" s="345"/>
      <c r="BQ150" s="345"/>
      <c r="BR150" s="345"/>
      <c r="BS150" s="345"/>
      <c r="BT150" s="345"/>
      <c r="BU150" s="345"/>
      <c r="BV150" s="345"/>
      <c r="BW150" s="345"/>
      <c r="BX150" s="345"/>
      <c r="BY150" s="345"/>
      <c r="BZ150" s="345"/>
      <c r="CA150" s="345"/>
      <c r="CB150" s="345"/>
      <c r="CC150" s="345"/>
      <c r="CD150" s="345"/>
      <c r="CE150" s="345"/>
      <c r="CF150" s="345"/>
      <c r="CG150" s="345"/>
      <c r="CH150" s="345"/>
      <c r="CI150" s="345"/>
      <c r="CJ150" s="345"/>
      <c r="CK150" s="345"/>
      <c r="CL150" s="345"/>
      <c r="CM150" s="345"/>
      <c r="CN150" s="345"/>
      <c r="CO150" s="345"/>
      <c r="CP150" s="345"/>
      <c r="CQ150" s="345"/>
      <c r="CR150" s="345"/>
      <c r="CS150" s="345"/>
      <c r="CT150" s="345"/>
      <c r="CU150" s="345"/>
      <c r="CV150" s="345"/>
      <c r="CW150" s="345"/>
      <c r="CX150" s="345"/>
      <c r="CY150" s="345"/>
      <c r="CZ150" s="345"/>
      <c r="DA150" s="345"/>
      <c r="DB150" s="345"/>
      <c r="DC150" s="345"/>
      <c r="DD150" s="345"/>
      <c r="DE150" s="345"/>
      <c r="DF150" s="345"/>
      <c r="DG150" s="345"/>
      <c r="DH150" s="345"/>
      <c r="DI150" s="345"/>
      <c r="DJ150" s="345"/>
      <c r="DK150" s="345"/>
      <c r="DL150" s="345"/>
      <c r="DM150" s="345"/>
      <c r="DN150" s="345"/>
      <c r="DO150" s="345"/>
      <c r="DP150" s="345"/>
      <c r="DQ150" s="345"/>
      <c r="DR150" s="345"/>
      <c r="DS150" s="345"/>
      <c r="DT150" s="345"/>
      <c r="DU150" s="345"/>
      <c r="DV150" s="345"/>
      <c r="DW150" s="345"/>
      <c r="DX150" s="345"/>
      <c r="DY150" s="345"/>
      <c r="DZ150" s="345"/>
      <c r="EA150" s="345"/>
    </row>
    <row r="151" spans="1:131" hidden="1">
      <c r="A151" s="345"/>
      <c r="B151" s="345"/>
      <c r="C151" s="345"/>
      <c r="D151" s="345"/>
      <c r="E151" s="345"/>
      <c r="F151" s="345"/>
      <c r="G151" s="345"/>
      <c r="H151" s="345"/>
      <c r="I151" s="345"/>
      <c r="J151" s="345"/>
      <c r="K151" s="345"/>
      <c r="L151" s="345"/>
      <c r="M151" s="345"/>
      <c r="N151" s="345"/>
      <c r="O151" s="345"/>
      <c r="P151" s="345"/>
      <c r="Q151" s="345"/>
      <c r="R151" s="345"/>
      <c r="S151" s="345"/>
      <c r="T151" s="345"/>
      <c r="U151" s="345"/>
      <c r="V151" s="345"/>
      <c r="W151" s="345"/>
      <c r="X151" s="345"/>
      <c r="Y151" s="345"/>
      <c r="Z151" s="345"/>
      <c r="AA151" s="345"/>
      <c r="AB151" s="345"/>
      <c r="AC151" s="345"/>
      <c r="AD151" s="345"/>
      <c r="AE151" s="345"/>
      <c r="AF151" s="345"/>
      <c r="AG151" s="345"/>
      <c r="AH151" s="345"/>
      <c r="AI151" s="345"/>
      <c r="AJ151" s="345"/>
      <c r="AK151" s="345"/>
      <c r="AL151" s="345"/>
      <c r="AM151" s="345"/>
      <c r="AN151" s="345"/>
      <c r="AO151" s="345"/>
      <c r="AP151" s="345"/>
      <c r="AQ151" s="345"/>
      <c r="AR151" s="345"/>
      <c r="AS151" s="345"/>
      <c r="AT151" s="345"/>
      <c r="AU151" s="345"/>
      <c r="AV151" s="345"/>
      <c r="AW151" s="345"/>
      <c r="AX151" s="345"/>
      <c r="AY151" s="345"/>
      <c r="AZ151" s="345"/>
      <c r="BA151" s="345"/>
      <c r="BB151" s="345"/>
      <c r="BC151" s="345"/>
      <c r="BD151" s="345"/>
      <c r="BE151" s="345"/>
      <c r="BF151" s="345"/>
      <c r="BG151" s="345"/>
      <c r="BH151" s="345"/>
      <c r="BI151" s="345"/>
      <c r="BJ151" s="345"/>
      <c r="BK151" s="345"/>
      <c r="BL151" s="345"/>
      <c r="BM151" s="345"/>
      <c r="BN151" s="345"/>
      <c r="BO151" s="345"/>
      <c r="BP151" s="345"/>
      <c r="BQ151" s="345"/>
      <c r="BR151" s="345"/>
      <c r="BS151" s="345"/>
      <c r="BT151" s="345"/>
      <c r="BU151" s="345"/>
      <c r="BV151" s="345"/>
      <c r="BW151" s="345"/>
      <c r="BX151" s="345"/>
      <c r="BY151" s="345"/>
      <c r="BZ151" s="345"/>
      <c r="CA151" s="345"/>
      <c r="CB151" s="345"/>
      <c r="CC151" s="345"/>
      <c r="CD151" s="345"/>
      <c r="CE151" s="345"/>
      <c r="CF151" s="345"/>
      <c r="CG151" s="345"/>
      <c r="CH151" s="345"/>
      <c r="CI151" s="345"/>
      <c r="CJ151" s="345"/>
      <c r="CK151" s="345"/>
      <c r="CL151" s="345"/>
      <c r="CM151" s="345"/>
      <c r="CN151" s="345"/>
      <c r="CO151" s="345"/>
      <c r="CP151" s="345"/>
      <c r="CQ151" s="345"/>
      <c r="CR151" s="345"/>
      <c r="CS151" s="345"/>
      <c r="CT151" s="345"/>
      <c r="CU151" s="345"/>
      <c r="CV151" s="345"/>
      <c r="CW151" s="345"/>
      <c r="CX151" s="345"/>
      <c r="CY151" s="345"/>
      <c r="CZ151" s="345"/>
      <c r="DA151" s="345"/>
      <c r="DB151" s="345"/>
      <c r="DC151" s="345"/>
      <c r="DD151" s="345"/>
      <c r="DE151" s="345"/>
      <c r="DF151" s="345"/>
      <c r="DG151" s="345"/>
      <c r="DH151" s="345"/>
      <c r="DI151" s="345"/>
      <c r="DJ151" s="345"/>
      <c r="DK151" s="345"/>
      <c r="DL151" s="345"/>
      <c r="DM151" s="345"/>
      <c r="DN151" s="345"/>
      <c r="DO151" s="345"/>
      <c r="DP151" s="345"/>
      <c r="DQ151" s="345"/>
      <c r="DR151" s="345"/>
      <c r="DS151" s="345"/>
      <c r="DT151" s="345"/>
      <c r="DU151" s="345"/>
      <c r="DV151" s="345"/>
      <c r="DW151" s="345"/>
      <c r="DX151" s="345"/>
      <c r="DY151" s="345"/>
      <c r="DZ151" s="345"/>
      <c r="EA151" s="345"/>
    </row>
    <row r="152" spans="1:131" hidden="1">
      <c r="A152" s="345"/>
      <c r="B152" s="345"/>
      <c r="C152" s="345"/>
      <c r="D152" s="345"/>
      <c r="E152" s="345"/>
      <c r="F152" s="345"/>
      <c r="G152" s="345"/>
      <c r="H152" s="345"/>
      <c r="I152" s="345"/>
      <c r="J152" s="345"/>
      <c r="K152" s="345"/>
      <c r="L152" s="345"/>
      <c r="M152" s="345"/>
      <c r="N152" s="345"/>
      <c r="O152" s="345"/>
      <c r="P152" s="345"/>
      <c r="Q152" s="345"/>
      <c r="R152" s="345"/>
      <c r="S152" s="345"/>
      <c r="T152" s="345"/>
      <c r="U152" s="345"/>
      <c r="V152" s="345"/>
      <c r="W152" s="345"/>
      <c r="X152" s="345"/>
      <c r="Y152" s="345"/>
      <c r="Z152" s="345"/>
      <c r="AA152" s="345"/>
      <c r="AB152" s="345"/>
      <c r="AC152" s="345"/>
      <c r="AD152" s="345"/>
      <c r="AE152" s="345"/>
      <c r="AF152" s="345"/>
      <c r="AG152" s="345"/>
      <c r="AH152" s="345"/>
      <c r="AI152" s="345"/>
      <c r="AJ152" s="345"/>
      <c r="AK152" s="345"/>
      <c r="AL152" s="345"/>
      <c r="AM152" s="345"/>
      <c r="AN152" s="345"/>
      <c r="AO152" s="345"/>
      <c r="AP152" s="345"/>
      <c r="AQ152" s="345"/>
      <c r="AR152" s="345"/>
      <c r="AS152" s="345"/>
      <c r="AT152" s="345"/>
      <c r="AU152" s="345"/>
      <c r="AV152" s="345"/>
      <c r="AW152" s="345"/>
      <c r="AX152" s="345"/>
      <c r="AY152" s="345"/>
      <c r="AZ152" s="345"/>
      <c r="BA152" s="345"/>
      <c r="BB152" s="345"/>
      <c r="BC152" s="345"/>
      <c r="BD152" s="345"/>
      <c r="BE152" s="345"/>
      <c r="BF152" s="345"/>
      <c r="BG152" s="345"/>
      <c r="BH152" s="345"/>
      <c r="BI152" s="345"/>
      <c r="BJ152" s="345"/>
      <c r="BK152" s="345"/>
      <c r="BL152" s="345"/>
      <c r="BM152" s="345"/>
      <c r="BN152" s="345"/>
      <c r="BO152" s="345"/>
      <c r="BP152" s="345"/>
      <c r="BQ152" s="345"/>
      <c r="BR152" s="345"/>
      <c r="BS152" s="345"/>
      <c r="BT152" s="345"/>
      <c r="BU152" s="345"/>
      <c r="BV152" s="345"/>
      <c r="BW152" s="345"/>
      <c r="BX152" s="345"/>
      <c r="BY152" s="345"/>
      <c r="BZ152" s="345"/>
      <c r="CA152" s="345"/>
      <c r="CB152" s="345"/>
      <c r="CC152" s="345"/>
      <c r="CD152" s="345"/>
      <c r="CE152" s="345"/>
      <c r="CF152" s="345"/>
      <c r="CG152" s="345"/>
      <c r="CH152" s="345"/>
      <c r="CI152" s="345"/>
      <c r="CJ152" s="345"/>
      <c r="CK152" s="345"/>
      <c r="CL152" s="345"/>
      <c r="CM152" s="345"/>
      <c r="CN152" s="345"/>
      <c r="CO152" s="345"/>
      <c r="CP152" s="345"/>
      <c r="CQ152" s="345"/>
      <c r="CR152" s="345"/>
      <c r="CS152" s="345"/>
      <c r="CT152" s="345"/>
      <c r="CU152" s="345"/>
      <c r="CV152" s="345"/>
      <c r="CW152" s="345"/>
      <c r="CX152" s="345"/>
      <c r="CY152" s="345"/>
      <c r="CZ152" s="345"/>
      <c r="DA152" s="345"/>
      <c r="DB152" s="345"/>
      <c r="DC152" s="345"/>
      <c r="DD152" s="345"/>
      <c r="DE152" s="345"/>
      <c r="DF152" s="345"/>
      <c r="DG152" s="345"/>
      <c r="DH152" s="345"/>
      <c r="DI152" s="345"/>
      <c r="DJ152" s="345"/>
      <c r="DK152" s="345"/>
      <c r="DL152" s="345"/>
      <c r="DM152" s="345"/>
      <c r="DN152" s="345"/>
      <c r="DO152" s="345"/>
      <c r="DP152" s="345"/>
      <c r="DQ152" s="345"/>
      <c r="DR152" s="345"/>
      <c r="DS152" s="345"/>
      <c r="DT152" s="345"/>
      <c r="DU152" s="345"/>
      <c r="DV152" s="345"/>
      <c r="DW152" s="345"/>
      <c r="DX152" s="345"/>
      <c r="DY152" s="345"/>
      <c r="DZ152" s="345"/>
      <c r="EA152" s="345"/>
    </row>
    <row r="153" spans="1:131" hidden="1">
      <c r="A153" s="345"/>
      <c r="B153" s="345"/>
      <c r="C153" s="345"/>
      <c r="D153" s="345"/>
      <c r="E153" s="345"/>
      <c r="F153" s="345"/>
      <c r="G153" s="345"/>
      <c r="H153" s="345"/>
      <c r="I153" s="345"/>
      <c r="J153" s="345"/>
      <c r="K153" s="345"/>
      <c r="L153" s="345"/>
      <c r="M153" s="345"/>
      <c r="N153" s="345"/>
      <c r="O153" s="345"/>
      <c r="P153" s="345"/>
      <c r="Q153" s="345"/>
      <c r="R153" s="345"/>
      <c r="S153" s="345"/>
      <c r="T153" s="345"/>
      <c r="U153" s="345"/>
      <c r="V153" s="345"/>
      <c r="W153" s="345"/>
      <c r="X153" s="345"/>
      <c r="Y153" s="345"/>
      <c r="Z153" s="345"/>
      <c r="AA153" s="345"/>
      <c r="AB153" s="345"/>
      <c r="AC153" s="345"/>
      <c r="AD153" s="345"/>
      <c r="AE153" s="345"/>
      <c r="AF153" s="345"/>
      <c r="AG153" s="345"/>
      <c r="AH153" s="345"/>
      <c r="AI153" s="345"/>
      <c r="AJ153" s="345"/>
      <c r="AK153" s="345"/>
      <c r="AL153" s="345"/>
      <c r="AM153" s="345"/>
      <c r="AN153" s="345"/>
      <c r="AO153" s="345"/>
      <c r="AP153" s="345"/>
      <c r="AQ153" s="345"/>
      <c r="AR153" s="345"/>
      <c r="AS153" s="345"/>
      <c r="AT153" s="345"/>
      <c r="AU153" s="345"/>
      <c r="AV153" s="345"/>
      <c r="AW153" s="345"/>
      <c r="AX153" s="345"/>
      <c r="AY153" s="345"/>
      <c r="AZ153" s="345"/>
      <c r="BA153" s="345"/>
      <c r="BB153" s="345"/>
      <c r="BC153" s="345"/>
      <c r="BD153" s="345"/>
      <c r="BE153" s="345"/>
      <c r="BF153" s="345"/>
      <c r="BG153" s="345"/>
      <c r="BH153" s="345"/>
      <c r="BI153" s="345"/>
      <c r="BJ153" s="345"/>
      <c r="BK153" s="345"/>
      <c r="BL153" s="345"/>
      <c r="BM153" s="345"/>
      <c r="BN153" s="345"/>
      <c r="BO153" s="345"/>
      <c r="BP153" s="345"/>
      <c r="BQ153" s="345"/>
      <c r="BR153" s="345"/>
      <c r="BS153" s="345"/>
      <c r="BT153" s="345"/>
      <c r="BU153" s="345"/>
      <c r="BV153" s="345"/>
      <c r="BW153" s="345"/>
      <c r="BX153" s="345"/>
      <c r="BY153" s="345"/>
      <c r="BZ153" s="345"/>
      <c r="CA153" s="345"/>
      <c r="CB153" s="345"/>
      <c r="CC153" s="345"/>
      <c r="CD153" s="345"/>
      <c r="CE153" s="345"/>
      <c r="CF153" s="345"/>
      <c r="CG153" s="345"/>
      <c r="CH153" s="345"/>
      <c r="CI153" s="345"/>
      <c r="CJ153" s="345"/>
      <c r="CK153" s="345"/>
      <c r="CL153" s="345"/>
      <c r="CM153" s="345"/>
      <c r="CN153" s="345"/>
      <c r="CO153" s="345"/>
      <c r="CP153" s="345"/>
      <c r="CQ153" s="345"/>
      <c r="CR153" s="345"/>
      <c r="CS153" s="345"/>
      <c r="CT153" s="345"/>
      <c r="CU153" s="345"/>
      <c r="CV153" s="345"/>
      <c r="CW153" s="345"/>
      <c r="CX153" s="345"/>
      <c r="CY153" s="345"/>
      <c r="CZ153" s="345"/>
      <c r="DA153" s="345"/>
      <c r="DB153" s="345"/>
      <c r="DC153" s="345"/>
      <c r="DD153" s="345"/>
      <c r="DE153" s="345"/>
      <c r="DF153" s="345"/>
      <c r="DG153" s="345"/>
      <c r="DH153" s="345"/>
      <c r="DI153" s="345"/>
      <c r="DJ153" s="345"/>
      <c r="DK153" s="345"/>
      <c r="DL153" s="345"/>
      <c r="DM153" s="345"/>
      <c r="DN153" s="345"/>
      <c r="DO153" s="345"/>
      <c r="DP153" s="345"/>
      <c r="DQ153" s="345"/>
      <c r="DR153" s="345"/>
      <c r="DS153" s="345"/>
      <c r="DT153" s="345"/>
      <c r="DU153" s="345"/>
      <c r="DV153" s="345"/>
      <c r="DW153" s="345"/>
      <c r="DX153" s="345"/>
      <c r="DY153" s="345"/>
      <c r="DZ153" s="345"/>
      <c r="EA153" s="345"/>
    </row>
    <row r="154" spans="1:131" hidden="1">
      <c r="A154" s="345"/>
      <c r="B154" s="345"/>
      <c r="C154" s="345"/>
      <c r="D154" s="345"/>
      <c r="E154" s="345"/>
      <c r="F154" s="345"/>
      <c r="G154" s="345"/>
      <c r="H154" s="345"/>
      <c r="I154" s="345"/>
      <c r="J154" s="345"/>
      <c r="K154" s="345"/>
      <c r="L154" s="345"/>
      <c r="M154" s="345"/>
      <c r="N154" s="345"/>
      <c r="O154" s="345"/>
      <c r="P154" s="345"/>
      <c r="Q154" s="345"/>
      <c r="R154" s="345"/>
      <c r="S154" s="345"/>
      <c r="T154" s="345"/>
      <c r="U154" s="345"/>
      <c r="V154" s="345"/>
      <c r="W154" s="345"/>
      <c r="X154" s="345"/>
      <c r="Y154" s="345"/>
      <c r="Z154" s="345"/>
      <c r="AA154" s="345"/>
      <c r="AB154" s="345"/>
      <c r="AC154" s="345"/>
      <c r="AD154" s="345"/>
      <c r="AE154" s="345"/>
      <c r="AF154" s="345"/>
      <c r="AG154" s="345"/>
      <c r="AH154" s="345"/>
      <c r="AI154" s="345"/>
      <c r="AJ154" s="345"/>
      <c r="AK154" s="345"/>
      <c r="AL154" s="345"/>
      <c r="AM154" s="345"/>
      <c r="AN154" s="345"/>
      <c r="AO154" s="345"/>
      <c r="AP154" s="345"/>
      <c r="AQ154" s="345"/>
      <c r="AR154" s="345"/>
      <c r="AS154" s="345"/>
      <c r="AT154" s="345"/>
      <c r="AU154" s="345"/>
      <c r="AV154" s="345"/>
      <c r="AW154" s="345"/>
      <c r="AX154" s="345"/>
      <c r="AY154" s="345"/>
      <c r="AZ154" s="345"/>
      <c r="BA154" s="345"/>
      <c r="BB154" s="345"/>
      <c r="BC154" s="345"/>
      <c r="BD154" s="345"/>
      <c r="BE154" s="345"/>
      <c r="BF154" s="345"/>
      <c r="BG154" s="345"/>
      <c r="BH154" s="345"/>
      <c r="BI154" s="345"/>
      <c r="BJ154" s="345"/>
      <c r="BK154" s="345"/>
      <c r="BL154" s="345"/>
      <c r="BM154" s="345"/>
      <c r="BN154" s="345"/>
      <c r="BO154" s="345"/>
      <c r="BP154" s="345"/>
      <c r="BQ154" s="345"/>
      <c r="BR154" s="345"/>
      <c r="BS154" s="345"/>
      <c r="BT154" s="345"/>
      <c r="BU154" s="345"/>
      <c r="BV154" s="345"/>
      <c r="BW154" s="345"/>
      <c r="BX154" s="345"/>
      <c r="BY154" s="345"/>
      <c r="BZ154" s="345"/>
      <c r="CA154" s="345"/>
      <c r="CB154" s="345"/>
      <c r="CC154" s="345"/>
      <c r="CD154" s="345"/>
      <c r="CE154" s="345"/>
      <c r="CF154" s="345"/>
      <c r="CG154" s="345"/>
      <c r="CH154" s="345"/>
      <c r="CI154" s="345"/>
      <c r="CJ154" s="345"/>
      <c r="CK154" s="345"/>
      <c r="CL154" s="345"/>
      <c r="CM154" s="345"/>
      <c r="CN154" s="345"/>
      <c r="CO154" s="345"/>
      <c r="CP154" s="345"/>
      <c r="CQ154" s="345"/>
      <c r="CR154" s="345"/>
      <c r="CS154" s="345"/>
      <c r="CT154" s="345"/>
      <c r="CU154" s="345"/>
      <c r="CV154" s="345"/>
      <c r="CW154" s="345"/>
      <c r="CX154" s="345"/>
      <c r="CY154" s="345"/>
      <c r="CZ154" s="345"/>
      <c r="DA154" s="345"/>
      <c r="DB154" s="345"/>
      <c r="DC154" s="345"/>
      <c r="DD154" s="345"/>
      <c r="DE154" s="345"/>
      <c r="DF154" s="345"/>
      <c r="DG154" s="345"/>
      <c r="DH154" s="345"/>
      <c r="DI154" s="345"/>
      <c r="DJ154" s="345"/>
      <c r="DK154" s="345"/>
      <c r="DL154" s="345"/>
      <c r="DM154" s="345"/>
      <c r="DN154" s="345"/>
      <c r="DO154" s="345"/>
      <c r="DP154" s="345"/>
      <c r="DQ154" s="345"/>
      <c r="DR154" s="345"/>
      <c r="DS154" s="345"/>
      <c r="DT154" s="345"/>
      <c r="DU154" s="345"/>
      <c r="DV154" s="345"/>
      <c r="DW154" s="345"/>
      <c r="DX154" s="345"/>
      <c r="DY154" s="345"/>
      <c r="DZ154" s="345"/>
      <c r="EA154" s="345"/>
    </row>
    <row r="155" spans="1:131" hidden="1">
      <c r="A155" s="345"/>
      <c r="B155" s="345"/>
      <c r="C155" s="345"/>
      <c r="D155" s="345"/>
      <c r="E155" s="345"/>
      <c r="F155" s="345"/>
      <c r="G155" s="345"/>
      <c r="H155" s="345"/>
      <c r="I155" s="345"/>
      <c r="J155" s="345"/>
      <c r="K155" s="345"/>
      <c r="L155" s="345"/>
      <c r="M155" s="345"/>
      <c r="N155" s="345"/>
      <c r="O155" s="345"/>
      <c r="P155" s="345"/>
      <c r="Q155" s="345"/>
      <c r="R155" s="345"/>
      <c r="S155" s="345"/>
      <c r="T155" s="345"/>
      <c r="U155" s="345"/>
      <c r="V155" s="345"/>
      <c r="W155" s="345"/>
      <c r="X155" s="345"/>
      <c r="Y155" s="345"/>
      <c r="Z155" s="345"/>
      <c r="AA155" s="345"/>
      <c r="AB155" s="345"/>
      <c r="AC155" s="345"/>
      <c r="AD155" s="345"/>
      <c r="AE155" s="345"/>
      <c r="AF155" s="345"/>
      <c r="AG155" s="345"/>
      <c r="AH155" s="345"/>
      <c r="AI155" s="345"/>
      <c r="AJ155" s="345"/>
      <c r="AK155" s="345"/>
      <c r="AL155" s="345"/>
      <c r="AM155" s="345"/>
      <c r="AN155" s="345"/>
      <c r="AO155" s="345"/>
      <c r="AP155" s="345"/>
      <c r="AQ155" s="345"/>
      <c r="AR155" s="345"/>
      <c r="AS155" s="345"/>
      <c r="AT155" s="345"/>
      <c r="AU155" s="345"/>
      <c r="AV155" s="345"/>
      <c r="AW155" s="345"/>
      <c r="AX155" s="345"/>
      <c r="AY155" s="345"/>
      <c r="AZ155" s="345"/>
      <c r="BA155" s="345"/>
      <c r="BB155" s="345"/>
      <c r="BC155" s="345"/>
      <c r="BD155" s="345"/>
      <c r="BE155" s="345"/>
      <c r="BF155" s="345"/>
      <c r="BG155" s="345"/>
      <c r="BH155" s="345"/>
      <c r="BI155" s="345"/>
      <c r="BJ155" s="345"/>
      <c r="BK155" s="345"/>
      <c r="BL155" s="345"/>
      <c r="BM155" s="345"/>
      <c r="BN155" s="345"/>
      <c r="BO155" s="345"/>
      <c r="BP155" s="345"/>
      <c r="BQ155" s="345"/>
      <c r="BR155" s="345"/>
      <c r="BS155" s="345"/>
      <c r="BT155" s="345"/>
      <c r="BU155" s="345"/>
      <c r="BV155" s="345"/>
      <c r="BW155" s="345"/>
      <c r="BX155" s="345"/>
      <c r="BY155" s="345"/>
      <c r="BZ155" s="345"/>
      <c r="CA155" s="345"/>
      <c r="CB155" s="345"/>
      <c r="CC155" s="345"/>
      <c r="CD155" s="345"/>
      <c r="CE155" s="345"/>
      <c r="CF155" s="345"/>
      <c r="CG155" s="345"/>
      <c r="CH155" s="345"/>
      <c r="CI155" s="345"/>
      <c r="CJ155" s="345"/>
      <c r="CK155" s="345"/>
      <c r="CL155" s="345"/>
      <c r="CM155" s="345"/>
      <c r="CN155" s="345"/>
      <c r="CO155" s="345"/>
      <c r="CP155" s="345"/>
      <c r="CQ155" s="345"/>
      <c r="CR155" s="345"/>
      <c r="CS155" s="345"/>
      <c r="CT155" s="345"/>
      <c r="CU155" s="345"/>
      <c r="CV155" s="345"/>
      <c r="CW155" s="345"/>
      <c r="CX155" s="345"/>
      <c r="CY155" s="345"/>
      <c r="CZ155" s="345"/>
      <c r="DA155" s="345"/>
      <c r="DB155" s="345"/>
      <c r="DC155" s="345"/>
      <c r="DD155" s="345"/>
      <c r="DE155" s="345"/>
      <c r="DF155" s="345"/>
      <c r="DG155" s="345"/>
      <c r="DH155" s="345"/>
      <c r="DI155" s="345"/>
      <c r="DJ155" s="345"/>
      <c r="DK155" s="345"/>
      <c r="DL155" s="345"/>
      <c r="DM155" s="345"/>
      <c r="DN155" s="345"/>
      <c r="DO155" s="345"/>
      <c r="DP155" s="345"/>
      <c r="DQ155" s="345"/>
      <c r="DR155" s="345"/>
      <c r="DS155" s="345"/>
      <c r="DT155" s="345"/>
      <c r="DU155" s="345"/>
      <c r="DV155" s="345"/>
      <c r="DW155" s="345"/>
      <c r="DX155" s="345"/>
      <c r="DY155" s="345"/>
      <c r="DZ155" s="345"/>
      <c r="EA155" s="345"/>
    </row>
    <row r="156" spans="1:131" hidden="1">
      <c r="A156" s="345"/>
      <c r="B156" s="345"/>
      <c r="C156" s="345"/>
      <c r="D156" s="345"/>
      <c r="E156" s="345"/>
      <c r="F156" s="345"/>
      <c r="G156" s="345"/>
      <c r="H156" s="345"/>
      <c r="I156" s="345"/>
      <c r="J156" s="345"/>
      <c r="K156" s="345"/>
      <c r="L156" s="345"/>
      <c r="M156" s="345"/>
      <c r="N156" s="345"/>
      <c r="O156" s="345"/>
      <c r="P156" s="345"/>
      <c r="Q156" s="345"/>
      <c r="R156" s="345"/>
      <c r="S156" s="345"/>
      <c r="T156" s="345"/>
      <c r="U156" s="345"/>
      <c r="V156" s="345"/>
      <c r="W156" s="345"/>
      <c r="X156" s="345"/>
      <c r="Y156" s="345"/>
      <c r="Z156" s="345"/>
      <c r="AA156" s="345"/>
      <c r="AB156" s="345"/>
      <c r="AC156" s="345"/>
      <c r="AD156" s="345"/>
      <c r="AE156" s="345"/>
      <c r="AF156" s="345"/>
      <c r="AG156" s="345"/>
      <c r="AH156" s="345"/>
      <c r="AI156" s="345"/>
      <c r="AJ156" s="345"/>
      <c r="AK156" s="345"/>
      <c r="AL156" s="345"/>
      <c r="AM156" s="345"/>
      <c r="AN156" s="345"/>
      <c r="AO156" s="345"/>
      <c r="AP156" s="345"/>
      <c r="AQ156" s="345"/>
      <c r="AR156" s="345"/>
      <c r="AS156" s="345"/>
      <c r="AT156" s="345"/>
      <c r="AU156" s="345"/>
      <c r="AV156" s="345"/>
      <c r="AW156" s="345"/>
      <c r="AX156" s="345"/>
      <c r="AY156" s="345"/>
      <c r="AZ156" s="345"/>
      <c r="BA156" s="345"/>
      <c r="BB156" s="345"/>
      <c r="BC156" s="345"/>
      <c r="BD156" s="345"/>
      <c r="BE156" s="345"/>
      <c r="BF156" s="345"/>
      <c r="BG156" s="345"/>
      <c r="BH156" s="345"/>
      <c r="BI156" s="345"/>
      <c r="BJ156" s="345"/>
      <c r="BK156" s="345"/>
      <c r="BL156" s="345"/>
      <c r="BM156" s="345"/>
      <c r="BN156" s="345"/>
      <c r="BO156" s="345"/>
      <c r="BP156" s="345"/>
      <c r="BQ156" s="345"/>
      <c r="BR156" s="345"/>
      <c r="BS156" s="345"/>
      <c r="BT156" s="345"/>
      <c r="BU156" s="345"/>
      <c r="BV156" s="345"/>
      <c r="BW156" s="345"/>
      <c r="BX156" s="345"/>
      <c r="BY156" s="345"/>
      <c r="BZ156" s="345"/>
      <c r="CA156" s="345"/>
      <c r="CB156" s="345"/>
      <c r="CC156" s="345"/>
      <c r="CD156" s="345"/>
      <c r="CE156" s="345"/>
      <c r="CF156" s="345"/>
      <c r="CG156" s="345"/>
      <c r="CH156" s="345"/>
      <c r="CI156" s="345"/>
      <c r="CJ156" s="345"/>
      <c r="CK156" s="345"/>
      <c r="CL156" s="345"/>
      <c r="CM156" s="345"/>
      <c r="CN156" s="345"/>
      <c r="CO156" s="345"/>
      <c r="CP156" s="345"/>
      <c r="CQ156" s="345"/>
      <c r="CR156" s="345"/>
      <c r="CS156" s="345"/>
      <c r="CT156" s="345"/>
      <c r="CU156" s="345"/>
      <c r="CV156" s="345"/>
      <c r="CW156" s="345"/>
      <c r="CX156" s="345"/>
      <c r="CY156" s="345"/>
      <c r="CZ156" s="345"/>
      <c r="DA156" s="345"/>
      <c r="DB156" s="345"/>
      <c r="DC156" s="345"/>
      <c r="DD156" s="345"/>
      <c r="DE156" s="345"/>
      <c r="DF156" s="345"/>
      <c r="DG156" s="345"/>
      <c r="DH156" s="345"/>
      <c r="DI156" s="345"/>
      <c r="DJ156" s="345"/>
      <c r="DK156" s="345"/>
      <c r="DL156" s="345"/>
      <c r="DM156" s="345"/>
      <c r="DN156" s="345"/>
      <c r="DO156" s="345"/>
      <c r="DP156" s="345"/>
      <c r="DQ156" s="345"/>
      <c r="DR156" s="345"/>
      <c r="DS156" s="345"/>
      <c r="DT156" s="345"/>
      <c r="DU156" s="345"/>
      <c r="DV156" s="345"/>
      <c r="DW156" s="345"/>
      <c r="DX156" s="345"/>
      <c r="DY156" s="345"/>
      <c r="DZ156" s="345"/>
      <c r="EA156" s="345"/>
    </row>
    <row r="157" spans="1:131" hidden="1">
      <c r="A157" s="345"/>
      <c r="B157" s="345"/>
      <c r="C157" s="345"/>
      <c r="D157" s="345"/>
      <c r="E157" s="345"/>
      <c r="F157" s="345"/>
      <c r="G157" s="345"/>
      <c r="H157" s="345"/>
      <c r="I157" s="345"/>
      <c r="J157" s="345"/>
      <c r="K157" s="345"/>
      <c r="L157" s="345"/>
      <c r="M157" s="345"/>
      <c r="N157" s="345"/>
      <c r="O157" s="345"/>
      <c r="P157" s="345"/>
      <c r="Q157" s="345"/>
      <c r="R157" s="345"/>
      <c r="S157" s="345"/>
      <c r="T157" s="345"/>
      <c r="U157" s="345"/>
      <c r="V157" s="345"/>
      <c r="W157" s="345"/>
      <c r="X157" s="345"/>
      <c r="Y157" s="345"/>
      <c r="Z157" s="345"/>
      <c r="AA157" s="345"/>
      <c r="AB157" s="345"/>
      <c r="AC157" s="345"/>
      <c r="AD157" s="345"/>
      <c r="AE157" s="345"/>
      <c r="AF157" s="345"/>
      <c r="AG157" s="345"/>
      <c r="AH157" s="345"/>
      <c r="AI157" s="345"/>
      <c r="AJ157" s="345"/>
      <c r="AK157" s="345"/>
      <c r="AL157" s="345"/>
      <c r="AM157" s="345"/>
      <c r="AN157" s="345"/>
      <c r="AO157" s="345"/>
      <c r="AP157" s="345"/>
      <c r="AQ157" s="345"/>
      <c r="AR157" s="345"/>
      <c r="AS157" s="345"/>
      <c r="AT157" s="345"/>
      <c r="AU157" s="345"/>
      <c r="AV157" s="345"/>
      <c r="AW157" s="345"/>
      <c r="AX157" s="345"/>
      <c r="AY157" s="345"/>
      <c r="AZ157" s="345"/>
      <c r="BA157" s="345"/>
      <c r="BB157" s="345"/>
      <c r="BC157" s="345"/>
      <c r="BD157" s="345"/>
      <c r="BE157" s="345"/>
      <c r="BF157" s="345"/>
      <c r="BG157" s="345"/>
      <c r="BH157" s="345"/>
      <c r="BI157" s="345"/>
      <c r="BJ157" s="345"/>
      <c r="BK157" s="345"/>
      <c r="BL157" s="345"/>
      <c r="BM157" s="345"/>
      <c r="BN157" s="345"/>
      <c r="BO157" s="345"/>
      <c r="BP157" s="345"/>
      <c r="BQ157" s="345"/>
      <c r="BR157" s="345"/>
      <c r="BS157" s="345"/>
      <c r="BT157" s="345"/>
      <c r="BU157" s="345"/>
      <c r="BV157" s="345"/>
      <c r="BW157" s="345"/>
      <c r="BX157" s="345"/>
      <c r="BY157" s="345"/>
      <c r="BZ157" s="345"/>
      <c r="CA157" s="345"/>
      <c r="CB157" s="345"/>
      <c r="CC157" s="345"/>
      <c r="CD157" s="345"/>
      <c r="CE157" s="345"/>
      <c r="CF157" s="345"/>
      <c r="CG157" s="345"/>
      <c r="CH157" s="345"/>
      <c r="CI157" s="345"/>
      <c r="CJ157" s="345"/>
      <c r="CK157" s="345"/>
      <c r="CL157" s="345"/>
      <c r="CM157" s="345"/>
      <c r="CN157" s="345"/>
      <c r="CO157" s="345"/>
      <c r="CP157" s="345"/>
      <c r="CQ157" s="345"/>
      <c r="CR157" s="345"/>
      <c r="CS157" s="345"/>
      <c r="CT157" s="345"/>
      <c r="CU157" s="345"/>
      <c r="CV157" s="345"/>
      <c r="CW157" s="345"/>
      <c r="CX157" s="345"/>
      <c r="CY157" s="345"/>
      <c r="CZ157" s="345"/>
      <c r="DA157" s="345"/>
      <c r="DB157" s="345"/>
      <c r="DC157" s="345"/>
      <c r="DD157" s="345"/>
      <c r="DE157" s="345"/>
      <c r="DF157" s="345"/>
      <c r="DG157" s="345"/>
      <c r="DH157" s="345"/>
      <c r="DI157" s="345"/>
      <c r="DJ157" s="345"/>
      <c r="DK157" s="345"/>
      <c r="DL157" s="345"/>
      <c r="DM157" s="345"/>
      <c r="DN157" s="345"/>
      <c r="DO157" s="345"/>
      <c r="DP157" s="345"/>
      <c r="DQ157" s="345"/>
      <c r="DR157" s="345"/>
      <c r="DS157" s="345"/>
      <c r="DT157" s="345"/>
      <c r="DU157" s="345"/>
      <c r="DV157" s="345"/>
      <c r="DW157" s="345"/>
      <c r="DX157" s="345"/>
      <c r="DY157" s="345"/>
      <c r="DZ157" s="345"/>
      <c r="EA157" s="345"/>
    </row>
    <row r="158" spans="1:131" hidden="1">
      <c r="A158" s="345"/>
      <c r="B158" s="345"/>
      <c r="C158" s="345"/>
      <c r="D158" s="345"/>
      <c r="E158" s="345"/>
      <c r="F158" s="345"/>
      <c r="G158" s="345"/>
      <c r="H158" s="345"/>
      <c r="I158" s="345"/>
      <c r="J158" s="345"/>
      <c r="K158" s="345"/>
      <c r="L158" s="345"/>
      <c r="M158" s="345"/>
      <c r="N158" s="345"/>
      <c r="O158" s="345"/>
      <c r="P158" s="345"/>
      <c r="Q158" s="345"/>
      <c r="R158" s="345"/>
      <c r="S158" s="345"/>
      <c r="T158" s="345"/>
      <c r="U158" s="345"/>
      <c r="V158" s="345"/>
      <c r="W158" s="345"/>
      <c r="X158" s="345"/>
      <c r="Y158" s="345"/>
      <c r="Z158" s="345"/>
      <c r="AA158" s="345"/>
      <c r="AB158" s="345"/>
      <c r="AC158" s="345"/>
      <c r="AD158" s="345"/>
      <c r="AE158" s="345"/>
      <c r="AF158" s="345"/>
      <c r="AG158" s="345"/>
      <c r="AH158" s="345"/>
      <c r="AI158" s="345"/>
      <c r="AJ158" s="345"/>
      <c r="AK158" s="345"/>
      <c r="AL158" s="345"/>
      <c r="AM158" s="345"/>
      <c r="AN158" s="345"/>
      <c r="AO158" s="345"/>
      <c r="AP158" s="345"/>
      <c r="AQ158" s="345"/>
      <c r="AR158" s="345"/>
      <c r="AS158" s="345"/>
      <c r="AT158" s="345"/>
      <c r="AU158" s="345"/>
      <c r="AV158" s="345"/>
      <c r="AW158" s="345"/>
      <c r="AX158" s="345"/>
      <c r="AY158" s="345"/>
      <c r="AZ158" s="345"/>
      <c r="BA158" s="345"/>
      <c r="BB158" s="345"/>
      <c r="BC158" s="345"/>
      <c r="BD158" s="345"/>
      <c r="BE158" s="345"/>
      <c r="BF158" s="345"/>
      <c r="BG158" s="345"/>
      <c r="BH158" s="345"/>
      <c r="BI158" s="345"/>
      <c r="BJ158" s="345"/>
      <c r="BK158" s="345"/>
      <c r="BL158" s="345"/>
      <c r="BM158" s="345"/>
      <c r="BN158" s="345"/>
      <c r="BO158" s="345"/>
      <c r="BP158" s="345"/>
      <c r="BQ158" s="345"/>
      <c r="BR158" s="345"/>
      <c r="BS158" s="345"/>
      <c r="BT158" s="345"/>
      <c r="BU158" s="345"/>
      <c r="BV158" s="345"/>
      <c r="BW158" s="345"/>
      <c r="BX158" s="345"/>
      <c r="BY158" s="345"/>
      <c r="BZ158" s="345"/>
      <c r="CA158" s="345"/>
      <c r="CB158" s="345"/>
      <c r="CC158" s="345"/>
      <c r="CD158" s="345"/>
      <c r="CE158" s="345"/>
      <c r="CF158" s="345"/>
      <c r="CG158" s="345"/>
      <c r="CH158" s="345"/>
      <c r="CI158" s="345"/>
      <c r="CJ158" s="345"/>
      <c r="CK158" s="345"/>
      <c r="CL158" s="345"/>
      <c r="CM158" s="345"/>
      <c r="CN158" s="345"/>
      <c r="CO158" s="345"/>
      <c r="CP158" s="345"/>
      <c r="CQ158" s="345"/>
      <c r="CR158" s="345"/>
      <c r="CS158" s="345"/>
      <c r="CT158" s="345"/>
      <c r="CU158" s="345"/>
      <c r="CV158" s="345"/>
      <c r="CW158" s="345"/>
      <c r="CX158" s="345"/>
      <c r="CY158" s="345"/>
      <c r="CZ158" s="345"/>
      <c r="DA158" s="345"/>
      <c r="DB158" s="345"/>
      <c r="DC158" s="345"/>
      <c r="DD158" s="345"/>
      <c r="DE158" s="345"/>
      <c r="DF158" s="345"/>
      <c r="DG158" s="345"/>
      <c r="DH158" s="345"/>
      <c r="DI158" s="345"/>
      <c r="DJ158" s="345"/>
      <c r="DK158" s="345"/>
      <c r="DL158" s="345"/>
      <c r="DM158" s="345"/>
      <c r="DN158" s="345"/>
      <c r="DO158" s="345"/>
      <c r="DP158" s="345"/>
      <c r="DQ158" s="345"/>
      <c r="DR158" s="345"/>
      <c r="DS158" s="345"/>
      <c r="DT158" s="345"/>
      <c r="DU158" s="345"/>
      <c r="DV158" s="345"/>
      <c r="DW158" s="345"/>
      <c r="DX158" s="345"/>
      <c r="DY158" s="345"/>
      <c r="DZ158" s="345"/>
      <c r="EA158" s="345"/>
    </row>
    <row r="159" spans="1:131" hidden="1">
      <c r="A159" s="345"/>
      <c r="B159" s="345"/>
      <c r="C159" s="345"/>
      <c r="D159" s="345"/>
      <c r="E159" s="345"/>
      <c r="F159" s="345"/>
      <c r="G159" s="345"/>
      <c r="H159" s="345"/>
      <c r="I159" s="345"/>
      <c r="J159" s="345"/>
      <c r="K159" s="345"/>
      <c r="L159" s="345"/>
      <c r="M159" s="345"/>
      <c r="N159" s="345"/>
      <c r="O159" s="345"/>
      <c r="P159" s="345"/>
      <c r="Q159" s="345"/>
      <c r="R159" s="345"/>
      <c r="S159" s="345"/>
      <c r="T159" s="345"/>
      <c r="U159" s="345"/>
      <c r="V159" s="345"/>
      <c r="W159" s="345"/>
      <c r="X159" s="345"/>
      <c r="Y159" s="345"/>
      <c r="Z159" s="345"/>
      <c r="AA159" s="345"/>
      <c r="AB159" s="345"/>
      <c r="AC159" s="345"/>
      <c r="AD159" s="345"/>
      <c r="AE159" s="345"/>
      <c r="AF159" s="345"/>
      <c r="AG159" s="345"/>
      <c r="AH159" s="345"/>
      <c r="AI159" s="345"/>
      <c r="AJ159" s="345"/>
      <c r="AK159" s="345"/>
      <c r="AL159" s="345"/>
      <c r="AM159" s="345"/>
      <c r="AN159" s="345"/>
      <c r="AO159" s="345"/>
      <c r="AP159" s="345"/>
      <c r="AQ159" s="345"/>
      <c r="AR159" s="345"/>
      <c r="AS159" s="345"/>
      <c r="AT159" s="345"/>
      <c r="AU159" s="345"/>
      <c r="AV159" s="345"/>
      <c r="AW159" s="345"/>
      <c r="AX159" s="345"/>
      <c r="AY159" s="345"/>
      <c r="AZ159" s="345"/>
      <c r="BA159" s="345"/>
      <c r="BB159" s="345"/>
      <c r="BC159" s="345"/>
      <c r="BD159" s="345"/>
      <c r="BE159" s="345"/>
      <c r="BF159" s="345"/>
      <c r="BG159" s="345"/>
      <c r="BH159" s="345"/>
      <c r="BI159" s="345"/>
      <c r="BJ159" s="345"/>
      <c r="BK159" s="345"/>
      <c r="BL159" s="345"/>
      <c r="BM159" s="345"/>
      <c r="BN159" s="345"/>
      <c r="BO159" s="345"/>
      <c r="BP159" s="345"/>
      <c r="BQ159" s="345"/>
      <c r="BR159" s="345"/>
      <c r="BS159" s="345"/>
      <c r="BT159" s="345"/>
      <c r="BU159" s="345"/>
      <c r="BV159" s="345"/>
      <c r="BW159" s="345"/>
      <c r="BX159" s="345"/>
      <c r="BY159" s="345"/>
      <c r="BZ159" s="345"/>
      <c r="CA159" s="345"/>
      <c r="CB159" s="345"/>
      <c r="CC159" s="345"/>
      <c r="CD159" s="345"/>
      <c r="CE159" s="345"/>
      <c r="CF159" s="345"/>
      <c r="CG159" s="345"/>
      <c r="CH159" s="345"/>
      <c r="CI159" s="345"/>
      <c r="CJ159" s="345"/>
      <c r="CK159" s="345"/>
      <c r="CL159" s="345"/>
      <c r="CM159" s="345"/>
      <c r="CN159" s="345"/>
      <c r="CO159" s="345"/>
      <c r="CP159" s="345"/>
      <c r="CQ159" s="345"/>
      <c r="CR159" s="345"/>
      <c r="CS159" s="345"/>
      <c r="CT159" s="345"/>
      <c r="CU159" s="345"/>
      <c r="CV159" s="345"/>
      <c r="CW159" s="345"/>
      <c r="CX159" s="345"/>
      <c r="CY159" s="345"/>
      <c r="CZ159" s="345"/>
      <c r="DA159" s="345"/>
      <c r="DB159" s="345"/>
      <c r="DC159" s="345"/>
      <c r="DD159" s="345"/>
      <c r="DE159" s="345"/>
      <c r="DF159" s="345"/>
      <c r="DG159" s="345"/>
      <c r="DH159" s="345"/>
      <c r="DI159" s="345"/>
      <c r="DJ159" s="345"/>
      <c r="DK159" s="345"/>
      <c r="DL159" s="345"/>
      <c r="DM159" s="345"/>
      <c r="DN159" s="345"/>
      <c r="DO159" s="345"/>
      <c r="DP159" s="345"/>
      <c r="DQ159" s="345"/>
      <c r="DR159" s="345"/>
      <c r="DS159" s="345"/>
      <c r="DT159" s="345"/>
      <c r="DU159" s="345"/>
      <c r="DV159" s="345"/>
      <c r="DW159" s="345"/>
      <c r="DX159" s="345"/>
      <c r="DY159" s="345"/>
      <c r="DZ159" s="345"/>
      <c r="EA159" s="345"/>
    </row>
    <row r="160" spans="1:131" hidden="1">
      <c r="A160" s="345"/>
      <c r="B160" s="345"/>
      <c r="C160" s="345"/>
      <c r="D160" s="345"/>
      <c r="E160" s="345"/>
      <c r="F160" s="345"/>
      <c r="G160" s="345"/>
      <c r="H160" s="345"/>
      <c r="I160" s="345"/>
      <c r="J160" s="345"/>
      <c r="K160" s="345"/>
      <c r="L160" s="345"/>
      <c r="M160" s="345"/>
      <c r="N160" s="345"/>
      <c r="O160" s="345"/>
      <c r="P160" s="345"/>
      <c r="Q160" s="345"/>
      <c r="R160" s="345"/>
      <c r="S160" s="345"/>
      <c r="T160" s="345"/>
      <c r="U160" s="345"/>
      <c r="V160" s="345"/>
      <c r="W160" s="345"/>
      <c r="X160" s="345"/>
      <c r="Y160" s="345"/>
      <c r="Z160" s="345"/>
      <c r="AA160" s="345"/>
      <c r="AB160" s="345"/>
      <c r="AC160" s="345"/>
      <c r="AD160" s="345"/>
      <c r="AE160" s="345"/>
      <c r="AF160" s="345"/>
      <c r="AG160" s="345"/>
      <c r="AH160" s="345"/>
      <c r="AI160" s="345"/>
      <c r="AJ160" s="345"/>
      <c r="AK160" s="345"/>
      <c r="AL160" s="345"/>
      <c r="AM160" s="345"/>
      <c r="AN160" s="345"/>
      <c r="AO160" s="345"/>
      <c r="AP160" s="345"/>
      <c r="AQ160" s="345"/>
      <c r="AR160" s="345"/>
      <c r="AS160" s="345"/>
      <c r="AT160" s="345"/>
      <c r="AU160" s="345"/>
      <c r="AV160" s="345"/>
      <c r="AW160" s="345"/>
      <c r="AX160" s="345"/>
      <c r="AY160" s="345"/>
      <c r="AZ160" s="345"/>
      <c r="BA160" s="345"/>
      <c r="BB160" s="345"/>
      <c r="BC160" s="345"/>
      <c r="BD160" s="345"/>
      <c r="BE160" s="345"/>
      <c r="BF160" s="345"/>
      <c r="BG160" s="345"/>
      <c r="BH160" s="345"/>
      <c r="BI160" s="345"/>
      <c r="BJ160" s="345"/>
      <c r="BK160" s="345"/>
      <c r="BL160" s="345"/>
      <c r="BM160" s="345"/>
      <c r="BN160" s="345"/>
      <c r="BO160" s="345"/>
      <c r="BP160" s="345"/>
      <c r="BQ160" s="345"/>
      <c r="BR160" s="345"/>
      <c r="BS160" s="345"/>
      <c r="BT160" s="345"/>
      <c r="BU160" s="345"/>
      <c r="BV160" s="345"/>
      <c r="BW160" s="345"/>
      <c r="BX160" s="345"/>
      <c r="BY160" s="345"/>
      <c r="BZ160" s="345"/>
      <c r="CA160" s="345"/>
      <c r="CB160" s="345"/>
      <c r="CC160" s="345"/>
      <c r="CD160" s="345"/>
      <c r="CE160" s="345"/>
      <c r="CF160" s="345"/>
      <c r="CG160" s="345"/>
      <c r="CH160" s="345"/>
      <c r="CI160" s="345"/>
      <c r="CJ160" s="345"/>
      <c r="CK160" s="345"/>
      <c r="CL160" s="345"/>
      <c r="CM160" s="345"/>
      <c r="CN160" s="345"/>
      <c r="CO160" s="345"/>
      <c r="CP160" s="345"/>
      <c r="CQ160" s="345"/>
      <c r="CR160" s="345"/>
      <c r="CS160" s="345"/>
      <c r="CT160" s="345"/>
      <c r="CU160" s="345"/>
      <c r="CV160" s="345"/>
      <c r="CW160" s="345"/>
      <c r="CX160" s="345"/>
      <c r="CY160" s="345"/>
      <c r="CZ160" s="345"/>
      <c r="DA160" s="345"/>
      <c r="DB160" s="345"/>
      <c r="DC160" s="345"/>
      <c r="DD160" s="345"/>
      <c r="DE160" s="345"/>
      <c r="DF160" s="345"/>
      <c r="DG160" s="345"/>
      <c r="DH160" s="345"/>
      <c r="DI160" s="345"/>
      <c r="DJ160" s="345"/>
      <c r="DK160" s="345"/>
      <c r="DL160" s="345"/>
      <c r="DM160" s="345"/>
      <c r="DN160" s="345"/>
      <c r="DO160" s="345"/>
      <c r="DP160" s="345"/>
      <c r="DQ160" s="345"/>
      <c r="DR160" s="345"/>
      <c r="DS160" s="345"/>
      <c r="DT160" s="345"/>
      <c r="DU160" s="345"/>
      <c r="DV160" s="345"/>
      <c r="DW160" s="345"/>
      <c r="DX160" s="345"/>
      <c r="DY160" s="345"/>
      <c r="DZ160" s="345"/>
      <c r="EA160" s="345"/>
    </row>
    <row r="161" spans="1:131" hidden="1">
      <c r="A161" s="345"/>
      <c r="B161" s="345"/>
      <c r="C161" s="345"/>
      <c r="D161" s="345"/>
      <c r="E161" s="345"/>
      <c r="F161" s="345"/>
      <c r="G161" s="345"/>
      <c r="H161" s="345"/>
      <c r="I161" s="345"/>
      <c r="J161" s="345"/>
      <c r="K161" s="345"/>
      <c r="L161" s="345"/>
      <c r="M161" s="345"/>
      <c r="N161" s="345"/>
      <c r="O161" s="345"/>
      <c r="P161" s="345"/>
      <c r="Q161" s="345"/>
      <c r="R161" s="345"/>
      <c r="S161" s="345"/>
      <c r="T161" s="345"/>
      <c r="U161" s="345"/>
      <c r="V161" s="345"/>
      <c r="W161" s="345"/>
      <c r="X161" s="345"/>
      <c r="Y161" s="345"/>
      <c r="Z161" s="345"/>
      <c r="AA161" s="345"/>
      <c r="AB161" s="345"/>
      <c r="AC161" s="345"/>
      <c r="AD161" s="345"/>
      <c r="AE161" s="345"/>
      <c r="AF161" s="345"/>
      <c r="AG161" s="345"/>
      <c r="AH161" s="345"/>
      <c r="AI161" s="345"/>
      <c r="AJ161" s="345"/>
      <c r="AK161" s="345"/>
      <c r="AL161" s="345"/>
      <c r="AM161" s="345"/>
      <c r="AN161" s="345"/>
      <c r="AO161" s="345"/>
      <c r="AP161" s="345"/>
      <c r="AQ161" s="345"/>
      <c r="AR161" s="345"/>
      <c r="AS161" s="345"/>
      <c r="AT161" s="345"/>
      <c r="AU161" s="345"/>
      <c r="AV161" s="345"/>
      <c r="AW161" s="345"/>
      <c r="AX161" s="345"/>
      <c r="AY161" s="345"/>
      <c r="AZ161" s="345"/>
      <c r="BA161" s="345"/>
      <c r="BB161" s="345"/>
      <c r="BC161" s="345"/>
      <c r="BD161" s="345"/>
      <c r="BE161" s="345"/>
      <c r="BF161" s="345"/>
      <c r="BG161" s="345"/>
      <c r="BH161" s="345"/>
      <c r="BI161" s="345"/>
      <c r="BJ161" s="345"/>
      <c r="BK161" s="345"/>
      <c r="BL161" s="345"/>
      <c r="BM161" s="345"/>
      <c r="BN161" s="345"/>
      <c r="BO161" s="345"/>
      <c r="BP161" s="345"/>
      <c r="BQ161" s="345"/>
      <c r="BR161" s="345"/>
      <c r="BS161" s="345"/>
      <c r="BT161" s="345"/>
      <c r="BU161" s="345"/>
      <c r="BV161" s="345"/>
      <c r="BW161" s="345"/>
      <c r="BX161" s="345"/>
      <c r="BY161" s="345"/>
      <c r="BZ161" s="345"/>
      <c r="CA161" s="345"/>
      <c r="CB161" s="345"/>
      <c r="CC161" s="345"/>
      <c r="CD161" s="345"/>
      <c r="CE161" s="345"/>
      <c r="CF161" s="345"/>
      <c r="CG161" s="345"/>
      <c r="CH161" s="345"/>
      <c r="CI161" s="345"/>
      <c r="CJ161" s="345"/>
      <c r="CK161" s="345"/>
      <c r="CL161" s="345"/>
      <c r="CM161" s="345"/>
      <c r="CN161" s="345"/>
      <c r="CO161" s="345"/>
      <c r="CP161" s="345"/>
      <c r="CQ161" s="345"/>
      <c r="CR161" s="345"/>
      <c r="CS161" s="345"/>
      <c r="CT161" s="345"/>
      <c r="CU161" s="345"/>
      <c r="CV161" s="345"/>
      <c r="CW161" s="345"/>
      <c r="CX161" s="345"/>
      <c r="CY161" s="345"/>
      <c r="CZ161" s="345"/>
      <c r="DA161" s="345"/>
      <c r="DB161" s="345"/>
      <c r="DC161" s="345"/>
      <c r="DD161" s="345"/>
      <c r="DE161" s="345"/>
      <c r="DF161" s="345"/>
      <c r="DG161" s="345"/>
      <c r="DH161" s="345"/>
      <c r="DI161" s="345"/>
      <c r="DJ161" s="345"/>
      <c r="DK161" s="345"/>
      <c r="DL161" s="345"/>
      <c r="DM161" s="345"/>
      <c r="DN161" s="345"/>
      <c r="DO161" s="345"/>
      <c r="DP161" s="345"/>
      <c r="DQ161" s="345"/>
      <c r="DR161" s="345"/>
      <c r="DS161" s="345"/>
      <c r="DT161" s="345"/>
      <c r="DU161" s="345"/>
      <c r="DV161" s="345"/>
      <c r="DW161" s="345"/>
      <c r="DX161" s="345"/>
      <c r="DY161" s="345"/>
      <c r="DZ161" s="345"/>
      <c r="EA161" s="345"/>
    </row>
    <row r="162" spans="1:131" hidden="1">
      <c r="A162" s="345"/>
      <c r="B162" s="345"/>
      <c r="C162" s="345"/>
      <c r="D162" s="345"/>
      <c r="E162" s="345"/>
      <c r="F162" s="345"/>
      <c r="G162" s="345"/>
      <c r="H162" s="345"/>
      <c r="I162" s="345"/>
      <c r="J162" s="345"/>
      <c r="K162" s="345"/>
      <c r="L162" s="345"/>
      <c r="M162" s="345"/>
      <c r="N162" s="345"/>
      <c r="O162" s="345"/>
      <c r="P162" s="345"/>
      <c r="Q162" s="345"/>
      <c r="R162" s="345"/>
      <c r="S162" s="345"/>
      <c r="T162" s="345"/>
      <c r="U162" s="345"/>
      <c r="V162" s="345"/>
      <c r="W162" s="345"/>
      <c r="X162" s="345"/>
      <c r="Y162" s="345"/>
      <c r="Z162" s="345"/>
      <c r="AA162" s="345"/>
      <c r="AB162" s="345"/>
      <c r="AC162" s="345"/>
      <c r="AD162" s="345"/>
      <c r="AE162" s="345"/>
      <c r="AF162" s="345"/>
      <c r="AG162" s="345"/>
      <c r="AH162" s="345"/>
      <c r="AI162" s="345"/>
      <c r="AJ162" s="345"/>
      <c r="AK162" s="345"/>
      <c r="AL162" s="345"/>
      <c r="AM162" s="345"/>
      <c r="AN162" s="345"/>
      <c r="AO162" s="345"/>
      <c r="AP162" s="345"/>
      <c r="AQ162" s="345"/>
      <c r="AR162" s="345"/>
      <c r="AS162" s="345"/>
      <c r="AT162" s="345"/>
      <c r="AU162" s="345"/>
      <c r="AV162" s="345"/>
      <c r="AW162" s="345"/>
      <c r="AX162" s="345"/>
      <c r="AY162" s="345"/>
      <c r="AZ162" s="345"/>
      <c r="BA162" s="345"/>
      <c r="BB162" s="345"/>
      <c r="BC162" s="345"/>
      <c r="BD162" s="345"/>
      <c r="BE162" s="345"/>
      <c r="BF162" s="345"/>
      <c r="BG162" s="345"/>
      <c r="BH162" s="345"/>
      <c r="BI162" s="345"/>
      <c r="BJ162" s="345"/>
      <c r="BK162" s="345"/>
      <c r="BL162" s="345"/>
      <c r="BM162" s="345"/>
      <c r="BN162" s="345"/>
      <c r="BO162" s="345"/>
      <c r="BP162" s="345"/>
      <c r="BQ162" s="345"/>
      <c r="BR162" s="345"/>
      <c r="BS162" s="345"/>
      <c r="BT162" s="345"/>
      <c r="BU162" s="345"/>
      <c r="BV162" s="345"/>
      <c r="BW162" s="345"/>
      <c r="BX162" s="345"/>
      <c r="BY162" s="345"/>
      <c r="BZ162" s="345"/>
      <c r="CA162" s="345"/>
      <c r="CB162" s="345"/>
      <c r="CC162" s="345"/>
      <c r="CD162" s="345"/>
      <c r="CE162" s="345"/>
      <c r="CF162" s="345"/>
      <c r="CG162" s="345"/>
      <c r="CH162" s="345"/>
      <c r="CI162" s="345"/>
      <c r="CJ162" s="345"/>
      <c r="CK162" s="345"/>
      <c r="CL162" s="345"/>
      <c r="CM162" s="345"/>
      <c r="CN162" s="345"/>
      <c r="CO162" s="345"/>
      <c r="CP162" s="345"/>
      <c r="CQ162" s="345"/>
      <c r="CR162" s="345"/>
      <c r="CS162" s="345"/>
      <c r="CT162" s="345"/>
      <c r="CU162" s="345"/>
      <c r="CV162" s="345"/>
      <c r="CW162" s="345"/>
      <c r="CX162" s="345"/>
      <c r="CY162" s="345"/>
      <c r="CZ162" s="345"/>
      <c r="DA162" s="345"/>
      <c r="DB162" s="345"/>
      <c r="DC162" s="345"/>
      <c r="DD162" s="345"/>
      <c r="DE162" s="345"/>
      <c r="DF162" s="345"/>
      <c r="DG162" s="345"/>
      <c r="DH162" s="345"/>
      <c r="DI162" s="345"/>
      <c r="DJ162" s="345"/>
      <c r="DK162" s="345"/>
      <c r="DL162" s="345"/>
      <c r="DM162" s="345"/>
      <c r="DN162" s="345"/>
      <c r="DO162" s="345"/>
      <c r="DP162" s="345"/>
      <c r="DQ162" s="345"/>
      <c r="DR162" s="345"/>
      <c r="DS162" s="345"/>
      <c r="DT162" s="345"/>
      <c r="DU162" s="345"/>
      <c r="DV162" s="345"/>
      <c r="DW162" s="345"/>
      <c r="DX162" s="345"/>
      <c r="DY162" s="345"/>
      <c r="DZ162" s="345"/>
      <c r="EA162" s="345"/>
    </row>
    <row r="163" spans="1:131" hidden="1">
      <c r="A163" s="345"/>
      <c r="B163" s="345"/>
      <c r="C163" s="345"/>
      <c r="D163" s="345"/>
      <c r="E163" s="345"/>
      <c r="F163" s="345"/>
      <c r="G163" s="345"/>
      <c r="H163" s="345"/>
      <c r="I163" s="345"/>
      <c r="J163" s="345"/>
      <c r="K163" s="345"/>
      <c r="L163" s="345"/>
      <c r="M163" s="345"/>
      <c r="N163" s="345"/>
      <c r="O163" s="345"/>
      <c r="P163" s="345"/>
      <c r="Q163" s="345"/>
      <c r="R163" s="345"/>
      <c r="S163" s="345"/>
      <c r="T163" s="345"/>
      <c r="U163" s="345"/>
      <c r="V163" s="345"/>
      <c r="W163" s="345"/>
      <c r="X163" s="345"/>
      <c r="Y163" s="345"/>
      <c r="Z163" s="345"/>
      <c r="AA163" s="345"/>
      <c r="AB163" s="345"/>
      <c r="AC163" s="345"/>
      <c r="AD163" s="345"/>
      <c r="AE163" s="345"/>
      <c r="AF163" s="345"/>
      <c r="AG163" s="345"/>
      <c r="AH163" s="345"/>
      <c r="AI163" s="345"/>
      <c r="AJ163" s="345"/>
      <c r="AK163" s="345"/>
      <c r="AL163" s="345"/>
      <c r="AM163" s="345"/>
      <c r="AN163" s="345"/>
      <c r="AO163" s="345"/>
      <c r="AP163" s="345"/>
      <c r="AQ163" s="345"/>
      <c r="AR163" s="345"/>
      <c r="AS163" s="345"/>
      <c r="AT163" s="345"/>
      <c r="AU163" s="345"/>
      <c r="AV163" s="345"/>
      <c r="AW163" s="345"/>
      <c r="AX163" s="345"/>
      <c r="AY163" s="345"/>
      <c r="AZ163" s="345"/>
      <c r="BA163" s="345"/>
      <c r="BB163" s="345"/>
      <c r="BC163" s="345"/>
      <c r="BD163" s="345"/>
      <c r="BE163" s="345"/>
      <c r="BF163" s="345"/>
      <c r="BG163" s="345"/>
      <c r="BH163" s="345"/>
      <c r="BI163" s="345"/>
      <c r="BJ163" s="345"/>
      <c r="BK163" s="345"/>
      <c r="BL163" s="345"/>
      <c r="BM163" s="345"/>
      <c r="BN163" s="345"/>
      <c r="BO163" s="345"/>
      <c r="BP163" s="345"/>
      <c r="BQ163" s="345"/>
      <c r="BR163" s="345"/>
      <c r="BS163" s="345"/>
      <c r="BT163" s="345"/>
      <c r="BU163" s="345"/>
      <c r="BV163" s="345"/>
      <c r="BW163" s="345"/>
      <c r="BX163" s="345"/>
      <c r="BY163" s="345"/>
      <c r="BZ163" s="345"/>
      <c r="CA163" s="345"/>
      <c r="CB163" s="345"/>
      <c r="CC163" s="345"/>
      <c r="CD163" s="345"/>
      <c r="CE163" s="345"/>
      <c r="CF163" s="345"/>
      <c r="CG163" s="345"/>
      <c r="CH163" s="345"/>
      <c r="CI163" s="345"/>
      <c r="CJ163" s="345"/>
      <c r="CK163" s="345"/>
      <c r="CL163" s="345"/>
      <c r="CM163" s="345"/>
      <c r="CN163" s="345"/>
      <c r="CO163" s="345"/>
      <c r="CP163" s="345"/>
      <c r="CQ163" s="345"/>
      <c r="CR163" s="345"/>
      <c r="CS163" s="345"/>
      <c r="CT163" s="345"/>
      <c r="CU163" s="345"/>
      <c r="CV163" s="345"/>
      <c r="CW163" s="345"/>
      <c r="CX163" s="345"/>
      <c r="CY163" s="345"/>
      <c r="CZ163" s="345"/>
      <c r="DA163" s="345"/>
      <c r="DB163" s="345"/>
      <c r="DC163" s="345"/>
      <c r="DD163" s="345"/>
      <c r="DE163" s="345"/>
      <c r="DF163" s="345"/>
      <c r="DG163" s="345"/>
      <c r="DH163" s="345"/>
      <c r="DI163" s="345"/>
      <c r="DJ163" s="345"/>
      <c r="DK163" s="345"/>
      <c r="DL163" s="345"/>
      <c r="DM163" s="345"/>
      <c r="DN163" s="345"/>
      <c r="DO163" s="345"/>
      <c r="DP163" s="345"/>
      <c r="DQ163" s="345"/>
      <c r="DR163" s="345"/>
      <c r="DS163" s="345"/>
      <c r="DT163" s="345"/>
      <c r="DU163" s="345"/>
      <c r="DV163" s="345"/>
      <c r="DW163" s="345"/>
      <c r="DX163" s="345"/>
      <c r="DY163" s="345"/>
      <c r="DZ163" s="345"/>
      <c r="EA163" s="345"/>
    </row>
    <row r="164" spans="1:131" hidden="1">
      <c r="A164" s="345"/>
      <c r="B164" s="345"/>
      <c r="C164" s="345"/>
      <c r="D164" s="345"/>
      <c r="E164" s="345"/>
      <c r="F164" s="345"/>
      <c r="G164" s="345"/>
      <c r="H164" s="345"/>
      <c r="I164" s="345"/>
      <c r="J164" s="345"/>
      <c r="K164" s="345"/>
      <c r="L164" s="345"/>
      <c r="M164" s="345"/>
      <c r="N164" s="345"/>
      <c r="O164" s="345"/>
      <c r="P164" s="345"/>
      <c r="Q164" s="345"/>
      <c r="R164" s="345"/>
      <c r="S164" s="345"/>
      <c r="T164" s="345"/>
      <c r="U164" s="345"/>
      <c r="V164" s="345"/>
      <c r="W164" s="345"/>
      <c r="X164" s="345"/>
      <c r="Y164" s="345"/>
      <c r="Z164" s="345"/>
      <c r="AA164" s="345"/>
      <c r="AB164" s="345"/>
      <c r="AC164" s="345"/>
      <c r="AD164" s="345"/>
      <c r="AE164" s="345"/>
      <c r="AF164" s="345"/>
      <c r="AG164" s="345"/>
      <c r="AH164" s="345"/>
      <c r="AI164" s="345"/>
      <c r="AJ164" s="345"/>
      <c r="AK164" s="345"/>
      <c r="AL164" s="345"/>
      <c r="AM164" s="345"/>
      <c r="AN164" s="345"/>
      <c r="AO164" s="345"/>
      <c r="AP164" s="345"/>
      <c r="AQ164" s="345"/>
      <c r="AR164" s="345"/>
      <c r="AS164" s="345"/>
      <c r="AT164" s="345"/>
      <c r="AU164" s="345"/>
      <c r="AV164" s="345"/>
      <c r="AW164" s="345"/>
      <c r="AX164" s="345"/>
      <c r="AY164" s="345"/>
      <c r="AZ164" s="345"/>
      <c r="BA164" s="345"/>
      <c r="BB164" s="345"/>
      <c r="BC164" s="345"/>
      <c r="BD164" s="345"/>
      <c r="BE164" s="345"/>
      <c r="BF164" s="345"/>
      <c r="BG164" s="345"/>
      <c r="BH164" s="345"/>
      <c r="BI164" s="345"/>
      <c r="BJ164" s="345"/>
      <c r="BK164" s="345"/>
      <c r="BL164" s="345"/>
      <c r="BM164" s="345"/>
      <c r="BN164" s="345"/>
      <c r="BO164" s="345"/>
      <c r="BP164" s="345"/>
      <c r="BQ164" s="345"/>
      <c r="BR164" s="345"/>
      <c r="BS164" s="345"/>
      <c r="BT164" s="345"/>
      <c r="BU164" s="345"/>
      <c r="BV164" s="345"/>
      <c r="BW164" s="345"/>
      <c r="BX164" s="345"/>
      <c r="BY164" s="345"/>
      <c r="BZ164" s="345"/>
      <c r="CA164" s="345"/>
      <c r="CB164" s="345"/>
      <c r="CC164" s="345"/>
      <c r="CD164" s="345"/>
      <c r="CE164" s="345"/>
      <c r="CF164" s="345"/>
      <c r="CG164" s="345"/>
      <c r="CH164" s="345"/>
      <c r="CI164" s="345"/>
      <c r="CJ164" s="345"/>
      <c r="CK164" s="345"/>
      <c r="CL164" s="345"/>
      <c r="CM164" s="345"/>
      <c r="CN164" s="345"/>
      <c r="CO164" s="345"/>
      <c r="CP164" s="345"/>
      <c r="CQ164" s="345"/>
      <c r="CR164" s="345"/>
      <c r="CS164" s="345"/>
      <c r="CT164" s="345"/>
      <c r="CU164" s="345"/>
      <c r="CV164" s="345"/>
      <c r="CW164" s="345"/>
      <c r="CX164" s="345"/>
      <c r="CY164" s="345"/>
      <c r="CZ164" s="345"/>
      <c r="DA164" s="345"/>
      <c r="DB164" s="345"/>
      <c r="DC164" s="345"/>
      <c r="DD164" s="345"/>
      <c r="DE164" s="345"/>
      <c r="DF164" s="345"/>
      <c r="DG164" s="345"/>
      <c r="DH164" s="345"/>
      <c r="DI164" s="345"/>
      <c r="DJ164" s="345"/>
      <c r="DK164" s="345"/>
      <c r="DL164" s="345"/>
      <c r="DM164" s="345"/>
      <c r="DN164" s="345"/>
      <c r="DO164" s="345"/>
      <c r="DP164" s="345"/>
      <c r="DQ164" s="345"/>
      <c r="DR164" s="345"/>
      <c r="DS164" s="345"/>
      <c r="DT164" s="345"/>
      <c r="DU164" s="345"/>
      <c r="DV164" s="345"/>
      <c r="DW164" s="345"/>
      <c r="DX164" s="345"/>
      <c r="DY164" s="345"/>
      <c r="DZ164" s="345"/>
      <c r="EA164" s="345"/>
    </row>
    <row r="165" spans="1:131" hidden="1">
      <c r="A165" s="345"/>
      <c r="B165" s="345"/>
      <c r="C165" s="345"/>
      <c r="D165" s="345"/>
      <c r="E165" s="345"/>
      <c r="F165" s="345"/>
      <c r="G165" s="345"/>
      <c r="H165" s="345"/>
      <c r="I165" s="345"/>
      <c r="J165" s="345"/>
      <c r="K165" s="345"/>
      <c r="L165" s="345"/>
      <c r="M165" s="345"/>
      <c r="N165" s="345"/>
      <c r="O165" s="345"/>
      <c r="P165" s="345"/>
      <c r="Q165" s="345"/>
      <c r="R165" s="345"/>
      <c r="S165" s="345"/>
      <c r="T165" s="345"/>
      <c r="U165" s="345"/>
      <c r="V165" s="345"/>
      <c r="W165" s="345"/>
      <c r="X165" s="345"/>
      <c r="Y165" s="345"/>
      <c r="Z165" s="345"/>
      <c r="AA165" s="345"/>
      <c r="AB165" s="345"/>
      <c r="AC165" s="345"/>
      <c r="AD165" s="345"/>
      <c r="AE165" s="345"/>
      <c r="AF165" s="345"/>
      <c r="AG165" s="345"/>
      <c r="AH165" s="345"/>
      <c r="AI165" s="345"/>
      <c r="AJ165" s="345"/>
      <c r="AK165" s="345"/>
      <c r="AL165" s="345"/>
      <c r="AM165" s="345"/>
      <c r="AN165" s="345"/>
      <c r="AO165" s="345"/>
      <c r="AP165" s="345"/>
      <c r="AQ165" s="345"/>
      <c r="AR165" s="345"/>
      <c r="AS165" s="345"/>
      <c r="AT165" s="345"/>
      <c r="AU165" s="345"/>
      <c r="AV165" s="345"/>
      <c r="AW165" s="345"/>
      <c r="AX165" s="345"/>
      <c r="AY165" s="345"/>
      <c r="AZ165" s="345"/>
      <c r="BA165" s="345"/>
      <c r="BB165" s="345"/>
      <c r="BC165" s="345"/>
      <c r="BD165" s="345"/>
      <c r="BE165" s="345"/>
      <c r="BF165" s="345"/>
      <c r="BG165" s="345"/>
      <c r="BH165" s="345"/>
      <c r="BI165" s="345"/>
      <c r="BJ165" s="345"/>
      <c r="BK165" s="345"/>
      <c r="BL165" s="345"/>
      <c r="BM165" s="345"/>
      <c r="BN165" s="345"/>
      <c r="BO165" s="345"/>
      <c r="BP165" s="345"/>
      <c r="BQ165" s="345"/>
      <c r="BR165" s="345"/>
      <c r="BS165" s="345"/>
      <c r="BT165" s="345"/>
      <c r="BU165" s="345"/>
      <c r="BV165" s="345"/>
      <c r="BW165" s="345"/>
      <c r="BX165" s="345"/>
      <c r="BY165" s="345"/>
      <c r="BZ165" s="345"/>
      <c r="CA165" s="345"/>
      <c r="CB165" s="345"/>
      <c r="CC165" s="345"/>
      <c r="CD165" s="345"/>
      <c r="CE165" s="345"/>
      <c r="CF165" s="345"/>
      <c r="CG165" s="345"/>
      <c r="CH165" s="345"/>
      <c r="CI165" s="345"/>
      <c r="CJ165" s="345"/>
      <c r="CK165" s="345"/>
      <c r="CL165" s="345"/>
      <c r="CM165" s="345"/>
      <c r="CN165" s="345"/>
      <c r="CO165" s="345"/>
      <c r="CP165" s="345"/>
      <c r="CQ165" s="345"/>
      <c r="CR165" s="345"/>
      <c r="CS165" s="345"/>
      <c r="CT165" s="345"/>
      <c r="CU165" s="345"/>
      <c r="CV165" s="345"/>
      <c r="CW165" s="345"/>
      <c r="CX165" s="345"/>
      <c r="CY165" s="345"/>
      <c r="CZ165" s="345"/>
      <c r="DA165" s="345"/>
      <c r="DB165" s="345"/>
      <c r="DC165" s="345"/>
      <c r="DD165" s="345"/>
      <c r="DE165" s="345"/>
      <c r="DF165" s="345"/>
      <c r="DG165" s="345"/>
      <c r="DH165" s="345"/>
      <c r="DI165" s="345"/>
      <c r="DJ165" s="345"/>
      <c r="DK165" s="345"/>
      <c r="DL165" s="345"/>
      <c r="DM165" s="345"/>
      <c r="DN165" s="345"/>
      <c r="DO165" s="345"/>
      <c r="DP165" s="345"/>
      <c r="DQ165" s="345"/>
      <c r="DR165" s="345"/>
      <c r="DS165" s="345"/>
      <c r="DT165" s="345"/>
      <c r="DU165" s="345"/>
      <c r="DV165" s="345"/>
      <c r="DW165" s="345"/>
      <c r="DX165" s="345"/>
      <c r="DY165" s="345"/>
      <c r="DZ165" s="345"/>
      <c r="EA165" s="345"/>
    </row>
    <row r="166" spans="1:131" hidden="1">
      <c r="A166" s="345"/>
      <c r="B166" s="345"/>
      <c r="C166" s="345"/>
      <c r="D166" s="345"/>
      <c r="E166" s="345"/>
      <c r="F166" s="345"/>
      <c r="G166" s="345"/>
      <c r="H166" s="345"/>
      <c r="I166" s="345"/>
      <c r="J166" s="345"/>
      <c r="K166" s="345"/>
      <c r="L166" s="345"/>
      <c r="M166" s="345"/>
      <c r="N166" s="345"/>
      <c r="O166" s="345"/>
      <c r="P166" s="345"/>
      <c r="Q166" s="345"/>
      <c r="R166" s="345"/>
      <c r="S166" s="345"/>
      <c r="T166" s="345"/>
      <c r="U166" s="345"/>
      <c r="V166" s="345"/>
      <c r="W166" s="345"/>
      <c r="X166" s="345"/>
      <c r="Y166" s="345"/>
      <c r="Z166" s="345"/>
      <c r="AA166" s="345"/>
      <c r="AB166" s="345"/>
      <c r="AC166" s="345"/>
      <c r="AD166" s="345"/>
      <c r="AE166" s="345"/>
      <c r="AF166" s="345"/>
      <c r="AG166" s="345"/>
      <c r="AH166" s="345"/>
      <c r="AI166" s="345"/>
      <c r="AJ166" s="345"/>
      <c r="AK166" s="345"/>
      <c r="AL166" s="345"/>
      <c r="AM166" s="345"/>
      <c r="AN166" s="345"/>
      <c r="AO166" s="345"/>
      <c r="AP166" s="345"/>
      <c r="AQ166" s="345"/>
      <c r="AR166" s="345"/>
      <c r="AS166" s="345"/>
      <c r="AT166" s="345"/>
      <c r="AU166" s="345"/>
      <c r="AV166" s="345"/>
      <c r="AW166" s="345"/>
      <c r="AX166" s="345"/>
      <c r="AY166" s="345"/>
      <c r="AZ166" s="345"/>
      <c r="BA166" s="345"/>
      <c r="BB166" s="345"/>
      <c r="BC166" s="345"/>
      <c r="BD166" s="345"/>
      <c r="BE166" s="345"/>
      <c r="BF166" s="345"/>
      <c r="BG166" s="345"/>
      <c r="BH166" s="345"/>
      <c r="BI166" s="345"/>
      <c r="BJ166" s="345"/>
      <c r="BK166" s="345"/>
      <c r="BL166" s="345"/>
      <c r="BM166" s="345"/>
      <c r="BN166" s="345"/>
      <c r="BO166" s="345"/>
      <c r="BP166" s="345"/>
      <c r="BQ166" s="345"/>
      <c r="BR166" s="345"/>
      <c r="BS166" s="345"/>
      <c r="BT166" s="345"/>
      <c r="BU166" s="345"/>
      <c r="BV166" s="345"/>
      <c r="BW166" s="345"/>
      <c r="BX166" s="345"/>
      <c r="BY166" s="345"/>
      <c r="BZ166" s="345"/>
      <c r="CA166" s="345"/>
      <c r="CB166" s="345"/>
      <c r="CC166" s="345"/>
      <c r="CD166" s="345"/>
      <c r="CE166" s="345"/>
      <c r="CF166" s="345"/>
      <c r="CG166" s="345"/>
      <c r="CH166" s="345"/>
      <c r="CI166" s="345"/>
      <c r="CJ166" s="345"/>
      <c r="CK166" s="345"/>
      <c r="CL166" s="345"/>
      <c r="CM166" s="345"/>
      <c r="CN166" s="345"/>
      <c r="CO166" s="345"/>
      <c r="CP166" s="345"/>
      <c r="CQ166" s="345"/>
      <c r="CR166" s="345"/>
      <c r="CS166" s="345"/>
      <c r="CT166" s="345"/>
      <c r="CU166" s="345"/>
      <c r="CV166" s="345"/>
      <c r="CW166" s="345"/>
      <c r="CX166" s="345"/>
      <c r="CY166" s="345"/>
      <c r="CZ166" s="345"/>
      <c r="DA166" s="345"/>
      <c r="DB166" s="345"/>
      <c r="DC166" s="345"/>
      <c r="DD166" s="345"/>
      <c r="DE166" s="345"/>
      <c r="DF166" s="345"/>
      <c r="DG166" s="345"/>
      <c r="DH166" s="345"/>
      <c r="DI166" s="345"/>
      <c r="DJ166" s="345"/>
      <c r="DK166" s="345"/>
      <c r="DL166" s="345"/>
      <c r="DM166" s="345"/>
      <c r="DN166" s="345"/>
      <c r="DO166" s="345"/>
      <c r="DP166" s="345"/>
      <c r="DQ166" s="345"/>
      <c r="DR166" s="345"/>
      <c r="DS166" s="345"/>
      <c r="DT166" s="345"/>
      <c r="DU166" s="345"/>
      <c r="DV166" s="345"/>
      <c r="DW166" s="345"/>
      <c r="DX166" s="345"/>
      <c r="DY166" s="345"/>
      <c r="DZ166" s="345"/>
      <c r="EA166" s="345"/>
    </row>
    <row r="167" spans="1:131" hidden="1">
      <c r="A167" s="345"/>
      <c r="B167" s="345"/>
      <c r="C167" s="345"/>
      <c r="D167" s="345"/>
      <c r="E167" s="345"/>
      <c r="F167" s="345"/>
      <c r="G167" s="345"/>
      <c r="H167" s="345"/>
      <c r="I167" s="345"/>
      <c r="J167" s="345"/>
      <c r="K167" s="345"/>
      <c r="L167" s="345"/>
      <c r="M167" s="345"/>
      <c r="N167" s="345"/>
      <c r="O167" s="345"/>
      <c r="P167" s="345"/>
      <c r="Q167" s="345"/>
      <c r="R167" s="345"/>
      <c r="S167" s="345"/>
      <c r="T167" s="345"/>
      <c r="U167" s="345"/>
      <c r="V167" s="345"/>
      <c r="W167" s="345"/>
      <c r="X167" s="345"/>
      <c r="Y167" s="345"/>
      <c r="Z167" s="345"/>
      <c r="AA167" s="345"/>
      <c r="AB167" s="345"/>
      <c r="AC167" s="345"/>
      <c r="AD167" s="345"/>
      <c r="AE167" s="345"/>
      <c r="AF167" s="345"/>
      <c r="AG167" s="345"/>
      <c r="AH167" s="345"/>
      <c r="AI167" s="345"/>
      <c r="AJ167" s="345"/>
      <c r="AK167" s="345"/>
      <c r="AL167" s="345"/>
      <c r="AM167" s="345"/>
      <c r="AN167" s="345"/>
      <c r="AO167" s="345"/>
      <c r="AP167" s="345"/>
      <c r="AQ167" s="345"/>
      <c r="AR167" s="345"/>
      <c r="AS167" s="345"/>
      <c r="AT167" s="345"/>
      <c r="AU167" s="345"/>
      <c r="AV167" s="345"/>
      <c r="AW167" s="345"/>
      <c r="AX167" s="345"/>
      <c r="AY167" s="345"/>
      <c r="AZ167" s="345"/>
      <c r="BA167" s="345"/>
      <c r="BB167" s="345"/>
      <c r="BC167" s="345"/>
      <c r="BD167" s="345"/>
      <c r="BE167" s="345"/>
      <c r="BF167" s="345"/>
      <c r="BG167" s="345"/>
      <c r="BH167" s="345"/>
      <c r="BI167" s="345"/>
      <c r="BJ167" s="345"/>
      <c r="BK167" s="345"/>
      <c r="BL167" s="345"/>
      <c r="BM167" s="345"/>
      <c r="BN167" s="345"/>
      <c r="BO167" s="345"/>
      <c r="BP167" s="345"/>
      <c r="BQ167" s="345"/>
      <c r="BR167" s="345"/>
      <c r="BS167" s="345"/>
      <c r="BT167" s="345"/>
      <c r="BU167" s="345"/>
      <c r="BV167" s="345"/>
      <c r="BW167" s="345"/>
      <c r="BX167" s="345"/>
      <c r="BY167" s="345"/>
      <c r="BZ167" s="345"/>
      <c r="CA167" s="345"/>
      <c r="CB167" s="345"/>
      <c r="CC167" s="345"/>
      <c r="CD167" s="345"/>
      <c r="CE167" s="345"/>
      <c r="CF167" s="345"/>
      <c r="CG167" s="345"/>
      <c r="CH167" s="345"/>
      <c r="CI167" s="345"/>
      <c r="CJ167" s="345"/>
      <c r="CK167" s="345"/>
      <c r="CL167" s="345"/>
      <c r="CM167" s="345"/>
      <c r="CN167" s="345"/>
      <c r="CO167" s="345"/>
      <c r="CP167" s="345"/>
      <c r="CQ167" s="345"/>
      <c r="CR167" s="345"/>
      <c r="CS167" s="345"/>
      <c r="CT167" s="345"/>
      <c r="CU167" s="345"/>
      <c r="CV167" s="345"/>
      <c r="CW167" s="345"/>
      <c r="CX167" s="345"/>
      <c r="CY167" s="345"/>
      <c r="CZ167" s="345"/>
      <c r="DA167" s="345"/>
      <c r="DB167" s="345"/>
      <c r="DC167" s="345"/>
      <c r="DD167" s="345"/>
      <c r="DE167" s="345"/>
      <c r="DF167" s="345"/>
      <c r="DG167" s="345"/>
      <c r="DH167" s="345"/>
      <c r="DI167" s="345"/>
      <c r="DJ167" s="345"/>
      <c r="DK167" s="345"/>
      <c r="DL167" s="345"/>
      <c r="DM167" s="345"/>
      <c r="DN167" s="345"/>
      <c r="DO167" s="345"/>
      <c r="DP167" s="345"/>
      <c r="DQ167" s="345"/>
      <c r="DR167" s="345"/>
      <c r="DS167" s="345"/>
      <c r="DT167" s="345"/>
      <c r="DU167" s="345"/>
      <c r="DV167" s="345"/>
      <c r="DW167" s="345"/>
      <c r="DX167" s="345"/>
      <c r="DY167" s="345"/>
      <c r="DZ167" s="345"/>
      <c r="EA167" s="345"/>
    </row>
    <row r="168" spans="1:131" hidden="1">
      <c r="A168" s="345"/>
      <c r="B168" s="345"/>
      <c r="C168" s="345"/>
      <c r="D168" s="345"/>
      <c r="E168" s="345"/>
      <c r="F168" s="345"/>
      <c r="G168" s="345"/>
      <c r="H168" s="345"/>
      <c r="I168" s="345"/>
      <c r="J168" s="345"/>
      <c r="K168" s="345"/>
      <c r="L168" s="345"/>
      <c r="M168" s="345"/>
      <c r="N168" s="345"/>
      <c r="O168" s="345"/>
      <c r="P168" s="345"/>
      <c r="Q168" s="345"/>
      <c r="R168" s="345"/>
      <c r="S168" s="345"/>
      <c r="T168" s="345"/>
      <c r="U168" s="345"/>
      <c r="V168" s="345"/>
      <c r="W168" s="345"/>
      <c r="X168" s="345"/>
      <c r="Y168" s="345"/>
      <c r="Z168" s="345"/>
      <c r="AA168" s="345"/>
      <c r="AB168" s="345"/>
      <c r="AC168" s="345"/>
      <c r="AD168" s="345"/>
      <c r="AE168" s="345"/>
      <c r="AF168" s="345"/>
      <c r="AG168" s="345"/>
      <c r="AH168" s="345"/>
      <c r="AI168" s="345"/>
      <c r="AJ168" s="345"/>
      <c r="AK168" s="345"/>
      <c r="AL168" s="345"/>
      <c r="AM168" s="345"/>
      <c r="AN168" s="345"/>
      <c r="AO168" s="345"/>
      <c r="AP168" s="345"/>
      <c r="AQ168" s="345"/>
      <c r="AR168" s="345"/>
      <c r="AS168" s="345"/>
      <c r="AT168" s="345"/>
      <c r="AU168" s="345"/>
      <c r="AV168" s="345"/>
      <c r="AW168" s="345"/>
      <c r="AX168" s="345"/>
      <c r="AY168" s="345"/>
      <c r="AZ168" s="345"/>
      <c r="BA168" s="345"/>
      <c r="BB168" s="345"/>
      <c r="BC168" s="345"/>
      <c r="BD168" s="345"/>
      <c r="BE168" s="345"/>
      <c r="BF168" s="345"/>
      <c r="BG168" s="345"/>
      <c r="BH168" s="345"/>
      <c r="BI168" s="345"/>
      <c r="BJ168" s="345"/>
      <c r="BK168" s="345"/>
      <c r="BL168" s="345"/>
      <c r="BM168" s="345"/>
      <c r="BN168" s="345"/>
      <c r="BO168" s="345"/>
      <c r="BP168" s="345"/>
      <c r="BQ168" s="345"/>
      <c r="BR168" s="345"/>
      <c r="BS168" s="345"/>
      <c r="BT168" s="345"/>
      <c r="BU168" s="345"/>
      <c r="BV168" s="345"/>
      <c r="BW168" s="345"/>
      <c r="BX168" s="345"/>
      <c r="BY168" s="345"/>
      <c r="BZ168" s="345"/>
      <c r="CA168" s="345"/>
      <c r="CB168" s="345"/>
      <c r="CC168" s="345"/>
      <c r="CD168" s="345"/>
      <c r="CE168" s="345"/>
      <c r="CF168" s="345"/>
      <c r="CG168" s="345"/>
      <c r="CH168" s="345"/>
      <c r="CI168" s="345"/>
      <c r="CJ168" s="345"/>
      <c r="CK168" s="345"/>
      <c r="CL168" s="345"/>
      <c r="CM168" s="345"/>
      <c r="CN168" s="345"/>
      <c r="CO168" s="345"/>
      <c r="CP168" s="345"/>
      <c r="CQ168" s="345"/>
      <c r="CR168" s="345"/>
      <c r="CS168" s="345"/>
      <c r="CT168" s="345"/>
      <c r="CU168" s="345"/>
      <c r="CV168" s="345"/>
      <c r="CW168" s="345"/>
      <c r="CX168" s="345"/>
      <c r="CY168" s="345"/>
      <c r="CZ168" s="345"/>
      <c r="DA168" s="345"/>
      <c r="DB168" s="345"/>
      <c r="DC168" s="345"/>
      <c r="DD168" s="345"/>
      <c r="DE168" s="345"/>
      <c r="DF168" s="345"/>
      <c r="DG168" s="345"/>
      <c r="DH168" s="345"/>
      <c r="DI168" s="345"/>
      <c r="DJ168" s="345"/>
      <c r="DK168" s="345"/>
      <c r="DL168" s="345"/>
      <c r="DM168" s="345"/>
      <c r="DN168" s="345"/>
      <c r="DO168" s="345"/>
      <c r="DP168" s="345"/>
      <c r="DQ168" s="345"/>
      <c r="DR168" s="345"/>
      <c r="DS168" s="345"/>
      <c r="DT168" s="345"/>
      <c r="DU168" s="345"/>
      <c r="DV168" s="345"/>
      <c r="DW168" s="345"/>
      <c r="DX168" s="345"/>
      <c r="DY168" s="345"/>
      <c r="DZ168" s="345"/>
      <c r="EA168" s="345"/>
    </row>
    <row r="169" spans="1:131" hidden="1">
      <c r="A169" s="345"/>
      <c r="B169" s="345"/>
      <c r="C169" s="345"/>
      <c r="D169" s="345"/>
      <c r="E169" s="345"/>
      <c r="F169" s="345"/>
      <c r="G169" s="345"/>
      <c r="H169" s="345"/>
      <c r="I169" s="345"/>
      <c r="J169" s="345"/>
      <c r="K169" s="345"/>
      <c r="L169" s="345"/>
      <c r="M169" s="345"/>
      <c r="N169" s="345"/>
      <c r="O169" s="345"/>
      <c r="P169" s="345"/>
      <c r="Q169" s="345"/>
      <c r="R169" s="345"/>
      <c r="S169" s="345"/>
      <c r="T169" s="345"/>
      <c r="U169" s="345"/>
      <c r="V169" s="345"/>
      <c r="W169" s="345"/>
      <c r="X169" s="345"/>
      <c r="Y169" s="345"/>
      <c r="Z169" s="345"/>
      <c r="AA169" s="345"/>
      <c r="AB169" s="345"/>
      <c r="AC169" s="345"/>
      <c r="AD169" s="345"/>
      <c r="AE169" s="345"/>
      <c r="AF169" s="345"/>
      <c r="AG169" s="345"/>
      <c r="AH169" s="345"/>
      <c r="AI169" s="345"/>
      <c r="AJ169" s="345"/>
      <c r="AK169" s="345"/>
      <c r="AL169" s="345"/>
      <c r="AM169" s="345"/>
      <c r="AN169" s="345"/>
      <c r="AO169" s="345"/>
      <c r="AP169" s="345"/>
      <c r="AQ169" s="345"/>
      <c r="AR169" s="345"/>
      <c r="AS169" s="345"/>
      <c r="AT169" s="345"/>
      <c r="AU169" s="345"/>
      <c r="AV169" s="345"/>
      <c r="AW169" s="345"/>
      <c r="AX169" s="345"/>
      <c r="AY169" s="345"/>
      <c r="AZ169" s="345"/>
      <c r="BA169" s="345"/>
      <c r="BB169" s="345"/>
      <c r="BC169" s="345"/>
      <c r="BD169" s="345"/>
      <c r="BE169" s="345"/>
      <c r="BF169" s="345"/>
      <c r="BG169" s="345"/>
      <c r="BH169" s="345"/>
      <c r="BI169" s="345"/>
      <c r="BJ169" s="345"/>
      <c r="BK169" s="345"/>
      <c r="BL169" s="345"/>
      <c r="BM169" s="345"/>
      <c r="BN169" s="345"/>
      <c r="BO169" s="345"/>
      <c r="BP169" s="345"/>
      <c r="BQ169" s="345"/>
      <c r="BR169" s="345"/>
      <c r="BS169" s="345"/>
      <c r="BT169" s="345"/>
      <c r="BU169" s="345"/>
      <c r="BV169" s="345"/>
      <c r="BW169" s="345"/>
      <c r="BX169" s="345"/>
      <c r="BY169" s="345"/>
      <c r="BZ169" s="345"/>
      <c r="CA169" s="345"/>
      <c r="CB169" s="345"/>
      <c r="CC169" s="345"/>
      <c r="CD169" s="345"/>
      <c r="CE169" s="345"/>
      <c r="CF169" s="345"/>
      <c r="CG169" s="345"/>
      <c r="CH169" s="345"/>
      <c r="CI169" s="345"/>
      <c r="CJ169" s="345"/>
      <c r="CK169" s="345"/>
      <c r="CL169" s="345"/>
      <c r="CM169" s="345"/>
      <c r="CN169" s="345"/>
      <c r="CO169" s="345"/>
      <c r="CP169" s="345"/>
      <c r="CQ169" s="345"/>
      <c r="CR169" s="345"/>
      <c r="CS169" s="345"/>
      <c r="CT169" s="345"/>
      <c r="CU169" s="345"/>
      <c r="CV169" s="345"/>
      <c r="CW169" s="345"/>
      <c r="CX169" s="345"/>
      <c r="CY169" s="345"/>
      <c r="CZ169" s="345"/>
      <c r="DA169" s="345"/>
      <c r="DB169" s="345"/>
      <c r="DC169" s="345"/>
      <c r="DD169" s="345"/>
      <c r="DE169" s="345"/>
      <c r="DF169" s="345"/>
      <c r="DG169" s="345"/>
      <c r="DH169" s="345"/>
      <c r="DI169" s="345"/>
      <c r="DJ169" s="345"/>
      <c r="DK169" s="345"/>
      <c r="DL169" s="345"/>
      <c r="DM169" s="345"/>
      <c r="DN169" s="345"/>
      <c r="DO169" s="345"/>
      <c r="DP169" s="345"/>
      <c r="DQ169" s="345"/>
      <c r="DR169" s="345"/>
      <c r="DS169" s="345"/>
      <c r="DT169" s="345"/>
      <c r="DU169" s="345"/>
      <c r="DV169" s="345"/>
      <c r="DW169" s="345"/>
      <c r="DX169" s="345"/>
      <c r="DY169" s="345"/>
      <c r="DZ169" s="345"/>
      <c r="EA169" s="345"/>
    </row>
    <row r="170" spans="1:131" hidden="1">
      <c r="A170" s="345"/>
      <c r="B170" s="345"/>
      <c r="C170" s="345"/>
      <c r="D170" s="345"/>
      <c r="E170" s="345"/>
      <c r="F170" s="345"/>
      <c r="G170" s="345"/>
      <c r="H170" s="345"/>
      <c r="I170" s="345"/>
      <c r="J170" s="345"/>
      <c r="K170" s="345"/>
      <c r="L170" s="345"/>
      <c r="M170" s="345"/>
      <c r="N170" s="345"/>
      <c r="O170" s="345"/>
      <c r="P170" s="345"/>
      <c r="Q170" s="345"/>
      <c r="R170" s="345"/>
      <c r="S170" s="345"/>
      <c r="T170" s="345"/>
      <c r="U170" s="345"/>
      <c r="V170" s="345"/>
      <c r="W170" s="345"/>
      <c r="X170" s="345"/>
      <c r="Y170" s="345"/>
      <c r="Z170" s="345"/>
      <c r="AA170" s="345"/>
      <c r="AB170" s="345"/>
      <c r="AC170" s="345"/>
      <c r="AD170" s="345"/>
      <c r="AE170" s="345"/>
      <c r="AF170" s="345"/>
      <c r="AG170" s="345"/>
      <c r="AH170" s="345"/>
      <c r="AI170" s="345"/>
      <c r="AJ170" s="345"/>
      <c r="AK170" s="345"/>
      <c r="AL170" s="345"/>
      <c r="AM170" s="345"/>
      <c r="AN170" s="345"/>
      <c r="AO170" s="345"/>
      <c r="AP170" s="345"/>
      <c r="AQ170" s="345"/>
      <c r="AR170" s="345"/>
      <c r="AS170" s="345"/>
      <c r="AT170" s="345"/>
      <c r="AU170" s="345"/>
      <c r="AV170" s="345"/>
      <c r="AW170" s="345"/>
      <c r="AX170" s="345"/>
      <c r="AY170" s="345"/>
      <c r="AZ170" s="345"/>
      <c r="BA170" s="345"/>
      <c r="BB170" s="345"/>
      <c r="BC170" s="345"/>
      <c r="BD170" s="345"/>
      <c r="BE170" s="345"/>
      <c r="BF170" s="345"/>
      <c r="BG170" s="345"/>
      <c r="BH170" s="345"/>
      <c r="BI170" s="345"/>
      <c r="BJ170" s="345"/>
      <c r="BK170" s="345"/>
      <c r="BL170" s="345"/>
      <c r="BM170" s="345"/>
      <c r="BN170" s="345"/>
      <c r="BO170" s="345"/>
      <c r="BP170" s="345"/>
      <c r="BQ170" s="345"/>
      <c r="BR170" s="345"/>
      <c r="BS170" s="345"/>
      <c r="BT170" s="345"/>
      <c r="BU170" s="345"/>
      <c r="BV170" s="345"/>
      <c r="BW170" s="345"/>
      <c r="BX170" s="345"/>
      <c r="BY170" s="345"/>
      <c r="BZ170" s="345"/>
      <c r="CA170" s="345"/>
      <c r="CB170" s="345"/>
      <c r="CC170" s="345"/>
      <c r="CD170" s="345"/>
      <c r="CE170" s="345"/>
      <c r="CF170" s="345"/>
      <c r="CG170" s="345"/>
      <c r="CH170" s="345"/>
      <c r="CI170" s="345"/>
      <c r="CJ170" s="345"/>
      <c r="CK170" s="345"/>
      <c r="CL170" s="345"/>
      <c r="CM170" s="345"/>
      <c r="CN170" s="345"/>
      <c r="CO170" s="345"/>
      <c r="CP170" s="345"/>
      <c r="CQ170" s="345"/>
      <c r="CR170" s="345"/>
      <c r="CS170" s="345"/>
      <c r="CT170" s="345"/>
      <c r="CU170" s="345"/>
      <c r="CV170" s="345"/>
      <c r="CW170" s="345"/>
      <c r="CX170" s="345"/>
      <c r="CY170" s="345"/>
      <c r="CZ170" s="345"/>
      <c r="DA170" s="345"/>
      <c r="DB170" s="345"/>
      <c r="DC170" s="345"/>
      <c r="DD170" s="345"/>
      <c r="DE170" s="345"/>
      <c r="DF170" s="345"/>
      <c r="DG170" s="345"/>
      <c r="DH170" s="345"/>
      <c r="DI170" s="345"/>
      <c r="DJ170" s="345"/>
      <c r="DK170" s="345"/>
      <c r="DL170" s="345"/>
      <c r="DM170" s="345"/>
      <c r="DN170" s="345"/>
      <c r="DO170" s="345"/>
      <c r="DP170" s="345"/>
      <c r="DQ170" s="345"/>
      <c r="DR170" s="345"/>
      <c r="DS170" s="345"/>
      <c r="DT170" s="345"/>
      <c r="DU170" s="345"/>
      <c r="DV170" s="345"/>
      <c r="DW170" s="345"/>
      <c r="DX170" s="345"/>
      <c r="DY170" s="345"/>
      <c r="DZ170" s="345"/>
      <c r="EA170" s="345"/>
    </row>
    <row r="171" spans="1:131" hidden="1">
      <c r="A171" s="345"/>
      <c r="B171" s="345"/>
      <c r="C171" s="345"/>
      <c r="D171" s="345"/>
      <c r="E171" s="345"/>
      <c r="F171" s="345"/>
      <c r="G171" s="345"/>
      <c r="H171" s="345"/>
      <c r="I171" s="345"/>
      <c r="J171" s="345"/>
      <c r="K171" s="345"/>
      <c r="L171" s="345"/>
      <c r="M171" s="345"/>
      <c r="N171" s="345"/>
      <c r="O171" s="345"/>
      <c r="P171" s="345"/>
      <c r="Q171" s="345"/>
      <c r="R171" s="345"/>
      <c r="S171" s="345"/>
      <c r="T171" s="345"/>
      <c r="U171" s="345"/>
      <c r="V171" s="345"/>
      <c r="W171" s="345"/>
      <c r="X171" s="345"/>
      <c r="Y171" s="345"/>
      <c r="Z171" s="345"/>
      <c r="AA171" s="345"/>
      <c r="AB171" s="345"/>
      <c r="AC171" s="345"/>
      <c r="AD171" s="345"/>
      <c r="AE171" s="345"/>
      <c r="AF171" s="345"/>
      <c r="AG171" s="345"/>
      <c r="AH171" s="345"/>
      <c r="AI171" s="345"/>
      <c r="AJ171" s="345"/>
      <c r="AK171" s="345"/>
      <c r="AL171" s="345"/>
      <c r="AM171" s="345"/>
      <c r="AN171" s="345"/>
      <c r="AO171" s="345"/>
      <c r="AP171" s="345"/>
      <c r="AQ171" s="345"/>
      <c r="AR171" s="345"/>
      <c r="AS171" s="345"/>
      <c r="AT171" s="345"/>
      <c r="AU171" s="345"/>
      <c r="AV171" s="345"/>
      <c r="AW171" s="345"/>
      <c r="AX171" s="345"/>
      <c r="AY171" s="345"/>
      <c r="AZ171" s="345"/>
      <c r="BA171" s="345"/>
      <c r="BB171" s="345"/>
      <c r="BC171" s="345"/>
      <c r="BD171" s="345"/>
      <c r="BE171" s="345"/>
      <c r="BF171" s="345"/>
      <c r="BG171" s="345"/>
      <c r="BH171" s="345"/>
      <c r="BI171" s="345"/>
      <c r="BJ171" s="345"/>
      <c r="BK171" s="345"/>
      <c r="BL171" s="345"/>
      <c r="BM171" s="345"/>
      <c r="BN171" s="345"/>
      <c r="BO171" s="345"/>
      <c r="BP171" s="345"/>
      <c r="BQ171" s="345"/>
      <c r="BR171" s="345"/>
      <c r="BS171" s="345"/>
      <c r="BT171" s="345"/>
      <c r="BU171" s="345"/>
      <c r="BV171" s="345"/>
      <c r="BW171" s="345"/>
      <c r="BX171" s="345"/>
      <c r="BY171" s="345"/>
      <c r="BZ171" s="345"/>
      <c r="CA171" s="345"/>
      <c r="CB171" s="345"/>
      <c r="CC171" s="345"/>
      <c r="CD171" s="345"/>
      <c r="CE171" s="345"/>
      <c r="CF171" s="345"/>
      <c r="CG171" s="345"/>
      <c r="CH171" s="345"/>
      <c r="CI171" s="345"/>
      <c r="CJ171" s="345"/>
      <c r="CK171" s="345"/>
      <c r="CL171" s="345"/>
      <c r="CM171" s="345"/>
      <c r="CN171" s="345"/>
      <c r="CO171" s="345"/>
      <c r="CP171" s="345"/>
      <c r="CQ171" s="345"/>
      <c r="CR171" s="345"/>
      <c r="CS171" s="345"/>
      <c r="CT171" s="345"/>
      <c r="CU171" s="345"/>
      <c r="CV171" s="345"/>
      <c r="CW171" s="345"/>
      <c r="CX171" s="345"/>
      <c r="CY171" s="345"/>
      <c r="CZ171" s="345"/>
      <c r="DA171" s="345"/>
      <c r="DB171" s="345"/>
      <c r="DC171" s="345"/>
      <c r="DD171" s="345"/>
      <c r="DE171" s="345"/>
      <c r="DF171" s="345"/>
      <c r="DG171" s="345"/>
      <c r="DH171" s="345"/>
      <c r="DI171" s="345"/>
      <c r="DJ171" s="345"/>
      <c r="DK171" s="345"/>
      <c r="DL171" s="345"/>
      <c r="DM171" s="345"/>
      <c r="DN171" s="345"/>
      <c r="DO171" s="345"/>
      <c r="DP171" s="345"/>
      <c r="DQ171" s="345"/>
      <c r="DR171" s="345"/>
      <c r="DS171" s="345"/>
      <c r="DT171" s="345"/>
      <c r="DU171" s="345"/>
      <c r="DV171" s="345"/>
      <c r="DW171" s="345"/>
      <c r="DX171" s="345"/>
      <c r="DY171" s="345"/>
      <c r="DZ171" s="345"/>
      <c r="EA171" s="345"/>
    </row>
    <row r="172" spans="1:131" hidden="1">
      <c r="A172" s="345"/>
      <c r="B172" s="345"/>
      <c r="C172" s="345"/>
      <c r="D172" s="345"/>
      <c r="E172" s="345"/>
      <c r="F172" s="345"/>
      <c r="G172" s="345"/>
      <c r="H172" s="345"/>
      <c r="I172" s="345"/>
      <c r="J172" s="345"/>
      <c r="K172" s="345"/>
      <c r="L172" s="345"/>
      <c r="M172" s="345"/>
      <c r="N172" s="345"/>
      <c r="O172" s="345"/>
      <c r="P172" s="345"/>
      <c r="Q172" s="345"/>
      <c r="R172" s="345"/>
      <c r="S172" s="345"/>
      <c r="T172" s="345"/>
      <c r="U172" s="345"/>
      <c r="V172" s="345"/>
      <c r="W172" s="345"/>
      <c r="X172" s="345"/>
      <c r="Y172" s="345"/>
      <c r="Z172" s="345"/>
      <c r="AA172" s="345"/>
      <c r="AB172" s="345"/>
      <c r="AC172" s="345"/>
      <c r="AD172" s="345"/>
      <c r="AE172" s="345"/>
      <c r="AF172" s="345"/>
      <c r="AG172" s="345"/>
      <c r="AH172" s="345"/>
      <c r="AI172" s="345"/>
      <c r="AJ172" s="345"/>
      <c r="AK172" s="345"/>
      <c r="AL172" s="345"/>
      <c r="AM172" s="345"/>
      <c r="AN172" s="345"/>
      <c r="AO172" s="345"/>
      <c r="AP172" s="345"/>
      <c r="AQ172" s="345"/>
      <c r="AR172" s="345"/>
      <c r="AS172" s="345"/>
      <c r="AT172" s="345"/>
      <c r="AU172" s="345"/>
      <c r="AV172" s="345"/>
      <c r="AW172" s="345"/>
      <c r="AX172" s="345"/>
      <c r="AY172" s="345"/>
      <c r="AZ172" s="345"/>
      <c r="BA172" s="345"/>
      <c r="BB172" s="345"/>
      <c r="BC172" s="345"/>
      <c r="BD172" s="345"/>
      <c r="BE172" s="345"/>
      <c r="BF172" s="345"/>
      <c r="BG172" s="345"/>
      <c r="BH172" s="345"/>
      <c r="BI172" s="345"/>
      <c r="BJ172" s="345"/>
      <c r="BK172" s="345"/>
      <c r="BL172" s="345"/>
      <c r="BM172" s="345"/>
      <c r="BN172" s="345"/>
      <c r="BO172" s="345"/>
      <c r="BP172" s="345"/>
      <c r="BQ172" s="345"/>
      <c r="BR172" s="345"/>
      <c r="BS172" s="345"/>
      <c r="BT172" s="345"/>
      <c r="BU172" s="345"/>
      <c r="BV172" s="345"/>
      <c r="BW172" s="345"/>
      <c r="BX172" s="345"/>
      <c r="BY172" s="345"/>
      <c r="BZ172" s="345"/>
      <c r="CA172" s="345"/>
      <c r="CB172" s="345"/>
      <c r="CC172" s="345"/>
      <c r="CD172" s="345"/>
      <c r="CE172" s="345"/>
      <c r="CF172" s="345"/>
      <c r="CG172" s="345"/>
      <c r="CH172" s="345"/>
      <c r="CI172" s="345"/>
      <c r="CJ172" s="345"/>
      <c r="CK172" s="345"/>
      <c r="CL172" s="345"/>
      <c r="CM172" s="345"/>
      <c r="CN172" s="345"/>
      <c r="CO172" s="345"/>
      <c r="CP172" s="345"/>
      <c r="CQ172" s="345"/>
      <c r="CR172" s="345"/>
      <c r="CS172" s="345"/>
      <c r="CT172" s="345"/>
      <c r="CU172" s="345"/>
      <c r="CV172" s="345"/>
      <c r="CW172" s="345"/>
      <c r="CX172" s="345"/>
      <c r="CY172" s="345"/>
      <c r="CZ172" s="345"/>
      <c r="DA172" s="345"/>
      <c r="DB172" s="345"/>
      <c r="DC172" s="345"/>
      <c r="DD172" s="345"/>
      <c r="DE172" s="345"/>
      <c r="DF172" s="345"/>
      <c r="DG172" s="345"/>
      <c r="DH172" s="345"/>
      <c r="DI172" s="345"/>
      <c r="DJ172" s="345"/>
      <c r="DK172" s="345"/>
      <c r="DL172" s="345"/>
      <c r="DM172" s="345"/>
      <c r="DN172" s="345"/>
      <c r="DO172" s="345"/>
      <c r="DP172" s="345"/>
      <c r="DQ172" s="345"/>
      <c r="DR172" s="345"/>
      <c r="DS172" s="345"/>
      <c r="DT172" s="345"/>
      <c r="DU172" s="345"/>
      <c r="DV172" s="345"/>
      <c r="DW172" s="345"/>
      <c r="DX172" s="345"/>
      <c r="DY172" s="345"/>
      <c r="DZ172" s="345"/>
      <c r="EA172" s="345"/>
    </row>
    <row r="173" spans="1:131" hidden="1">
      <c r="A173" s="345"/>
      <c r="B173" s="345"/>
      <c r="C173" s="345"/>
      <c r="D173" s="345"/>
      <c r="E173" s="345"/>
      <c r="F173" s="345"/>
      <c r="G173" s="345"/>
      <c r="H173" s="345"/>
      <c r="I173" s="345"/>
      <c r="J173" s="345"/>
      <c r="K173" s="345"/>
      <c r="L173" s="345"/>
      <c r="M173" s="345"/>
      <c r="N173" s="345"/>
      <c r="O173" s="345"/>
      <c r="P173" s="345"/>
      <c r="Q173" s="345"/>
      <c r="R173" s="345"/>
      <c r="S173" s="345"/>
      <c r="T173" s="345"/>
      <c r="U173" s="345"/>
      <c r="V173" s="345"/>
      <c r="W173" s="345"/>
      <c r="X173" s="345"/>
      <c r="Y173" s="345"/>
      <c r="Z173" s="345"/>
      <c r="AA173" s="345"/>
      <c r="AB173" s="345"/>
      <c r="AC173" s="345"/>
      <c r="AD173" s="345"/>
      <c r="AE173" s="345"/>
      <c r="AF173" s="345"/>
      <c r="AG173" s="345"/>
      <c r="AH173" s="345"/>
      <c r="AI173" s="345"/>
      <c r="AJ173" s="345"/>
      <c r="AK173" s="345"/>
      <c r="AL173" s="345"/>
      <c r="AM173" s="345"/>
      <c r="AN173" s="345"/>
      <c r="AO173" s="345"/>
      <c r="AP173" s="345"/>
      <c r="AQ173" s="345"/>
      <c r="AR173" s="345"/>
      <c r="AS173" s="345"/>
      <c r="AT173" s="345"/>
      <c r="AU173" s="345"/>
      <c r="AV173" s="345"/>
      <c r="AW173" s="345"/>
      <c r="AX173" s="345"/>
      <c r="AY173" s="345"/>
      <c r="AZ173" s="345"/>
      <c r="BA173" s="345"/>
      <c r="BB173" s="345"/>
      <c r="BC173" s="345"/>
      <c r="BD173" s="345"/>
      <c r="BE173" s="345"/>
      <c r="BF173" s="345"/>
      <c r="BG173" s="345"/>
      <c r="BH173" s="345"/>
      <c r="BI173" s="345"/>
      <c r="BJ173" s="345"/>
      <c r="BK173" s="345"/>
      <c r="BL173" s="345"/>
      <c r="BM173" s="345"/>
      <c r="BN173" s="345"/>
      <c r="BO173" s="345"/>
      <c r="BP173" s="345"/>
      <c r="BQ173" s="345"/>
      <c r="BR173" s="345"/>
      <c r="BS173" s="345"/>
      <c r="BT173" s="345"/>
      <c r="BU173" s="345"/>
      <c r="BV173" s="345"/>
      <c r="BW173" s="345"/>
      <c r="BX173" s="345"/>
      <c r="BY173" s="345"/>
      <c r="BZ173" s="345"/>
      <c r="CA173" s="345"/>
      <c r="CB173" s="345"/>
      <c r="CC173" s="345"/>
      <c r="CD173" s="345"/>
      <c r="CE173" s="345"/>
      <c r="CF173" s="345"/>
      <c r="CG173" s="345"/>
      <c r="CH173" s="345"/>
      <c r="CI173" s="345"/>
      <c r="CJ173" s="345"/>
      <c r="CK173" s="345"/>
      <c r="CL173" s="345"/>
      <c r="CM173" s="345"/>
      <c r="CN173" s="345"/>
      <c r="CO173" s="345"/>
      <c r="CP173" s="345"/>
      <c r="CQ173" s="345"/>
      <c r="CR173" s="345"/>
      <c r="CS173" s="345"/>
      <c r="CT173" s="345"/>
      <c r="CU173" s="345"/>
      <c r="CV173" s="345"/>
      <c r="CW173" s="345"/>
      <c r="CX173" s="345"/>
      <c r="CY173" s="345"/>
      <c r="CZ173" s="345"/>
      <c r="DA173" s="345"/>
      <c r="DB173" s="345"/>
      <c r="DC173" s="345"/>
      <c r="DD173" s="345"/>
      <c r="DE173" s="345"/>
      <c r="DF173" s="345"/>
      <c r="DG173" s="345"/>
      <c r="DH173" s="345"/>
      <c r="DI173" s="345"/>
      <c r="DJ173" s="345"/>
      <c r="DK173" s="345"/>
      <c r="DL173" s="345"/>
      <c r="DM173" s="345"/>
      <c r="DN173" s="345"/>
      <c r="DO173" s="345"/>
      <c r="DP173" s="345"/>
      <c r="DQ173" s="345"/>
      <c r="DR173" s="345"/>
      <c r="DS173" s="345"/>
      <c r="DT173" s="345"/>
      <c r="DU173" s="345"/>
      <c r="DV173" s="345"/>
      <c r="DW173" s="345"/>
      <c r="DX173" s="345"/>
      <c r="DY173" s="345"/>
      <c r="DZ173" s="345"/>
      <c r="EA173" s="345"/>
    </row>
    <row r="174" spans="1:131" hidden="1">
      <c r="A174" s="345"/>
      <c r="B174" s="345"/>
      <c r="C174" s="345"/>
      <c r="D174" s="345"/>
      <c r="E174" s="345"/>
      <c r="F174" s="345"/>
      <c r="G174" s="345"/>
      <c r="H174" s="345"/>
      <c r="I174" s="345"/>
      <c r="J174" s="345"/>
      <c r="K174" s="345"/>
      <c r="L174" s="345"/>
      <c r="M174" s="345"/>
      <c r="N174" s="345"/>
      <c r="O174" s="345"/>
      <c r="P174" s="345"/>
      <c r="Q174" s="345"/>
      <c r="R174" s="345"/>
      <c r="S174" s="345"/>
      <c r="T174" s="345"/>
      <c r="U174" s="345"/>
      <c r="V174" s="345"/>
      <c r="W174" s="345"/>
      <c r="X174" s="345"/>
      <c r="Y174" s="345"/>
      <c r="Z174" s="345"/>
      <c r="AA174" s="345"/>
      <c r="AB174" s="345"/>
      <c r="AC174" s="345"/>
      <c r="AD174" s="345"/>
      <c r="AE174" s="345"/>
      <c r="AF174" s="345"/>
      <c r="AG174" s="345"/>
      <c r="AH174" s="345"/>
      <c r="AI174" s="345"/>
      <c r="AJ174" s="345"/>
      <c r="AK174" s="345"/>
      <c r="AL174" s="345"/>
      <c r="AM174" s="345"/>
      <c r="AN174" s="345"/>
      <c r="AO174" s="345"/>
      <c r="AP174" s="345"/>
      <c r="AQ174" s="345"/>
      <c r="AR174" s="345"/>
      <c r="AS174" s="345"/>
      <c r="AT174" s="345"/>
      <c r="AU174" s="345"/>
      <c r="AV174" s="345"/>
      <c r="AW174" s="345"/>
      <c r="AX174" s="345"/>
      <c r="AY174" s="345"/>
      <c r="AZ174" s="345"/>
      <c r="BA174" s="345"/>
      <c r="BB174" s="345"/>
      <c r="BC174" s="345"/>
      <c r="BD174" s="345"/>
      <c r="BE174" s="345"/>
      <c r="BF174" s="345"/>
      <c r="BG174" s="345"/>
      <c r="BH174" s="345"/>
      <c r="BI174" s="345"/>
      <c r="BJ174" s="345"/>
      <c r="BK174" s="345"/>
      <c r="BL174" s="345"/>
      <c r="BM174" s="345"/>
      <c r="BN174" s="345"/>
      <c r="BO174" s="345"/>
      <c r="BP174" s="345"/>
      <c r="BQ174" s="345"/>
      <c r="BR174" s="345"/>
      <c r="BS174" s="345"/>
      <c r="BT174" s="345"/>
      <c r="BU174" s="345"/>
      <c r="BV174" s="345"/>
      <c r="BW174" s="345"/>
      <c r="BX174" s="345"/>
      <c r="BY174" s="345"/>
      <c r="BZ174" s="345"/>
      <c r="CA174" s="345"/>
      <c r="CB174" s="345"/>
      <c r="CC174" s="345"/>
      <c r="CD174" s="345"/>
      <c r="CE174" s="345"/>
      <c r="CF174" s="345"/>
      <c r="CG174" s="345"/>
      <c r="CH174" s="345"/>
      <c r="CI174" s="345"/>
      <c r="CJ174" s="345"/>
      <c r="CK174" s="345"/>
      <c r="CL174" s="345"/>
      <c r="CM174" s="345"/>
      <c r="CN174" s="345"/>
      <c r="CO174" s="345"/>
      <c r="CP174" s="345"/>
      <c r="CQ174" s="345"/>
      <c r="CR174" s="345"/>
      <c r="CS174" s="345"/>
      <c r="CT174" s="345"/>
      <c r="CU174" s="345"/>
      <c r="CV174" s="345"/>
      <c r="CW174" s="345"/>
      <c r="CX174" s="345"/>
      <c r="CY174" s="345"/>
      <c r="CZ174" s="345"/>
      <c r="DA174" s="345"/>
      <c r="DB174" s="345"/>
      <c r="DC174" s="345"/>
      <c r="DD174" s="345"/>
      <c r="DE174" s="345"/>
      <c r="DF174" s="345"/>
      <c r="DG174" s="345"/>
      <c r="DH174" s="345"/>
      <c r="DI174" s="345"/>
      <c r="DJ174" s="345"/>
      <c r="DK174" s="345"/>
      <c r="DL174" s="345"/>
      <c r="DM174" s="345"/>
      <c r="DN174" s="345"/>
      <c r="DO174" s="345"/>
      <c r="DP174" s="345"/>
      <c r="DQ174" s="345"/>
      <c r="DR174" s="345"/>
      <c r="DS174" s="345"/>
      <c r="DT174" s="345"/>
      <c r="DU174" s="345"/>
      <c r="DV174" s="345"/>
      <c r="DW174" s="345"/>
      <c r="DX174" s="345"/>
      <c r="DY174" s="345"/>
      <c r="DZ174" s="345"/>
      <c r="EA174" s="345"/>
    </row>
    <row r="175" spans="1:131" hidden="1">
      <c r="A175" s="345"/>
      <c r="B175" s="345"/>
      <c r="C175" s="345"/>
      <c r="D175" s="345"/>
      <c r="E175" s="345"/>
      <c r="F175" s="345"/>
      <c r="G175" s="345"/>
      <c r="H175" s="345"/>
      <c r="I175" s="345"/>
      <c r="J175" s="345"/>
      <c r="K175" s="345"/>
      <c r="L175" s="345"/>
      <c r="M175" s="345"/>
      <c r="N175" s="345"/>
      <c r="O175" s="345"/>
      <c r="P175" s="345"/>
      <c r="Q175" s="345"/>
      <c r="R175" s="345"/>
      <c r="S175" s="345"/>
      <c r="T175" s="345"/>
      <c r="U175" s="345"/>
      <c r="V175" s="345"/>
      <c r="W175" s="345"/>
      <c r="X175" s="345"/>
      <c r="Y175" s="345"/>
      <c r="Z175" s="345"/>
      <c r="AA175" s="345"/>
      <c r="AB175" s="345"/>
      <c r="AC175" s="345"/>
      <c r="AD175" s="345"/>
      <c r="AE175" s="345"/>
      <c r="AF175" s="345"/>
      <c r="AG175" s="345"/>
      <c r="AH175" s="345"/>
      <c r="AI175" s="345"/>
      <c r="AJ175" s="345"/>
      <c r="AK175" s="345"/>
      <c r="AL175" s="345"/>
      <c r="AM175" s="345"/>
      <c r="AN175" s="345"/>
      <c r="AO175" s="345"/>
      <c r="AP175" s="345"/>
      <c r="AQ175" s="345"/>
      <c r="AR175" s="345"/>
      <c r="AS175" s="345"/>
      <c r="AT175" s="345"/>
      <c r="AU175" s="345"/>
      <c r="AV175" s="345"/>
      <c r="AW175" s="345"/>
      <c r="AX175" s="345"/>
      <c r="AY175" s="345"/>
      <c r="AZ175" s="345"/>
      <c r="BA175" s="345"/>
      <c r="BB175" s="345"/>
      <c r="BC175" s="345"/>
      <c r="BD175" s="345"/>
      <c r="BE175" s="345"/>
      <c r="BF175" s="345"/>
      <c r="BG175" s="345"/>
      <c r="BH175" s="345"/>
      <c r="BI175" s="345"/>
      <c r="BJ175" s="345"/>
      <c r="BK175" s="345"/>
      <c r="BL175" s="345"/>
      <c r="BM175" s="345"/>
      <c r="BN175" s="345"/>
      <c r="BO175" s="345"/>
      <c r="BP175" s="345"/>
      <c r="BQ175" s="345"/>
      <c r="BR175" s="345"/>
      <c r="BS175" s="345"/>
      <c r="BT175" s="345"/>
      <c r="BU175" s="345"/>
      <c r="BV175" s="345"/>
      <c r="BW175" s="345"/>
      <c r="BX175" s="345"/>
      <c r="BY175" s="345"/>
      <c r="BZ175" s="345"/>
      <c r="CA175" s="345"/>
      <c r="CB175" s="345"/>
      <c r="CC175" s="345"/>
      <c r="CD175" s="345"/>
      <c r="CE175" s="345"/>
      <c r="CF175" s="345"/>
      <c r="CG175" s="345"/>
      <c r="CH175" s="345"/>
      <c r="CI175" s="345"/>
      <c r="CJ175" s="345"/>
      <c r="CK175" s="345"/>
      <c r="CL175" s="345"/>
      <c r="CM175" s="345"/>
      <c r="CN175" s="345"/>
      <c r="CO175" s="345"/>
      <c r="CP175" s="345"/>
      <c r="CQ175" s="345"/>
      <c r="CR175" s="345"/>
      <c r="CS175" s="345"/>
      <c r="CT175" s="345"/>
      <c r="CU175" s="345"/>
      <c r="CV175" s="345"/>
      <c r="CW175" s="345"/>
      <c r="CX175" s="345"/>
      <c r="CY175" s="345"/>
      <c r="CZ175" s="345"/>
      <c r="DA175" s="345"/>
      <c r="DB175" s="345"/>
      <c r="DC175" s="345"/>
      <c r="DD175" s="345"/>
      <c r="DE175" s="345"/>
      <c r="DF175" s="345"/>
      <c r="DG175" s="345"/>
      <c r="DH175" s="345"/>
      <c r="DI175" s="345"/>
      <c r="DJ175" s="345"/>
      <c r="DK175" s="345"/>
      <c r="DL175" s="345"/>
      <c r="DM175" s="345"/>
      <c r="DN175" s="345"/>
      <c r="DO175" s="345"/>
      <c r="DP175" s="345"/>
      <c r="DQ175" s="345"/>
      <c r="DR175" s="345"/>
      <c r="DS175" s="345"/>
      <c r="DT175" s="345"/>
      <c r="DU175" s="345"/>
      <c r="DV175" s="345"/>
      <c r="DW175" s="345"/>
      <c r="DX175" s="345"/>
      <c r="DY175" s="345"/>
      <c r="DZ175" s="345"/>
      <c r="EA175" s="345"/>
    </row>
    <row r="176" spans="1:131" hidden="1">
      <c r="A176" s="345"/>
      <c r="B176" s="345"/>
      <c r="C176" s="345"/>
      <c r="D176" s="345"/>
      <c r="E176" s="345"/>
      <c r="F176" s="345"/>
      <c r="G176" s="345"/>
      <c r="H176" s="345"/>
      <c r="I176" s="345"/>
      <c r="J176" s="345"/>
      <c r="K176" s="345"/>
      <c r="L176" s="345"/>
      <c r="M176" s="345"/>
      <c r="N176" s="345"/>
      <c r="O176" s="345"/>
      <c r="P176" s="345"/>
      <c r="Q176" s="345"/>
      <c r="R176" s="345"/>
      <c r="S176" s="345"/>
      <c r="T176" s="345"/>
      <c r="U176" s="345"/>
      <c r="V176" s="345"/>
      <c r="W176" s="345"/>
      <c r="X176" s="345"/>
      <c r="Y176" s="345"/>
      <c r="Z176" s="345"/>
      <c r="AA176" s="345"/>
      <c r="AB176" s="345"/>
      <c r="AC176" s="345"/>
      <c r="AD176" s="345"/>
      <c r="AE176" s="345"/>
      <c r="AF176" s="345"/>
      <c r="AG176" s="345"/>
      <c r="AH176" s="345"/>
      <c r="AI176" s="345"/>
      <c r="AJ176" s="345"/>
      <c r="AK176" s="345"/>
      <c r="AL176" s="345"/>
      <c r="AM176" s="345"/>
      <c r="AN176" s="345"/>
      <c r="AO176" s="345"/>
      <c r="AP176" s="345"/>
      <c r="AQ176" s="345"/>
      <c r="AR176" s="345"/>
      <c r="AS176" s="345"/>
      <c r="AT176" s="345"/>
      <c r="AU176" s="345"/>
      <c r="AV176" s="345"/>
      <c r="AW176" s="345"/>
      <c r="AX176" s="345"/>
      <c r="AY176" s="345"/>
      <c r="AZ176" s="345"/>
      <c r="BA176" s="345"/>
      <c r="BB176" s="345"/>
      <c r="BC176" s="345"/>
      <c r="BD176" s="345"/>
      <c r="BE176" s="345"/>
      <c r="BF176" s="345"/>
      <c r="BG176" s="345"/>
      <c r="BH176" s="345"/>
      <c r="BI176" s="345"/>
      <c r="BJ176" s="345"/>
      <c r="BK176" s="345"/>
      <c r="BL176" s="345"/>
      <c r="BM176" s="345"/>
      <c r="BN176" s="345"/>
      <c r="BO176" s="345"/>
      <c r="BP176" s="345"/>
      <c r="BQ176" s="345"/>
      <c r="BR176" s="345"/>
      <c r="BS176" s="345"/>
      <c r="BT176" s="345"/>
      <c r="BU176" s="345"/>
      <c r="BV176" s="345"/>
      <c r="BW176" s="345"/>
      <c r="BX176" s="345"/>
      <c r="BY176" s="345"/>
      <c r="BZ176" s="345"/>
      <c r="CA176" s="345"/>
      <c r="CB176" s="345"/>
      <c r="CC176" s="345"/>
      <c r="CD176" s="345"/>
      <c r="CE176" s="345"/>
      <c r="CF176" s="345"/>
      <c r="CG176" s="345"/>
      <c r="CH176" s="345"/>
      <c r="CI176" s="345"/>
      <c r="CJ176" s="345"/>
      <c r="CK176" s="345"/>
      <c r="CL176" s="345"/>
      <c r="CM176" s="345"/>
      <c r="CN176" s="345"/>
      <c r="CO176" s="345"/>
      <c r="CP176" s="345"/>
      <c r="CQ176" s="345"/>
      <c r="CR176" s="345"/>
      <c r="CS176" s="345"/>
      <c r="CT176" s="345"/>
      <c r="CU176" s="345"/>
      <c r="CV176" s="345"/>
      <c r="CW176" s="345"/>
      <c r="CX176" s="345"/>
      <c r="CY176" s="345"/>
      <c r="CZ176" s="345"/>
      <c r="DA176" s="345"/>
      <c r="DB176" s="345"/>
      <c r="DC176" s="345"/>
      <c r="DD176" s="345"/>
      <c r="DE176" s="345"/>
      <c r="DF176" s="345"/>
      <c r="DG176" s="345"/>
      <c r="DH176" s="345"/>
      <c r="DI176" s="345"/>
      <c r="DJ176" s="345"/>
      <c r="DK176" s="345"/>
      <c r="DL176" s="345"/>
      <c r="DM176" s="345"/>
      <c r="DN176" s="345"/>
      <c r="DO176" s="345"/>
      <c r="DP176" s="345"/>
      <c r="DQ176" s="345"/>
      <c r="DR176" s="345"/>
      <c r="DS176" s="345"/>
      <c r="DT176" s="345"/>
      <c r="DU176" s="345"/>
      <c r="DV176" s="345"/>
      <c r="DW176" s="345"/>
      <c r="DX176" s="345"/>
      <c r="DY176" s="345"/>
      <c r="DZ176" s="345"/>
      <c r="EA176" s="345"/>
    </row>
    <row r="177" spans="1:131" hidden="1">
      <c r="A177" s="345"/>
      <c r="B177" s="345"/>
      <c r="C177" s="345"/>
      <c r="D177" s="345"/>
      <c r="E177" s="345"/>
      <c r="F177" s="345"/>
      <c r="G177" s="345"/>
      <c r="H177" s="345"/>
      <c r="I177" s="345"/>
      <c r="J177" s="345"/>
      <c r="K177" s="345"/>
      <c r="L177" s="345"/>
      <c r="M177" s="345"/>
      <c r="N177" s="345"/>
      <c r="O177" s="345"/>
      <c r="P177" s="345"/>
      <c r="Q177" s="345"/>
      <c r="R177" s="345"/>
      <c r="S177" s="345"/>
      <c r="T177" s="345"/>
      <c r="U177" s="345"/>
      <c r="V177" s="345"/>
      <c r="W177" s="345"/>
      <c r="X177" s="345"/>
      <c r="Y177" s="345"/>
      <c r="Z177" s="345"/>
      <c r="AA177" s="345"/>
      <c r="AB177" s="345"/>
      <c r="AC177" s="345"/>
      <c r="AD177" s="345"/>
      <c r="AE177" s="345"/>
      <c r="AF177" s="345"/>
      <c r="AG177" s="345"/>
      <c r="AH177" s="345"/>
      <c r="AI177" s="345"/>
      <c r="AJ177" s="345"/>
      <c r="AK177" s="345"/>
      <c r="AL177" s="345"/>
      <c r="AM177" s="345"/>
      <c r="AN177" s="345"/>
      <c r="AO177" s="345"/>
      <c r="AP177" s="345"/>
      <c r="AQ177" s="345"/>
      <c r="AR177" s="345"/>
      <c r="AS177" s="345"/>
      <c r="AT177" s="345"/>
      <c r="AU177" s="345"/>
      <c r="AV177" s="345"/>
      <c r="AW177" s="345"/>
      <c r="AX177" s="345"/>
      <c r="AY177" s="345"/>
      <c r="AZ177" s="345"/>
      <c r="BA177" s="345"/>
      <c r="BB177" s="345"/>
      <c r="BC177" s="345"/>
      <c r="BD177" s="345"/>
      <c r="BE177" s="345"/>
      <c r="BF177" s="345"/>
      <c r="BG177" s="345"/>
      <c r="BH177" s="345"/>
      <c r="BI177" s="345"/>
      <c r="BJ177" s="345"/>
      <c r="BK177" s="345"/>
      <c r="BL177" s="345"/>
      <c r="BM177" s="345"/>
      <c r="BN177" s="345"/>
      <c r="BO177" s="345"/>
      <c r="BP177" s="345"/>
      <c r="BQ177" s="345"/>
      <c r="BR177" s="345"/>
      <c r="BS177" s="345"/>
      <c r="BT177" s="345"/>
      <c r="BU177" s="345"/>
      <c r="BV177" s="345"/>
      <c r="BW177" s="345"/>
      <c r="BX177" s="345"/>
      <c r="BY177" s="345"/>
      <c r="BZ177" s="345"/>
      <c r="CA177" s="345"/>
      <c r="CB177" s="345"/>
      <c r="CC177" s="345"/>
      <c r="CD177" s="345"/>
      <c r="CE177" s="345"/>
      <c r="CF177" s="345"/>
      <c r="CG177" s="345"/>
      <c r="CH177" s="345"/>
      <c r="CI177" s="345"/>
      <c r="CJ177" s="345"/>
      <c r="CK177" s="345"/>
      <c r="CL177" s="345"/>
      <c r="CM177" s="345"/>
      <c r="CN177" s="345"/>
      <c r="CO177" s="345"/>
      <c r="CP177" s="345"/>
      <c r="CQ177" s="345"/>
      <c r="CR177" s="345"/>
      <c r="CS177" s="345"/>
      <c r="CT177" s="345"/>
      <c r="CU177" s="345"/>
      <c r="CV177" s="345"/>
      <c r="CW177" s="345"/>
      <c r="CX177" s="345"/>
      <c r="CY177" s="345"/>
      <c r="CZ177" s="345"/>
      <c r="DA177" s="345"/>
      <c r="DB177" s="345"/>
      <c r="DC177" s="345"/>
      <c r="DD177" s="345"/>
      <c r="DE177" s="345"/>
      <c r="DF177" s="345"/>
      <c r="DG177" s="345"/>
      <c r="DH177" s="345"/>
      <c r="DI177" s="345"/>
      <c r="DJ177" s="345"/>
      <c r="DK177" s="345"/>
      <c r="DL177" s="345"/>
      <c r="DM177" s="345"/>
      <c r="DN177" s="345"/>
      <c r="DO177" s="345"/>
      <c r="DP177" s="345"/>
      <c r="DQ177" s="345"/>
      <c r="DR177" s="345"/>
      <c r="DS177" s="345"/>
      <c r="DT177" s="345"/>
      <c r="DU177" s="345"/>
      <c r="DV177" s="345"/>
      <c r="DW177" s="345"/>
      <c r="DX177" s="345"/>
      <c r="DY177" s="345"/>
      <c r="DZ177" s="345"/>
      <c r="EA177" s="345"/>
    </row>
    <row r="178" spans="1:131" hidden="1">
      <c r="A178" s="345"/>
      <c r="B178" s="345"/>
      <c r="C178" s="345"/>
      <c r="D178" s="345"/>
      <c r="E178" s="345"/>
      <c r="F178" s="345"/>
      <c r="G178" s="345"/>
      <c r="H178" s="345"/>
      <c r="I178" s="345"/>
      <c r="J178" s="345"/>
      <c r="K178" s="345"/>
      <c r="L178" s="345"/>
      <c r="M178" s="345"/>
      <c r="N178" s="345"/>
      <c r="O178" s="345"/>
      <c r="P178" s="345"/>
      <c r="Q178" s="345"/>
      <c r="R178" s="345"/>
      <c r="S178" s="345"/>
      <c r="T178" s="345"/>
      <c r="U178" s="345"/>
      <c r="V178" s="345"/>
      <c r="W178" s="345"/>
      <c r="X178" s="345"/>
      <c r="Y178" s="345"/>
      <c r="Z178" s="345"/>
      <c r="AA178" s="345"/>
      <c r="AB178" s="345"/>
      <c r="AC178" s="345"/>
      <c r="AD178" s="345"/>
      <c r="AE178" s="345"/>
      <c r="AF178" s="345"/>
      <c r="AG178" s="345"/>
      <c r="AH178" s="345"/>
      <c r="AI178" s="345"/>
      <c r="AJ178" s="345"/>
      <c r="AK178" s="345"/>
      <c r="AL178" s="345"/>
      <c r="AM178" s="345"/>
      <c r="AN178" s="345"/>
      <c r="AO178" s="345"/>
      <c r="AP178" s="345"/>
      <c r="AQ178" s="345"/>
      <c r="AR178" s="345"/>
      <c r="AS178" s="345"/>
      <c r="AT178" s="345"/>
      <c r="AU178" s="345"/>
      <c r="AV178" s="345"/>
      <c r="AW178" s="345"/>
      <c r="AX178" s="345"/>
      <c r="AY178" s="345"/>
      <c r="AZ178" s="345"/>
      <c r="BA178" s="345"/>
      <c r="BB178" s="345"/>
      <c r="BC178" s="345"/>
      <c r="BD178" s="345"/>
      <c r="BE178" s="345"/>
      <c r="BF178" s="345"/>
      <c r="BG178" s="345"/>
      <c r="BH178" s="345"/>
      <c r="BI178" s="345"/>
      <c r="BJ178" s="345"/>
      <c r="BK178" s="345"/>
      <c r="BL178" s="345"/>
      <c r="BM178" s="345"/>
      <c r="BN178" s="345"/>
      <c r="BO178" s="345"/>
      <c r="BP178" s="345"/>
      <c r="BQ178" s="345"/>
      <c r="BR178" s="345"/>
      <c r="BS178" s="345"/>
      <c r="BT178" s="345"/>
      <c r="BU178" s="345"/>
      <c r="BV178" s="345"/>
      <c r="BW178" s="345"/>
      <c r="BX178" s="345"/>
      <c r="BY178" s="345"/>
      <c r="BZ178" s="345"/>
      <c r="CA178" s="345"/>
      <c r="CB178" s="345"/>
      <c r="CC178" s="345"/>
      <c r="CD178" s="345"/>
      <c r="CE178" s="345"/>
      <c r="CF178" s="345"/>
      <c r="CG178" s="345"/>
      <c r="CH178" s="345"/>
      <c r="CI178" s="345"/>
      <c r="CJ178" s="345"/>
      <c r="CK178" s="345"/>
      <c r="CL178" s="345"/>
      <c r="CM178" s="345"/>
      <c r="CN178" s="345"/>
      <c r="CO178" s="345"/>
      <c r="CP178" s="345"/>
      <c r="CQ178" s="345"/>
      <c r="CR178" s="345"/>
      <c r="CS178" s="345"/>
      <c r="CT178" s="345"/>
      <c r="CU178" s="345"/>
      <c r="CV178" s="345"/>
      <c r="CW178" s="345"/>
      <c r="CX178" s="345"/>
      <c r="CY178" s="345"/>
      <c r="CZ178" s="345"/>
      <c r="DA178" s="345"/>
      <c r="DB178" s="345"/>
      <c r="DC178" s="345"/>
      <c r="DD178" s="345"/>
      <c r="DE178" s="345"/>
      <c r="DF178" s="345"/>
      <c r="DG178" s="345"/>
      <c r="DH178" s="345"/>
      <c r="DI178" s="345"/>
      <c r="DJ178" s="345"/>
      <c r="DK178" s="345"/>
      <c r="DL178" s="345"/>
      <c r="DM178" s="345"/>
      <c r="DN178" s="345"/>
      <c r="DO178" s="345"/>
      <c r="DP178" s="345"/>
      <c r="DQ178" s="345"/>
      <c r="DR178" s="345"/>
      <c r="DS178" s="345"/>
      <c r="DT178" s="345"/>
      <c r="DU178" s="345"/>
      <c r="DV178" s="345"/>
      <c r="DW178" s="345"/>
      <c r="DX178" s="345"/>
      <c r="DY178" s="345"/>
      <c r="DZ178" s="345"/>
      <c r="EA178" s="345"/>
    </row>
    <row r="179" spans="1:131" hidden="1">
      <c r="A179" s="345"/>
      <c r="B179" s="345"/>
      <c r="C179" s="345"/>
      <c r="D179" s="345"/>
      <c r="E179" s="345"/>
      <c r="F179" s="345"/>
      <c r="G179" s="345"/>
      <c r="H179" s="345"/>
      <c r="I179" s="345"/>
      <c r="J179" s="345"/>
      <c r="K179" s="345"/>
      <c r="L179" s="345"/>
      <c r="M179" s="345"/>
      <c r="N179" s="345"/>
      <c r="O179" s="345"/>
      <c r="P179" s="345"/>
      <c r="Q179" s="345"/>
      <c r="R179" s="345"/>
      <c r="S179" s="345"/>
      <c r="T179" s="345"/>
      <c r="U179" s="345"/>
      <c r="V179" s="345"/>
      <c r="W179" s="345"/>
      <c r="X179" s="345"/>
      <c r="Y179" s="345"/>
      <c r="Z179" s="345"/>
      <c r="AA179" s="345"/>
      <c r="AB179" s="345"/>
      <c r="AC179" s="345"/>
      <c r="AD179" s="345"/>
      <c r="AE179" s="345"/>
      <c r="AF179" s="345"/>
      <c r="AG179" s="345"/>
      <c r="AH179" s="345"/>
      <c r="AI179" s="345"/>
      <c r="AJ179" s="345"/>
      <c r="AK179" s="345"/>
      <c r="AL179" s="345"/>
      <c r="AM179" s="345"/>
      <c r="AN179" s="345"/>
      <c r="AO179" s="345"/>
      <c r="AP179" s="345"/>
      <c r="AQ179" s="345"/>
      <c r="AR179" s="345"/>
      <c r="AS179" s="345"/>
      <c r="AT179" s="345"/>
      <c r="AU179" s="345"/>
      <c r="AV179" s="345"/>
      <c r="AW179" s="345"/>
      <c r="AX179" s="345"/>
      <c r="AY179" s="345"/>
      <c r="AZ179" s="345"/>
      <c r="BA179" s="345"/>
      <c r="BB179" s="345"/>
      <c r="BC179" s="345"/>
      <c r="BD179" s="345"/>
      <c r="BE179" s="345"/>
      <c r="BF179" s="345"/>
      <c r="BG179" s="345"/>
      <c r="BH179" s="345"/>
      <c r="BI179" s="345"/>
      <c r="BJ179" s="345"/>
      <c r="BK179" s="345"/>
      <c r="BL179" s="345"/>
      <c r="BM179" s="345"/>
      <c r="BN179" s="345"/>
      <c r="BO179" s="345"/>
      <c r="BP179" s="345"/>
      <c r="BQ179" s="345"/>
      <c r="BR179" s="345"/>
      <c r="BS179" s="345"/>
      <c r="BT179" s="345"/>
      <c r="BU179" s="345"/>
      <c r="BV179" s="345"/>
      <c r="BW179" s="345"/>
      <c r="BX179" s="345"/>
      <c r="BY179" s="345"/>
      <c r="BZ179" s="345"/>
      <c r="CA179" s="345"/>
      <c r="CB179" s="345"/>
      <c r="CC179" s="345"/>
      <c r="CD179" s="345"/>
      <c r="CE179" s="345"/>
      <c r="CF179" s="345"/>
      <c r="CG179" s="345"/>
      <c r="CH179" s="345"/>
      <c r="CI179" s="345"/>
      <c r="CJ179" s="345"/>
      <c r="CK179" s="345"/>
      <c r="CL179" s="345"/>
      <c r="CM179" s="345"/>
      <c r="CN179" s="345"/>
      <c r="CO179" s="345"/>
      <c r="CP179" s="345"/>
      <c r="CQ179" s="345"/>
      <c r="CR179" s="345"/>
      <c r="CS179" s="345"/>
      <c r="CT179" s="345"/>
      <c r="CU179" s="345"/>
      <c r="CV179" s="345"/>
      <c r="CW179" s="345"/>
      <c r="CX179" s="345"/>
      <c r="CY179" s="345"/>
      <c r="CZ179" s="345"/>
      <c r="DA179" s="345"/>
      <c r="DB179" s="345"/>
      <c r="DC179" s="345"/>
      <c r="DD179" s="345"/>
      <c r="DE179" s="345"/>
      <c r="DF179" s="345"/>
      <c r="DG179" s="345"/>
      <c r="DH179" s="345"/>
      <c r="DI179" s="345"/>
      <c r="DJ179" s="345"/>
      <c r="DK179" s="345"/>
      <c r="DL179" s="345"/>
      <c r="DM179" s="345"/>
      <c r="DN179" s="345"/>
      <c r="DO179" s="345"/>
      <c r="DP179" s="345"/>
      <c r="DQ179" s="345"/>
      <c r="DR179" s="345"/>
      <c r="DS179" s="345"/>
      <c r="DT179" s="345"/>
      <c r="DU179" s="345"/>
      <c r="DV179" s="345"/>
      <c r="DW179" s="345"/>
      <c r="DX179" s="345"/>
      <c r="DY179" s="345"/>
      <c r="DZ179" s="345"/>
      <c r="EA179" s="345"/>
    </row>
    <row r="180" spans="1:131" hidden="1">
      <c r="A180" s="345"/>
      <c r="B180" s="345"/>
      <c r="C180" s="345"/>
      <c r="D180" s="345"/>
      <c r="E180" s="345"/>
      <c r="F180" s="345"/>
      <c r="G180" s="345"/>
      <c r="H180" s="345"/>
      <c r="I180" s="345"/>
      <c r="J180" s="345"/>
      <c r="K180" s="345"/>
      <c r="L180" s="345"/>
      <c r="M180" s="345"/>
      <c r="N180" s="345"/>
      <c r="O180" s="345"/>
      <c r="P180" s="345"/>
      <c r="Q180" s="345"/>
      <c r="R180" s="345"/>
      <c r="S180" s="345"/>
      <c r="T180" s="345"/>
      <c r="U180" s="345"/>
      <c r="V180" s="345"/>
      <c r="W180" s="345"/>
      <c r="X180" s="345"/>
      <c r="Y180" s="345"/>
      <c r="Z180" s="345"/>
      <c r="AA180" s="345"/>
      <c r="AB180" s="345"/>
      <c r="AC180" s="345"/>
      <c r="AD180" s="345"/>
      <c r="AE180" s="345"/>
      <c r="AF180" s="345"/>
      <c r="AG180" s="345"/>
      <c r="AH180" s="345"/>
      <c r="AI180" s="345"/>
      <c r="AJ180" s="345"/>
      <c r="AK180" s="345"/>
      <c r="AL180" s="345"/>
      <c r="AM180" s="345"/>
      <c r="AN180" s="345"/>
      <c r="AO180" s="345"/>
      <c r="AP180" s="345"/>
      <c r="AQ180" s="345"/>
      <c r="AR180" s="345"/>
      <c r="AS180" s="345"/>
      <c r="AT180" s="345"/>
      <c r="AU180" s="345"/>
      <c r="AV180" s="345"/>
      <c r="AW180" s="345"/>
      <c r="AX180" s="345"/>
      <c r="AY180" s="345"/>
      <c r="AZ180" s="345"/>
      <c r="BA180" s="345"/>
      <c r="BB180" s="345"/>
      <c r="BC180" s="345"/>
      <c r="BD180" s="345"/>
      <c r="BE180" s="345"/>
      <c r="BF180" s="345"/>
      <c r="BG180" s="345"/>
      <c r="BH180" s="345"/>
      <c r="BI180" s="345"/>
      <c r="BJ180" s="345"/>
      <c r="BK180" s="345"/>
      <c r="BL180" s="345"/>
      <c r="BM180" s="345"/>
      <c r="BN180" s="345"/>
      <c r="BO180" s="345"/>
      <c r="BP180" s="345"/>
      <c r="BQ180" s="345"/>
      <c r="BR180" s="345"/>
      <c r="BS180" s="345"/>
      <c r="BT180" s="345"/>
      <c r="BU180" s="345"/>
      <c r="BV180" s="345"/>
      <c r="BW180" s="345"/>
      <c r="BX180" s="345"/>
      <c r="BY180" s="345"/>
      <c r="BZ180" s="345"/>
      <c r="CA180" s="345"/>
      <c r="CB180" s="345"/>
      <c r="CC180" s="345"/>
      <c r="CD180" s="345"/>
      <c r="CE180" s="345"/>
      <c r="CF180" s="345"/>
      <c r="CG180" s="345"/>
      <c r="CH180" s="345"/>
      <c r="CI180" s="345"/>
      <c r="CJ180" s="345"/>
      <c r="CK180" s="345"/>
      <c r="CL180" s="345"/>
      <c r="CM180" s="345"/>
      <c r="CN180" s="345"/>
      <c r="CO180" s="345"/>
      <c r="CP180" s="345"/>
      <c r="CQ180" s="345"/>
      <c r="CR180" s="345"/>
      <c r="CS180" s="345"/>
      <c r="CT180" s="345"/>
      <c r="CU180" s="345"/>
      <c r="CV180" s="345"/>
      <c r="CW180" s="345"/>
      <c r="CX180" s="345"/>
      <c r="CY180" s="345"/>
      <c r="CZ180" s="345"/>
      <c r="DA180" s="345"/>
      <c r="DB180" s="345"/>
      <c r="DC180" s="345"/>
      <c r="DD180" s="345"/>
      <c r="DE180" s="345"/>
      <c r="DF180" s="345"/>
      <c r="DG180" s="345"/>
      <c r="DH180" s="345"/>
      <c r="DI180" s="345"/>
      <c r="DJ180" s="345"/>
      <c r="DK180" s="345"/>
      <c r="DL180" s="345"/>
      <c r="DM180" s="345"/>
      <c r="DN180" s="345"/>
      <c r="DO180" s="345"/>
      <c r="DP180" s="345"/>
      <c r="DQ180" s="345"/>
      <c r="DR180" s="345"/>
      <c r="DS180" s="345"/>
      <c r="DT180" s="345"/>
      <c r="DU180" s="345"/>
      <c r="DV180" s="345"/>
      <c r="DW180" s="345"/>
      <c r="DX180" s="345"/>
      <c r="DY180" s="345"/>
      <c r="DZ180" s="345"/>
      <c r="EA180" s="345"/>
    </row>
    <row r="181" spans="1:131" hidden="1">
      <c r="A181" s="345"/>
      <c r="B181" s="345"/>
      <c r="C181" s="345"/>
      <c r="D181" s="345"/>
      <c r="E181" s="345"/>
      <c r="F181" s="345"/>
      <c r="G181" s="345"/>
      <c r="H181" s="345"/>
      <c r="I181" s="345"/>
      <c r="J181" s="345"/>
      <c r="K181" s="345"/>
      <c r="L181" s="345"/>
      <c r="M181" s="345"/>
      <c r="N181" s="345"/>
      <c r="O181" s="345"/>
      <c r="P181" s="345"/>
      <c r="Q181" s="345"/>
      <c r="R181" s="345"/>
      <c r="S181" s="345"/>
      <c r="T181" s="345"/>
      <c r="U181" s="345"/>
      <c r="V181" s="345"/>
      <c r="W181" s="345"/>
      <c r="X181" s="345"/>
      <c r="Y181" s="345"/>
      <c r="Z181" s="345"/>
      <c r="AA181" s="345"/>
      <c r="AB181" s="345"/>
      <c r="AC181" s="345"/>
      <c r="AD181" s="345"/>
      <c r="AE181" s="345"/>
      <c r="AF181" s="345"/>
      <c r="AG181" s="345"/>
      <c r="AH181" s="345"/>
      <c r="AI181" s="345"/>
      <c r="AJ181" s="345"/>
      <c r="AK181" s="345"/>
      <c r="AL181" s="345"/>
      <c r="AM181" s="345"/>
      <c r="AN181" s="345"/>
      <c r="AO181" s="345"/>
      <c r="AP181" s="345"/>
      <c r="AQ181" s="345"/>
      <c r="AR181" s="345"/>
      <c r="AS181" s="345"/>
      <c r="AT181" s="345"/>
      <c r="AU181" s="345"/>
      <c r="AV181" s="345"/>
      <c r="AW181" s="345"/>
      <c r="AX181" s="345"/>
      <c r="AY181" s="345"/>
      <c r="AZ181" s="345"/>
      <c r="BA181" s="345"/>
      <c r="BB181" s="345"/>
      <c r="BC181" s="345"/>
      <c r="BD181" s="345"/>
      <c r="BE181" s="345"/>
      <c r="BF181" s="345"/>
      <c r="BG181" s="345"/>
      <c r="BH181" s="345"/>
      <c r="BI181" s="345"/>
      <c r="BJ181" s="345"/>
      <c r="BK181" s="345"/>
      <c r="BL181" s="345"/>
      <c r="BM181" s="345"/>
      <c r="BN181" s="345"/>
      <c r="BO181" s="345"/>
      <c r="BP181" s="345"/>
      <c r="BQ181" s="345"/>
      <c r="BR181" s="345"/>
      <c r="BS181" s="345"/>
      <c r="BT181" s="345"/>
      <c r="BU181" s="345"/>
      <c r="BV181" s="345"/>
      <c r="BW181" s="345"/>
      <c r="BX181" s="345"/>
      <c r="BY181" s="345"/>
      <c r="BZ181" s="345"/>
      <c r="CA181" s="345"/>
      <c r="CB181" s="345"/>
      <c r="CC181" s="345"/>
      <c r="CD181" s="345"/>
      <c r="CE181" s="345"/>
      <c r="CF181" s="345"/>
      <c r="CG181" s="345"/>
      <c r="CH181" s="345"/>
      <c r="CI181" s="345"/>
      <c r="CJ181" s="345"/>
      <c r="CK181" s="345"/>
      <c r="CL181" s="345"/>
      <c r="CM181" s="345"/>
      <c r="CN181" s="345"/>
      <c r="CO181" s="345"/>
      <c r="CP181" s="345"/>
      <c r="CQ181" s="345"/>
      <c r="CR181" s="345"/>
      <c r="CS181" s="345"/>
      <c r="CT181" s="345"/>
      <c r="CU181" s="345"/>
      <c r="CV181" s="345"/>
      <c r="CW181" s="345"/>
      <c r="CX181" s="345"/>
      <c r="CY181" s="345"/>
      <c r="CZ181" s="345"/>
      <c r="DA181" s="345"/>
      <c r="DB181" s="345"/>
      <c r="DC181" s="345"/>
      <c r="DD181" s="345"/>
      <c r="DE181" s="345"/>
      <c r="DF181" s="345"/>
      <c r="DG181" s="345"/>
      <c r="DH181" s="345"/>
      <c r="DI181" s="345"/>
      <c r="DJ181" s="345"/>
      <c r="DK181" s="345"/>
      <c r="DL181" s="345"/>
      <c r="DM181" s="345"/>
      <c r="DN181" s="345"/>
      <c r="DO181" s="345"/>
      <c r="DP181" s="345"/>
      <c r="DQ181" s="345"/>
      <c r="DR181" s="345"/>
      <c r="DS181" s="345"/>
      <c r="DT181" s="345"/>
      <c r="DU181" s="345"/>
      <c r="DV181" s="345"/>
      <c r="DW181" s="345"/>
      <c r="DX181" s="345"/>
      <c r="DY181" s="345"/>
      <c r="DZ181" s="345"/>
      <c r="EA181" s="345"/>
    </row>
    <row r="182" spans="1:131" hidden="1">
      <c r="A182" s="345"/>
      <c r="B182" s="345"/>
      <c r="C182" s="345"/>
      <c r="D182" s="345"/>
      <c r="E182" s="345"/>
      <c r="F182" s="345"/>
      <c r="G182" s="345"/>
      <c r="H182" s="345"/>
      <c r="I182" s="345"/>
      <c r="J182" s="345"/>
      <c r="K182" s="345"/>
      <c r="L182" s="345"/>
      <c r="M182" s="345"/>
      <c r="N182" s="345"/>
      <c r="O182" s="345"/>
      <c r="P182" s="345"/>
      <c r="Q182" s="345"/>
      <c r="R182" s="345"/>
      <c r="S182" s="345"/>
      <c r="T182" s="345"/>
      <c r="U182" s="345"/>
      <c r="V182" s="345"/>
      <c r="W182" s="345"/>
      <c r="X182" s="345"/>
      <c r="Y182" s="345"/>
      <c r="Z182" s="345"/>
      <c r="AA182" s="345"/>
      <c r="AB182" s="345"/>
      <c r="AC182" s="345"/>
      <c r="AD182" s="345"/>
      <c r="AE182" s="345"/>
      <c r="AF182" s="345"/>
      <c r="AG182" s="345"/>
      <c r="AH182" s="345"/>
      <c r="AI182" s="345"/>
      <c r="AJ182" s="345"/>
      <c r="AK182" s="345"/>
      <c r="AL182" s="345"/>
      <c r="AM182" s="345"/>
      <c r="AN182" s="345"/>
      <c r="AO182" s="345"/>
      <c r="AP182" s="345"/>
      <c r="AQ182" s="345"/>
      <c r="AR182" s="345"/>
      <c r="AS182" s="345"/>
      <c r="AT182" s="345"/>
      <c r="AU182" s="345"/>
      <c r="AV182" s="345"/>
      <c r="AW182" s="345"/>
      <c r="AX182" s="345"/>
      <c r="AY182" s="345"/>
      <c r="AZ182" s="345"/>
      <c r="BA182" s="345"/>
      <c r="BB182" s="345"/>
      <c r="BC182" s="345"/>
      <c r="BD182" s="345"/>
      <c r="BE182" s="345"/>
      <c r="BF182" s="345"/>
      <c r="BG182" s="345"/>
      <c r="BH182" s="345"/>
      <c r="BI182" s="345"/>
      <c r="BJ182" s="345"/>
      <c r="BK182" s="345"/>
      <c r="BL182" s="345"/>
      <c r="BM182" s="345"/>
      <c r="BN182" s="345"/>
      <c r="BO182" s="345"/>
      <c r="BP182" s="345"/>
      <c r="BQ182" s="345"/>
      <c r="BR182" s="345"/>
      <c r="BS182" s="345"/>
      <c r="BT182" s="345"/>
      <c r="BU182" s="345"/>
      <c r="BV182" s="345"/>
      <c r="BW182" s="345"/>
      <c r="BX182" s="345"/>
      <c r="BY182" s="345"/>
      <c r="BZ182" s="345"/>
      <c r="CA182" s="345"/>
      <c r="CB182" s="345"/>
      <c r="CC182" s="345"/>
      <c r="CD182" s="345"/>
      <c r="CE182" s="345"/>
      <c r="CF182" s="345"/>
      <c r="CG182" s="345"/>
      <c r="CH182" s="345"/>
      <c r="CI182" s="345"/>
      <c r="CJ182" s="345"/>
      <c r="CK182" s="345"/>
      <c r="CL182" s="345"/>
      <c r="CM182" s="345"/>
      <c r="CN182" s="345"/>
      <c r="CO182" s="345"/>
      <c r="CP182" s="345"/>
      <c r="CQ182" s="345"/>
      <c r="CR182" s="345"/>
      <c r="CS182" s="345"/>
      <c r="CT182" s="345"/>
      <c r="CU182" s="345"/>
      <c r="CV182" s="345"/>
      <c r="CW182" s="345"/>
      <c r="CX182" s="345"/>
      <c r="CY182" s="345"/>
      <c r="CZ182" s="345"/>
      <c r="DA182" s="345"/>
      <c r="DB182" s="345"/>
      <c r="DC182" s="345"/>
      <c r="DD182" s="345"/>
      <c r="DE182" s="345"/>
      <c r="DF182" s="345"/>
      <c r="DG182" s="345"/>
      <c r="DH182" s="345"/>
      <c r="DI182" s="345"/>
      <c r="DJ182" s="345"/>
      <c r="DK182" s="345"/>
      <c r="DL182" s="345"/>
      <c r="DM182" s="345"/>
      <c r="DN182" s="345"/>
      <c r="DO182" s="345"/>
      <c r="DP182" s="345"/>
      <c r="DQ182" s="345"/>
      <c r="DR182" s="345"/>
      <c r="DS182" s="345"/>
      <c r="DT182" s="345"/>
      <c r="DU182" s="345"/>
      <c r="DV182" s="345"/>
      <c r="DW182" s="345"/>
      <c r="DX182" s="345"/>
      <c r="DY182" s="345"/>
      <c r="DZ182" s="345"/>
      <c r="EA182" s="345"/>
    </row>
    <row r="183" spans="1:131" hidden="1">
      <c r="A183" s="345"/>
      <c r="B183" s="345"/>
      <c r="C183" s="345"/>
      <c r="D183" s="345"/>
      <c r="E183" s="345"/>
      <c r="F183" s="345"/>
      <c r="G183" s="345"/>
      <c r="H183" s="345"/>
      <c r="I183" s="345"/>
      <c r="J183" s="345"/>
      <c r="K183" s="345"/>
      <c r="L183" s="345"/>
      <c r="M183" s="345"/>
      <c r="N183" s="345"/>
      <c r="O183" s="345"/>
      <c r="P183" s="345"/>
      <c r="Q183" s="345"/>
      <c r="R183" s="345"/>
      <c r="S183" s="345"/>
      <c r="T183" s="345"/>
      <c r="U183" s="345"/>
      <c r="V183" s="345"/>
      <c r="W183" s="345"/>
      <c r="X183" s="345"/>
      <c r="Y183" s="345"/>
      <c r="Z183" s="345"/>
      <c r="AA183" s="345"/>
      <c r="AB183" s="345"/>
      <c r="AC183" s="345"/>
      <c r="AD183" s="345"/>
      <c r="AE183" s="345"/>
      <c r="AF183" s="345"/>
      <c r="AG183" s="345"/>
      <c r="AH183" s="345"/>
      <c r="AI183" s="345"/>
      <c r="AJ183" s="345"/>
      <c r="AK183" s="345"/>
      <c r="AL183" s="345"/>
      <c r="AM183" s="345"/>
      <c r="AN183" s="345"/>
      <c r="AO183" s="345"/>
      <c r="AP183" s="345"/>
      <c r="AQ183" s="345"/>
      <c r="AR183" s="345"/>
      <c r="AS183" s="345"/>
      <c r="AT183" s="345"/>
      <c r="AU183" s="345"/>
      <c r="AV183" s="345"/>
      <c r="AW183" s="345"/>
      <c r="AX183" s="345"/>
      <c r="AY183" s="345"/>
      <c r="AZ183" s="345"/>
      <c r="BA183" s="345"/>
      <c r="BB183" s="345"/>
      <c r="BC183" s="345"/>
      <c r="BD183" s="345"/>
      <c r="BE183" s="345"/>
      <c r="BF183" s="345"/>
      <c r="BG183" s="345"/>
      <c r="BH183" s="345"/>
      <c r="BI183" s="345"/>
      <c r="BJ183" s="345"/>
      <c r="BK183" s="345"/>
      <c r="BL183" s="345"/>
      <c r="BM183" s="345"/>
      <c r="BN183" s="345"/>
      <c r="BO183" s="345"/>
      <c r="BP183" s="345"/>
      <c r="BQ183" s="345"/>
      <c r="BR183" s="345"/>
      <c r="BS183" s="345"/>
      <c r="BT183" s="345"/>
      <c r="BU183" s="345"/>
      <c r="BV183" s="345"/>
      <c r="BW183" s="345"/>
      <c r="BX183" s="345"/>
      <c r="BY183" s="345"/>
      <c r="BZ183" s="345"/>
      <c r="CA183" s="345"/>
      <c r="CB183" s="345"/>
      <c r="CC183" s="345"/>
      <c r="CD183" s="345"/>
      <c r="CE183" s="345"/>
      <c r="CF183" s="345"/>
      <c r="CG183" s="345"/>
      <c r="CH183" s="345"/>
      <c r="CI183" s="345"/>
      <c r="CJ183" s="345"/>
      <c r="CK183" s="345"/>
      <c r="CL183" s="345"/>
      <c r="CM183" s="345"/>
      <c r="CN183" s="345"/>
      <c r="CO183" s="345"/>
      <c r="CP183" s="345"/>
      <c r="CQ183" s="345"/>
      <c r="CR183" s="345"/>
      <c r="CS183" s="345"/>
      <c r="CT183" s="345"/>
      <c r="CU183" s="345"/>
      <c r="CV183" s="345"/>
      <c r="CW183" s="345"/>
      <c r="CX183" s="345"/>
      <c r="CY183" s="345"/>
      <c r="CZ183" s="345"/>
      <c r="DA183" s="345"/>
      <c r="DB183" s="345"/>
      <c r="DC183" s="345"/>
      <c r="DD183" s="345"/>
      <c r="DE183" s="345"/>
      <c r="DF183" s="345"/>
      <c r="DG183" s="345"/>
      <c r="DH183" s="345"/>
      <c r="DI183" s="345"/>
      <c r="DJ183" s="345"/>
      <c r="DK183" s="345"/>
      <c r="DL183" s="345"/>
      <c r="DM183" s="345"/>
      <c r="DN183" s="345"/>
      <c r="DO183" s="345"/>
      <c r="DP183" s="345"/>
      <c r="DQ183" s="345"/>
      <c r="DR183" s="345"/>
      <c r="DS183" s="345"/>
      <c r="DT183" s="345"/>
      <c r="DU183" s="345"/>
      <c r="DV183" s="345"/>
      <c r="DW183" s="345"/>
      <c r="DX183" s="345"/>
      <c r="DY183" s="345"/>
      <c r="DZ183" s="345"/>
      <c r="EA183" s="345"/>
    </row>
    <row r="184" spans="1:131" hidden="1">
      <c r="A184" s="345"/>
      <c r="B184" s="345"/>
      <c r="C184" s="345"/>
      <c r="D184" s="345"/>
      <c r="E184" s="345"/>
      <c r="F184" s="345"/>
      <c r="G184" s="345"/>
      <c r="H184" s="345"/>
      <c r="I184" s="345"/>
      <c r="J184" s="345"/>
      <c r="K184" s="345"/>
      <c r="L184" s="345"/>
      <c r="M184" s="345"/>
      <c r="N184" s="345"/>
      <c r="O184" s="345"/>
      <c r="P184" s="345"/>
      <c r="Q184" s="345"/>
      <c r="R184" s="345"/>
      <c r="S184" s="345"/>
      <c r="T184" s="345"/>
      <c r="U184" s="345"/>
      <c r="V184" s="345"/>
      <c r="W184" s="345"/>
      <c r="X184" s="345"/>
      <c r="Y184" s="345"/>
      <c r="Z184" s="345"/>
      <c r="AA184" s="345"/>
      <c r="AB184" s="345"/>
      <c r="AC184" s="345"/>
      <c r="AD184" s="345"/>
      <c r="AE184" s="345"/>
      <c r="AF184" s="345"/>
      <c r="AG184" s="345"/>
      <c r="AH184" s="345"/>
      <c r="AI184" s="345"/>
      <c r="AJ184" s="345"/>
      <c r="AK184" s="345"/>
      <c r="AL184" s="345"/>
      <c r="AM184" s="345"/>
      <c r="AN184" s="345"/>
      <c r="AO184" s="345"/>
      <c r="AP184" s="345"/>
      <c r="AQ184" s="345"/>
      <c r="AR184" s="345"/>
      <c r="AS184" s="345"/>
      <c r="AT184" s="345"/>
      <c r="AU184" s="345"/>
      <c r="AV184" s="345"/>
      <c r="AW184" s="345"/>
      <c r="AX184" s="345"/>
      <c r="AY184" s="345"/>
      <c r="AZ184" s="345"/>
      <c r="BA184" s="345"/>
      <c r="BB184" s="345"/>
      <c r="BC184" s="345"/>
      <c r="BD184" s="345"/>
      <c r="BE184" s="345"/>
      <c r="BF184" s="345"/>
      <c r="BG184" s="345"/>
      <c r="BH184" s="345"/>
      <c r="BI184" s="345"/>
      <c r="BJ184" s="345"/>
      <c r="BK184" s="345"/>
      <c r="BL184" s="345"/>
      <c r="BM184" s="345"/>
      <c r="BN184" s="345"/>
      <c r="BO184" s="345"/>
      <c r="BP184" s="345"/>
      <c r="BQ184" s="345"/>
      <c r="BR184" s="345"/>
      <c r="BS184" s="345"/>
      <c r="BT184" s="345"/>
      <c r="BU184" s="345"/>
      <c r="BV184" s="345"/>
      <c r="BW184" s="345"/>
      <c r="BX184" s="345"/>
      <c r="BY184" s="345"/>
      <c r="BZ184" s="345"/>
      <c r="CA184" s="345"/>
      <c r="CB184" s="345"/>
      <c r="CC184" s="345"/>
      <c r="CD184" s="345"/>
      <c r="CE184" s="345"/>
      <c r="CF184" s="345"/>
      <c r="CG184" s="345"/>
      <c r="CH184" s="345"/>
      <c r="CI184" s="345"/>
      <c r="CJ184" s="345"/>
      <c r="CK184" s="345"/>
      <c r="CL184" s="345"/>
      <c r="CM184" s="345"/>
      <c r="CN184" s="345"/>
      <c r="CO184" s="345"/>
      <c r="CP184" s="345"/>
      <c r="CQ184" s="345"/>
      <c r="CR184" s="345"/>
      <c r="CS184" s="345"/>
      <c r="CT184" s="345"/>
      <c r="CU184" s="345"/>
      <c r="CV184" s="345"/>
      <c r="CW184" s="345"/>
      <c r="CX184" s="345"/>
      <c r="CY184" s="345"/>
      <c r="CZ184" s="345"/>
      <c r="DA184" s="345"/>
      <c r="DB184" s="345"/>
      <c r="DC184" s="345"/>
      <c r="DD184" s="345"/>
      <c r="DE184" s="345"/>
      <c r="DF184" s="345"/>
      <c r="DG184" s="345"/>
      <c r="DH184" s="345"/>
      <c r="DI184" s="345"/>
      <c r="DJ184" s="345"/>
      <c r="DK184" s="345"/>
      <c r="DL184" s="345"/>
      <c r="DM184" s="345"/>
      <c r="DN184" s="345"/>
      <c r="DO184" s="345"/>
      <c r="DP184" s="345"/>
      <c r="DQ184" s="345"/>
      <c r="DR184" s="345"/>
      <c r="DS184" s="345"/>
      <c r="DT184" s="345"/>
      <c r="DU184" s="345"/>
      <c r="DV184" s="345"/>
      <c r="DW184" s="345"/>
      <c r="DX184" s="345"/>
      <c r="DY184" s="345"/>
      <c r="DZ184" s="345"/>
      <c r="EA184" s="345"/>
    </row>
    <row r="185" spans="1:131" hidden="1">
      <c r="A185" s="345"/>
      <c r="B185" s="345"/>
      <c r="C185" s="345"/>
      <c r="D185" s="345"/>
      <c r="E185" s="345"/>
      <c r="F185" s="345"/>
      <c r="G185" s="345"/>
      <c r="H185" s="345"/>
      <c r="I185" s="345"/>
      <c r="J185" s="345"/>
      <c r="K185" s="345"/>
      <c r="L185" s="345"/>
      <c r="M185" s="345"/>
      <c r="N185" s="345"/>
      <c r="O185" s="345"/>
      <c r="P185" s="345"/>
      <c r="Q185" s="345"/>
      <c r="R185" s="345"/>
      <c r="S185" s="345"/>
      <c r="T185" s="345"/>
      <c r="U185" s="345"/>
      <c r="V185" s="345"/>
      <c r="W185" s="345"/>
      <c r="X185" s="345"/>
      <c r="Y185" s="345"/>
      <c r="Z185" s="345"/>
      <c r="AA185" s="345"/>
      <c r="AB185" s="345"/>
      <c r="AC185" s="345"/>
      <c r="AD185" s="345"/>
      <c r="AE185" s="345"/>
      <c r="AF185" s="345"/>
      <c r="AG185" s="345"/>
      <c r="AH185" s="345"/>
      <c r="AI185" s="345"/>
      <c r="AJ185" s="345"/>
      <c r="AK185" s="345"/>
      <c r="AL185" s="345"/>
      <c r="AM185" s="345"/>
      <c r="AN185" s="345"/>
      <c r="AO185" s="345"/>
      <c r="AP185" s="345"/>
      <c r="AQ185" s="345"/>
      <c r="AR185" s="345"/>
      <c r="AS185" s="345"/>
      <c r="AT185" s="345"/>
      <c r="AU185" s="345"/>
      <c r="AV185" s="345"/>
      <c r="AW185" s="345"/>
      <c r="AX185" s="345"/>
      <c r="AY185" s="345"/>
      <c r="AZ185" s="345"/>
      <c r="BA185" s="345"/>
      <c r="BB185" s="345"/>
      <c r="BC185" s="345"/>
      <c r="BD185" s="345"/>
      <c r="BE185" s="345"/>
      <c r="BF185" s="345"/>
      <c r="BG185" s="345"/>
      <c r="BH185" s="345"/>
      <c r="BI185" s="345"/>
      <c r="BJ185" s="345"/>
      <c r="BK185" s="345"/>
      <c r="BL185" s="345"/>
      <c r="BM185" s="345"/>
      <c r="BN185" s="345"/>
      <c r="BO185" s="345"/>
      <c r="BP185" s="345"/>
      <c r="BQ185" s="345"/>
      <c r="BR185" s="345"/>
      <c r="BS185" s="345"/>
      <c r="BT185" s="345"/>
      <c r="BU185" s="345"/>
      <c r="BV185" s="345"/>
      <c r="BW185" s="345"/>
      <c r="BX185" s="345"/>
      <c r="BY185" s="345"/>
      <c r="BZ185" s="345"/>
      <c r="CA185" s="345"/>
      <c r="CB185" s="345"/>
      <c r="CC185" s="345"/>
      <c r="CD185" s="345"/>
      <c r="CE185" s="345"/>
      <c r="CF185" s="345"/>
      <c r="CG185" s="345"/>
      <c r="CH185" s="345"/>
      <c r="CI185" s="345"/>
      <c r="CJ185" s="345"/>
      <c r="CK185" s="345"/>
      <c r="CL185" s="345"/>
      <c r="CM185" s="345"/>
      <c r="CN185" s="345"/>
      <c r="CO185" s="345"/>
      <c r="CP185" s="345"/>
      <c r="CQ185" s="345"/>
      <c r="CR185" s="345"/>
      <c r="CS185" s="345"/>
      <c r="CT185" s="345"/>
      <c r="CU185" s="345"/>
      <c r="CV185" s="345"/>
      <c r="CW185" s="345"/>
      <c r="CX185" s="345"/>
      <c r="CY185" s="345"/>
      <c r="CZ185" s="345"/>
      <c r="DA185" s="345"/>
      <c r="DB185" s="345"/>
      <c r="DC185" s="345"/>
      <c r="DD185" s="345"/>
      <c r="DE185" s="345"/>
      <c r="DF185" s="345"/>
      <c r="DG185" s="345"/>
      <c r="DH185" s="345"/>
      <c r="DI185" s="345"/>
      <c r="DJ185" s="345"/>
      <c r="DK185" s="345"/>
      <c r="DL185" s="345"/>
      <c r="DM185" s="345"/>
      <c r="DN185" s="345"/>
      <c r="DO185" s="345"/>
      <c r="DP185" s="345"/>
      <c r="DQ185" s="345"/>
      <c r="DR185" s="345"/>
      <c r="DS185" s="345"/>
      <c r="DT185" s="345"/>
      <c r="DU185" s="345"/>
      <c r="DV185" s="345"/>
      <c r="DW185" s="345"/>
      <c r="DX185" s="345"/>
      <c r="DY185" s="345"/>
      <c r="DZ185" s="345"/>
      <c r="EA185" s="345"/>
    </row>
    <row r="186" spans="1:131" hidden="1">
      <c r="A186" s="345"/>
      <c r="B186" s="345"/>
      <c r="C186" s="345"/>
      <c r="D186" s="345"/>
      <c r="E186" s="345"/>
      <c r="F186" s="345"/>
      <c r="G186" s="345"/>
      <c r="H186" s="345"/>
      <c r="I186" s="345"/>
      <c r="J186" s="345"/>
      <c r="K186" s="345"/>
      <c r="L186" s="345"/>
      <c r="M186" s="345"/>
      <c r="N186" s="345"/>
      <c r="O186" s="345"/>
      <c r="P186" s="345"/>
      <c r="Q186" s="345"/>
      <c r="R186" s="345"/>
      <c r="S186" s="345"/>
      <c r="T186" s="345"/>
      <c r="U186" s="345"/>
      <c r="V186" s="345"/>
      <c r="W186" s="345"/>
      <c r="X186" s="345"/>
      <c r="Y186" s="345"/>
      <c r="Z186" s="345"/>
      <c r="AA186" s="345"/>
      <c r="AB186" s="345"/>
      <c r="AC186" s="345"/>
      <c r="AD186" s="345"/>
      <c r="AE186" s="345"/>
      <c r="AF186" s="345"/>
      <c r="AG186" s="345"/>
      <c r="AH186" s="345"/>
      <c r="AI186" s="345"/>
      <c r="AJ186" s="345"/>
      <c r="AK186" s="345"/>
      <c r="AL186" s="345"/>
      <c r="AM186" s="345"/>
      <c r="AN186" s="345"/>
      <c r="AO186" s="345"/>
      <c r="AP186" s="345"/>
      <c r="AQ186" s="345"/>
      <c r="AR186" s="345"/>
      <c r="AS186" s="345"/>
      <c r="AT186" s="345"/>
      <c r="AU186" s="345"/>
      <c r="AV186" s="345"/>
      <c r="AW186" s="345"/>
      <c r="AX186" s="345"/>
      <c r="AY186" s="345"/>
      <c r="AZ186" s="345"/>
      <c r="BA186" s="345"/>
      <c r="BB186" s="345"/>
      <c r="BC186" s="345"/>
      <c r="BD186" s="345"/>
      <c r="BE186" s="345"/>
      <c r="BF186" s="345"/>
      <c r="BG186" s="345"/>
      <c r="BH186" s="345"/>
      <c r="BI186" s="345"/>
      <c r="BJ186" s="345"/>
      <c r="BK186" s="345"/>
      <c r="BL186" s="345"/>
      <c r="BM186" s="345"/>
      <c r="BN186" s="345"/>
      <c r="BO186" s="345"/>
      <c r="BP186" s="345"/>
      <c r="BQ186" s="345"/>
      <c r="BR186" s="345"/>
      <c r="BS186" s="345"/>
      <c r="BT186" s="345"/>
      <c r="BU186" s="345"/>
      <c r="BV186" s="345"/>
      <c r="BW186" s="345"/>
      <c r="BX186" s="345"/>
      <c r="BY186" s="345"/>
      <c r="BZ186" s="345"/>
      <c r="CA186" s="345"/>
      <c r="CB186" s="345"/>
      <c r="CC186" s="345"/>
      <c r="CD186" s="345"/>
      <c r="CE186" s="345"/>
      <c r="CF186" s="345"/>
      <c r="CG186" s="345"/>
      <c r="CH186" s="345"/>
      <c r="CI186" s="345"/>
      <c r="CJ186" s="345"/>
      <c r="CK186" s="345"/>
      <c r="CL186" s="345"/>
      <c r="CM186" s="345"/>
      <c r="CN186" s="345"/>
      <c r="CO186" s="345"/>
      <c r="CP186" s="345"/>
      <c r="CQ186" s="345"/>
      <c r="CR186" s="345"/>
      <c r="CS186" s="345"/>
      <c r="CT186" s="345"/>
      <c r="CU186" s="345"/>
      <c r="CV186" s="345"/>
      <c r="CW186" s="345"/>
      <c r="CX186" s="345"/>
      <c r="CY186" s="345"/>
      <c r="CZ186" s="345"/>
      <c r="DA186" s="345"/>
      <c r="DB186" s="345"/>
      <c r="DC186" s="345"/>
      <c r="DD186" s="345"/>
      <c r="DE186" s="345"/>
      <c r="DF186" s="345"/>
      <c r="DG186" s="345"/>
      <c r="DH186" s="345"/>
      <c r="DI186" s="345"/>
      <c r="DJ186" s="345"/>
      <c r="DK186" s="345"/>
      <c r="DL186" s="345"/>
      <c r="DM186" s="345"/>
      <c r="DN186" s="345"/>
      <c r="DO186" s="345"/>
      <c r="DP186" s="345"/>
      <c r="DQ186" s="345"/>
      <c r="DR186" s="345"/>
      <c r="DS186" s="345"/>
      <c r="DT186" s="345"/>
      <c r="DU186" s="345"/>
      <c r="DV186" s="345"/>
      <c r="DW186" s="345"/>
      <c r="DX186" s="345"/>
      <c r="DY186" s="345"/>
      <c r="DZ186" s="345"/>
      <c r="EA186" s="345"/>
    </row>
    <row r="187" spans="1:131" hidden="1">
      <c r="A187" s="345"/>
      <c r="B187" s="345"/>
      <c r="C187" s="345"/>
      <c r="D187" s="345"/>
      <c r="E187" s="345"/>
      <c r="F187" s="345"/>
      <c r="G187" s="345"/>
      <c r="H187" s="345"/>
      <c r="I187" s="345"/>
      <c r="J187" s="345"/>
      <c r="K187" s="345"/>
      <c r="L187" s="345"/>
      <c r="M187" s="345"/>
      <c r="N187" s="345"/>
      <c r="O187" s="345"/>
      <c r="P187" s="345"/>
      <c r="Q187" s="345"/>
      <c r="R187" s="345"/>
      <c r="S187" s="345"/>
      <c r="T187" s="345"/>
      <c r="U187" s="345"/>
      <c r="V187" s="345"/>
      <c r="W187" s="345"/>
      <c r="X187" s="345"/>
      <c r="Y187" s="345"/>
      <c r="Z187" s="345"/>
      <c r="AA187" s="345"/>
      <c r="AB187" s="345"/>
      <c r="AC187" s="345"/>
      <c r="AD187" s="345"/>
      <c r="AE187" s="345"/>
      <c r="AF187" s="345"/>
      <c r="AG187" s="345"/>
      <c r="AH187" s="345"/>
      <c r="AI187" s="345"/>
      <c r="AJ187" s="345"/>
      <c r="AK187" s="345"/>
      <c r="AL187" s="345"/>
      <c r="AM187" s="345"/>
      <c r="AN187" s="345"/>
      <c r="AO187" s="345"/>
      <c r="AP187" s="345"/>
      <c r="AQ187" s="345"/>
      <c r="AR187" s="345"/>
      <c r="AS187" s="345"/>
      <c r="AT187" s="345"/>
      <c r="AU187" s="345"/>
      <c r="AV187" s="345"/>
      <c r="AW187" s="345"/>
      <c r="AX187" s="345"/>
      <c r="AY187" s="345"/>
      <c r="AZ187" s="345"/>
      <c r="BA187" s="345"/>
      <c r="BB187" s="345"/>
      <c r="BC187" s="345"/>
      <c r="BD187" s="345"/>
      <c r="BE187" s="345"/>
      <c r="BF187" s="345"/>
      <c r="BG187" s="345"/>
      <c r="BH187" s="345"/>
      <c r="BI187" s="345"/>
      <c r="BJ187" s="345"/>
      <c r="BK187" s="345"/>
      <c r="BL187" s="345"/>
      <c r="BM187" s="345"/>
      <c r="BN187" s="345"/>
      <c r="BO187" s="345"/>
      <c r="BP187" s="345"/>
      <c r="BQ187" s="345"/>
      <c r="BR187" s="345"/>
      <c r="BS187" s="345"/>
      <c r="BT187" s="345"/>
      <c r="BU187" s="345"/>
      <c r="BV187" s="345"/>
      <c r="BW187" s="345"/>
      <c r="BX187" s="345"/>
      <c r="BY187" s="345"/>
      <c r="BZ187" s="345"/>
      <c r="CA187" s="345"/>
      <c r="CB187" s="345"/>
      <c r="CC187" s="345"/>
      <c r="CD187" s="345"/>
      <c r="CE187" s="345"/>
      <c r="CF187" s="345"/>
      <c r="CG187" s="345"/>
      <c r="CH187" s="345"/>
      <c r="CI187" s="345"/>
      <c r="CJ187" s="345"/>
      <c r="CK187" s="345"/>
      <c r="CL187" s="345"/>
      <c r="CM187" s="345"/>
      <c r="CN187" s="345"/>
      <c r="CO187" s="345"/>
      <c r="CP187" s="345"/>
      <c r="CQ187" s="345"/>
      <c r="CR187" s="345"/>
      <c r="CS187" s="345"/>
      <c r="CT187" s="345"/>
      <c r="CU187" s="345"/>
      <c r="CV187" s="345"/>
      <c r="CW187" s="345"/>
      <c r="CX187" s="345"/>
      <c r="CY187" s="345"/>
      <c r="CZ187" s="345"/>
      <c r="DA187" s="345"/>
      <c r="DB187" s="345"/>
      <c r="DC187" s="345"/>
      <c r="DD187" s="345"/>
      <c r="DE187" s="345"/>
      <c r="DF187" s="345"/>
      <c r="DG187" s="345"/>
      <c r="DH187" s="345"/>
      <c r="DI187" s="345"/>
      <c r="DJ187" s="345"/>
      <c r="DK187" s="345"/>
      <c r="DL187" s="345"/>
      <c r="DM187" s="345"/>
      <c r="DN187" s="345"/>
      <c r="DO187" s="345"/>
      <c r="DP187" s="345"/>
      <c r="DQ187" s="345"/>
      <c r="DR187" s="345"/>
      <c r="DS187" s="345"/>
      <c r="DT187" s="345"/>
      <c r="DU187" s="345"/>
      <c r="DV187" s="345"/>
      <c r="DW187" s="345"/>
      <c r="DX187" s="345"/>
      <c r="DY187" s="345"/>
      <c r="DZ187" s="345"/>
      <c r="EA187" s="345"/>
    </row>
    <row r="188" spans="1:131" hidden="1">
      <c r="A188" s="345"/>
      <c r="B188" s="345"/>
      <c r="C188" s="345"/>
      <c r="D188" s="345"/>
      <c r="E188" s="345"/>
      <c r="F188" s="345"/>
      <c r="G188" s="345"/>
      <c r="H188" s="345"/>
      <c r="I188" s="345"/>
      <c r="J188" s="345"/>
      <c r="K188" s="345"/>
      <c r="L188" s="345"/>
      <c r="M188" s="345"/>
      <c r="N188" s="345"/>
      <c r="O188" s="345"/>
      <c r="P188" s="345"/>
      <c r="Q188" s="345"/>
      <c r="R188" s="345"/>
      <c r="S188" s="345"/>
      <c r="T188" s="345"/>
      <c r="U188" s="345"/>
      <c r="V188" s="345"/>
      <c r="W188" s="345"/>
      <c r="X188" s="345"/>
      <c r="Y188" s="345"/>
      <c r="Z188" s="345"/>
      <c r="AA188" s="345"/>
      <c r="AB188" s="345"/>
      <c r="AC188" s="345"/>
      <c r="AD188" s="345"/>
      <c r="AE188" s="345"/>
      <c r="AF188" s="345"/>
      <c r="AG188" s="345"/>
      <c r="AH188" s="345"/>
      <c r="AI188" s="345"/>
      <c r="AJ188" s="345"/>
      <c r="AK188" s="345"/>
      <c r="AL188" s="345"/>
      <c r="AM188" s="345"/>
      <c r="AN188" s="345"/>
      <c r="AO188" s="345"/>
      <c r="AP188" s="345"/>
      <c r="AQ188" s="345"/>
      <c r="AR188" s="345"/>
      <c r="AS188" s="345"/>
      <c r="AT188" s="345"/>
      <c r="AU188" s="345"/>
      <c r="AV188" s="345"/>
      <c r="AW188" s="345"/>
      <c r="AX188" s="345"/>
      <c r="AY188" s="345"/>
      <c r="AZ188" s="345"/>
      <c r="BA188" s="345"/>
      <c r="BB188" s="345"/>
      <c r="BC188" s="345"/>
      <c r="BD188" s="345"/>
      <c r="BE188" s="345"/>
      <c r="BF188" s="345"/>
      <c r="BG188" s="345"/>
      <c r="BH188" s="345"/>
      <c r="BI188" s="345"/>
      <c r="BJ188" s="345"/>
      <c r="BK188" s="345"/>
      <c r="BL188" s="345"/>
      <c r="BM188" s="345"/>
      <c r="BN188" s="345"/>
      <c r="BO188" s="345"/>
      <c r="BP188" s="345"/>
      <c r="BQ188" s="345"/>
      <c r="BR188" s="345"/>
      <c r="BS188" s="345"/>
      <c r="BT188" s="345"/>
      <c r="BU188" s="345"/>
      <c r="BV188" s="345"/>
      <c r="BW188" s="345"/>
      <c r="BX188" s="345"/>
      <c r="BY188" s="345"/>
      <c r="BZ188" s="345"/>
      <c r="CA188" s="345"/>
      <c r="CB188" s="345"/>
      <c r="CC188" s="345"/>
      <c r="CD188" s="345"/>
      <c r="CE188" s="345"/>
      <c r="CF188" s="345"/>
      <c r="CG188" s="345"/>
      <c r="CH188" s="345"/>
      <c r="CI188" s="345"/>
      <c r="CJ188" s="345"/>
      <c r="CK188" s="345"/>
      <c r="CL188" s="345"/>
      <c r="CM188" s="345"/>
      <c r="CN188" s="345"/>
      <c r="CO188" s="345"/>
      <c r="CP188" s="345"/>
      <c r="CQ188" s="345"/>
      <c r="CR188" s="345"/>
      <c r="CS188" s="345"/>
      <c r="CT188" s="345"/>
      <c r="CU188" s="345"/>
      <c r="CV188" s="345"/>
      <c r="CW188" s="345"/>
      <c r="CX188" s="345"/>
      <c r="CY188" s="345"/>
      <c r="CZ188" s="345"/>
      <c r="DA188" s="345"/>
      <c r="DB188" s="345"/>
      <c r="DC188" s="345"/>
      <c r="DD188" s="345"/>
      <c r="DE188" s="345"/>
      <c r="DF188" s="345"/>
      <c r="DG188" s="345"/>
      <c r="DH188" s="345"/>
      <c r="DI188" s="345"/>
      <c r="DJ188" s="345"/>
      <c r="DK188" s="345"/>
      <c r="DL188" s="345"/>
      <c r="DM188" s="345"/>
      <c r="DN188" s="345"/>
      <c r="DO188" s="345"/>
      <c r="DP188" s="345"/>
      <c r="DQ188" s="345"/>
      <c r="DR188" s="345"/>
      <c r="DS188" s="345"/>
      <c r="DT188" s="345"/>
      <c r="DU188" s="345"/>
      <c r="DV188" s="345"/>
      <c r="DW188" s="345"/>
      <c r="DX188" s="345"/>
      <c r="DY188" s="345"/>
      <c r="DZ188" s="345"/>
      <c r="EA188" s="345"/>
    </row>
    <row r="189" spans="1:131" hidden="1">
      <c r="A189" s="345"/>
      <c r="B189" s="345"/>
      <c r="C189" s="345"/>
      <c r="D189" s="345"/>
      <c r="E189" s="345"/>
      <c r="F189" s="345"/>
      <c r="G189" s="345"/>
      <c r="H189" s="345"/>
      <c r="I189" s="345"/>
      <c r="J189" s="345"/>
      <c r="K189" s="345"/>
      <c r="L189" s="345"/>
      <c r="M189" s="345"/>
      <c r="N189" s="345"/>
      <c r="O189" s="345"/>
      <c r="P189" s="345"/>
      <c r="Q189" s="345"/>
      <c r="R189" s="345"/>
      <c r="S189" s="345"/>
      <c r="T189" s="345"/>
      <c r="U189" s="345"/>
      <c r="V189" s="345"/>
      <c r="W189" s="345"/>
      <c r="X189" s="345"/>
      <c r="Y189" s="345"/>
      <c r="Z189" s="345"/>
      <c r="AA189" s="345"/>
      <c r="AB189" s="345"/>
      <c r="AC189" s="345"/>
      <c r="AD189" s="345"/>
      <c r="AE189" s="345"/>
      <c r="AF189" s="345"/>
      <c r="AG189" s="345"/>
      <c r="AH189" s="345"/>
      <c r="AI189" s="345"/>
      <c r="AJ189" s="345"/>
      <c r="AK189" s="345"/>
      <c r="AL189" s="345"/>
      <c r="AM189" s="345"/>
      <c r="AN189" s="345"/>
      <c r="AO189" s="345"/>
      <c r="AP189" s="345"/>
      <c r="AQ189" s="345"/>
      <c r="AR189" s="345"/>
      <c r="AS189" s="345"/>
      <c r="AT189" s="345"/>
      <c r="AU189" s="345"/>
      <c r="AV189" s="345"/>
      <c r="AW189" s="345"/>
      <c r="AX189" s="345"/>
      <c r="AY189" s="345"/>
      <c r="AZ189" s="345"/>
      <c r="BA189" s="345"/>
      <c r="BB189" s="345"/>
      <c r="BC189" s="345"/>
      <c r="BD189" s="345"/>
      <c r="BE189" s="345"/>
      <c r="BF189" s="345"/>
      <c r="BG189" s="345"/>
      <c r="BH189" s="345"/>
      <c r="BI189" s="345"/>
      <c r="BJ189" s="345"/>
      <c r="BK189" s="345"/>
      <c r="BL189" s="345"/>
      <c r="BM189" s="345"/>
      <c r="BN189" s="345"/>
      <c r="BO189" s="345"/>
      <c r="BP189" s="345"/>
      <c r="BQ189" s="345"/>
      <c r="BR189" s="345"/>
      <c r="BS189" s="345"/>
      <c r="BT189" s="345"/>
      <c r="BU189" s="345"/>
      <c r="BV189" s="345"/>
      <c r="BW189" s="345"/>
      <c r="BX189" s="345"/>
      <c r="BY189" s="345"/>
      <c r="BZ189" s="345"/>
      <c r="CA189" s="345"/>
      <c r="CB189" s="345"/>
      <c r="CC189" s="345"/>
      <c r="CD189" s="345"/>
      <c r="CE189" s="345"/>
      <c r="CF189" s="345"/>
      <c r="CG189" s="345"/>
      <c r="CH189" s="345"/>
      <c r="CI189" s="345"/>
      <c r="CJ189" s="345"/>
      <c r="CK189" s="345"/>
      <c r="CL189" s="345"/>
      <c r="CM189" s="345"/>
      <c r="CN189" s="345"/>
      <c r="CO189" s="345"/>
      <c r="CP189" s="345"/>
      <c r="CQ189" s="345"/>
      <c r="CR189" s="345"/>
      <c r="CS189" s="345"/>
      <c r="CT189" s="345"/>
      <c r="CU189" s="345"/>
      <c r="CV189" s="345"/>
      <c r="CW189" s="345"/>
      <c r="CX189" s="345"/>
      <c r="CY189" s="345"/>
      <c r="CZ189" s="345"/>
      <c r="DA189" s="345"/>
      <c r="DB189" s="345"/>
      <c r="DC189" s="345"/>
      <c r="DD189" s="345"/>
      <c r="DE189" s="345"/>
      <c r="DF189" s="345"/>
      <c r="DG189" s="345"/>
      <c r="DH189" s="345"/>
      <c r="DI189" s="345"/>
      <c r="DJ189" s="345"/>
      <c r="DK189" s="345"/>
      <c r="DL189" s="345"/>
      <c r="DM189" s="345"/>
      <c r="DN189" s="345"/>
      <c r="DO189" s="345"/>
      <c r="DP189" s="345"/>
      <c r="DQ189" s="345"/>
      <c r="DR189" s="345"/>
      <c r="DS189" s="345"/>
      <c r="DT189" s="345"/>
      <c r="DU189" s="345"/>
      <c r="DV189" s="345"/>
      <c r="DW189" s="345"/>
      <c r="DX189" s="345"/>
      <c r="DY189" s="345"/>
      <c r="DZ189" s="345"/>
      <c r="EA189" s="345"/>
    </row>
    <row r="190" spans="1:131" hidden="1">
      <c r="A190" s="345"/>
      <c r="B190" s="345"/>
      <c r="C190" s="345"/>
      <c r="D190" s="345"/>
      <c r="E190" s="345"/>
      <c r="F190" s="345"/>
      <c r="G190" s="345"/>
      <c r="H190" s="345"/>
      <c r="I190" s="345"/>
      <c r="J190" s="345"/>
      <c r="K190" s="345"/>
      <c r="L190" s="345"/>
      <c r="M190" s="345"/>
      <c r="N190" s="345"/>
      <c r="O190" s="345"/>
      <c r="P190" s="345"/>
      <c r="Q190" s="345"/>
      <c r="R190" s="345"/>
      <c r="S190" s="345"/>
      <c r="T190" s="345"/>
      <c r="U190" s="345"/>
      <c r="V190" s="345"/>
      <c r="W190" s="345"/>
      <c r="X190" s="345"/>
      <c r="Y190" s="345"/>
      <c r="Z190" s="345"/>
      <c r="AA190" s="345"/>
      <c r="AB190" s="345"/>
      <c r="AC190" s="345"/>
      <c r="AD190" s="345"/>
      <c r="AE190" s="345"/>
      <c r="AF190" s="345"/>
      <c r="AG190" s="345"/>
      <c r="AH190" s="345"/>
      <c r="AI190" s="345"/>
      <c r="AJ190" s="345"/>
      <c r="AK190" s="345"/>
      <c r="AL190" s="345"/>
      <c r="AM190" s="345"/>
      <c r="AN190" s="345"/>
      <c r="AO190" s="345"/>
      <c r="AP190" s="345"/>
      <c r="AQ190" s="345"/>
      <c r="AR190" s="345"/>
      <c r="AS190" s="345"/>
      <c r="AT190" s="345"/>
      <c r="AU190" s="345"/>
      <c r="AV190" s="345"/>
      <c r="AW190" s="345"/>
      <c r="AX190" s="345"/>
      <c r="AY190" s="345"/>
      <c r="AZ190" s="345"/>
      <c r="BA190" s="345"/>
      <c r="BB190" s="345"/>
      <c r="BC190" s="345"/>
      <c r="BD190" s="345"/>
      <c r="BE190" s="345"/>
      <c r="BF190" s="345"/>
      <c r="BG190" s="345"/>
      <c r="BH190" s="345"/>
      <c r="BI190" s="345"/>
      <c r="BJ190" s="345"/>
      <c r="BK190" s="345"/>
      <c r="BL190" s="345"/>
      <c r="BM190" s="345"/>
      <c r="BN190" s="345"/>
      <c r="BO190" s="345"/>
      <c r="BP190" s="345"/>
      <c r="BQ190" s="345"/>
      <c r="BR190" s="345"/>
      <c r="BS190" s="345"/>
      <c r="BT190" s="345"/>
      <c r="BU190" s="345"/>
      <c r="BV190" s="345"/>
      <c r="BW190" s="345"/>
      <c r="BX190" s="345"/>
      <c r="BY190" s="345"/>
      <c r="BZ190" s="345"/>
      <c r="CA190" s="345"/>
      <c r="CB190" s="345"/>
      <c r="CC190" s="345"/>
      <c r="CD190" s="345"/>
      <c r="CE190" s="345"/>
      <c r="CF190" s="345"/>
      <c r="CG190" s="345"/>
      <c r="CH190" s="345"/>
      <c r="CI190" s="345"/>
      <c r="CJ190" s="345"/>
      <c r="CK190" s="345"/>
      <c r="CL190" s="345"/>
      <c r="CM190" s="345"/>
      <c r="CN190" s="345"/>
      <c r="CO190" s="345"/>
      <c r="CP190" s="345"/>
      <c r="CQ190" s="345"/>
      <c r="CR190" s="345"/>
      <c r="CS190" s="345"/>
      <c r="CT190" s="345"/>
      <c r="CU190" s="345"/>
      <c r="CV190" s="345"/>
      <c r="CW190" s="345"/>
      <c r="CX190" s="345"/>
      <c r="CY190" s="345"/>
      <c r="CZ190" s="345"/>
      <c r="DA190" s="345"/>
      <c r="DB190" s="345"/>
      <c r="DC190" s="345"/>
      <c r="DD190" s="345"/>
      <c r="DE190" s="345"/>
      <c r="DF190" s="345"/>
      <c r="DG190" s="345"/>
      <c r="DH190" s="345"/>
      <c r="DI190" s="345"/>
      <c r="DJ190" s="345"/>
      <c r="DK190" s="345"/>
      <c r="DL190" s="345"/>
      <c r="DM190" s="345"/>
      <c r="DN190" s="345"/>
      <c r="DO190" s="345"/>
      <c r="DP190" s="345"/>
      <c r="DQ190" s="345"/>
      <c r="DR190" s="345"/>
      <c r="DS190" s="345"/>
      <c r="DT190" s="345"/>
      <c r="DU190" s="345"/>
      <c r="DV190" s="345"/>
      <c r="DW190" s="345"/>
      <c r="DX190" s="345"/>
      <c r="DY190" s="345"/>
      <c r="DZ190" s="345"/>
      <c r="EA190" s="345"/>
    </row>
    <row r="191" spans="1:131" hidden="1">
      <c r="A191" s="345"/>
      <c r="B191" s="345"/>
      <c r="C191" s="345"/>
      <c r="D191" s="345"/>
      <c r="E191" s="345"/>
      <c r="F191" s="345"/>
      <c r="G191" s="345"/>
      <c r="H191" s="345"/>
      <c r="I191" s="345"/>
      <c r="J191" s="345"/>
      <c r="K191" s="345"/>
      <c r="L191" s="345"/>
      <c r="M191" s="345"/>
      <c r="N191" s="345"/>
      <c r="O191" s="345"/>
      <c r="P191" s="345"/>
      <c r="Q191" s="345"/>
      <c r="R191" s="345"/>
      <c r="S191" s="345"/>
      <c r="T191" s="345"/>
      <c r="U191" s="345"/>
      <c r="V191" s="345"/>
      <c r="W191" s="345"/>
      <c r="X191" s="345"/>
      <c r="Y191" s="345"/>
      <c r="Z191" s="345"/>
      <c r="AA191" s="345"/>
      <c r="AB191" s="345"/>
      <c r="AC191" s="345"/>
      <c r="AD191" s="345"/>
      <c r="AE191" s="345"/>
      <c r="AF191" s="345"/>
      <c r="AG191" s="345"/>
      <c r="AH191" s="345"/>
      <c r="AI191" s="345"/>
      <c r="AJ191" s="345"/>
      <c r="AK191" s="345"/>
      <c r="AL191" s="345"/>
      <c r="AM191" s="345"/>
      <c r="AN191" s="345"/>
      <c r="AO191" s="345"/>
      <c r="AP191" s="345"/>
      <c r="AQ191" s="345"/>
      <c r="AR191" s="345"/>
      <c r="AS191" s="345"/>
      <c r="AT191" s="345"/>
      <c r="AU191" s="345"/>
      <c r="AV191" s="345"/>
      <c r="AW191" s="345"/>
      <c r="AX191" s="345"/>
      <c r="AY191" s="345"/>
      <c r="AZ191" s="345"/>
      <c r="BA191" s="345"/>
      <c r="BB191" s="345"/>
      <c r="BC191" s="345"/>
      <c r="BD191" s="345"/>
      <c r="BE191" s="345"/>
      <c r="BF191" s="345"/>
      <c r="BG191" s="345"/>
      <c r="BH191" s="345"/>
      <c r="BI191" s="345"/>
      <c r="BJ191" s="345"/>
      <c r="BK191" s="345"/>
      <c r="BL191" s="345"/>
      <c r="BM191" s="345"/>
      <c r="BN191" s="345"/>
      <c r="BO191" s="345"/>
      <c r="BP191" s="345"/>
      <c r="BQ191" s="345"/>
      <c r="BR191" s="345"/>
      <c r="BS191" s="345"/>
      <c r="BT191" s="345"/>
      <c r="BU191" s="345"/>
      <c r="BV191" s="345"/>
      <c r="BW191" s="345"/>
      <c r="BX191" s="345"/>
      <c r="BY191" s="345"/>
      <c r="BZ191" s="345"/>
      <c r="CA191" s="345"/>
      <c r="CB191" s="345"/>
      <c r="CC191" s="345"/>
      <c r="CD191" s="345"/>
      <c r="CE191" s="345"/>
      <c r="CF191" s="345"/>
      <c r="CG191" s="345"/>
      <c r="CH191" s="345"/>
      <c r="CI191" s="345"/>
      <c r="CJ191" s="345"/>
      <c r="CK191" s="345"/>
      <c r="CL191" s="345"/>
      <c r="CM191" s="345"/>
      <c r="CN191" s="345"/>
      <c r="CO191" s="345"/>
      <c r="CP191" s="345"/>
      <c r="CQ191" s="345"/>
      <c r="CR191" s="345"/>
      <c r="CS191" s="345"/>
      <c r="CT191" s="345"/>
      <c r="CU191" s="345"/>
      <c r="CV191" s="345"/>
      <c r="CW191" s="345"/>
      <c r="CX191" s="345"/>
      <c r="CY191" s="345"/>
      <c r="CZ191" s="345"/>
      <c r="DA191" s="345"/>
      <c r="DB191" s="345"/>
      <c r="DC191" s="345"/>
      <c r="DD191" s="345"/>
      <c r="DE191" s="345"/>
      <c r="DF191" s="345"/>
      <c r="DG191" s="345"/>
      <c r="DH191" s="345"/>
      <c r="DI191" s="345"/>
      <c r="DJ191" s="345"/>
      <c r="DK191" s="345"/>
      <c r="DL191" s="345"/>
      <c r="DM191" s="345"/>
      <c r="DN191" s="345"/>
      <c r="DO191" s="345"/>
      <c r="DP191" s="345"/>
      <c r="DQ191" s="345"/>
      <c r="DR191" s="345"/>
      <c r="DS191" s="345"/>
      <c r="DT191" s="345"/>
      <c r="DU191" s="345"/>
      <c r="DV191" s="345"/>
      <c r="DW191" s="345"/>
      <c r="DX191" s="345"/>
      <c r="DY191" s="345"/>
      <c r="DZ191" s="345"/>
      <c r="EA191" s="345"/>
    </row>
    <row r="192" spans="1:131" hidden="1">
      <c r="A192" s="345"/>
      <c r="B192" s="345"/>
      <c r="C192" s="345"/>
      <c r="D192" s="345"/>
      <c r="E192" s="345"/>
      <c r="F192" s="345"/>
      <c r="G192" s="345"/>
      <c r="H192" s="345"/>
      <c r="I192" s="345"/>
      <c r="J192" s="345"/>
      <c r="K192" s="345"/>
      <c r="L192" s="345"/>
      <c r="M192" s="345"/>
      <c r="N192" s="345"/>
      <c r="O192" s="345"/>
      <c r="P192" s="345"/>
      <c r="Q192" s="345"/>
      <c r="R192" s="345"/>
      <c r="S192" s="345"/>
      <c r="T192" s="345"/>
      <c r="U192" s="345"/>
      <c r="V192" s="345"/>
      <c r="W192" s="345"/>
      <c r="X192" s="345"/>
      <c r="Y192" s="345"/>
      <c r="Z192" s="345"/>
      <c r="AA192" s="345"/>
      <c r="AB192" s="345"/>
      <c r="AC192" s="345"/>
      <c r="AD192" s="345"/>
      <c r="AE192" s="345"/>
      <c r="AF192" s="345"/>
      <c r="AG192" s="345"/>
      <c r="AH192" s="345"/>
      <c r="AI192" s="345"/>
      <c r="AJ192" s="345"/>
      <c r="AK192" s="345"/>
      <c r="AL192" s="345"/>
      <c r="AM192" s="345"/>
      <c r="AN192" s="345"/>
      <c r="AO192" s="345"/>
      <c r="AP192" s="345"/>
      <c r="AQ192" s="345"/>
      <c r="AR192" s="345"/>
      <c r="AS192" s="345"/>
      <c r="AT192" s="345"/>
      <c r="AU192" s="345"/>
      <c r="AV192" s="345"/>
      <c r="AW192" s="345"/>
      <c r="AX192" s="345"/>
      <c r="AY192" s="345"/>
      <c r="AZ192" s="345"/>
      <c r="BA192" s="345"/>
      <c r="BB192" s="345"/>
      <c r="BC192" s="345"/>
      <c r="BD192" s="345"/>
      <c r="BE192" s="345"/>
      <c r="BF192" s="345"/>
      <c r="BG192" s="345"/>
      <c r="BH192" s="345"/>
      <c r="BI192" s="345"/>
      <c r="BJ192" s="345"/>
      <c r="BK192" s="345"/>
      <c r="BL192" s="345"/>
      <c r="BM192" s="345"/>
      <c r="BN192" s="345"/>
      <c r="BO192" s="345"/>
      <c r="BP192" s="345"/>
      <c r="BQ192" s="345"/>
      <c r="BR192" s="345"/>
      <c r="BS192" s="345"/>
      <c r="BT192" s="345"/>
      <c r="BU192" s="345"/>
      <c r="BV192" s="345"/>
      <c r="BW192" s="345"/>
      <c r="BX192" s="345"/>
      <c r="BY192" s="345"/>
      <c r="BZ192" s="345"/>
      <c r="CA192" s="345"/>
      <c r="CB192" s="345"/>
      <c r="CC192" s="345"/>
      <c r="CD192" s="345"/>
      <c r="CE192" s="345"/>
      <c r="CF192" s="345"/>
      <c r="CG192" s="345"/>
      <c r="CH192" s="345"/>
      <c r="CI192" s="345"/>
      <c r="CJ192" s="345"/>
      <c r="CK192" s="345"/>
      <c r="CL192" s="345"/>
      <c r="CM192" s="345"/>
      <c r="CN192" s="345"/>
      <c r="CO192" s="345"/>
      <c r="CP192" s="345"/>
      <c r="CQ192" s="345"/>
      <c r="CR192" s="345"/>
      <c r="CS192" s="345"/>
      <c r="CT192" s="345"/>
      <c r="CU192" s="345"/>
      <c r="CV192" s="345"/>
      <c r="CW192" s="345"/>
      <c r="CX192" s="345"/>
      <c r="CY192" s="345"/>
      <c r="CZ192" s="345"/>
      <c r="DA192" s="345"/>
      <c r="DB192" s="345"/>
      <c r="DC192" s="345"/>
      <c r="DD192" s="345"/>
      <c r="DE192" s="345"/>
      <c r="DF192" s="345"/>
      <c r="DG192" s="345"/>
      <c r="DH192" s="345"/>
      <c r="DI192" s="345"/>
      <c r="DJ192" s="345"/>
      <c r="DK192" s="345"/>
      <c r="DL192" s="345"/>
      <c r="DM192" s="345"/>
      <c r="DN192" s="345"/>
      <c r="DO192" s="345"/>
      <c r="DP192" s="345"/>
      <c r="DQ192" s="345"/>
      <c r="DR192" s="345"/>
      <c r="DS192" s="345"/>
      <c r="DT192" s="345"/>
      <c r="DU192" s="345"/>
      <c r="DV192" s="345"/>
      <c r="DW192" s="345"/>
      <c r="DX192" s="345"/>
      <c r="DY192" s="345"/>
      <c r="DZ192" s="345"/>
      <c r="EA192" s="345"/>
    </row>
    <row r="193" spans="1:131" hidden="1">
      <c r="A193" s="345"/>
      <c r="B193" s="345"/>
      <c r="C193" s="345"/>
      <c r="D193" s="345"/>
      <c r="E193" s="345"/>
      <c r="F193" s="345"/>
      <c r="G193" s="345"/>
      <c r="H193" s="345"/>
      <c r="I193" s="345"/>
      <c r="J193" s="345"/>
      <c r="K193" s="345"/>
      <c r="L193" s="345"/>
      <c r="M193" s="345"/>
      <c r="N193" s="345"/>
      <c r="O193" s="345"/>
      <c r="P193" s="345"/>
      <c r="Q193" s="345"/>
      <c r="R193" s="345"/>
      <c r="S193" s="345"/>
      <c r="T193" s="345"/>
      <c r="U193" s="345"/>
      <c r="V193" s="345"/>
      <c r="W193" s="345"/>
      <c r="X193" s="345"/>
      <c r="Y193" s="345"/>
      <c r="Z193" s="345"/>
      <c r="AA193" s="345"/>
      <c r="AB193" s="345"/>
      <c r="AC193" s="345"/>
      <c r="AD193" s="345"/>
      <c r="AE193" s="345"/>
      <c r="AF193" s="345"/>
      <c r="AG193" s="345"/>
      <c r="AH193" s="345"/>
      <c r="AI193" s="345"/>
      <c r="AJ193" s="345"/>
      <c r="AK193" s="345"/>
      <c r="AL193" s="345"/>
      <c r="AM193" s="345"/>
      <c r="AN193" s="345"/>
      <c r="AO193" s="345"/>
      <c r="AP193" s="345"/>
      <c r="AQ193" s="345"/>
      <c r="AR193" s="345"/>
      <c r="AS193" s="345"/>
      <c r="AT193" s="345"/>
      <c r="AU193" s="345"/>
      <c r="AV193" s="345"/>
      <c r="AW193" s="345"/>
      <c r="AX193" s="345"/>
      <c r="AY193" s="345"/>
      <c r="AZ193" s="345"/>
      <c r="BA193" s="345"/>
      <c r="BB193" s="345"/>
      <c r="BC193" s="345"/>
      <c r="BD193" s="345"/>
      <c r="BE193" s="345"/>
      <c r="BF193" s="345"/>
      <c r="BG193" s="345"/>
      <c r="BH193" s="345"/>
      <c r="BI193" s="345"/>
      <c r="BJ193" s="345"/>
      <c r="BK193" s="345"/>
      <c r="BL193" s="345"/>
      <c r="BM193" s="345"/>
      <c r="BN193" s="345"/>
      <c r="BO193" s="345"/>
      <c r="BP193" s="345"/>
      <c r="BQ193" s="345"/>
      <c r="BR193" s="345"/>
      <c r="BS193" s="345"/>
      <c r="BT193" s="345"/>
      <c r="BU193" s="345"/>
      <c r="BV193" s="345"/>
      <c r="BW193" s="345"/>
      <c r="BX193" s="345"/>
      <c r="BY193" s="345"/>
      <c r="BZ193" s="345"/>
      <c r="CA193" s="345"/>
      <c r="CB193" s="345"/>
      <c r="CC193" s="345"/>
      <c r="CD193" s="345"/>
      <c r="CE193" s="345"/>
      <c r="CF193" s="345"/>
      <c r="CG193" s="345"/>
      <c r="CH193" s="345"/>
      <c r="CI193" s="345"/>
      <c r="CJ193" s="345"/>
      <c r="CK193" s="345"/>
      <c r="CL193" s="345"/>
      <c r="CM193" s="345"/>
      <c r="CN193" s="345"/>
      <c r="CO193" s="345"/>
      <c r="CP193" s="345"/>
      <c r="CQ193" s="345"/>
      <c r="CR193" s="345"/>
      <c r="CS193" s="345"/>
      <c r="CT193" s="345"/>
      <c r="CU193" s="345"/>
      <c r="CV193" s="345"/>
      <c r="CW193" s="345"/>
      <c r="CX193" s="345"/>
      <c r="CY193" s="345"/>
      <c r="CZ193" s="345"/>
      <c r="DA193" s="345"/>
      <c r="DB193" s="345"/>
      <c r="DC193" s="345"/>
      <c r="DD193" s="345"/>
      <c r="DE193" s="345"/>
      <c r="DF193" s="345"/>
      <c r="DG193" s="345"/>
      <c r="DH193" s="345"/>
      <c r="DI193" s="345"/>
      <c r="DJ193" s="345"/>
      <c r="DK193" s="345"/>
      <c r="DL193" s="345"/>
      <c r="DM193" s="345"/>
      <c r="DN193" s="345"/>
      <c r="DO193" s="345"/>
      <c r="DP193" s="345"/>
      <c r="DQ193" s="345"/>
      <c r="DR193" s="345"/>
      <c r="DS193" s="345"/>
      <c r="DT193" s="345"/>
      <c r="DU193" s="345"/>
      <c r="DV193" s="345"/>
      <c r="DW193" s="345"/>
      <c r="DX193" s="345"/>
      <c r="DY193" s="345"/>
      <c r="DZ193" s="345"/>
      <c r="EA193" s="345"/>
    </row>
    <row r="194" spans="1:131" hidden="1">
      <c r="A194" s="345"/>
      <c r="B194" s="345"/>
      <c r="C194" s="345"/>
      <c r="D194" s="345"/>
      <c r="E194" s="345"/>
      <c r="F194" s="345"/>
      <c r="G194" s="345"/>
      <c r="H194" s="345"/>
      <c r="I194" s="345"/>
      <c r="J194" s="345"/>
      <c r="K194" s="345"/>
      <c r="L194" s="345"/>
      <c r="M194" s="345"/>
      <c r="N194" s="345"/>
      <c r="O194" s="345"/>
      <c r="P194" s="345"/>
      <c r="Q194" s="345"/>
      <c r="R194" s="345"/>
      <c r="S194" s="345"/>
      <c r="T194" s="345"/>
      <c r="U194" s="345"/>
      <c r="V194" s="345"/>
      <c r="W194" s="345"/>
      <c r="X194" s="345"/>
      <c r="Y194" s="345"/>
      <c r="Z194" s="345"/>
      <c r="AA194" s="345"/>
      <c r="AB194" s="345"/>
      <c r="AC194" s="345"/>
      <c r="AD194" s="345"/>
      <c r="AE194" s="345"/>
      <c r="AF194" s="345"/>
      <c r="AG194" s="345"/>
      <c r="AH194" s="345"/>
      <c r="AI194" s="345"/>
      <c r="AJ194" s="345"/>
      <c r="AK194" s="345"/>
      <c r="AL194" s="345"/>
      <c r="AM194" s="345"/>
      <c r="AN194" s="345"/>
      <c r="AO194" s="345"/>
      <c r="AP194" s="345"/>
      <c r="AQ194" s="345"/>
      <c r="AR194" s="345"/>
      <c r="AS194" s="345"/>
      <c r="AT194" s="345"/>
      <c r="AU194" s="345"/>
      <c r="AV194" s="345"/>
      <c r="AW194" s="345"/>
      <c r="AX194" s="345"/>
      <c r="AY194" s="345"/>
      <c r="AZ194" s="345"/>
      <c r="BA194" s="345"/>
      <c r="BB194" s="345"/>
      <c r="BC194" s="345"/>
      <c r="BD194" s="345"/>
      <c r="BE194" s="345"/>
      <c r="BF194" s="345"/>
      <c r="BG194" s="345"/>
      <c r="BH194" s="345"/>
      <c r="BI194" s="345"/>
      <c r="BJ194" s="345"/>
      <c r="BK194" s="345"/>
      <c r="BL194" s="345"/>
      <c r="BM194" s="345"/>
      <c r="BN194" s="345"/>
      <c r="BO194" s="345"/>
      <c r="BP194" s="345"/>
      <c r="BQ194" s="345"/>
      <c r="BR194" s="345"/>
      <c r="BS194" s="345"/>
      <c r="BT194" s="345"/>
      <c r="BU194" s="345"/>
      <c r="BV194" s="345"/>
      <c r="BW194" s="345"/>
      <c r="BX194" s="345"/>
      <c r="BY194" s="345"/>
      <c r="BZ194" s="345"/>
      <c r="CA194" s="345"/>
      <c r="CB194" s="345"/>
      <c r="CC194" s="345"/>
      <c r="CD194" s="345"/>
      <c r="CE194" s="345"/>
      <c r="CF194" s="345"/>
      <c r="CG194" s="345"/>
      <c r="CH194" s="345"/>
      <c r="CI194" s="345"/>
      <c r="CJ194" s="345"/>
      <c r="CK194" s="345"/>
      <c r="CL194" s="345"/>
      <c r="CM194" s="345"/>
      <c r="CN194" s="345"/>
      <c r="CO194" s="345"/>
      <c r="CP194" s="345"/>
      <c r="CQ194" s="345"/>
      <c r="CR194" s="345"/>
      <c r="CS194" s="345"/>
      <c r="CT194" s="345"/>
      <c r="CU194" s="345"/>
      <c r="CV194" s="345"/>
      <c r="CW194" s="345"/>
      <c r="CX194" s="345"/>
      <c r="CY194" s="345"/>
      <c r="CZ194" s="345"/>
      <c r="DA194" s="345"/>
      <c r="DB194" s="345"/>
      <c r="DC194" s="345"/>
      <c r="DD194" s="345"/>
      <c r="DE194" s="345"/>
      <c r="DF194" s="345"/>
      <c r="DG194" s="345"/>
      <c r="DH194" s="345"/>
      <c r="DI194" s="345"/>
      <c r="DJ194" s="345"/>
      <c r="DK194" s="345"/>
      <c r="DL194" s="345"/>
      <c r="DM194" s="345"/>
      <c r="DN194" s="345"/>
      <c r="DO194" s="345"/>
      <c r="DP194" s="345"/>
      <c r="DQ194" s="345"/>
      <c r="DR194" s="345"/>
      <c r="DS194" s="345"/>
      <c r="DT194" s="345"/>
      <c r="DU194" s="345"/>
      <c r="DV194" s="345"/>
      <c r="DW194" s="345"/>
      <c r="DX194" s="345"/>
      <c r="DY194" s="345"/>
      <c r="DZ194" s="345"/>
      <c r="EA194" s="345"/>
    </row>
    <row r="195" spans="1:131" hidden="1">
      <c r="A195" s="345"/>
      <c r="B195" s="345"/>
      <c r="C195" s="345"/>
      <c r="D195" s="345"/>
      <c r="E195" s="345"/>
      <c r="F195" s="345"/>
      <c r="G195" s="345"/>
      <c r="H195" s="345"/>
      <c r="I195" s="345"/>
      <c r="J195" s="345"/>
      <c r="K195" s="345"/>
      <c r="L195" s="345"/>
      <c r="M195" s="345"/>
      <c r="N195" s="345"/>
      <c r="O195" s="345"/>
      <c r="P195" s="345"/>
      <c r="Q195" s="345"/>
      <c r="R195" s="345"/>
      <c r="S195" s="345"/>
      <c r="T195" s="345"/>
      <c r="U195" s="345"/>
      <c r="V195" s="345"/>
      <c r="W195" s="345"/>
      <c r="X195" s="345"/>
      <c r="Y195" s="345"/>
      <c r="Z195" s="345"/>
      <c r="AA195" s="345"/>
      <c r="AB195" s="345"/>
      <c r="AC195" s="345"/>
      <c r="AD195" s="345"/>
      <c r="AE195" s="345"/>
      <c r="AF195" s="345"/>
      <c r="AG195" s="345"/>
      <c r="AH195" s="345"/>
      <c r="AI195" s="345"/>
      <c r="AJ195" s="345"/>
      <c r="AK195" s="345"/>
      <c r="AL195" s="345"/>
      <c r="AM195" s="345"/>
      <c r="AN195" s="345"/>
      <c r="AO195" s="345"/>
      <c r="AP195" s="345"/>
      <c r="AQ195" s="345"/>
      <c r="AR195" s="345"/>
      <c r="AS195" s="345"/>
      <c r="AT195" s="345"/>
      <c r="AU195" s="345"/>
      <c r="AV195" s="345"/>
      <c r="AW195" s="345"/>
      <c r="AX195" s="345"/>
      <c r="AY195" s="345"/>
      <c r="AZ195" s="345"/>
      <c r="BA195" s="345"/>
      <c r="BB195" s="345"/>
      <c r="BC195" s="345"/>
      <c r="BD195" s="345"/>
      <c r="BE195" s="345"/>
      <c r="BF195" s="345"/>
      <c r="BG195" s="345"/>
      <c r="BH195" s="345"/>
      <c r="BI195" s="345"/>
      <c r="BJ195" s="345"/>
      <c r="BK195" s="345"/>
      <c r="BL195" s="345"/>
      <c r="BM195" s="345"/>
      <c r="BN195" s="345"/>
      <c r="BO195" s="345"/>
      <c r="BP195" s="345"/>
      <c r="BQ195" s="345"/>
      <c r="BR195" s="345"/>
      <c r="BS195" s="345"/>
      <c r="BT195" s="345"/>
      <c r="BU195" s="345"/>
      <c r="BV195" s="345"/>
      <c r="BW195" s="345"/>
      <c r="BX195" s="345"/>
      <c r="BY195" s="345"/>
      <c r="BZ195" s="345"/>
      <c r="CA195" s="345"/>
      <c r="CB195" s="345"/>
      <c r="CC195" s="345"/>
      <c r="CD195" s="345"/>
      <c r="CE195" s="345"/>
      <c r="CF195" s="345"/>
      <c r="CG195" s="345"/>
      <c r="CH195" s="345"/>
      <c r="CI195" s="345"/>
      <c r="CJ195" s="345"/>
      <c r="CK195" s="345"/>
      <c r="CL195" s="345"/>
      <c r="CM195" s="345"/>
      <c r="CN195" s="345"/>
      <c r="CO195" s="345"/>
      <c r="CP195" s="345"/>
      <c r="CQ195" s="345"/>
      <c r="CR195" s="345"/>
      <c r="CS195" s="345"/>
      <c r="CT195" s="345"/>
      <c r="CU195" s="345"/>
      <c r="CV195" s="345"/>
      <c r="CW195" s="345"/>
      <c r="CX195" s="345"/>
      <c r="CY195" s="345"/>
      <c r="CZ195" s="345"/>
      <c r="DA195" s="345"/>
      <c r="DB195" s="345"/>
      <c r="DC195" s="345"/>
      <c r="DD195" s="345"/>
      <c r="DE195" s="345"/>
      <c r="DF195" s="345"/>
      <c r="DG195" s="345"/>
      <c r="DH195" s="345"/>
      <c r="DI195" s="345"/>
      <c r="DJ195" s="345"/>
      <c r="DK195" s="345"/>
      <c r="DL195" s="345"/>
      <c r="DM195" s="345"/>
      <c r="DN195" s="345"/>
      <c r="DO195" s="345"/>
      <c r="DP195" s="345"/>
      <c r="DQ195" s="345"/>
      <c r="DR195" s="345"/>
      <c r="DS195" s="345"/>
      <c r="DT195" s="345"/>
      <c r="DU195" s="345"/>
      <c r="DV195" s="345"/>
      <c r="DW195" s="345"/>
      <c r="DX195" s="345"/>
      <c r="DY195" s="345"/>
      <c r="DZ195" s="345"/>
      <c r="EA195" s="345"/>
    </row>
    <row r="196" spans="1:131" hidden="1">
      <c r="A196" s="345"/>
      <c r="B196" s="345"/>
      <c r="C196" s="345"/>
      <c r="D196" s="345"/>
      <c r="E196" s="345"/>
      <c r="F196" s="345"/>
      <c r="G196" s="345"/>
      <c r="H196" s="345"/>
      <c r="I196" s="345"/>
      <c r="J196" s="345"/>
      <c r="K196" s="345"/>
      <c r="L196" s="345"/>
      <c r="M196" s="345"/>
      <c r="N196" s="345"/>
      <c r="O196" s="345"/>
      <c r="P196" s="345"/>
      <c r="Q196" s="345"/>
      <c r="R196" s="345"/>
      <c r="S196" s="345"/>
      <c r="T196" s="345"/>
      <c r="U196" s="345"/>
      <c r="V196" s="345"/>
      <c r="W196" s="345"/>
      <c r="X196" s="345"/>
      <c r="Y196" s="345"/>
      <c r="Z196" s="345"/>
      <c r="AA196" s="345"/>
      <c r="AB196" s="345"/>
      <c r="AC196" s="345"/>
      <c r="AD196" s="345"/>
      <c r="AE196" s="345"/>
      <c r="AF196" s="345"/>
      <c r="AG196" s="345"/>
      <c r="AH196" s="345"/>
      <c r="AI196" s="345"/>
      <c r="AJ196" s="345"/>
      <c r="AK196" s="345"/>
      <c r="AL196" s="345"/>
      <c r="AM196" s="345"/>
      <c r="AN196" s="345"/>
      <c r="AO196" s="345"/>
      <c r="AP196" s="345"/>
      <c r="AQ196" s="345"/>
      <c r="AR196" s="345"/>
      <c r="AS196" s="345"/>
      <c r="AT196" s="345"/>
      <c r="AU196" s="345"/>
      <c r="AV196" s="345"/>
      <c r="AW196" s="345"/>
      <c r="AX196" s="345"/>
      <c r="AY196" s="345"/>
      <c r="AZ196" s="345"/>
      <c r="BA196" s="345"/>
      <c r="BB196" s="345"/>
      <c r="BC196" s="345"/>
      <c r="BD196" s="345"/>
      <c r="BE196" s="345"/>
      <c r="BF196" s="345"/>
      <c r="BG196" s="345"/>
      <c r="BH196" s="345"/>
      <c r="BI196" s="345"/>
      <c r="BJ196" s="345"/>
      <c r="BK196" s="345"/>
      <c r="BL196" s="345"/>
      <c r="BM196" s="345"/>
      <c r="BN196" s="345"/>
      <c r="BO196" s="345"/>
      <c r="BP196" s="345"/>
      <c r="BQ196" s="345"/>
      <c r="BR196" s="345"/>
      <c r="BS196" s="345"/>
      <c r="BT196" s="345"/>
      <c r="BU196" s="345"/>
      <c r="BV196" s="345"/>
      <c r="BW196" s="345"/>
      <c r="BX196" s="345"/>
      <c r="BY196" s="345"/>
      <c r="BZ196" s="345"/>
      <c r="CA196" s="345"/>
      <c r="CB196" s="345"/>
      <c r="CC196" s="345"/>
      <c r="CD196" s="345"/>
      <c r="CE196" s="345"/>
      <c r="CF196" s="345"/>
      <c r="CG196" s="345"/>
      <c r="CH196" s="345"/>
      <c r="CI196" s="345"/>
      <c r="CJ196" s="345"/>
      <c r="CK196" s="345"/>
      <c r="CL196" s="345"/>
      <c r="CM196" s="345"/>
      <c r="CN196" s="345"/>
      <c r="CO196" s="345"/>
      <c r="CP196" s="345"/>
      <c r="CQ196" s="345"/>
      <c r="CR196" s="345"/>
      <c r="CS196" s="345"/>
      <c r="CT196" s="345"/>
      <c r="CU196" s="345"/>
      <c r="CV196" s="345"/>
      <c r="CW196" s="345"/>
      <c r="CX196" s="345"/>
      <c r="CY196" s="345"/>
      <c r="CZ196" s="345"/>
      <c r="DA196" s="345"/>
      <c r="DB196" s="345"/>
      <c r="DC196" s="345"/>
      <c r="DD196" s="345"/>
      <c r="DE196" s="345"/>
      <c r="DF196" s="345"/>
      <c r="DG196" s="345"/>
      <c r="DH196" s="345"/>
      <c r="DI196" s="345"/>
      <c r="DJ196" s="345"/>
      <c r="DK196" s="345"/>
      <c r="DL196" s="345"/>
      <c r="DM196" s="345"/>
      <c r="DN196" s="345"/>
      <c r="DO196" s="345"/>
      <c r="DP196" s="345"/>
      <c r="DQ196" s="345"/>
      <c r="DR196" s="345"/>
      <c r="DS196" s="345"/>
      <c r="DT196" s="345"/>
      <c r="DU196" s="345"/>
      <c r="DV196" s="345"/>
      <c r="DW196" s="345"/>
      <c r="DX196" s="345"/>
      <c r="DY196" s="345"/>
      <c r="DZ196" s="345"/>
      <c r="EA196" s="345"/>
    </row>
    <row r="197" spans="1:131" hidden="1">
      <c r="A197" s="345"/>
      <c r="B197" s="345"/>
      <c r="C197" s="345"/>
      <c r="D197" s="345"/>
      <c r="E197" s="345"/>
      <c r="F197" s="345"/>
      <c r="G197" s="345"/>
      <c r="H197" s="345"/>
      <c r="I197" s="345"/>
      <c r="J197" s="345"/>
      <c r="K197" s="345"/>
      <c r="L197" s="345"/>
      <c r="M197" s="345"/>
      <c r="N197" s="345"/>
      <c r="O197" s="345"/>
      <c r="P197" s="345"/>
      <c r="Q197" s="345"/>
      <c r="R197" s="345"/>
      <c r="S197" s="345"/>
      <c r="T197" s="345"/>
      <c r="U197" s="345"/>
      <c r="V197" s="345"/>
      <c r="W197" s="345"/>
      <c r="X197" s="345"/>
      <c r="Y197" s="345"/>
      <c r="Z197" s="345"/>
      <c r="AA197" s="345"/>
      <c r="AB197" s="345"/>
      <c r="AC197" s="345"/>
      <c r="AD197" s="345"/>
      <c r="AE197" s="345"/>
      <c r="AF197" s="345"/>
      <c r="AG197" s="345"/>
      <c r="AH197" s="345"/>
      <c r="AI197" s="345"/>
      <c r="AJ197" s="345"/>
      <c r="AK197" s="345"/>
      <c r="AL197" s="345"/>
      <c r="AM197" s="345"/>
      <c r="AN197" s="345"/>
      <c r="AO197" s="345"/>
      <c r="AP197" s="345"/>
      <c r="AQ197" s="345"/>
      <c r="AR197" s="345"/>
      <c r="AS197" s="345"/>
      <c r="AT197" s="345"/>
      <c r="AU197" s="345"/>
      <c r="AV197" s="345"/>
      <c r="AW197" s="345"/>
      <c r="AX197" s="345"/>
      <c r="AY197" s="345"/>
      <c r="AZ197" s="345"/>
      <c r="BA197" s="345"/>
      <c r="BB197" s="345"/>
      <c r="BC197" s="345"/>
      <c r="BD197" s="345"/>
      <c r="BE197" s="345"/>
      <c r="BF197" s="345"/>
      <c r="BG197" s="345"/>
      <c r="BH197" s="345"/>
      <c r="BI197" s="345"/>
      <c r="BJ197" s="345"/>
      <c r="BK197" s="345"/>
      <c r="BL197" s="345"/>
      <c r="BM197" s="345"/>
      <c r="BN197" s="345"/>
      <c r="BO197" s="345"/>
      <c r="BP197" s="345"/>
      <c r="BQ197" s="345"/>
      <c r="BR197" s="345"/>
      <c r="BS197" s="345"/>
      <c r="BT197" s="345"/>
      <c r="BU197" s="345"/>
      <c r="BV197" s="345"/>
      <c r="BW197" s="345"/>
      <c r="BX197" s="345"/>
      <c r="BY197" s="345"/>
      <c r="BZ197" s="345"/>
      <c r="CA197" s="345"/>
      <c r="CB197" s="345"/>
      <c r="CC197" s="345"/>
      <c r="CD197" s="345"/>
      <c r="CE197" s="345"/>
      <c r="CF197" s="345"/>
      <c r="CG197" s="345"/>
      <c r="CH197" s="345"/>
      <c r="CI197" s="345"/>
      <c r="CJ197" s="345"/>
      <c r="CK197" s="345"/>
      <c r="CL197" s="345"/>
      <c r="CM197" s="345"/>
      <c r="CN197" s="345"/>
      <c r="CO197" s="345"/>
      <c r="CP197" s="345"/>
      <c r="CQ197" s="345"/>
      <c r="CR197" s="345"/>
      <c r="CS197" s="345"/>
      <c r="CT197" s="345"/>
      <c r="CU197" s="345"/>
      <c r="CV197" s="345"/>
      <c r="CW197" s="345"/>
      <c r="CX197" s="345"/>
      <c r="CY197" s="345"/>
      <c r="CZ197" s="345"/>
      <c r="DA197" s="345"/>
      <c r="DB197" s="345"/>
      <c r="DC197" s="345"/>
      <c r="DD197" s="345"/>
      <c r="DE197" s="345"/>
      <c r="DF197" s="345"/>
      <c r="DG197" s="345"/>
      <c r="DH197" s="345"/>
      <c r="DI197" s="345"/>
      <c r="DJ197" s="345"/>
      <c r="DK197" s="345"/>
      <c r="DL197" s="345"/>
      <c r="DM197" s="345"/>
      <c r="DN197" s="345"/>
      <c r="DO197" s="345"/>
      <c r="DP197" s="345"/>
      <c r="DQ197" s="345"/>
      <c r="DR197" s="345"/>
      <c r="DS197" s="345"/>
      <c r="DT197" s="345"/>
      <c r="DU197" s="345"/>
      <c r="DV197" s="345"/>
      <c r="DW197" s="345"/>
      <c r="DX197" s="345"/>
      <c r="DY197" s="345"/>
      <c r="DZ197" s="345"/>
      <c r="EA197" s="345"/>
    </row>
    <row r="198" spans="1:131" hidden="1">
      <c r="A198" s="345"/>
      <c r="B198" s="345"/>
      <c r="C198" s="345"/>
      <c r="D198" s="345"/>
      <c r="E198" s="345"/>
      <c r="F198" s="345"/>
      <c r="G198" s="345"/>
      <c r="H198" s="345"/>
      <c r="I198" s="345"/>
      <c r="J198" s="345"/>
      <c r="K198" s="345"/>
      <c r="L198" s="345"/>
      <c r="M198" s="345"/>
      <c r="N198" s="345"/>
      <c r="O198" s="345"/>
      <c r="P198" s="345"/>
      <c r="Q198" s="345"/>
      <c r="R198" s="345"/>
      <c r="S198" s="345"/>
      <c r="T198" s="345"/>
      <c r="U198" s="345"/>
      <c r="V198" s="345"/>
      <c r="W198" s="345"/>
      <c r="X198" s="345"/>
      <c r="Y198" s="345"/>
      <c r="Z198" s="345"/>
      <c r="AA198" s="345"/>
      <c r="AB198" s="345"/>
      <c r="AC198" s="345"/>
      <c r="AD198" s="345"/>
      <c r="AE198" s="345"/>
      <c r="AF198" s="345"/>
      <c r="AG198" s="345"/>
      <c r="AH198" s="345"/>
      <c r="AI198" s="345"/>
      <c r="AJ198" s="345"/>
      <c r="AK198" s="345"/>
      <c r="AL198" s="345"/>
      <c r="AM198" s="345"/>
      <c r="AN198" s="345"/>
      <c r="AO198" s="345"/>
      <c r="AP198" s="345"/>
      <c r="AQ198" s="345"/>
      <c r="AR198" s="345"/>
      <c r="AS198" s="345"/>
      <c r="AT198" s="345"/>
      <c r="AU198" s="345"/>
      <c r="AV198" s="345"/>
      <c r="AW198" s="345"/>
      <c r="AX198" s="345"/>
      <c r="AY198" s="345"/>
      <c r="AZ198" s="345"/>
      <c r="BA198" s="345"/>
      <c r="BB198" s="345"/>
      <c r="BC198" s="345"/>
      <c r="BD198" s="345"/>
      <c r="BE198" s="345"/>
      <c r="BF198" s="345"/>
      <c r="BG198" s="345"/>
      <c r="BH198" s="345"/>
      <c r="BI198" s="345"/>
      <c r="BJ198" s="345"/>
      <c r="BK198" s="345"/>
      <c r="BL198" s="345"/>
      <c r="BM198" s="345"/>
      <c r="BN198" s="345"/>
      <c r="BO198" s="345"/>
      <c r="BP198" s="345"/>
      <c r="BQ198" s="345"/>
      <c r="BR198" s="345"/>
      <c r="BS198" s="345"/>
      <c r="BT198" s="345"/>
      <c r="BU198" s="345"/>
      <c r="BV198" s="345"/>
      <c r="BW198" s="345"/>
      <c r="BX198" s="345"/>
      <c r="BY198" s="345"/>
      <c r="BZ198" s="345"/>
      <c r="CA198" s="345"/>
      <c r="CB198" s="345"/>
      <c r="CC198" s="345"/>
      <c r="CD198" s="345"/>
      <c r="CE198" s="345"/>
      <c r="CF198" s="345"/>
      <c r="CG198" s="345"/>
      <c r="CH198" s="345"/>
      <c r="CI198" s="345"/>
      <c r="CJ198" s="345"/>
      <c r="CK198" s="345"/>
      <c r="CL198" s="345"/>
      <c r="CM198" s="345"/>
      <c r="CN198" s="345"/>
      <c r="CO198" s="345"/>
      <c r="CP198" s="345"/>
      <c r="CQ198" s="345"/>
      <c r="CR198" s="345"/>
      <c r="CS198" s="345"/>
      <c r="CT198" s="345"/>
      <c r="CU198" s="345"/>
      <c r="CV198" s="345"/>
      <c r="CW198" s="345"/>
      <c r="CX198" s="345"/>
      <c r="CY198" s="345"/>
      <c r="CZ198" s="345"/>
      <c r="DA198" s="345"/>
      <c r="DB198" s="345"/>
      <c r="DC198" s="345"/>
      <c r="DD198" s="345"/>
      <c r="DE198" s="345"/>
      <c r="DF198" s="345"/>
      <c r="DG198" s="345"/>
      <c r="DH198" s="345"/>
      <c r="DI198" s="345"/>
      <c r="DJ198" s="345"/>
      <c r="DK198" s="345"/>
      <c r="DL198" s="345"/>
      <c r="DM198" s="345"/>
      <c r="DN198" s="345"/>
      <c r="DO198" s="345"/>
      <c r="DP198" s="345"/>
      <c r="DQ198" s="345"/>
      <c r="DR198" s="345"/>
      <c r="DS198" s="345"/>
      <c r="DT198" s="345"/>
      <c r="DU198" s="345"/>
      <c r="DV198" s="345"/>
      <c r="DW198" s="345"/>
      <c r="DX198" s="345"/>
      <c r="DY198" s="345"/>
      <c r="DZ198" s="345"/>
      <c r="EA198" s="345"/>
    </row>
    <row r="199" spans="1:131" hidden="1">
      <c r="A199" s="345"/>
      <c r="B199" s="345"/>
      <c r="C199" s="345"/>
      <c r="D199" s="345"/>
      <c r="E199" s="345"/>
      <c r="F199" s="345"/>
      <c r="G199" s="345"/>
      <c r="H199" s="345"/>
      <c r="I199" s="345"/>
      <c r="J199" s="345"/>
      <c r="K199" s="345"/>
      <c r="L199" s="345"/>
      <c r="M199" s="345"/>
      <c r="N199" s="345"/>
      <c r="O199" s="345"/>
      <c r="P199" s="345"/>
      <c r="Q199" s="345"/>
      <c r="R199" s="345"/>
      <c r="S199" s="345"/>
      <c r="T199" s="345"/>
      <c r="U199" s="345"/>
      <c r="V199" s="345"/>
      <c r="W199" s="345"/>
      <c r="X199" s="345"/>
      <c r="Y199" s="345"/>
      <c r="Z199" s="345"/>
      <c r="AA199" s="345"/>
      <c r="AB199" s="345"/>
      <c r="AC199" s="345"/>
      <c r="AD199" s="345"/>
      <c r="AE199" s="345"/>
      <c r="AF199" s="345"/>
      <c r="AG199" s="345"/>
      <c r="AH199" s="345"/>
      <c r="AI199" s="345"/>
      <c r="AJ199" s="345"/>
      <c r="AK199" s="345"/>
      <c r="AL199" s="345"/>
      <c r="AM199" s="345"/>
      <c r="AN199" s="345"/>
      <c r="AO199" s="345"/>
      <c r="AP199" s="345"/>
      <c r="AQ199" s="345"/>
      <c r="AR199" s="345"/>
      <c r="AS199" s="345"/>
      <c r="AT199" s="345"/>
      <c r="AU199" s="345"/>
      <c r="AV199" s="345"/>
      <c r="AW199" s="345"/>
      <c r="AX199" s="345"/>
      <c r="AY199" s="345"/>
      <c r="AZ199" s="345"/>
      <c r="BA199" s="345"/>
      <c r="BB199" s="345"/>
      <c r="BC199" s="345"/>
      <c r="BD199" s="345"/>
      <c r="BE199" s="345"/>
      <c r="BF199" s="345"/>
      <c r="BG199" s="345"/>
      <c r="BH199" s="345"/>
      <c r="BI199" s="345"/>
      <c r="BJ199" s="345"/>
      <c r="BK199" s="345"/>
      <c r="BL199" s="345"/>
      <c r="BM199" s="345"/>
      <c r="BN199" s="345"/>
      <c r="BO199" s="345"/>
      <c r="BP199" s="345"/>
      <c r="BQ199" s="345"/>
      <c r="BR199" s="345"/>
      <c r="BS199" s="345"/>
      <c r="BT199" s="345"/>
      <c r="BU199" s="345"/>
      <c r="BV199" s="345"/>
      <c r="BW199" s="345"/>
      <c r="BX199" s="345"/>
      <c r="BY199" s="345"/>
      <c r="BZ199" s="345"/>
      <c r="CA199" s="345"/>
      <c r="CB199" s="345"/>
      <c r="CC199" s="345"/>
      <c r="CD199" s="345"/>
      <c r="CE199" s="345"/>
      <c r="CF199" s="345"/>
      <c r="CG199" s="345"/>
      <c r="CH199" s="345"/>
      <c r="CI199" s="345"/>
      <c r="CJ199" s="345"/>
      <c r="CK199" s="345"/>
      <c r="CL199" s="345"/>
      <c r="CM199" s="345"/>
      <c r="CN199" s="345"/>
      <c r="CO199" s="345"/>
      <c r="CP199" s="345"/>
      <c r="CQ199" s="345"/>
      <c r="CR199" s="345"/>
      <c r="CS199" s="345"/>
      <c r="CT199" s="345"/>
      <c r="CU199" s="345"/>
      <c r="CV199" s="345"/>
      <c r="CW199" s="345"/>
      <c r="CX199" s="345"/>
      <c r="CY199" s="345"/>
      <c r="CZ199" s="345"/>
      <c r="DA199" s="345"/>
      <c r="DB199" s="345"/>
      <c r="DC199" s="345"/>
      <c r="DD199" s="345"/>
      <c r="DE199" s="345"/>
      <c r="DF199" s="345"/>
      <c r="DG199" s="345"/>
      <c r="DH199" s="345"/>
      <c r="DI199" s="345"/>
      <c r="DJ199" s="345"/>
      <c r="DK199" s="345"/>
      <c r="DL199" s="345"/>
      <c r="DM199" s="345"/>
      <c r="DN199" s="345"/>
      <c r="DO199" s="345"/>
      <c r="DP199" s="345"/>
      <c r="DQ199" s="345"/>
      <c r="DR199" s="345"/>
      <c r="DS199" s="345"/>
      <c r="DT199" s="345"/>
      <c r="DU199" s="345"/>
      <c r="DV199" s="345"/>
      <c r="DW199" s="345"/>
      <c r="DX199" s="345"/>
      <c r="DY199" s="345"/>
      <c r="DZ199" s="345"/>
      <c r="EA199" s="345"/>
    </row>
    <row r="200" spans="1:131" hidden="1">
      <c r="A200" s="345"/>
      <c r="B200" s="345"/>
      <c r="C200" s="345"/>
      <c r="D200" s="345"/>
      <c r="E200" s="345"/>
      <c r="F200" s="345"/>
      <c r="G200" s="345"/>
      <c r="H200" s="345"/>
      <c r="I200" s="345"/>
      <c r="J200" s="345"/>
      <c r="K200" s="345"/>
      <c r="L200" s="345"/>
      <c r="M200" s="345"/>
      <c r="N200" s="345"/>
      <c r="O200" s="345"/>
      <c r="P200" s="345"/>
      <c r="Q200" s="345"/>
      <c r="R200" s="345"/>
      <c r="S200" s="345"/>
      <c r="T200" s="345"/>
      <c r="U200" s="345"/>
      <c r="V200" s="345"/>
      <c r="W200" s="345"/>
      <c r="X200" s="345"/>
      <c r="Y200" s="345"/>
      <c r="Z200" s="345"/>
      <c r="AA200" s="345"/>
      <c r="AB200" s="345"/>
      <c r="AC200" s="345"/>
      <c r="AD200" s="345"/>
      <c r="AE200" s="345"/>
      <c r="AF200" s="345"/>
      <c r="AG200" s="345"/>
      <c r="AH200" s="345"/>
      <c r="AI200" s="345"/>
      <c r="AJ200" s="345"/>
      <c r="AK200" s="345"/>
      <c r="AL200" s="345"/>
      <c r="AM200" s="345"/>
      <c r="AN200" s="345"/>
      <c r="AO200" s="345"/>
      <c r="AP200" s="345"/>
      <c r="AQ200" s="345"/>
      <c r="AR200" s="345"/>
      <c r="AS200" s="345"/>
      <c r="AT200" s="345"/>
      <c r="AU200" s="345"/>
      <c r="AV200" s="345"/>
      <c r="AW200" s="345"/>
      <c r="AX200" s="345"/>
      <c r="AY200" s="345"/>
      <c r="AZ200" s="345"/>
      <c r="BA200" s="345"/>
      <c r="BB200" s="345"/>
      <c r="BC200" s="345"/>
      <c r="BD200" s="345"/>
      <c r="BE200" s="345"/>
      <c r="BF200" s="345"/>
      <c r="BG200" s="345"/>
      <c r="BH200" s="345"/>
      <c r="BI200" s="345"/>
      <c r="BJ200" s="345"/>
      <c r="BK200" s="345"/>
      <c r="BL200" s="345"/>
      <c r="BM200" s="345"/>
      <c r="BN200" s="345"/>
      <c r="BO200" s="345"/>
      <c r="BP200" s="345"/>
      <c r="BQ200" s="345"/>
      <c r="BR200" s="345"/>
      <c r="BS200" s="345"/>
      <c r="BT200" s="345"/>
      <c r="BU200" s="345"/>
      <c r="BV200" s="345"/>
      <c r="BW200" s="345"/>
      <c r="BX200" s="345"/>
      <c r="BY200" s="345"/>
      <c r="BZ200" s="345"/>
      <c r="CA200" s="345"/>
      <c r="CB200" s="345"/>
      <c r="CC200" s="345"/>
      <c r="CD200" s="345"/>
      <c r="CE200" s="345"/>
      <c r="CF200" s="345"/>
      <c r="CG200" s="345"/>
      <c r="CH200" s="345"/>
      <c r="CI200" s="345"/>
      <c r="CJ200" s="345"/>
      <c r="CK200" s="345"/>
      <c r="CL200" s="345"/>
      <c r="CM200" s="345"/>
      <c r="CN200" s="345"/>
      <c r="CO200" s="345"/>
      <c r="CP200" s="345"/>
      <c r="CQ200" s="345"/>
      <c r="CR200" s="345"/>
      <c r="CS200" s="345"/>
      <c r="CT200" s="345"/>
      <c r="CU200" s="345"/>
      <c r="CV200" s="345"/>
      <c r="CW200" s="345"/>
      <c r="CX200" s="345"/>
      <c r="CY200" s="345"/>
      <c r="CZ200" s="345"/>
      <c r="DA200" s="345"/>
      <c r="DB200" s="345"/>
      <c r="DC200" s="345"/>
      <c r="DD200" s="345"/>
      <c r="DE200" s="345"/>
      <c r="DF200" s="345"/>
      <c r="DG200" s="345"/>
      <c r="DH200" s="345"/>
      <c r="DI200" s="345"/>
      <c r="DJ200" s="345"/>
      <c r="DK200" s="345"/>
      <c r="DL200" s="345"/>
      <c r="DM200" s="345"/>
      <c r="DN200" s="345"/>
      <c r="DO200" s="345"/>
      <c r="DP200" s="345"/>
      <c r="DQ200" s="345"/>
      <c r="DR200" s="345"/>
      <c r="DS200" s="345"/>
      <c r="DT200" s="345"/>
      <c r="DU200" s="345"/>
      <c r="DV200" s="345"/>
      <c r="DW200" s="345"/>
      <c r="DX200" s="345"/>
      <c r="DY200" s="345"/>
      <c r="DZ200" s="345"/>
      <c r="EA200" s="345"/>
    </row>
    <row r="201" spans="1:131" hidden="1">
      <c r="A201" s="345"/>
      <c r="B201" s="345"/>
      <c r="C201" s="345"/>
      <c r="D201" s="345"/>
      <c r="E201" s="345"/>
      <c r="F201" s="345"/>
      <c r="G201" s="345"/>
      <c r="H201" s="345"/>
      <c r="I201" s="345"/>
      <c r="J201" s="345"/>
      <c r="K201" s="345"/>
      <c r="L201" s="345"/>
      <c r="M201" s="345"/>
      <c r="N201" s="345"/>
      <c r="O201" s="345"/>
      <c r="P201" s="345"/>
      <c r="Q201" s="345"/>
      <c r="R201" s="345"/>
      <c r="S201" s="345"/>
      <c r="T201" s="345"/>
      <c r="U201" s="345"/>
      <c r="V201" s="345"/>
      <c r="W201" s="345"/>
      <c r="X201" s="345"/>
      <c r="Y201" s="345"/>
      <c r="Z201" s="345"/>
      <c r="AA201" s="345"/>
      <c r="AB201" s="345"/>
      <c r="AC201" s="345"/>
      <c r="AD201" s="345"/>
      <c r="AE201" s="345"/>
      <c r="AF201" s="345"/>
      <c r="AG201" s="345"/>
      <c r="AH201" s="345"/>
      <c r="AI201" s="345"/>
      <c r="AJ201" s="345"/>
      <c r="AK201" s="345"/>
      <c r="AL201" s="345"/>
      <c r="AM201" s="345"/>
      <c r="AN201" s="345"/>
      <c r="AO201" s="345"/>
      <c r="AP201" s="345"/>
      <c r="AQ201" s="345"/>
      <c r="AR201" s="345"/>
      <c r="AS201" s="345"/>
      <c r="AT201" s="345"/>
      <c r="AU201" s="345"/>
      <c r="AV201" s="345"/>
      <c r="AW201" s="345"/>
      <c r="AX201" s="345"/>
      <c r="AY201" s="345"/>
      <c r="AZ201" s="345"/>
      <c r="BA201" s="345"/>
      <c r="BB201" s="345"/>
      <c r="BC201" s="345"/>
      <c r="BD201" s="345"/>
      <c r="BE201" s="345"/>
      <c r="BF201" s="345"/>
      <c r="BG201" s="345"/>
      <c r="BH201" s="345"/>
      <c r="BI201" s="345"/>
      <c r="BJ201" s="345"/>
      <c r="BK201" s="345"/>
      <c r="BL201" s="345"/>
      <c r="BM201" s="345"/>
      <c r="BN201" s="345"/>
      <c r="BO201" s="345"/>
      <c r="BP201" s="345"/>
      <c r="BQ201" s="345"/>
      <c r="BR201" s="345"/>
      <c r="BS201" s="345"/>
      <c r="BT201" s="345"/>
      <c r="BU201" s="345"/>
      <c r="BV201" s="345"/>
      <c r="BW201" s="345"/>
      <c r="BX201" s="345"/>
      <c r="BY201" s="345"/>
      <c r="BZ201" s="345"/>
      <c r="CA201" s="345"/>
      <c r="CB201" s="345"/>
      <c r="CC201" s="345"/>
      <c r="CD201" s="345"/>
      <c r="CE201" s="345"/>
      <c r="CF201" s="345"/>
      <c r="CG201" s="345"/>
      <c r="CH201" s="345"/>
      <c r="CI201" s="345"/>
      <c r="CJ201" s="345"/>
      <c r="CK201" s="345"/>
      <c r="CL201" s="345"/>
      <c r="CM201" s="345"/>
      <c r="CN201" s="345"/>
      <c r="CO201" s="345"/>
      <c r="CP201" s="345"/>
      <c r="CQ201" s="345"/>
      <c r="CR201" s="345"/>
      <c r="CS201" s="345"/>
      <c r="CT201" s="345"/>
      <c r="CU201" s="345"/>
      <c r="CV201" s="345"/>
      <c r="CW201" s="345"/>
      <c r="CX201" s="345"/>
      <c r="CY201" s="345"/>
      <c r="CZ201" s="345"/>
      <c r="DA201" s="345"/>
      <c r="DB201" s="345"/>
      <c r="DC201" s="345"/>
      <c r="DD201" s="345"/>
      <c r="DE201" s="345"/>
      <c r="DF201" s="345"/>
      <c r="DG201" s="345"/>
      <c r="DH201" s="345"/>
      <c r="DI201" s="345"/>
      <c r="DJ201" s="345"/>
      <c r="DK201" s="345"/>
      <c r="DL201" s="345"/>
      <c r="DM201" s="345"/>
      <c r="DN201" s="345"/>
      <c r="DO201" s="345"/>
      <c r="DP201" s="345"/>
      <c r="DQ201" s="345"/>
      <c r="DR201" s="345"/>
      <c r="DS201" s="345"/>
      <c r="DT201" s="345"/>
      <c r="DU201" s="345"/>
      <c r="DV201" s="345"/>
      <c r="DW201" s="345"/>
      <c r="DX201" s="345"/>
      <c r="DY201" s="345"/>
      <c r="DZ201" s="345"/>
      <c r="EA201" s="345"/>
    </row>
    <row r="202" spans="1:131" hidden="1">
      <c r="A202" s="345"/>
      <c r="B202" s="345"/>
      <c r="C202" s="345"/>
      <c r="D202" s="345"/>
      <c r="E202" s="345"/>
      <c r="F202" s="345"/>
      <c r="G202" s="345"/>
      <c r="H202" s="345"/>
      <c r="I202" s="345"/>
      <c r="J202" s="345"/>
      <c r="K202" s="345"/>
      <c r="L202" s="345"/>
      <c r="M202" s="345"/>
      <c r="N202" s="345"/>
      <c r="O202" s="345"/>
      <c r="P202" s="345"/>
      <c r="Q202" s="345"/>
      <c r="R202" s="345"/>
      <c r="S202" s="345"/>
      <c r="T202" s="345"/>
      <c r="U202" s="345"/>
      <c r="V202" s="345"/>
      <c r="W202" s="345"/>
      <c r="X202" s="345"/>
      <c r="Y202" s="345"/>
      <c r="Z202" s="345"/>
      <c r="AA202" s="345"/>
      <c r="AB202" s="345"/>
      <c r="AC202" s="345"/>
      <c r="AD202" s="345"/>
      <c r="AE202" s="345"/>
      <c r="AF202" s="345"/>
      <c r="AG202" s="345"/>
      <c r="AH202" s="345"/>
      <c r="AI202" s="345"/>
      <c r="AJ202" s="345"/>
      <c r="AK202" s="345"/>
      <c r="AL202" s="345"/>
      <c r="AM202" s="345"/>
      <c r="AN202" s="345"/>
      <c r="AO202" s="345"/>
      <c r="AP202" s="345"/>
      <c r="AQ202" s="345"/>
      <c r="AR202" s="345"/>
      <c r="AS202" s="345"/>
      <c r="AT202" s="345"/>
      <c r="AU202" s="345"/>
      <c r="AV202" s="345"/>
      <c r="AW202" s="345"/>
      <c r="AX202" s="345"/>
      <c r="AY202" s="345"/>
      <c r="AZ202" s="345"/>
      <c r="BA202" s="345"/>
      <c r="BB202" s="345"/>
      <c r="BC202" s="345"/>
      <c r="BD202" s="345"/>
      <c r="BE202" s="345"/>
      <c r="BF202" s="345"/>
      <c r="BG202" s="345"/>
      <c r="BH202" s="345"/>
      <c r="BI202" s="345"/>
      <c r="BJ202" s="345"/>
      <c r="BK202" s="345"/>
      <c r="BL202" s="345"/>
      <c r="BM202" s="345"/>
      <c r="BN202" s="345"/>
      <c r="BO202" s="345"/>
      <c r="BP202" s="345"/>
      <c r="BQ202" s="345"/>
      <c r="BR202" s="345"/>
      <c r="BS202" s="345"/>
      <c r="BT202" s="345"/>
      <c r="BU202" s="345"/>
      <c r="BV202" s="345"/>
      <c r="BW202" s="345"/>
      <c r="BX202" s="345"/>
      <c r="BY202" s="345"/>
      <c r="BZ202" s="345"/>
      <c r="CA202" s="345"/>
      <c r="CB202" s="345"/>
      <c r="CC202" s="345"/>
      <c r="CD202" s="345"/>
      <c r="CE202" s="345"/>
      <c r="CF202" s="345"/>
      <c r="CG202" s="345"/>
      <c r="CH202" s="345"/>
      <c r="CI202" s="345"/>
      <c r="CJ202" s="345"/>
      <c r="CK202" s="345"/>
      <c r="CL202" s="345"/>
      <c r="CM202" s="345"/>
      <c r="CN202" s="345"/>
      <c r="CO202" s="345"/>
      <c r="CP202" s="345"/>
      <c r="CQ202" s="345"/>
      <c r="CR202" s="345"/>
      <c r="CS202" s="345"/>
      <c r="CT202" s="345"/>
      <c r="CU202" s="345"/>
      <c r="CV202" s="345"/>
      <c r="CW202" s="345"/>
      <c r="CX202" s="345"/>
      <c r="CY202" s="345"/>
      <c r="CZ202" s="345"/>
      <c r="DA202" s="345"/>
      <c r="DB202" s="345"/>
      <c r="DC202" s="345"/>
      <c r="DD202" s="345"/>
      <c r="DE202" s="345"/>
      <c r="DF202" s="345"/>
      <c r="DG202" s="345"/>
      <c r="DH202" s="345"/>
      <c r="DI202" s="345"/>
      <c r="DJ202" s="345"/>
      <c r="DK202" s="345"/>
      <c r="DL202" s="345"/>
      <c r="DM202" s="345"/>
      <c r="DN202" s="345"/>
      <c r="DO202" s="345"/>
      <c r="DP202" s="345"/>
      <c r="DQ202" s="345"/>
      <c r="DR202" s="345"/>
      <c r="DS202" s="345"/>
      <c r="DT202" s="345"/>
      <c r="DU202" s="345"/>
      <c r="DV202" s="345"/>
      <c r="DW202" s="345"/>
      <c r="DX202" s="345"/>
      <c r="DY202" s="345"/>
      <c r="DZ202" s="345"/>
      <c r="EA202" s="345"/>
    </row>
    <row r="203" spans="1:131" hidden="1">
      <c r="A203" s="345"/>
      <c r="B203" s="345"/>
      <c r="C203" s="345"/>
      <c r="D203" s="345"/>
      <c r="E203" s="345"/>
      <c r="F203" s="345"/>
      <c r="G203" s="345"/>
      <c r="H203" s="345"/>
      <c r="I203" s="345"/>
      <c r="J203" s="345"/>
      <c r="K203" s="345"/>
      <c r="L203" s="345"/>
      <c r="M203" s="345"/>
      <c r="N203" s="345"/>
      <c r="O203" s="345"/>
      <c r="P203" s="345"/>
      <c r="Q203" s="345"/>
      <c r="R203" s="345"/>
      <c r="S203" s="345"/>
      <c r="T203" s="345"/>
      <c r="U203" s="345"/>
      <c r="V203" s="345"/>
      <c r="W203" s="345"/>
      <c r="X203" s="345"/>
      <c r="Y203" s="345"/>
      <c r="Z203" s="345"/>
      <c r="AA203" s="345"/>
      <c r="AB203" s="345"/>
      <c r="AC203" s="345"/>
      <c r="AD203" s="345"/>
      <c r="AE203" s="345"/>
      <c r="AF203" s="345"/>
      <c r="AG203" s="345"/>
      <c r="AH203" s="345"/>
      <c r="AI203" s="345"/>
      <c r="AJ203" s="345"/>
      <c r="AK203" s="345"/>
      <c r="AL203" s="345"/>
      <c r="AM203" s="345"/>
      <c r="AN203" s="345"/>
      <c r="AO203" s="345"/>
      <c r="AP203" s="345"/>
      <c r="AQ203" s="345"/>
      <c r="AR203" s="345"/>
      <c r="AS203" s="345"/>
      <c r="AT203" s="345"/>
      <c r="AU203" s="345"/>
      <c r="AV203" s="345"/>
      <c r="AW203" s="345"/>
      <c r="AX203" s="345"/>
      <c r="AY203" s="345"/>
      <c r="AZ203" s="345"/>
      <c r="BA203" s="345"/>
      <c r="BB203" s="345"/>
      <c r="BC203" s="345"/>
      <c r="BD203" s="345"/>
      <c r="BE203" s="345"/>
      <c r="BF203" s="345"/>
      <c r="BG203" s="345"/>
      <c r="BH203" s="345"/>
      <c r="BI203" s="345"/>
      <c r="BJ203" s="345"/>
      <c r="BK203" s="345"/>
      <c r="BL203" s="345"/>
      <c r="BM203" s="345"/>
      <c r="BN203" s="345"/>
      <c r="BO203" s="345"/>
      <c r="BP203" s="345"/>
      <c r="BQ203" s="345"/>
      <c r="BR203" s="345"/>
      <c r="BS203" s="345"/>
      <c r="BT203" s="345"/>
      <c r="BU203" s="345"/>
      <c r="BV203" s="345"/>
      <c r="BW203" s="345"/>
      <c r="BX203" s="345"/>
      <c r="BY203" s="345"/>
      <c r="BZ203" s="345"/>
      <c r="CA203" s="345"/>
      <c r="CB203" s="345"/>
      <c r="CC203" s="345"/>
      <c r="CD203" s="345"/>
      <c r="CE203" s="345"/>
      <c r="CF203" s="345"/>
      <c r="CG203" s="345"/>
      <c r="CH203" s="345"/>
      <c r="CI203" s="345"/>
      <c r="CJ203" s="345"/>
      <c r="CK203" s="345"/>
      <c r="CL203" s="345"/>
      <c r="CM203" s="345"/>
      <c r="CN203" s="345"/>
      <c r="CO203" s="345"/>
      <c r="CP203" s="345"/>
      <c r="CQ203" s="345"/>
      <c r="CR203" s="345"/>
      <c r="CS203" s="345"/>
      <c r="CT203" s="345"/>
      <c r="CU203" s="345"/>
      <c r="CV203" s="345"/>
      <c r="CW203" s="345"/>
      <c r="CX203" s="345"/>
      <c r="CY203" s="345"/>
      <c r="CZ203" s="345"/>
      <c r="DA203" s="345"/>
      <c r="DB203" s="345"/>
      <c r="DC203" s="345"/>
      <c r="DD203" s="345"/>
      <c r="DE203" s="345"/>
      <c r="DF203" s="345"/>
      <c r="DG203" s="345"/>
      <c r="DH203" s="345"/>
      <c r="DI203" s="345"/>
      <c r="DJ203" s="345"/>
      <c r="DK203" s="345"/>
      <c r="DL203" s="345"/>
      <c r="DM203" s="345"/>
      <c r="DN203" s="345"/>
      <c r="DO203" s="345"/>
      <c r="DP203" s="345"/>
      <c r="DQ203" s="345"/>
      <c r="DR203" s="345"/>
      <c r="DS203" s="345"/>
      <c r="DT203" s="345"/>
      <c r="DU203" s="345"/>
      <c r="DV203" s="345"/>
      <c r="DW203" s="345"/>
      <c r="DX203" s="345"/>
      <c r="DY203" s="345"/>
      <c r="DZ203" s="345"/>
      <c r="EA203" s="345"/>
    </row>
    <row r="204" spans="1:131" hidden="1">
      <c r="A204" s="345"/>
      <c r="B204" s="345"/>
      <c r="C204" s="345"/>
      <c r="D204" s="345"/>
      <c r="E204" s="345"/>
      <c r="F204" s="345"/>
      <c r="G204" s="345"/>
      <c r="H204" s="345"/>
      <c r="I204" s="345"/>
      <c r="J204" s="345"/>
      <c r="K204" s="345"/>
      <c r="L204" s="345"/>
      <c r="M204" s="345"/>
      <c r="N204" s="345"/>
      <c r="O204" s="345"/>
      <c r="P204" s="345"/>
      <c r="Q204" s="345"/>
      <c r="R204" s="345"/>
      <c r="S204" s="345"/>
      <c r="T204" s="345"/>
      <c r="U204" s="345"/>
      <c r="V204" s="345"/>
      <c r="W204" s="345"/>
      <c r="X204" s="345"/>
      <c r="Y204" s="345"/>
      <c r="Z204" s="345"/>
      <c r="AA204" s="345"/>
      <c r="AB204" s="345"/>
      <c r="AC204" s="345"/>
      <c r="AD204" s="345"/>
      <c r="AE204" s="345"/>
      <c r="AF204" s="345"/>
      <c r="AG204" s="345"/>
      <c r="AH204" s="345"/>
      <c r="AI204" s="345"/>
      <c r="AJ204" s="345"/>
      <c r="AK204" s="345"/>
      <c r="AL204" s="345"/>
      <c r="AM204" s="345"/>
      <c r="AN204" s="345"/>
      <c r="AO204" s="345"/>
      <c r="AP204" s="345"/>
      <c r="AQ204" s="345"/>
      <c r="AR204" s="345"/>
      <c r="AS204" s="345"/>
      <c r="AT204" s="345"/>
      <c r="AU204" s="345"/>
      <c r="AV204" s="345"/>
      <c r="AW204" s="345"/>
      <c r="AX204" s="345"/>
      <c r="AY204" s="345"/>
      <c r="AZ204" s="345"/>
      <c r="BA204" s="345"/>
      <c r="BB204" s="345"/>
      <c r="BC204" s="345"/>
      <c r="BD204" s="345"/>
      <c r="BE204" s="345"/>
      <c r="BF204" s="345"/>
      <c r="BG204" s="345"/>
      <c r="BH204" s="345"/>
      <c r="BI204" s="345"/>
      <c r="BJ204" s="345"/>
      <c r="BK204" s="345"/>
      <c r="BL204" s="345"/>
      <c r="BM204" s="345"/>
      <c r="BN204" s="345"/>
      <c r="BO204" s="345"/>
      <c r="BP204" s="345"/>
      <c r="BQ204" s="345"/>
      <c r="BR204" s="345"/>
      <c r="BS204" s="345"/>
      <c r="BT204" s="345"/>
      <c r="BU204" s="345"/>
      <c r="BV204" s="345"/>
      <c r="BW204" s="345"/>
      <c r="BX204" s="345"/>
      <c r="BY204" s="345"/>
      <c r="BZ204" s="345"/>
      <c r="CA204" s="345"/>
      <c r="CB204" s="345"/>
      <c r="CC204" s="345"/>
      <c r="CD204" s="345"/>
      <c r="CE204" s="345"/>
      <c r="CF204" s="345"/>
      <c r="CG204" s="345"/>
      <c r="CH204" s="345"/>
      <c r="CI204" s="345"/>
      <c r="CJ204" s="345"/>
      <c r="CK204" s="345"/>
      <c r="CL204" s="345"/>
      <c r="CM204" s="345"/>
      <c r="CN204" s="345"/>
      <c r="CO204" s="345"/>
      <c r="CP204" s="345"/>
      <c r="CQ204" s="345"/>
      <c r="CR204" s="345"/>
      <c r="CS204" s="345"/>
      <c r="CT204" s="345"/>
      <c r="CU204" s="345"/>
      <c r="CV204" s="345"/>
      <c r="CW204" s="345"/>
      <c r="CX204" s="345"/>
      <c r="CY204" s="345"/>
      <c r="CZ204" s="345"/>
      <c r="DA204" s="345"/>
      <c r="DB204" s="345"/>
      <c r="DC204" s="345"/>
      <c r="DD204" s="345"/>
      <c r="DE204" s="345"/>
      <c r="DF204" s="345"/>
      <c r="DG204" s="345"/>
      <c r="DH204" s="345"/>
      <c r="DI204" s="345"/>
      <c r="DJ204" s="345"/>
      <c r="DK204" s="345"/>
      <c r="DL204" s="345"/>
      <c r="DM204" s="345"/>
      <c r="DN204" s="345"/>
      <c r="DO204" s="345"/>
      <c r="DP204" s="345"/>
      <c r="DQ204" s="345"/>
      <c r="DR204" s="345"/>
      <c r="DS204" s="345"/>
      <c r="DT204" s="345"/>
      <c r="DU204" s="345"/>
      <c r="DV204" s="345"/>
      <c r="DW204" s="345"/>
      <c r="DX204" s="345"/>
      <c r="DY204" s="345"/>
      <c r="DZ204" s="345"/>
      <c r="EA204" s="345"/>
    </row>
    <row r="205" spans="1:131" hidden="1">
      <c r="A205" s="345"/>
      <c r="B205" s="345"/>
      <c r="C205" s="345"/>
      <c r="D205" s="345"/>
      <c r="E205" s="345"/>
      <c r="F205" s="345"/>
      <c r="G205" s="345"/>
      <c r="H205" s="345"/>
      <c r="I205" s="345"/>
      <c r="J205" s="345"/>
      <c r="K205" s="345"/>
      <c r="L205" s="345"/>
      <c r="M205" s="345"/>
      <c r="N205" s="345"/>
      <c r="O205" s="345"/>
      <c r="P205" s="345"/>
      <c r="Q205" s="345"/>
      <c r="R205" s="345"/>
      <c r="S205" s="345"/>
      <c r="T205" s="345"/>
      <c r="U205" s="345"/>
      <c r="V205" s="345"/>
      <c r="W205" s="345"/>
      <c r="X205" s="345"/>
      <c r="Y205" s="345"/>
      <c r="Z205" s="345"/>
      <c r="AA205" s="345"/>
      <c r="AB205" s="345"/>
      <c r="AC205" s="345"/>
      <c r="AD205" s="345"/>
      <c r="AE205" s="345"/>
      <c r="AF205" s="345"/>
      <c r="AG205" s="345"/>
      <c r="AH205" s="345"/>
      <c r="AI205" s="345"/>
      <c r="AJ205" s="345"/>
      <c r="AK205" s="345"/>
      <c r="AL205" s="345"/>
      <c r="AM205" s="345"/>
      <c r="AN205" s="345"/>
      <c r="AO205" s="345"/>
      <c r="AP205" s="345"/>
      <c r="AQ205" s="345"/>
      <c r="AR205" s="345"/>
      <c r="AS205" s="345"/>
      <c r="AT205" s="345"/>
      <c r="AU205" s="345"/>
      <c r="AV205" s="345"/>
      <c r="AW205" s="345"/>
      <c r="AX205" s="345"/>
      <c r="AY205" s="345"/>
      <c r="AZ205" s="345"/>
      <c r="BA205" s="345"/>
      <c r="BB205" s="345"/>
      <c r="BC205" s="345"/>
      <c r="BD205" s="345"/>
      <c r="BE205" s="345"/>
      <c r="BF205" s="345"/>
      <c r="BG205" s="345"/>
      <c r="BH205" s="345"/>
      <c r="BI205" s="345"/>
      <c r="BJ205" s="345"/>
      <c r="BK205" s="345"/>
      <c r="BL205" s="345"/>
      <c r="BM205" s="345"/>
      <c r="BN205" s="345"/>
      <c r="BO205" s="345"/>
      <c r="BP205" s="345"/>
      <c r="BQ205" s="345"/>
      <c r="BR205" s="345"/>
      <c r="BS205" s="345"/>
      <c r="BT205" s="345"/>
      <c r="BU205" s="345"/>
      <c r="BV205" s="345"/>
      <c r="BW205" s="345"/>
      <c r="BX205" s="345"/>
      <c r="BY205" s="345"/>
      <c r="BZ205" s="345"/>
      <c r="CA205" s="345"/>
      <c r="CB205" s="345"/>
      <c r="CC205" s="345"/>
      <c r="CD205" s="345"/>
      <c r="CE205" s="345"/>
      <c r="CF205" s="345"/>
      <c r="CG205" s="345"/>
      <c r="CH205" s="345"/>
      <c r="CI205" s="345"/>
      <c r="CJ205" s="345"/>
      <c r="CK205" s="345"/>
      <c r="CL205" s="345"/>
      <c r="CM205" s="345"/>
      <c r="CN205" s="345"/>
      <c r="CO205" s="345"/>
      <c r="CP205" s="345"/>
      <c r="CQ205" s="345"/>
      <c r="CR205" s="345"/>
      <c r="CS205" s="345"/>
      <c r="CT205" s="345"/>
      <c r="CU205" s="345"/>
      <c r="CV205" s="345"/>
      <c r="CW205" s="345"/>
      <c r="CX205" s="345"/>
      <c r="CY205" s="345"/>
      <c r="CZ205" s="345"/>
      <c r="DA205" s="345"/>
      <c r="DB205" s="345"/>
      <c r="DC205" s="345"/>
      <c r="DD205" s="345"/>
      <c r="DE205" s="345"/>
      <c r="DF205" s="345"/>
      <c r="DG205" s="345"/>
      <c r="DH205" s="345"/>
      <c r="DI205" s="345"/>
      <c r="DJ205" s="345"/>
      <c r="DK205" s="345"/>
      <c r="DL205" s="345"/>
      <c r="DM205" s="345"/>
      <c r="DN205" s="345"/>
      <c r="DO205" s="345"/>
      <c r="DP205" s="345"/>
      <c r="DQ205" s="345"/>
      <c r="DR205" s="345"/>
      <c r="DS205" s="345"/>
      <c r="DT205" s="345"/>
      <c r="DU205" s="345"/>
      <c r="DV205" s="345"/>
      <c r="DW205" s="345"/>
      <c r="DX205" s="345"/>
      <c r="DY205" s="345"/>
      <c r="DZ205" s="345"/>
      <c r="EA205" s="345"/>
    </row>
    <row r="206" spans="1:131" hidden="1">
      <c r="A206" s="345"/>
      <c r="B206" s="345"/>
      <c r="C206" s="345"/>
      <c r="D206" s="345"/>
      <c r="E206" s="345"/>
      <c r="F206" s="345"/>
      <c r="G206" s="345"/>
      <c r="H206" s="345"/>
      <c r="I206" s="345"/>
      <c r="J206" s="345"/>
      <c r="K206" s="345"/>
      <c r="L206" s="345"/>
      <c r="M206" s="345"/>
      <c r="N206" s="345"/>
      <c r="O206" s="345"/>
      <c r="P206" s="345"/>
      <c r="Q206" s="345"/>
      <c r="R206" s="345"/>
      <c r="S206" s="345"/>
      <c r="T206" s="345"/>
      <c r="U206" s="345"/>
      <c r="V206" s="345"/>
      <c r="W206" s="345"/>
      <c r="X206" s="345"/>
      <c r="Y206" s="345"/>
      <c r="Z206" s="345"/>
      <c r="AA206" s="345"/>
      <c r="AB206" s="345"/>
      <c r="AC206" s="345"/>
      <c r="AD206" s="345"/>
      <c r="AE206" s="345"/>
      <c r="AF206" s="345"/>
      <c r="AG206" s="345"/>
      <c r="AH206" s="345"/>
      <c r="AI206" s="345"/>
      <c r="AJ206" s="345"/>
      <c r="AK206" s="345"/>
      <c r="AL206" s="345"/>
      <c r="AM206" s="345"/>
      <c r="AN206" s="345"/>
      <c r="AO206" s="345"/>
      <c r="AP206" s="345"/>
      <c r="AQ206" s="345"/>
      <c r="AR206" s="345"/>
      <c r="AS206" s="345"/>
      <c r="AT206" s="345"/>
      <c r="AU206" s="345"/>
      <c r="AV206" s="345"/>
      <c r="AW206" s="345"/>
      <c r="AX206" s="345"/>
      <c r="AY206" s="345"/>
      <c r="AZ206" s="345"/>
      <c r="BA206" s="345"/>
      <c r="BB206" s="345"/>
      <c r="BC206" s="345"/>
      <c r="BD206" s="345"/>
      <c r="BE206" s="345"/>
      <c r="BF206" s="345"/>
      <c r="BG206" s="345"/>
      <c r="BH206" s="345"/>
      <c r="BI206" s="345"/>
      <c r="BJ206" s="345"/>
      <c r="BK206" s="345"/>
      <c r="BL206" s="345"/>
      <c r="BM206" s="345"/>
      <c r="BN206" s="345"/>
      <c r="BO206" s="345"/>
      <c r="BP206" s="345"/>
      <c r="BQ206" s="345"/>
      <c r="BR206" s="345"/>
      <c r="BS206" s="345"/>
      <c r="BT206" s="345"/>
      <c r="BU206" s="345"/>
      <c r="BV206" s="345"/>
      <c r="BW206" s="345"/>
      <c r="BX206" s="345"/>
      <c r="BY206" s="345"/>
      <c r="BZ206" s="345"/>
      <c r="CA206" s="345"/>
      <c r="CB206" s="345"/>
      <c r="CC206" s="345"/>
      <c r="CD206" s="345"/>
      <c r="CE206" s="345"/>
      <c r="CF206" s="345"/>
      <c r="CG206" s="345"/>
      <c r="CH206" s="345"/>
      <c r="CI206" s="345"/>
      <c r="CJ206" s="345"/>
      <c r="CK206" s="345"/>
      <c r="CL206" s="345"/>
      <c r="CM206" s="345"/>
      <c r="CN206" s="345"/>
      <c r="CO206" s="345"/>
      <c r="CP206" s="345"/>
      <c r="CQ206" s="345"/>
      <c r="CR206" s="345"/>
      <c r="CS206" s="345"/>
      <c r="CT206" s="345"/>
      <c r="CU206" s="345"/>
      <c r="CV206" s="345"/>
      <c r="CW206" s="345"/>
      <c r="CX206" s="345"/>
      <c r="CY206" s="345"/>
      <c r="CZ206" s="345"/>
      <c r="DA206" s="345"/>
      <c r="DB206" s="345"/>
      <c r="DC206" s="345"/>
      <c r="DD206" s="345"/>
      <c r="DE206" s="345"/>
      <c r="DF206" s="345"/>
      <c r="DG206" s="345"/>
      <c r="DH206" s="345"/>
      <c r="DI206" s="345"/>
      <c r="DJ206" s="345"/>
      <c r="DK206" s="345"/>
      <c r="DL206" s="345"/>
      <c r="DM206" s="345"/>
      <c r="DN206" s="345"/>
      <c r="DO206" s="345"/>
      <c r="DP206" s="345"/>
      <c r="DQ206" s="345"/>
      <c r="DR206" s="345"/>
      <c r="DS206" s="345"/>
      <c r="DT206" s="345"/>
      <c r="DU206" s="345"/>
      <c r="DV206" s="345"/>
      <c r="DW206" s="345"/>
      <c r="DX206" s="345"/>
      <c r="DY206" s="345"/>
      <c r="DZ206" s="345"/>
      <c r="EA206" s="345"/>
    </row>
    <row r="207" spans="1:131" hidden="1">
      <c r="A207" s="345"/>
      <c r="B207" s="345"/>
      <c r="C207" s="345"/>
      <c r="D207" s="345"/>
      <c r="E207" s="345"/>
      <c r="F207" s="345"/>
      <c r="G207" s="345"/>
      <c r="H207" s="345"/>
      <c r="I207" s="345"/>
      <c r="J207" s="345"/>
      <c r="K207" s="345"/>
      <c r="L207" s="345"/>
      <c r="M207" s="345"/>
      <c r="N207" s="345"/>
      <c r="O207" s="345"/>
      <c r="P207" s="345"/>
      <c r="Q207" s="345"/>
      <c r="R207" s="345"/>
      <c r="S207" s="345"/>
      <c r="T207" s="345"/>
      <c r="U207" s="345"/>
      <c r="V207" s="345"/>
      <c r="W207" s="345"/>
      <c r="X207" s="345"/>
      <c r="Y207" s="345"/>
      <c r="Z207" s="345"/>
      <c r="AA207" s="345"/>
      <c r="AB207" s="345"/>
      <c r="AC207" s="345"/>
      <c r="AD207" s="345"/>
      <c r="AE207" s="345"/>
      <c r="AF207" s="345"/>
      <c r="AG207" s="345"/>
      <c r="AH207" s="345"/>
      <c r="AI207" s="345"/>
      <c r="AJ207" s="345"/>
      <c r="AK207" s="345"/>
      <c r="AL207" s="345"/>
      <c r="AM207" s="345"/>
      <c r="AN207" s="345"/>
      <c r="AO207" s="345"/>
      <c r="AP207" s="345"/>
      <c r="AQ207" s="345"/>
      <c r="AR207" s="345"/>
      <c r="AS207" s="345"/>
      <c r="AT207" s="345"/>
      <c r="AU207" s="345"/>
      <c r="AV207" s="345"/>
      <c r="AW207" s="345"/>
      <c r="AX207" s="345"/>
      <c r="AY207" s="345"/>
      <c r="AZ207" s="345"/>
      <c r="BA207" s="345"/>
      <c r="BB207" s="345"/>
      <c r="BC207" s="345"/>
      <c r="BD207" s="345"/>
      <c r="BE207" s="345"/>
      <c r="BF207" s="345"/>
      <c r="BG207" s="345"/>
      <c r="BH207" s="345"/>
      <c r="BI207" s="345"/>
      <c r="BJ207" s="345"/>
      <c r="BK207" s="345"/>
      <c r="BL207" s="345"/>
      <c r="BM207" s="345"/>
      <c r="BN207" s="345"/>
      <c r="BO207" s="345"/>
      <c r="BP207" s="345"/>
      <c r="BQ207" s="345"/>
      <c r="BR207" s="345"/>
      <c r="BS207" s="345"/>
      <c r="BT207" s="345"/>
      <c r="BU207" s="345"/>
      <c r="BV207" s="345"/>
      <c r="BW207" s="345"/>
      <c r="BX207" s="345"/>
      <c r="BY207" s="345"/>
      <c r="BZ207" s="345"/>
      <c r="CA207" s="345"/>
      <c r="CB207" s="345"/>
      <c r="CC207" s="345"/>
      <c r="CD207" s="345"/>
      <c r="CE207" s="345"/>
      <c r="CF207" s="345"/>
      <c r="CG207" s="345"/>
      <c r="CH207" s="345"/>
      <c r="CI207" s="345"/>
      <c r="CJ207" s="345"/>
      <c r="CK207" s="345"/>
      <c r="CL207" s="345"/>
      <c r="CM207" s="345"/>
      <c r="CN207" s="345"/>
      <c r="CO207" s="345"/>
      <c r="CP207" s="345"/>
      <c r="CQ207" s="345"/>
      <c r="CR207" s="345"/>
      <c r="CS207" s="345"/>
      <c r="CT207" s="345"/>
      <c r="CU207" s="345"/>
      <c r="CV207" s="345"/>
      <c r="CW207" s="345"/>
      <c r="CX207" s="345"/>
      <c r="CY207" s="345"/>
      <c r="CZ207" s="345"/>
      <c r="DA207" s="345"/>
      <c r="DB207" s="345"/>
      <c r="DC207" s="345"/>
      <c r="DD207" s="345"/>
      <c r="DE207" s="345"/>
      <c r="DF207" s="345"/>
      <c r="DG207" s="345"/>
      <c r="DH207" s="345"/>
      <c r="DI207" s="345"/>
      <c r="DJ207" s="345"/>
      <c r="DK207" s="345"/>
      <c r="DL207" s="345"/>
      <c r="DM207" s="345"/>
      <c r="DN207" s="345"/>
      <c r="DO207" s="345"/>
      <c r="DP207" s="345"/>
      <c r="DQ207" s="345"/>
      <c r="DR207" s="345"/>
      <c r="DS207" s="345"/>
      <c r="DT207" s="345"/>
      <c r="DU207" s="345"/>
      <c r="DV207" s="345"/>
      <c r="DW207" s="345"/>
      <c r="DX207" s="345"/>
      <c r="DY207" s="345"/>
      <c r="DZ207" s="345"/>
      <c r="EA207" s="345"/>
    </row>
    <row r="208" spans="1:131" hidden="1">
      <c r="A208" s="345"/>
      <c r="B208" s="345"/>
      <c r="C208" s="345"/>
      <c r="D208" s="345"/>
      <c r="E208" s="345"/>
      <c r="F208" s="345"/>
      <c r="G208" s="345"/>
      <c r="H208" s="345"/>
      <c r="I208" s="345"/>
      <c r="J208" s="345"/>
      <c r="K208" s="345"/>
      <c r="L208" s="345"/>
      <c r="M208" s="345"/>
      <c r="N208" s="345"/>
      <c r="O208" s="345"/>
      <c r="P208" s="345"/>
      <c r="Q208" s="345"/>
      <c r="R208" s="345"/>
      <c r="S208" s="345"/>
      <c r="T208" s="345"/>
      <c r="U208" s="345"/>
      <c r="V208" s="345"/>
      <c r="W208" s="345"/>
      <c r="X208" s="345"/>
      <c r="Y208" s="345"/>
      <c r="Z208" s="345"/>
      <c r="AA208" s="345"/>
      <c r="AB208" s="345"/>
      <c r="AC208" s="345"/>
      <c r="AD208" s="345"/>
      <c r="AE208" s="345"/>
      <c r="AF208" s="345"/>
      <c r="AG208" s="345"/>
      <c r="AH208" s="345"/>
      <c r="AI208" s="345"/>
      <c r="AJ208" s="345"/>
      <c r="AK208" s="345"/>
      <c r="AL208" s="345"/>
      <c r="AM208" s="345"/>
      <c r="AN208" s="345"/>
      <c r="AO208" s="345"/>
      <c r="AP208" s="345"/>
      <c r="AQ208" s="345"/>
      <c r="AR208" s="345"/>
      <c r="AS208" s="345"/>
      <c r="AT208" s="345"/>
      <c r="AU208" s="345"/>
      <c r="AV208" s="345"/>
      <c r="AW208" s="345"/>
      <c r="AX208" s="345"/>
      <c r="AY208" s="345"/>
      <c r="AZ208" s="345"/>
      <c r="BA208" s="345"/>
      <c r="BB208" s="345"/>
      <c r="BC208" s="345"/>
      <c r="BD208" s="345"/>
      <c r="BE208" s="345"/>
      <c r="BF208" s="345"/>
      <c r="BG208" s="345"/>
      <c r="BH208" s="345"/>
      <c r="BI208" s="345"/>
      <c r="BJ208" s="345"/>
      <c r="BK208" s="345"/>
      <c r="BL208" s="345"/>
      <c r="BM208" s="345"/>
      <c r="BN208" s="345"/>
      <c r="BO208" s="345"/>
      <c r="BP208" s="345"/>
      <c r="BQ208" s="345"/>
      <c r="BR208" s="345"/>
      <c r="BS208" s="345"/>
      <c r="BT208" s="345"/>
      <c r="BU208" s="345"/>
      <c r="BV208" s="345"/>
      <c r="BW208" s="345"/>
      <c r="BX208" s="345"/>
      <c r="BY208" s="345"/>
      <c r="BZ208" s="345"/>
      <c r="CA208" s="345"/>
      <c r="CB208" s="345"/>
      <c r="CC208" s="345"/>
      <c r="CD208" s="345"/>
      <c r="CE208" s="345"/>
      <c r="CF208" s="345"/>
      <c r="CG208" s="345"/>
      <c r="CH208" s="345"/>
      <c r="CI208" s="345"/>
      <c r="CJ208" s="345"/>
      <c r="CK208" s="345"/>
      <c r="CL208" s="345"/>
      <c r="CM208" s="345"/>
      <c r="CN208" s="345"/>
      <c r="CO208" s="345"/>
      <c r="CP208" s="345"/>
      <c r="CQ208" s="345"/>
      <c r="CR208" s="345"/>
      <c r="CS208" s="345"/>
      <c r="CT208" s="345"/>
      <c r="CU208" s="345"/>
      <c r="CV208" s="345"/>
      <c r="CW208" s="345"/>
      <c r="CX208" s="345"/>
      <c r="CY208" s="345"/>
      <c r="CZ208" s="345"/>
      <c r="DA208" s="345"/>
      <c r="DB208" s="345"/>
      <c r="DC208" s="345"/>
      <c r="DD208" s="345"/>
      <c r="DE208" s="345"/>
      <c r="DF208" s="345"/>
      <c r="DG208" s="345"/>
      <c r="DH208" s="345"/>
      <c r="DI208" s="345"/>
      <c r="DJ208" s="345"/>
      <c r="DK208" s="345"/>
      <c r="DL208" s="345"/>
      <c r="DM208" s="345"/>
      <c r="DN208" s="345"/>
      <c r="DO208" s="345"/>
      <c r="DP208" s="345"/>
      <c r="DQ208" s="345"/>
      <c r="DR208" s="345"/>
      <c r="DS208" s="345"/>
      <c r="DT208" s="345"/>
      <c r="DU208" s="345"/>
      <c r="DV208" s="345"/>
      <c r="DW208" s="345"/>
      <c r="DX208" s="345"/>
      <c r="DY208" s="345"/>
      <c r="DZ208" s="345"/>
      <c r="EA208" s="345"/>
    </row>
    <row r="209" spans="1:131" hidden="1">
      <c r="A209" s="345"/>
      <c r="B209" s="345"/>
      <c r="C209" s="345"/>
      <c r="D209" s="345"/>
      <c r="E209" s="345"/>
      <c r="F209" s="345"/>
      <c r="G209" s="345"/>
      <c r="H209" s="345"/>
      <c r="I209" s="345"/>
      <c r="J209" s="345"/>
      <c r="K209" s="345"/>
      <c r="L209" s="345"/>
      <c r="M209" s="345"/>
      <c r="N209" s="345"/>
      <c r="O209" s="345"/>
      <c r="P209" s="345"/>
      <c r="Q209" s="345"/>
      <c r="R209" s="345"/>
      <c r="S209" s="345"/>
      <c r="T209" s="345"/>
      <c r="U209" s="345"/>
      <c r="V209" s="345"/>
      <c r="W209" s="345"/>
      <c r="X209" s="345"/>
      <c r="Y209" s="345"/>
      <c r="Z209" s="345"/>
      <c r="AA209" s="345"/>
      <c r="AB209" s="345"/>
      <c r="AC209" s="345"/>
      <c r="AD209" s="345"/>
      <c r="AE209" s="345"/>
      <c r="AF209" s="345"/>
      <c r="AG209" s="345"/>
      <c r="AH209" s="345"/>
      <c r="AI209" s="345"/>
      <c r="AJ209" s="345"/>
      <c r="AK209" s="345"/>
      <c r="AL209" s="345"/>
      <c r="AM209" s="345"/>
      <c r="AN209" s="345"/>
      <c r="AO209" s="345"/>
      <c r="AP209" s="345"/>
      <c r="AQ209" s="345"/>
      <c r="AR209" s="345"/>
      <c r="AS209" s="345"/>
      <c r="AT209" s="345"/>
      <c r="AU209" s="345"/>
      <c r="AV209" s="345"/>
      <c r="AW209" s="345"/>
      <c r="AX209" s="345"/>
      <c r="AY209" s="345"/>
      <c r="AZ209" s="345"/>
      <c r="BA209" s="345"/>
      <c r="BB209" s="345"/>
      <c r="BC209" s="345"/>
      <c r="BD209" s="345"/>
      <c r="BE209" s="345"/>
      <c r="BF209" s="345"/>
      <c r="BG209" s="345"/>
      <c r="BH209" s="345"/>
      <c r="BI209" s="345"/>
      <c r="BJ209" s="345"/>
      <c r="BK209" s="345"/>
      <c r="BL209" s="345"/>
      <c r="BM209" s="345"/>
      <c r="BN209" s="345"/>
      <c r="BO209" s="345"/>
      <c r="BP209" s="345"/>
      <c r="BQ209" s="345"/>
      <c r="BR209" s="345"/>
      <c r="BS209" s="345"/>
      <c r="BT209" s="345"/>
      <c r="BU209" s="345"/>
      <c r="BV209" s="345"/>
      <c r="BW209" s="345"/>
      <c r="BX209" s="345"/>
      <c r="BY209" s="345"/>
      <c r="BZ209" s="345"/>
      <c r="CA209" s="345"/>
      <c r="CB209" s="345"/>
      <c r="CC209" s="345"/>
      <c r="CD209" s="345"/>
      <c r="CE209" s="345"/>
      <c r="CF209" s="345"/>
      <c r="CG209" s="345"/>
      <c r="CH209" s="345"/>
      <c r="CI209" s="345"/>
      <c r="CJ209" s="345"/>
      <c r="CK209" s="345"/>
      <c r="CL209" s="345"/>
      <c r="CM209" s="345"/>
      <c r="CN209" s="345"/>
      <c r="CO209" s="345"/>
      <c r="CP209" s="345"/>
      <c r="CQ209" s="345"/>
      <c r="CR209" s="345"/>
      <c r="CS209" s="345"/>
      <c r="CT209" s="345"/>
      <c r="CU209" s="345"/>
      <c r="CV209" s="345"/>
      <c r="CW209" s="345"/>
      <c r="CX209" s="345"/>
      <c r="CY209" s="345"/>
      <c r="CZ209" s="345"/>
      <c r="DA209" s="345"/>
      <c r="DB209" s="345"/>
      <c r="DC209" s="345"/>
      <c r="DD209" s="345"/>
      <c r="DE209" s="345"/>
      <c r="DF209" s="345"/>
      <c r="DG209" s="345"/>
      <c r="DH209" s="345"/>
      <c r="DI209" s="345"/>
      <c r="DJ209" s="345"/>
      <c r="DK209" s="345"/>
      <c r="DL209" s="345"/>
      <c r="DM209" s="345"/>
      <c r="DN209" s="345"/>
      <c r="DO209" s="345"/>
      <c r="DP209" s="345"/>
      <c r="DQ209" s="345"/>
      <c r="DR209" s="345"/>
      <c r="DS209" s="345"/>
      <c r="DT209" s="345"/>
      <c r="DU209" s="345"/>
      <c r="DV209" s="345"/>
      <c r="DW209" s="345"/>
      <c r="DX209" s="345"/>
      <c r="DY209" s="345"/>
      <c r="DZ209" s="345"/>
      <c r="EA209" s="345"/>
    </row>
    <row r="210" spans="1:131" hidden="1">
      <c r="A210" s="345"/>
      <c r="B210" s="345"/>
      <c r="C210" s="345"/>
      <c r="D210" s="345"/>
      <c r="E210" s="345"/>
      <c r="F210" s="345"/>
      <c r="G210" s="345"/>
      <c r="H210" s="345"/>
      <c r="I210" s="345"/>
      <c r="J210" s="345"/>
      <c r="K210" s="345"/>
      <c r="L210" s="345"/>
      <c r="M210" s="345"/>
      <c r="N210" s="345"/>
      <c r="O210" s="345"/>
      <c r="P210" s="345"/>
      <c r="Q210" s="345"/>
      <c r="R210" s="345"/>
      <c r="S210" s="345"/>
      <c r="T210" s="345"/>
      <c r="U210" s="345"/>
      <c r="V210" s="345"/>
      <c r="W210" s="345"/>
      <c r="X210" s="345"/>
      <c r="Y210" s="345"/>
      <c r="Z210" s="345"/>
      <c r="AA210" s="345"/>
      <c r="AB210" s="345"/>
      <c r="AC210" s="345"/>
      <c r="AD210" s="345"/>
      <c r="AE210" s="345"/>
      <c r="AF210" s="345"/>
      <c r="AG210" s="345"/>
      <c r="AH210" s="345"/>
      <c r="AI210" s="345"/>
      <c r="AJ210" s="345"/>
      <c r="AK210" s="345"/>
      <c r="AL210" s="345"/>
      <c r="AM210" s="345"/>
      <c r="AN210" s="345"/>
      <c r="AO210" s="345"/>
      <c r="AP210" s="345"/>
      <c r="AQ210" s="345"/>
      <c r="AR210" s="345"/>
      <c r="AS210" s="345"/>
      <c r="AT210" s="345"/>
      <c r="AU210" s="345"/>
      <c r="AV210" s="345"/>
      <c r="AW210" s="345"/>
      <c r="AX210" s="345"/>
      <c r="AY210" s="345"/>
      <c r="AZ210" s="345"/>
      <c r="BA210" s="345"/>
      <c r="BB210" s="345"/>
      <c r="BC210" s="345"/>
      <c r="BD210" s="345"/>
      <c r="BE210" s="345"/>
      <c r="BF210" s="345"/>
      <c r="BG210" s="345"/>
      <c r="BH210" s="345"/>
      <c r="BI210" s="345"/>
      <c r="BJ210" s="345"/>
      <c r="BK210" s="345"/>
      <c r="BL210" s="345"/>
      <c r="BM210" s="345"/>
      <c r="BN210" s="345"/>
      <c r="BO210" s="345"/>
      <c r="BP210" s="345"/>
      <c r="BQ210" s="345"/>
      <c r="BR210" s="345"/>
      <c r="BS210" s="345"/>
      <c r="BT210" s="345"/>
      <c r="BU210" s="345"/>
      <c r="BV210" s="345"/>
      <c r="BW210" s="345"/>
      <c r="BX210" s="345"/>
      <c r="BY210" s="345"/>
      <c r="BZ210" s="345"/>
      <c r="CA210" s="345"/>
      <c r="CB210" s="345"/>
      <c r="CC210" s="345"/>
      <c r="CD210" s="345"/>
      <c r="CE210" s="345"/>
      <c r="CF210" s="345"/>
      <c r="CG210" s="345"/>
      <c r="CH210" s="345"/>
      <c r="CI210" s="345"/>
      <c r="CJ210" s="345"/>
      <c r="CK210" s="345"/>
      <c r="CL210" s="345"/>
      <c r="CM210" s="345"/>
      <c r="CN210" s="345"/>
      <c r="CO210" s="345"/>
      <c r="CP210" s="345"/>
      <c r="CQ210" s="345"/>
      <c r="CR210" s="345"/>
      <c r="CS210" s="345"/>
      <c r="CT210" s="345"/>
      <c r="CU210" s="345"/>
      <c r="CV210" s="345"/>
      <c r="CW210" s="345"/>
      <c r="CX210" s="345"/>
      <c r="CY210" s="345"/>
      <c r="CZ210" s="345"/>
      <c r="DA210" s="345"/>
      <c r="DB210" s="345"/>
      <c r="DC210" s="345"/>
      <c r="DD210" s="345"/>
      <c r="DE210" s="345"/>
      <c r="DF210" s="345"/>
      <c r="DG210" s="345"/>
      <c r="DH210" s="345"/>
      <c r="DI210" s="345"/>
      <c r="DJ210" s="345"/>
      <c r="DK210" s="345"/>
      <c r="DL210" s="345"/>
      <c r="DM210" s="345"/>
      <c r="DN210" s="345"/>
      <c r="DO210" s="345"/>
      <c r="DP210" s="345"/>
      <c r="DQ210" s="345"/>
      <c r="DR210" s="345"/>
      <c r="DS210" s="345"/>
      <c r="DT210" s="345"/>
      <c r="DU210" s="345"/>
      <c r="DV210" s="345"/>
      <c r="DW210" s="345"/>
      <c r="DX210" s="345"/>
      <c r="DY210" s="345"/>
      <c r="DZ210" s="345"/>
      <c r="EA210" s="345"/>
    </row>
    <row r="211" spans="1:131" hidden="1">
      <c r="A211" s="345"/>
      <c r="B211" s="345"/>
      <c r="C211" s="345"/>
      <c r="D211" s="345"/>
      <c r="E211" s="345"/>
      <c r="F211" s="345"/>
      <c r="G211" s="345"/>
      <c r="H211" s="345"/>
      <c r="I211" s="345"/>
      <c r="J211" s="345"/>
      <c r="K211" s="345"/>
      <c r="L211" s="345"/>
      <c r="M211" s="345"/>
      <c r="N211" s="345"/>
      <c r="O211" s="345"/>
      <c r="P211" s="345"/>
      <c r="Q211" s="345"/>
      <c r="R211" s="345"/>
      <c r="S211" s="345"/>
      <c r="T211" s="345"/>
      <c r="U211" s="345"/>
      <c r="V211" s="345"/>
      <c r="W211" s="345"/>
      <c r="X211" s="345"/>
      <c r="Y211" s="345"/>
      <c r="Z211" s="345"/>
      <c r="AA211" s="345"/>
      <c r="AB211" s="345"/>
      <c r="AC211" s="345"/>
      <c r="AD211" s="345"/>
      <c r="AE211" s="345"/>
      <c r="AF211" s="345"/>
      <c r="AG211" s="345"/>
      <c r="AH211" s="345"/>
      <c r="AI211" s="345"/>
      <c r="AJ211" s="345"/>
      <c r="AK211" s="345"/>
      <c r="AL211" s="345"/>
      <c r="AM211" s="345"/>
      <c r="AN211" s="345"/>
      <c r="AO211" s="345"/>
      <c r="AP211" s="345"/>
      <c r="AQ211" s="345"/>
      <c r="AR211" s="345"/>
      <c r="AS211" s="345"/>
      <c r="AT211" s="345"/>
      <c r="AU211" s="345"/>
      <c r="AV211" s="345"/>
      <c r="AW211" s="345"/>
      <c r="AX211" s="345"/>
      <c r="AY211" s="345"/>
      <c r="AZ211" s="345"/>
      <c r="BA211" s="345"/>
      <c r="BB211" s="345"/>
      <c r="BC211" s="345"/>
      <c r="BD211" s="345"/>
      <c r="BE211" s="345"/>
      <c r="BF211" s="345"/>
      <c r="BG211" s="345"/>
      <c r="BH211" s="345"/>
      <c r="BI211" s="345"/>
      <c r="BJ211" s="345"/>
      <c r="BK211" s="345"/>
      <c r="BL211" s="345"/>
      <c r="BM211" s="345"/>
      <c r="BN211" s="345"/>
      <c r="BO211" s="345"/>
      <c r="BP211" s="345"/>
      <c r="BQ211" s="345"/>
      <c r="BR211" s="345"/>
      <c r="BS211" s="345"/>
      <c r="BT211" s="345"/>
      <c r="BU211" s="345"/>
      <c r="BV211" s="345"/>
      <c r="BW211" s="345"/>
      <c r="BX211" s="345"/>
      <c r="BY211" s="345"/>
      <c r="BZ211" s="345"/>
      <c r="CA211" s="345"/>
      <c r="CB211" s="345"/>
      <c r="CC211" s="345"/>
      <c r="CD211" s="345"/>
      <c r="CE211" s="345"/>
      <c r="CF211" s="345"/>
      <c r="CG211" s="345"/>
      <c r="CH211" s="345"/>
      <c r="CI211" s="345"/>
      <c r="CJ211" s="345"/>
      <c r="CK211" s="345"/>
      <c r="CL211" s="345"/>
      <c r="CM211" s="345"/>
      <c r="CN211" s="345"/>
      <c r="CO211" s="345"/>
      <c r="CP211" s="345"/>
      <c r="CQ211" s="345"/>
      <c r="CR211" s="345"/>
      <c r="CS211" s="345"/>
      <c r="CT211" s="345"/>
      <c r="CU211" s="345"/>
      <c r="CV211" s="345"/>
      <c r="CW211" s="345"/>
      <c r="CX211" s="345"/>
      <c r="CY211" s="345"/>
      <c r="CZ211" s="345"/>
      <c r="DA211" s="345"/>
      <c r="DB211" s="345"/>
      <c r="DC211" s="345"/>
      <c r="DD211" s="345"/>
      <c r="DE211" s="345"/>
      <c r="DF211" s="345"/>
      <c r="DG211" s="345"/>
      <c r="DH211" s="345"/>
      <c r="DI211" s="345"/>
      <c r="DJ211" s="345"/>
      <c r="DK211" s="345"/>
      <c r="DL211" s="345"/>
      <c r="DM211" s="345"/>
      <c r="DN211" s="345"/>
      <c r="DO211" s="345"/>
      <c r="DP211" s="345"/>
      <c r="DQ211" s="345"/>
      <c r="DR211" s="345"/>
      <c r="DS211" s="345"/>
      <c r="DT211" s="345"/>
      <c r="DU211" s="345"/>
      <c r="DV211" s="345"/>
      <c r="DW211" s="345"/>
      <c r="DX211" s="345"/>
      <c r="DY211" s="345"/>
      <c r="DZ211" s="345"/>
      <c r="EA211" s="345"/>
    </row>
    <row r="212" spans="1:131" hidden="1">
      <c r="A212" s="345"/>
      <c r="B212" s="345"/>
      <c r="C212" s="345"/>
      <c r="D212" s="345"/>
      <c r="E212" s="345"/>
      <c r="F212" s="345"/>
      <c r="G212" s="345"/>
      <c r="H212" s="345"/>
      <c r="I212" s="345"/>
      <c r="J212" s="345"/>
      <c r="K212" s="345"/>
      <c r="L212" s="345"/>
      <c r="M212" s="345"/>
      <c r="N212" s="345"/>
      <c r="O212" s="345"/>
      <c r="P212" s="345"/>
      <c r="Q212" s="345"/>
      <c r="R212" s="345"/>
      <c r="S212" s="345"/>
      <c r="T212" s="345"/>
      <c r="U212" s="345"/>
      <c r="V212" s="345"/>
      <c r="W212" s="345"/>
      <c r="X212" s="345"/>
      <c r="Y212" s="345"/>
      <c r="Z212" s="345"/>
      <c r="AA212" s="345"/>
      <c r="AB212" s="345"/>
      <c r="AC212" s="345"/>
      <c r="AD212" s="345"/>
      <c r="AE212" s="345"/>
      <c r="AF212" s="345"/>
      <c r="AG212" s="345"/>
      <c r="AH212" s="345"/>
      <c r="AI212" s="345"/>
      <c r="AJ212" s="345"/>
      <c r="AK212" s="345"/>
      <c r="AL212" s="345"/>
      <c r="AM212" s="345"/>
      <c r="AN212" s="345"/>
      <c r="AO212" s="345"/>
      <c r="AP212" s="345"/>
      <c r="AQ212" s="345"/>
      <c r="AR212" s="345"/>
      <c r="AS212" s="345"/>
      <c r="AT212" s="345"/>
      <c r="AU212" s="345"/>
      <c r="AV212" s="345"/>
      <c r="AW212" s="345"/>
      <c r="AX212" s="345"/>
      <c r="AY212" s="345"/>
      <c r="AZ212" s="345"/>
      <c r="BA212" s="345"/>
      <c r="BB212" s="345"/>
      <c r="BC212" s="345"/>
      <c r="BD212" s="345"/>
      <c r="BE212" s="345"/>
      <c r="BF212" s="345"/>
      <c r="BG212" s="345"/>
      <c r="BH212" s="345"/>
      <c r="BI212" s="345"/>
      <c r="BJ212" s="345"/>
      <c r="BK212" s="345"/>
      <c r="BL212" s="345"/>
      <c r="BM212" s="345"/>
      <c r="BN212" s="345"/>
      <c r="BO212" s="345"/>
      <c r="BP212" s="345"/>
      <c r="BQ212" s="345"/>
      <c r="BR212" s="345"/>
      <c r="BS212" s="345"/>
      <c r="BT212" s="345"/>
      <c r="BU212" s="345"/>
      <c r="BV212" s="345"/>
      <c r="BW212" s="345"/>
      <c r="BX212" s="345"/>
      <c r="BY212" s="345"/>
      <c r="BZ212" s="345"/>
      <c r="CA212" s="345"/>
      <c r="CB212" s="345"/>
      <c r="CC212" s="345"/>
      <c r="CD212" s="345"/>
      <c r="CE212" s="345"/>
      <c r="CF212" s="345"/>
      <c r="CG212" s="345"/>
      <c r="CH212" s="345"/>
      <c r="CI212" s="345"/>
      <c r="CJ212" s="345"/>
      <c r="CK212" s="345"/>
      <c r="CL212" s="345"/>
      <c r="CM212" s="345"/>
      <c r="CN212" s="345"/>
      <c r="CO212" s="345"/>
      <c r="CP212" s="345"/>
      <c r="CQ212" s="345"/>
      <c r="CR212" s="345"/>
      <c r="CS212" s="345"/>
      <c r="CT212" s="345"/>
      <c r="CU212" s="345"/>
      <c r="CV212" s="345"/>
      <c r="CW212" s="345"/>
      <c r="CX212" s="345"/>
      <c r="CY212" s="345"/>
      <c r="CZ212" s="345"/>
      <c r="DA212" s="345"/>
      <c r="DB212" s="345"/>
      <c r="DC212" s="345"/>
      <c r="DD212" s="345"/>
      <c r="DE212" s="345"/>
      <c r="DF212" s="345"/>
      <c r="DG212" s="345"/>
      <c r="DH212" s="345"/>
      <c r="DI212" s="345"/>
      <c r="DJ212" s="345"/>
      <c r="DK212" s="345"/>
      <c r="DL212" s="345"/>
      <c r="DM212" s="345"/>
      <c r="DN212" s="345"/>
      <c r="DO212" s="345"/>
      <c r="DP212" s="345"/>
      <c r="DQ212" s="345"/>
      <c r="DR212" s="345"/>
      <c r="DS212" s="345"/>
      <c r="DT212" s="345"/>
      <c r="DU212" s="345"/>
      <c r="DV212" s="345"/>
      <c r="DW212" s="345"/>
      <c r="DX212" s="345"/>
      <c r="DY212" s="345"/>
      <c r="DZ212" s="345"/>
      <c r="EA212" s="345"/>
    </row>
    <row r="213" spans="1:131" hidden="1">
      <c r="A213" s="345"/>
      <c r="B213" s="345"/>
      <c r="C213" s="345"/>
      <c r="D213" s="345"/>
      <c r="E213" s="345"/>
      <c r="F213" s="345"/>
      <c r="G213" s="345"/>
      <c r="H213" s="345"/>
      <c r="I213" s="345"/>
      <c r="J213" s="345"/>
      <c r="K213" s="345"/>
      <c r="L213" s="345"/>
      <c r="M213" s="345"/>
      <c r="N213" s="345"/>
      <c r="O213" s="345"/>
      <c r="P213" s="345"/>
      <c r="Q213" s="345"/>
      <c r="R213" s="345"/>
      <c r="S213" s="345"/>
      <c r="T213" s="345"/>
      <c r="U213" s="345"/>
      <c r="V213" s="345"/>
      <c r="W213" s="345"/>
      <c r="X213" s="345"/>
      <c r="Y213" s="345"/>
      <c r="Z213" s="345"/>
      <c r="AA213" s="345"/>
      <c r="AB213" s="345"/>
      <c r="AC213" s="345"/>
      <c r="AD213" s="345"/>
      <c r="AE213" s="345"/>
      <c r="AF213" s="345"/>
      <c r="AG213" s="345"/>
      <c r="AH213" s="345"/>
      <c r="AI213" s="345"/>
      <c r="AJ213" s="345"/>
      <c r="AK213" s="345"/>
      <c r="AL213" s="345"/>
      <c r="AM213" s="345"/>
      <c r="AN213" s="345"/>
      <c r="AO213" s="345"/>
      <c r="AP213" s="345"/>
      <c r="AQ213" s="345"/>
      <c r="AR213" s="345"/>
      <c r="AS213" s="345"/>
      <c r="AT213" s="345"/>
      <c r="AU213" s="345"/>
      <c r="AV213" s="345"/>
      <c r="AW213" s="345"/>
      <c r="AX213" s="345"/>
      <c r="AY213" s="345"/>
      <c r="AZ213" s="345"/>
      <c r="BA213" s="345"/>
      <c r="BB213" s="345"/>
      <c r="BC213" s="345"/>
      <c r="BD213" s="345"/>
      <c r="BE213" s="345"/>
      <c r="BF213" s="345"/>
      <c r="BG213" s="345"/>
      <c r="BH213" s="345"/>
      <c r="BI213" s="345"/>
      <c r="BJ213" s="345"/>
      <c r="BK213" s="345"/>
      <c r="BL213" s="345"/>
      <c r="BM213" s="345"/>
      <c r="BN213" s="345"/>
      <c r="BO213" s="345"/>
      <c r="BP213" s="345"/>
      <c r="BQ213" s="345"/>
      <c r="BR213" s="345"/>
      <c r="BS213" s="345"/>
      <c r="BT213" s="345"/>
      <c r="BU213" s="345"/>
      <c r="BV213" s="345"/>
      <c r="BW213" s="345"/>
      <c r="BX213" s="345"/>
      <c r="BY213" s="345"/>
      <c r="BZ213" s="345"/>
      <c r="CA213" s="345"/>
      <c r="CB213" s="345"/>
      <c r="CC213" s="345"/>
      <c r="CD213" s="345"/>
      <c r="CE213" s="345"/>
      <c r="CF213" s="345"/>
      <c r="CG213" s="345"/>
      <c r="CH213" s="345"/>
      <c r="CI213" s="345"/>
      <c r="CJ213" s="345"/>
      <c r="CK213" s="345"/>
      <c r="CL213" s="345"/>
      <c r="CM213" s="345"/>
      <c r="CN213" s="345"/>
      <c r="CO213" s="345"/>
      <c r="CP213" s="345"/>
      <c r="CQ213" s="345"/>
      <c r="CR213" s="345"/>
      <c r="CS213" s="345"/>
      <c r="CT213" s="345"/>
      <c r="CU213" s="345"/>
      <c r="CV213" s="345"/>
      <c r="CW213" s="345"/>
      <c r="CX213" s="345"/>
      <c r="CY213" s="345"/>
      <c r="CZ213" s="345"/>
      <c r="DA213" s="345"/>
      <c r="DB213" s="345"/>
      <c r="DC213" s="345"/>
      <c r="DD213" s="345"/>
      <c r="DE213" s="345"/>
      <c r="DF213" s="345"/>
      <c r="DG213" s="345"/>
      <c r="DH213" s="345"/>
      <c r="DI213" s="345"/>
      <c r="DJ213" s="345"/>
      <c r="DK213" s="345"/>
      <c r="DL213" s="345"/>
      <c r="DM213" s="345"/>
      <c r="DN213" s="345"/>
      <c r="DO213" s="345"/>
      <c r="DP213" s="345"/>
      <c r="DQ213" s="345"/>
      <c r="DR213" s="345"/>
      <c r="DS213" s="345"/>
      <c r="DT213" s="345"/>
      <c r="DU213" s="345"/>
      <c r="DV213" s="345"/>
      <c r="DW213" s="345"/>
      <c r="DX213" s="345"/>
      <c r="DY213" s="345"/>
      <c r="DZ213" s="345"/>
      <c r="EA213" s="345"/>
    </row>
    <row r="214" spans="1:131" hidden="1">
      <c r="A214" s="345"/>
      <c r="B214" s="345"/>
      <c r="C214" s="345"/>
      <c r="D214" s="345"/>
      <c r="E214" s="345"/>
      <c r="F214" s="345"/>
      <c r="G214" s="345"/>
      <c r="H214" s="345"/>
      <c r="I214" s="345"/>
      <c r="J214" s="345"/>
      <c r="K214" s="345"/>
      <c r="L214" s="345"/>
      <c r="M214" s="345"/>
      <c r="N214" s="345"/>
      <c r="O214" s="345"/>
      <c r="P214" s="345"/>
      <c r="Q214" s="345"/>
      <c r="R214" s="345"/>
      <c r="S214" s="345"/>
      <c r="T214" s="345"/>
      <c r="U214" s="345"/>
      <c r="V214" s="345"/>
      <c r="W214" s="345"/>
      <c r="X214" s="345"/>
      <c r="Y214" s="345"/>
      <c r="Z214" s="345"/>
      <c r="AA214" s="345"/>
      <c r="AB214" s="345"/>
      <c r="AC214" s="345"/>
      <c r="AD214" s="345"/>
      <c r="AE214" s="345"/>
      <c r="AF214" s="345"/>
      <c r="AG214" s="345"/>
      <c r="AH214" s="345"/>
      <c r="AI214" s="345"/>
      <c r="AJ214" s="345"/>
      <c r="AK214" s="345"/>
      <c r="AL214" s="345"/>
      <c r="AM214" s="345"/>
      <c r="AN214" s="345"/>
      <c r="AO214" s="345"/>
      <c r="AP214" s="345"/>
      <c r="AQ214" s="345"/>
      <c r="AR214" s="345"/>
      <c r="AS214" s="345"/>
      <c r="AT214" s="345"/>
      <c r="AU214" s="345"/>
      <c r="AV214" s="345"/>
      <c r="AW214" s="345"/>
      <c r="AX214" s="345"/>
      <c r="AY214" s="345"/>
      <c r="AZ214" s="345"/>
      <c r="BA214" s="345"/>
      <c r="BB214" s="345"/>
      <c r="BC214" s="345"/>
      <c r="BD214" s="345"/>
      <c r="BE214" s="345"/>
      <c r="BF214" s="345"/>
      <c r="BG214" s="345"/>
      <c r="BH214" s="345"/>
      <c r="BI214" s="345"/>
      <c r="BJ214" s="345"/>
      <c r="BK214" s="345"/>
      <c r="BL214" s="345"/>
      <c r="BM214" s="345"/>
      <c r="BN214" s="345"/>
      <c r="BO214" s="345"/>
      <c r="BP214" s="345"/>
      <c r="BQ214" s="345"/>
      <c r="BR214" s="345"/>
      <c r="BS214" s="345"/>
      <c r="BT214" s="345"/>
      <c r="BU214" s="345"/>
      <c r="BV214" s="345"/>
      <c r="BW214" s="345"/>
      <c r="BX214" s="345"/>
      <c r="BY214" s="345"/>
      <c r="BZ214" s="345"/>
      <c r="CA214" s="345"/>
      <c r="CB214" s="345"/>
      <c r="CC214" s="345"/>
      <c r="CD214" s="345"/>
      <c r="CE214" s="345"/>
      <c r="CF214" s="345"/>
      <c r="CG214" s="345"/>
      <c r="CH214" s="345"/>
      <c r="CI214" s="345"/>
      <c r="CJ214" s="345"/>
      <c r="CK214" s="345"/>
      <c r="CL214" s="345"/>
      <c r="CM214" s="345"/>
      <c r="CN214" s="345"/>
      <c r="CO214" s="345"/>
      <c r="CP214" s="345"/>
      <c r="CQ214" s="345"/>
      <c r="CR214" s="345"/>
      <c r="CS214" s="345"/>
      <c r="CT214" s="345"/>
      <c r="CU214" s="345"/>
      <c r="CV214" s="345"/>
      <c r="CW214" s="345"/>
      <c r="CX214" s="345"/>
      <c r="CY214" s="345"/>
      <c r="CZ214" s="345"/>
      <c r="DA214" s="345"/>
      <c r="DB214" s="345"/>
      <c r="DC214" s="345"/>
      <c r="DD214" s="345"/>
      <c r="DE214" s="345"/>
      <c r="DF214" s="345"/>
      <c r="DG214" s="345"/>
      <c r="DH214" s="345"/>
      <c r="DI214" s="345"/>
      <c r="DJ214" s="345"/>
      <c r="DK214" s="345"/>
      <c r="DL214" s="345"/>
      <c r="DM214" s="345"/>
      <c r="DN214" s="345"/>
      <c r="DO214" s="345"/>
      <c r="DP214" s="345"/>
      <c r="DQ214" s="345"/>
      <c r="DR214" s="345"/>
      <c r="DS214" s="345"/>
      <c r="DT214" s="345"/>
      <c r="DU214" s="345"/>
      <c r="DV214" s="345"/>
      <c r="DW214" s="345"/>
      <c r="DX214" s="345"/>
      <c r="DY214" s="345"/>
      <c r="DZ214" s="345"/>
      <c r="EA214" s="345"/>
    </row>
    <row r="215" spans="1:131" hidden="1">
      <c r="A215" s="345"/>
      <c r="B215" s="345"/>
      <c r="C215" s="345"/>
      <c r="D215" s="345"/>
      <c r="E215" s="345"/>
      <c r="F215" s="345"/>
      <c r="G215" s="345"/>
      <c r="H215" s="345"/>
      <c r="I215" s="345"/>
      <c r="J215" s="345"/>
      <c r="K215" s="345"/>
      <c r="L215" s="345"/>
      <c r="M215" s="345"/>
      <c r="N215" s="345"/>
      <c r="O215" s="345"/>
      <c r="P215" s="345"/>
      <c r="Q215" s="345"/>
      <c r="R215" s="345"/>
      <c r="S215" s="345"/>
      <c r="T215" s="345"/>
      <c r="U215" s="345"/>
      <c r="V215" s="345"/>
      <c r="W215" s="345"/>
      <c r="X215" s="345"/>
      <c r="Y215" s="345"/>
      <c r="Z215" s="345"/>
      <c r="AA215" s="345"/>
      <c r="AB215" s="345"/>
      <c r="AC215" s="345"/>
      <c r="AD215" s="345"/>
      <c r="AE215" s="345"/>
      <c r="AF215" s="345"/>
      <c r="AG215" s="345"/>
      <c r="AH215" s="345"/>
      <c r="AI215" s="345"/>
      <c r="AJ215" s="345"/>
      <c r="AK215" s="345"/>
      <c r="AL215" s="345"/>
      <c r="AM215" s="345"/>
      <c r="AN215" s="345"/>
      <c r="AO215" s="345"/>
      <c r="AP215" s="345"/>
      <c r="AQ215" s="345"/>
      <c r="AR215" s="345"/>
      <c r="AS215" s="345"/>
      <c r="AT215" s="345"/>
      <c r="AU215" s="345"/>
      <c r="AV215" s="345"/>
      <c r="AW215" s="345"/>
      <c r="AX215" s="345"/>
      <c r="AY215" s="345"/>
      <c r="AZ215" s="345"/>
      <c r="BA215" s="345"/>
      <c r="BB215" s="345"/>
      <c r="BC215" s="345"/>
      <c r="BD215" s="345"/>
      <c r="BE215" s="345"/>
      <c r="BF215" s="345"/>
      <c r="BG215" s="345"/>
      <c r="BH215" s="345"/>
      <c r="BI215" s="345"/>
      <c r="BJ215" s="345"/>
      <c r="BK215" s="345"/>
      <c r="BL215" s="345"/>
      <c r="BM215" s="345"/>
      <c r="BN215" s="345"/>
      <c r="BO215" s="345"/>
      <c r="BP215" s="345"/>
      <c r="BQ215" s="345"/>
      <c r="BR215" s="345"/>
      <c r="BS215" s="345"/>
      <c r="BT215" s="345"/>
      <c r="BU215" s="345"/>
      <c r="BV215" s="345"/>
      <c r="BW215" s="345"/>
      <c r="BX215" s="345"/>
      <c r="BY215" s="345"/>
      <c r="BZ215" s="345"/>
      <c r="CA215" s="345"/>
      <c r="CB215" s="345"/>
      <c r="CC215" s="345"/>
      <c r="CD215" s="345"/>
      <c r="CE215" s="345"/>
      <c r="CF215" s="345"/>
      <c r="CG215" s="345"/>
      <c r="CH215" s="345"/>
      <c r="CI215" s="345"/>
      <c r="CJ215" s="345"/>
      <c r="CK215" s="345"/>
      <c r="CL215" s="345"/>
      <c r="CM215" s="345"/>
      <c r="CN215" s="345"/>
      <c r="CO215" s="345"/>
      <c r="CP215" s="345"/>
      <c r="CQ215" s="345"/>
      <c r="CR215" s="345"/>
      <c r="CS215" s="345"/>
      <c r="CT215" s="345"/>
      <c r="CU215" s="345"/>
      <c r="CV215" s="345"/>
      <c r="CW215" s="345"/>
      <c r="CX215" s="345"/>
      <c r="CY215" s="345"/>
      <c r="CZ215" s="345"/>
      <c r="DA215" s="345"/>
      <c r="DB215" s="345"/>
      <c r="DC215" s="345"/>
      <c r="DD215" s="345"/>
      <c r="DE215" s="345"/>
      <c r="DF215" s="345"/>
      <c r="DG215" s="345"/>
      <c r="DH215" s="345"/>
      <c r="DI215" s="345"/>
      <c r="DJ215" s="345"/>
      <c r="DK215" s="345"/>
      <c r="DL215" s="345"/>
      <c r="DM215" s="345"/>
      <c r="DN215" s="345"/>
      <c r="DO215" s="345"/>
      <c r="DP215" s="345"/>
      <c r="DQ215" s="345"/>
      <c r="DR215" s="345"/>
      <c r="DS215" s="345"/>
      <c r="DT215" s="345"/>
      <c r="DU215" s="345"/>
      <c r="DV215" s="345"/>
      <c r="DW215" s="345"/>
      <c r="DX215" s="345"/>
      <c r="DY215" s="345"/>
      <c r="DZ215" s="345"/>
      <c r="EA215" s="345"/>
    </row>
    <row r="216" spans="1:131" hidden="1">
      <c r="A216" s="345"/>
      <c r="B216" s="345"/>
      <c r="C216" s="345"/>
      <c r="D216" s="345"/>
      <c r="E216" s="345"/>
      <c r="F216" s="345"/>
      <c r="G216" s="345"/>
      <c r="H216" s="345"/>
      <c r="I216" s="345"/>
      <c r="J216" s="345"/>
      <c r="K216" s="345"/>
      <c r="L216" s="345"/>
      <c r="M216" s="345"/>
      <c r="N216" s="345"/>
      <c r="O216" s="345"/>
      <c r="P216" s="345"/>
      <c r="Q216" s="345"/>
      <c r="R216" s="345"/>
      <c r="S216" s="345"/>
      <c r="T216" s="345"/>
      <c r="U216" s="345"/>
      <c r="V216" s="345"/>
      <c r="W216" s="345"/>
      <c r="X216" s="345"/>
      <c r="Y216" s="345"/>
      <c r="Z216" s="345"/>
      <c r="AA216" s="345"/>
      <c r="AB216" s="345"/>
      <c r="AC216" s="345"/>
      <c r="AD216" s="345"/>
      <c r="AE216" s="345"/>
      <c r="AF216" s="345"/>
      <c r="AG216" s="345"/>
      <c r="AH216" s="345"/>
      <c r="AI216" s="345"/>
      <c r="AJ216" s="345"/>
      <c r="AK216" s="345"/>
      <c r="AL216" s="345"/>
      <c r="AM216" s="345"/>
      <c r="AN216" s="345"/>
      <c r="AO216" s="345"/>
      <c r="AP216" s="345"/>
      <c r="AQ216" s="345"/>
      <c r="AR216" s="345"/>
      <c r="AS216" s="345"/>
      <c r="AT216" s="345"/>
      <c r="AU216" s="345"/>
      <c r="AV216" s="345"/>
      <c r="AW216" s="345"/>
      <c r="AX216" s="345"/>
      <c r="AY216" s="345"/>
      <c r="AZ216" s="345"/>
      <c r="BA216" s="345"/>
      <c r="BB216" s="345"/>
      <c r="BC216" s="345"/>
      <c r="BD216" s="345"/>
      <c r="BE216" s="345"/>
      <c r="BF216" s="345"/>
      <c r="BG216" s="345"/>
      <c r="BH216" s="345"/>
      <c r="BI216" s="345"/>
      <c r="BJ216" s="345"/>
      <c r="BK216" s="345"/>
      <c r="BL216" s="345"/>
      <c r="BM216" s="345"/>
      <c r="BN216" s="345"/>
      <c r="BO216" s="345"/>
      <c r="BP216" s="345"/>
      <c r="BQ216" s="345"/>
      <c r="BR216" s="345"/>
      <c r="BS216" s="345"/>
      <c r="BT216" s="345"/>
      <c r="BU216" s="345"/>
      <c r="BV216" s="345"/>
      <c r="BW216" s="345"/>
      <c r="BX216" s="345"/>
      <c r="BY216" s="345"/>
      <c r="BZ216" s="345"/>
      <c r="CA216" s="345"/>
      <c r="CB216" s="345"/>
      <c r="CC216" s="345"/>
      <c r="CD216" s="345"/>
      <c r="CE216" s="345"/>
      <c r="CF216" s="345"/>
      <c r="CG216" s="345"/>
      <c r="CH216" s="345"/>
      <c r="CI216" s="345"/>
      <c r="CJ216" s="345"/>
      <c r="CK216" s="345"/>
      <c r="CL216" s="345"/>
      <c r="CM216" s="345"/>
      <c r="CN216" s="345"/>
      <c r="CO216" s="345"/>
      <c r="CP216" s="345"/>
      <c r="CQ216" s="345"/>
      <c r="CR216" s="345"/>
      <c r="CS216" s="345"/>
      <c r="CT216" s="345"/>
      <c r="CU216" s="345"/>
      <c r="CV216" s="345"/>
      <c r="CW216" s="345"/>
      <c r="CX216" s="345"/>
      <c r="CY216" s="345"/>
      <c r="CZ216" s="345"/>
      <c r="DA216" s="345"/>
      <c r="DB216" s="345"/>
      <c r="DC216" s="345"/>
      <c r="DD216" s="345"/>
      <c r="DE216" s="345"/>
      <c r="DF216" s="345"/>
      <c r="DG216" s="345"/>
      <c r="DH216" s="345"/>
      <c r="DI216" s="345"/>
      <c r="DJ216" s="345"/>
      <c r="DK216" s="345"/>
      <c r="DL216" s="345"/>
      <c r="DM216" s="345"/>
      <c r="DN216" s="345"/>
      <c r="DO216" s="345"/>
      <c r="DP216" s="345"/>
      <c r="DQ216" s="345"/>
      <c r="DR216" s="345"/>
      <c r="DS216" s="345"/>
      <c r="DT216" s="345"/>
      <c r="DU216" s="345"/>
      <c r="DV216" s="345"/>
      <c r="DW216" s="345"/>
      <c r="DX216" s="345"/>
      <c r="DY216" s="345"/>
      <c r="DZ216" s="345"/>
      <c r="EA216" s="345"/>
    </row>
    <row r="217" spans="1:131" hidden="1">
      <c r="A217" s="345"/>
      <c r="B217" s="345"/>
      <c r="C217" s="345"/>
      <c r="D217" s="345"/>
      <c r="E217" s="345"/>
      <c r="F217" s="345"/>
      <c r="G217" s="345"/>
      <c r="H217" s="345"/>
      <c r="I217" s="345"/>
      <c r="J217" s="345"/>
      <c r="K217" s="345"/>
      <c r="L217" s="345"/>
      <c r="M217" s="345"/>
      <c r="N217" s="345"/>
      <c r="O217" s="345"/>
      <c r="P217" s="345"/>
      <c r="Q217" s="345"/>
      <c r="R217" s="345"/>
      <c r="S217" s="345"/>
      <c r="T217" s="345"/>
      <c r="U217" s="345"/>
      <c r="V217" s="345"/>
      <c r="W217" s="345"/>
      <c r="X217" s="345"/>
      <c r="Y217" s="345"/>
      <c r="Z217" s="345"/>
      <c r="AA217" s="345"/>
      <c r="AB217" s="345"/>
      <c r="AC217" s="345"/>
      <c r="AD217" s="345"/>
      <c r="AE217" s="345"/>
      <c r="AF217" s="345"/>
      <c r="AG217" s="345"/>
      <c r="AH217" s="345"/>
      <c r="AI217" s="345"/>
      <c r="AJ217" s="345"/>
      <c r="AK217" s="345"/>
      <c r="AL217" s="345"/>
      <c r="AM217" s="345"/>
      <c r="AN217" s="345"/>
      <c r="AO217" s="345"/>
      <c r="AP217" s="345"/>
      <c r="AQ217" s="345"/>
      <c r="AR217" s="345"/>
      <c r="AS217" s="345"/>
      <c r="AT217" s="345"/>
      <c r="AU217" s="345"/>
      <c r="AV217" s="345"/>
      <c r="AW217" s="345"/>
      <c r="AX217" s="345"/>
      <c r="AY217" s="345"/>
      <c r="AZ217" s="345"/>
      <c r="BA217" s="345"/>
      <c r="BB217" s="345"/>
      <c r="BC217" s="345"/>
      <c r="BD217" s="345"/>
      <c r="BE217" s="345"/>
      <c r="BF217" s="345"/>
      <c r="BG217" s="345"/>
      <c r="BH217" s="345"/>
      <c r="BI217" s="345"/>
      <c r="BJ217" s="345"/>
      <c r="BK217" s="345"/>
      <c r="BL217" s="345"/>
      <c r="BM217" s="345"/>
      <c r="BN217" s="345"/>
      <c r="BO217" s="345"/>
      <c r="BP217" s="345"/>
      <c r="BQ217" s="345"/>
      <c r="BR217" s="345"/>
      <c r="BS217" s="345"/>
      <c r="BT217" s="345"/>
      <c r="BU217" s="345"/>
      <c r="BV217" s="345"/>
      <c r="BW217" s="345"/>
      <c r="BX217" s="345"/>
      <c r="BY217" s="345"/>
      <c r="BZ217" s="345"/>
      <c r="CA217" s="345"/>
      <c r="CB217" s="345"/>
      <c r="CC217" s="345"/>
      <c r="CD217" s="345"/>
      <c r="CE217" s="345"/>
      <c r="CF217" s="345"/>
      <c r="CG217" s="345"/>
      <c r="CH217" s="345"/>
      <c r="CI217" s="345"/>
      <c r="CJ217" s="345"/>
      <c r="CK217" s="345"/>
      <c r="CL217" s="345"/>
      <c r="CM217" s="345"/>
      <c r="CN217" s="345"/>
      <c r="CO217" s="345"/>
      <c r="CP217" s="345"/>
      <c r="CQ217" s="345"/>
      <c r="CR217" s="345"/>
      <c r="CS217" s="345"/>
      <c r="CT217" s="345"/>
      <c r="CU217" s="345"/>
      <c r="CV217" s="345"/>
      <c r="CW217" s="345"/>
      <c r="CX217" s="345"/>
      <c r="CY217" s="345"/>
      <c r="CZ217" s="345"/>
      <c r="DA217" s="345"/>
      <c r="DB217" s="345"/>
      <c r="DC217" s="345"/>
      <c r="DD217" s="345"/>
      <c r="DE217" s="345"/>
      <c r="DF217" s="345"/>
      <c r="DG217" s="345"/>
      <c r="DH217" s="345"/>
      <c r="DI217" s="345"/>
      <c r="DJ217" s="345"/>
      <c r="DK217" s="345"/>
      <c r="DL217" s="345"/>
      <c r="DM217" s="345"/>
      <c r="DN217" s="345"/>
      <c r="DO217" s="345"/>
      <c r="DP217" s="345"/>
      <c r="DQ217" s="345"/>
      <c r="DR217" s="345"/>
      <c r="DS217" s="345"/>
      <c r="DT217" s="345"/>
      <c r="DU217" s="345"/>
      <c r="DV217" s="345"/>
      <c r="DW217" s="345"/>
      <c r="DX217" s="345"/>
      <c r="DY217" s="345"/>
      <c r="DZ217" s="345"/>
      <c r="EA217" s="345"/>
    </row>
    <row r="218" spans="1:131" hidden="1">
      <c r="A218" s="345"/>
      <c r="B218" s="345"/>
      <c r="C218" s="345"/>
      <c r="D218" s="345"/>
      <c r="E218" s="345"/>
      <c r="F218" s="345"/>
      <c r="G218" s="345"/>
      <c r="H218" s="345"/>
      <c r="I218" s="345"/>
      <c r="J218" s="345"/>
      <c r="K218" s="345"/>
      <c r="L218" s="345"/>
      <c r="M218" s="345"/>
      <c r="N218" s="345"/>
      <c r="O218" s="345"/>
      <c r="P218" s="345"/>
      <c r="Q218" s="345"/>
      <c r="R218" s="345"/>
      <c r="S218" s="345"/>
      <c r="T218" s="345"/>
      <c r="U218" s="345"/>
      <c r="V218" s="345"/>
      <c r="W218" s="345"/>
      <c r="X218" s="345"/>
      <c r="Y218" s="345"/>
      <c r="Z218" s="345"/>
      <c r="AA218" s="345"/>
      <c r="AB218" s="345"/>
      <c r="AC218" s="345"/>
      <c r="AD218" s="345"/>
      <c r="AE218" s="345"/>
      <c r="AF218" s="345"/>
      <c r="AG218" s="345"/>
      <c r="AH218" s="345"/>
      <c r="AI218" s="345"/>
      <c r="AJ218" s="345"/>
      <c r="AK218" s="345"/>
      <c r="AL218" s="345"/>
      <c r="AM218" s="345"/>
      <c r="AN218" s="345"/>
      <c r="AO218" s="345"/>
      <c r="AP218" s="345"/>
      <c r="AQ218" s="345"/>
      <c r="AR218" s="345"/>
      <c r="AS218" s="345"/>
      <c r="AT218" s="345"/>
      <c r="AU218" s="345"/>
      <c r="AV218" s="345"/>
      <c r="AW218" s="345"/>
      <c r="AX218" s="345"/>
      <c r="AY218" s="345"/>
      <c r="AZ218" s="345"/>
      <c r="BA218" s="345"/>
      <c r="BB218" s="345"/>
      <c r="BC218" s="345"/>
      <c r="BD218" s="345"/>
      <c r="BE218" s="345"/>
      <c r="BF218" s="345"/>
      <c r="BG218" s="345"/>
      <c r="BH218" s="345"/>
      <c r="BI218" s="345"/>
      <c r="BJ218" s="345"/>
      <c r="BK218" s="345"/>
      <c r="BL218" s="345"/>
      <c r="BM218" s="345"/>
      <c r="BN218" s="345"/>
      <c r="BO218" s="345"/>
      <c r="BP218" s="345"/>
      <c r="BQ218" s="345"/>
      <c r="BR218" s="345"/>
      <c r="BS218" s="345"/>
      <c r="BT218" s="345"/>
      <c r="BU218" s="345"/>
      <c r="BV218" s="345"/>
      <c r="BW218" s="345"/>
      <c r="BX218" s="345"/>
      <c r="BY218" s="345"/>
      <c r="BZ218" s="345"/>
      <c r="CA218" s="345"/>
      <c r="CB218" s="345"/>
      <c r="CC218" s="345"/>
      <c r="CD218" s="345"/>
      <c r="CE218" s="345"/>
      <c r="CF218" s="345"/>
      <c r="CG218" s="345"/>
      <c r="CH218" s="345"/>
      <c r="CI218" s="345"/>
      <c r="CJ218" s="345"/>
      <c r="CK218" s="345"/>
      <c r="CL218" s="345"/>
      <c r="CM218" s="345"/>
      <c r="CN218" s="345"/>
      <c r="CO218" s="345"/>
      <c r="CP218" s="345"/>
      <c r="CQ218" s="345"/>
      <c r="CR218" s="345"/>
      <c r="CS218" s="345"/>
      <c r="CT218" s="345"/>
      <c r="CU218" s="345"/>
      <c r="CV218" s="345"/>
      <c r="CW218" s="345"/>
      <c r="CX218" s="345"/>
      <c r="CY218" s="345"/>
      <c r="CZ218" s="345"/>
      <c r="DA218" s="345"/>
      <c r="DB218" s="345"/>
      <c r="DC218" s="345"/>
      <c r="DD218" s="345"/>
      <c r="DE218" s="345"/>
      <c r="DF218" s="345"/>
      <c r="DG218" s="345"/>
      <c r="DH218" s="345"/>
      <c r="DI218" s="345"/>
      <c r="DJ218" s="345"/>
      <c r="DK218" s="345"/>
      <c r="DL218" s="345"/>
      <c r="DM218" s="345"/>
      <c r="DN218" s="345"/>
      <c r="DO218" s="345"/>
      <c r="DP218" s="345"/>
      <c r="DQ218" s="345"/>
      <c r="DR218" s="345"/>
      <c r="DS218" s="345"/>
      <c r="DT218" s="345"/>
      <c r="DU218" s="345"/>
      <c r="DV218" s="345"/>
      <c r="DW218" s="345"/>
      <c r="DX218" s="345"/>
      <c r="DY218" s="345"/>
      <c r="DZ218" s="345"/>
      <c r="EA218" s="345"/>
    </row>
    <row r="219" spans="1:131" hidden="1">
      <c r="A219" s="345"/>
      <c r="B219" s="345"/>
      <c r="C219" s="345"/>
      <c r="D219" s="345"/>
      <c r="E219" s="345"/>
      <c r="F219" s="345"/>
      <c r="G219" s="345"/>
      <c r="H219" s="345"/>
      <c r="I219" s="345"/>
      <c r="J219" s="345"/>
      <c r="K219" s="345"/>
      <c r="L219" s="345"/>
      <c r="M219" s="345"/>
      <c r="N219" s="345"/>
      <c r="O219" s="345"/>
      <c r="P219" s="345"/>
      <c r="Q219" s="345"/>
      <c r="R219" s="345"/>
      <c r="S219" s="345"/>
      <c r="T219" s="345"/>
      <c r="U219" s="345"/>
      <c r="V219" s="345"/>
      <c r="W219" s="345"/>
      <c r="X219" s="345"/>
      <c r="Y219" s="345"/>
      <c r="Z219" s="345"/>
      <c r="AA219" s="345"/>
      <c r="AB219" s="345"/>
      <c r="AC219" s="345"/>
      <c r="AD219" s="345"/>
      <c r="AE219" s="345"/>
      <c r="AF219" s="345"/>
      <c r="AG219" s="345"/>
      <c r="AH219" s="345"/>
      <c r="AI219" s="345"/>
      <c r="AJ219" s="345"/>
      <c r="AK219" s="345"/>
      <c r="AL219" s="345"/>
      <c r="AM219" s="345"/>
      <c r="AN219" s="345"/>
      <c r="AO219" s="345"/>
      <c r="AP219" s="345"/>
      <c r="AQ219" s="345"/>
      <c r="AR219" s="345"/>
      <c r="AS219" s="345"/>
      <c r="AT219" s="345"/>
      <c r="AU219" s="345"/>
      <c r="AV219" s="345"/>
      <c r="AW219" s="345"/>
      <c r="AX219" s="345"/>
      <c r="AY219" s="345"/>
      <c r="AZ219" s="345"/>
      <c r="BA219" s="345"/>
      <c r="BB219" s="345"/>
      <c r="BC219" s="345"/>
      <c r="BD219" s="345"/>
      <c r="BE219" s="345"/>
      <c r="BF219" s="345"/>
      <c r="BG219" s="345"/>
      <c r="BH219" s="345"/>
      <c r="BI219" s="345"/>
      <c r="BJ219" s="345"/>
      <c r="BK219" s="345"/>
      <c r="BL219" s="345"/>
      <c r="BM219" s="345"/>
      <c r="BN219" s="345"/>
      <c r="BO219" s="345"/>
      <c r="BP219" s="345"/>
      <c r="BQ219" s="345"/>
      <c r="BR219" s="345"/>
      <c r="BS219" s="345"/>
      <c r="BT219" s="345"/>
      <c r="BU219" s="345"/>
      <c r="BV219" s="345"/>
      <c r="BW219" s="345"/>
      <c r="BX219" s="345"/>
      <c r="BY219" s="345"/>
      <c r="BZ219" s="345"/>
      <c r="CA219" s="345"/>
      <c r="CB219" s="345"/>
      <c r="CC219" s="345"/>
      <c r="CD219" s="345"/>
      <c r="CE219" s="345"/>
      <c r="CF219" s="345"/>
      <c r="CG219" s="345"/>
      <c r="CH219" s="345"/>
      <c r="CI219" s="345"/>
      <c r="CJ219" s="345"/>
      <c r="CK219" s="345"/>
      <c r="CL219" s="345"/>
      <c r="CM219" s="345"/>
      <c r="CN219" s="345"/>
      <c r="CO219" s="345"/>
      <c r="CP219" s="345"/>
      <c r="CQ219" s="345"/>
      <c r="CR219" s="345"/>
      <c r="CS219" s="345"/>
      <c r="CT219" s="345"/>
      <c r="CU219" s="345"/>
      <c r="CV219" s="345"/>
      <c r="CW219" s="345"/>
      <c r="CX219" s="345"/>
      <c r="CY219" s="345"/>
      <c r="CZ219" s="345"/>
      <c r="DA219" s="345"/>
      <c r="DB219" s="345"/>
      <c r="DC219" s="345"/>
      <c r="DD219" s="345"/>
      <c r="DE219" s="345"/>
      <c r="DF219" s="345"/>
      <c r="DG219" s="345"/>
      <c r="DH219" s="345"/>
      <c r="DI219" s="345"/>
      <c r="DJ219" s="345"/>
      <c r="DK219" s="345"/>
      <c r="DL219" s="345"/>
      <c r="DM219" s="345"/>
      <c r="DN219" s="345"/>
      <c r="DO219" s="345"/>
      <c r="DP219" s="345"/>
      <c r="DQ219" s="345"/>
      <c r="DR219" s="345"/>
      <c r="DS219" s="345"/>
      <c r="DT219" s="345"/>
      <c r="DU219" s="345"/>
      <c r="DV219" s="345"/>
      <c r="DW219" s="345"/>
      <c r="DX219" s="345"/>
      <c r="DY219" s="345"/>
      <c r="DZ219" s="345"/>
      <c r="EA219" s="345"/>
    </row>
    <row r="220" spans="1:131" hidden="1">
      <c r="A220" s="345"/>
      <c r="B220" s="345"/>
      <c r="C220" s="345"/>
      <c r="D220" s="345"/>
      <c r="E220" s="345"/>
      <c r="F220" s="345"/>
      <c r="G220" s="345"/>
      <c r="H220" s="345"/>
      <c r="I220" s="345"/>
      <c r="J220" s="345"/>
      <c r="K220" s="345"/>
      <c r="L220" s="345"/>
      <c r="M220" s="345"/>
      <c r="N220" s="345"/>
      <c r="O220" s="345"/>
      <c r="P220" s="345"/>
      <c r="Q220" s="345"/>
      <c r="R220" s="345"/>
      <c r="S220" s="345"/>
      <c r="T220" s="345"/>
      <c r="U220" s="345"/>
      <c r="V220" s="345"/>
      <c r="W220" s="345"/>
      <c r="X220" s="345"/>
      <c r="Y220" s="345"/>
      <c r="Z220" s="345"/>
      <c r="AA220" s="345"/>
      <c r="AB220" s="345"/>
      <c r="AC220" s="345"/>
      <c r="AD220" s="345"/>
      <c r="AE220" s="345"/>
      <c r="AF220" s="345"/>
      <c r="AG220" s="345"/>
      <c r="AH220" s="345"/>
      <c r="AI220" s="345"/>
      <c r="AJ220" s="345"/>
      <c r="AK220" s="345"/>
      <c r="AL220" s="345"/>
      <c r="AM220" s="345"/>
      <c r="AN220" s="345"/>
      <c r="AO220" s="345"/>
      <c r="AP220" s="345"/>
      <c r="AQ220" s="345"/>
      <c r="AR220" s="345"/>
      <c r="AS220" s="345"/>
      <c r="AT220" s="345"/>
      <c r="AU220" s="345"/>
      <c r="AV220" s="345"/>
      <c r="AW220" s="345"/>
      <c r="AX220" s="345"/>
      <c r="AY220" s="345"/>
      <c r="AZ220" s="345"/>
      <c r="BA220" s="345"/>
      <c r="BB220" s="345"/>
      <c r="BC220" s="345"/>
      <c r="BD220" s="345"/>
      <c r="BE220" s="345"/>
      <c r="BF220" s="345"/>
      <c r="BG220" s="345"/>
      <c r="BH220" s="345"/>
      <c r="BI220" s="345"/>
      <c r="BJ220" s="345"/>
      <c r="BK220" s="345"/>
      <c r="BL220" s="345"/>
      <c r="BM220" s="345"/>
      <c r="BN220" s="345"/>
      <c r="BO220" s="345"/>
      <c r="BP220" s="345"/>
      <c r="BQ220" s="345"/>
      <c r="BR220" s="345"/>
      <c r="BS220" s="345"/>
      <c r="BT220" s="345"/>
      <c r="BU220" s="345"/>
      <c r="BV220" s="345"/>
      <c r="BW220" s="345"/>
      <c r="BX220" s="345"/>
      <c r="BY220" s="345"/>
      <c r="BZ220" s="345"/>
      <c r="CA220" s="345"/>
      <c r="CB220" s="345"/>
      <c r="CC220" s="345"/>
      <c r="CD220" s="345"/>
      <c r="CE220" s="345"/>
      <c r="CF220" s="345"/>
      <c r="CG220" s="345"/>
      <c r="CH220" s="345"/>
      <c r="CI220" s="345"/>
      <c r="CJ220" s="345"/>
      <c r="CK220" s="345"/>
      <c r="CL220" s="345"/>
      <c r="CM220" s="345"/>
      <c r="CN220" s="345"/>
      <c r="CO220" s="345"/>
      <c r="CP220" s="345"/>
      <c r="CQ220" s="345"/>
      <c r="CR220" s="345"/>
      <c r="CS220" s="345"/>
      <c r="CT220" s="345"/>
      <c r="CU220" s="345"/>
      <c r="CV220" s="345"/>
      <c r="CW220" s="345"/>
      <c r="CX220" s="345"/>
      <c r="CY220" s="345"/>
      <c r="CZ220" s="345"/>
      <c r="DA220" s="345"/>
      <c r="DB220" s="345"/>
      <c r="DC220" s="345"/>
      <c r="DD220" s="345"/>
      <c r="DE220" s="345"/>
      <c r="DF220" s="345"/>
      <c r="DG220" s="345"/>
      <c r="DH220" s="345"/>
      <c r="DI220" s="345"/>
      <c r="DJ220" s="345"/>
      <c r="DK220" s="345"/>
      <c r="DL220" s="345"/>
      <c r="DM220" s="345"/>
      <c r="DN220" s="345"/>
      <c r="DO220" s="345"/>
      <c r="DP220" s="345"/>
      <c r="DQ220" s="345"/>
      <c r="DR220" s="345"/>
      <c r="DS220" s="345"/>
      <c r="DT220" s="345"/>
      <c r="DU220" s="345"/>
      <c r="DV220" s="345"/>
      <c r="DW220" s="345"/>
      <c r="DX220" s="345"/>
      <c r="DY220" s="345"/>
      <c r="DZ220" s="345"/>
      <c r="EA220" s="345"/>
    </row>
    <row r="221" spans="1:131" hidden="1">
      <c r="A221" s="345"/>
      <c r="B221" s="345"/>
      <c r="C221" s="345"/>
      <c r="D221" s="345"/>
      <c r="E221" s="345"/>
      <c r="F221" s="345"/>
      <c r="G221" s="345"/>
      <c r="H221" s="345"/>
      <c r="I221" s="345"/>
      <c r="J221" s="345"/>
      <c r="K221" s="345"/>
      <c r="L221" s="345"/>
      <c r="M221" s="345"/>
      <c r="N221" s="345"/>
      <c r="O221" s="345"/>
      <c r="P221" s="345"/>
      <c r="Q221" s="345"/>
      <c r="R221" s="345"/>
      <c r="S221" s="345"/>
      <c r="T221" s="345"/>
      <c r="U221" s="345"/>
      <c r="V221" s="345"/>
      <c r="W221" s="345"/>
      <c r="X221" s="345"/>
      <c r="Y221" s="345"/>
      <c r="Z221" s="345"/>
      <c r="AA221" s="345"/>
      <c r="AB221" s="345"/>
      <c r="AC221" s="345"/>
      <c r="AD221" s="345"/>
      <c r="AE221" s="345"/>
      <c r="AF221" s="345"/>
      <c r="AG221" s="345"/>
      <c r="AH221" s="345"/>
      <c r="AI221" s="345"/>
      <c r="AJ221" s="345"/>
      <c r="AK221" s="345"/>
      <c r="AL221" s="345"/>
      <c r="AM221" s="345"/>
      <c r="AN221" s="345"/>
      <c r="AO221" s="345"/>
      <c r="AP221" s="345"/>
      <c r="AQ221" s="345"/>
      <c r="AR221" s="345"/>
      <c r="AS221" s="345"/>
      <c r="AT221" s="345"/>
      <c r="AU221" s="345"/>
      <c r="AV221" s="345"/>
      <c r="AW221" s="345"/>
      <c r="AX221" s="345"/>
      <c r="AY221" s="345"/>
      <c r="AZ221" s="345"/>
      <c r="BA221" s="345"/>
      <c r="BB221" s="345"/>
      <c r="BC221" s="345"/>
      <c r="BD221" s="345"/>
      <c r="BE221" s="345"/>
      <c r="BF221" s="345"/>
      <c r="BG221" s="345"/>
      <c r="BH221" s="345"/>
      <c r="BI221" s="345"/>
      <c r="BJ221" s="345"/>
      <c r="BK221" s="345"/>
      <c r="BL221" s="345"/>
      <c r="BM221" s="345"/>
      <c r="BN221" s="345"/>
      <c r="BO221" s="345"/>
      <c r="BP221" s="345"/>
      <c r="BQ221" s="345"/>
      <c r="BR221" s="345"/>
      <c r="BS221" s="345"/>
      <c r="BT221" s="345"/>
      <c r="BU221" s="345"/>
      <c r="BV221" s="345"/>
      <c r="BW221" s="345"/>
      <c r="BX221" s="345"/>
      <c r="BY221" s="345"/>
      <c r="BZ221" s="345"/>
      <c r="CA221" s="345"/>
      <c r="CB221" s="345"/>
      <c r="CC221" s="345"/>
      <c r="CD221" s="345"/>
      <c r="CE221" s="345"/>
      <c r="CF221" s="345"/>
      <c r="CG221" s="345"/>
      <c r="CH221" s="345"/>
      <c r="CI221" s="345"/>
      <c r="CJ221" s="345"/>
      <c r="CK221" s="345"/>
      <c r="CL221" s="345"/>
      <c r="CM221" s="345"/>
      <c r="CN221" s="345"/>
      <c r="CO221" s="345"/>
      <c r="CP221" s="345"/>
      <c r="CQ221" s="345"/>
      <c r="CR221" s="345"/>
      <c r="CS221" s="345"/>
      <c r="CT221" s="345"/>
      <c r="CU221" s="345"/>
      <c r="CV221" s="345"/>
      <c r="CW221" s="345"/>
      <c r="CX221" s="345"/>
      <c r="CY221" s="345"/>
      <c r="CZ221" s="345"/>
      <c r="DA221" s="345"/>
      <c r="DB221" s="345"/>
      <c r="DC221" s="345"/>
      <c r="DD221" s="345"/>
      <c r="DE221" s="345"/>
      <c r="DF221" s="345"/>
      <c r="DG221" s="345"/>
      <c r="DH221" s="345"/>
      <c r="DI221" s="345"/>
      <c r="DJ221" s="345"/>
      <c r="DK221" s="345"/>
      <c r="DL221" s="345"/>
      <c r="DM221" s="345"/>
      <c r="DN221" s="345"/>
      <c r="DO221" s="345"/>
      <c r="DP221" s="345"/>
      <c r="DQ221" s="345"/>
      <c r="DR221" s="345"/>
      <c r="DS221" s="345"/>
      <c r="DT221" s="345"/>
      <c r="DU221" s="345"/>
      <c r="DV221" s="345"/>
      <c r="DW221" s="345"/>
      <c r="DX221" s="345"/>
      <c r="DY221" s="345"/>
      <c r="DZ221" s="345"/>
      <c r="EA221" s="345"/>
    </row>
    <row r="222" spans="1:131" hidden="1">
      <c r="A222" s="345"/>
      <c r="B222" s="345"/>
      <c r="C222" s="345"/>
      <c r="D222" s="345"/>
      <c r="E222" s="345"/>
      <c r="F222" s="345"/>
      <c r="G222" s="345"/>
      <c r="H222" s="345"/>
      <c r="I222" s="345"/>
      <c r="J222" s="345"/>
      <c r="K222" s="345"/>
      <c r="L222" s="345"/>
      <c r="M222" s="345"/>
      <c r="N222" s="345"/>
      <c r="O222" s="345"/>
      <c r="P222" s="345"/>
      <c r="Q222" s="345"/>
      <c r="R222" s="345"/>
      <c r="S222" s="345"/>
      <c r="T222" s="345"/>
      <c r="U222" s="345"/>
      <c r="V222" s="345"/>
      <c r="W222" s="345"/>
      <c r="X222" s="345"/>
      <c r="Y222" s="345"/>
      <c r="Z222" s="345"/>
      <c r="AA222" s="345"/>
      <c r="AB222" s="345"/>
      <c r="AC222" s="345"/>
      <c r="AD222" s="345"/>
      <c r="AE222" s="345"/>
      <c r="AF222" s="345"/>
      <c r="AG222" s="345"/>
      <c r="AH222" s="345"/>
      <c r="AI222" s="345"/>
      <c r="AJ222" s="345"/>
      <c r="AK222" s="345"/>
      <c r="AL222" s="345"/>
      <c r="AM222" s="345"/>
      <c r="AN222" s="345"/>
      <c r="AO222" s="345"/>
      <c r="AP222" s="345"/>
      <c r="AQ222" s="345"/>
      <c r="AR222" s="345"/>
      <c r="AS222" s="345"/>
      <c r="AT222" s="345"/>
      <c r="AU222" s="345"/>
      <c r="AV222" s="345"/>
      <c r="AW222" s="345"/>
      <c r="AX222" s="345"/>
      <c r="AY222" s="345"/>
      <c r="AZ222" s="345"/>
      <c r="BA222" s="345"/>
      <c r="BB222" s="345"/>
      <c r="BC222" s="345"/>
      <c r="BD222" s="345"/>
      <c r="BE222" s="345"/>
      <c r="BF222" s="345"/>
      <c r="BG222" s="345"/>
      <c r="BH222" s="345"/>
      <c r="BI222" s="345"/>
      <c r="BJ222" s="345"/>
      <c r="BK222" s="345"/>
      <c r="BL222" s="345"/>
      <c r="BM222" s="345"/>
      <c r="BN222" s="345"/>
      <c r="BO222" s="345"/>
      <c r="BP222" s="345"/>
      <c r="BQ222" s="345"/>
      <c r="BR222" s="345"/>
      <c r="BS222" s="345"/>
      <c r="BT222" s="345"/>
      <c r="BU222" s="345"/>
      <c r="BV222" s="345"/>
      <c r="BW222" s="345"/>
      <c r="BX222" s="345"/>
      <c r="BY222" s="345"/>
      <c r="BZ222" s="345"/>
      <c r="CA222" s="345"/>
      <c r="CB222" s="345"/>
      <c r="CC222" s="345"/>
      <c r="CD222" s="345"/>
      <c r="CE222" s="345"/>
      <c r="CF222" s="345"/>
      <c r="CG222" s="345"/>
      <c r="CH222" s="345"/>
      <c r="CI222" s="345"/>
      <c r="CJ222" s="345"/>
      <c r="CK222" s="345"/>
      <c r="CL222" s="345"/>
      <c r="CM222" s="345"/>
      <c r="CN222" s="345"/>
      <c r="CO222" s="345"/>
      <c r="CP222" s="345"/>
      <c r="CQ222" s="345"/>
      <c r="CR222" s="345"/>
      <c r="CS222" s="345"/>
      <c r="CT222" s="345"/>
      <c r="CU222" s="345"/>
      <c r="CV222" s="345"/>
      <c r="CW222" s="345"/>
      <c r="CX222" s="345"/>
      <c r="CY222" s="345"/>
      <c r="CZ222" s="345"/>
      <c r="DA222" s="345"/>
      <c r="DB222" s="345"/>
      <c r="DC222" s="345"/>
      <c r="DD222" s="345"/>
      <c r="DE222" s="345"/>
      <c r="DF222" s="345"/>
      <c r="DG222" s="345"/>
      <c r="DH222" s="345"/>
      <c r="DI222" s="345"/>
      <c r="DJ222" s="345"/>
      <c r="DK222" s="345"/>
      <c r="DL222" s="345"/>
      <c r="DM222" s="345"/>
      <c r="DN222" s="345"/>
      <c r="DO222" s="345"/>
      <c r="DP222" s="345"/>
      <c r="DQ222" s="345"/>
      <c r="DR222" s="345"/>
      <c r="DS222" s="345"/>
      <c r="DT222" s="345"/>
      <c r="DU222" s="345"/>
      <c r="DV222" s="345"/>
      <c r="DW222" s="345"/>
      <c r="DX222" s="345"/>
      <c r="DY222" s="345"/>
      <c r="DZ222" s="345"/>
      <c r="EA222" s="345"/>
    </row>
    <row r="223" spans="1:131" hidden="1">
      <c r="A223" s="345"/>
      <c r="B223" s="345"/>
      <c r="C223" s="345"/>
      <c r="D223" s="345"/>
      <c r="E223" s="345"/>
      <c r="F223" s="345"/>
      <c r="G223" s="345"/>
      <c r="H223" s="345"/>
      <c r="I223" s="345"/>
      <c r="J223" s="345"/>
      <c r="K223" s="345"/>
      <c r="L223" s="345"/>
      <c r="M223" s="345"/>
      <c r="N223" s="345"/>
      <c r="O223" s="345"/>
      <c r="P223" s="345"/>
      <c r="Q223" s="345"/>
      <c r="R223" s="345"/>
      <c r="S223" s="345"/>
      <c r="T223" s="345"/>
      <c r="U223" s="345"/>
      <c r="V223" s="345"/>
      <c r="W223" s="345"/>
      <c r="X223" s="345"/>
      <c r="Y223" s="345"/>
      <c r="Z223" s="345"/>
      <c r="AA223" s="345"/>
      <c r="AB223" s="345"/>
      <c r="AC223" s="345"/>
      <c r="AD223" s="345"/>
      <c r="AE223" s="345"/>
      <c r="AF223" s="345"/>
      <c r="AG223" s="345"/>
      <c r="AH223" s="345"/>
      <c r="AI223" s="345"/>
      <c r="AJ223" s="345"/>
      <c r="AK223" s="345"/>
      <c r="AL223" s="345"/>
      <c r="AM223" s="345"/>
      <c r="AN223" s="345"/>
      <c r="AO223" s="345"/>
      <c r="AP223" s="345"/>
      <c r="AQ223" s="345"/>
      <c r="AR223" s="345"/>
      <c r="AS223" s="345"/>
      <c r="AT223" s="345"/>
      <c r="AU223" s="345"/>
      <c r="AV223" s="345"/>
      <c r="AW223" s="345"/>
      <c r="AX223" s="345"/>
      <c r="AY223" s="345"/>
      <c r="AZ223" s="345"/>
      <c r="BA223" s="345"/>
      <c r="BB223" s="345"/>
      <c r="BC223" s="345"/>
      <c r="BD223" s="345"/>
      <c r="BE223" s="345"/>
      <c r="BF223" s="345"/>
      <c r="BG223" s="345"/>
      <c r="BH223" s="345"/>
      <c r="BI223" s="345"/>
      <c r="BJ223" s="345"/>
      <c r="BK223" s="345"/>
      <c r="BL223" s="345"/>
      <c r="BM223" s="345"/>
      <c r="BN223" s="345"/>
      <c r="BO223" s="345"/>
      <c r="BP223" s="345"/>
      <c r="BQ223" s="345"/>
      <c r="BR223" s="345"/>
      <c r="BS223" s="345"/>
      <c r="BT223" s="345"/>
      <c r="BU223" s="345"/>
      <c r="BV223" s="345"/>
      <c r="BW223" s="345"/>
      <c r="BX223" s="345"/>
      <c r="BY223" s="345"/>
      <c r="BZ223" s="345"/>
      <c r="CA223" s="345"/>
      <c r="CB223" s="345"/>
      <c r="CC223" s="345"/>
      <c r="CD223" s="345"/>
      <c r="CE223" s="345"/>
      <c r="CF223" s="345"/>
      <c r="CG223" s="345"/>
      <c r="CH223" s="345"/>
      <c r="CI223" s="345"/>
      <c r="CJ223" s="345"/>
      <c r="CK223" s="345"/>
      <c r="CL223" s="345"/>
      <c r="CM223" s="345"/>
      <c r="CN223" s="345"/>
      <c r="CO223" s="345"/>
      <c r="CP223" s="345"/>
      <c r="CQ223" s="345"/>
      <c r="CR223" s="345"/>
      <c r="CS223" s="345"/>
      <c r="CT223" s="345"/>
      <c r="CU223" s="345"/>
      <c r="CV223" s="345"/>
      <c r="CW223" s="345"/>
      <c r="CX223" s="345"/>
      <c r="CY223" s="345"/>
      <c r="CZ223" s="345"/>
      <c r="DA223" s="345"/>
      <c r="DB223" s="345"/>
      <c r="DC223" s="345"/>
      <c r="DD223" s="345"/>
      <c r="DE223" s="345"/>
      <c r="DF223" s="345"/>
      <c r="DG223" s="345"/>
      <c r="DH223" s="345"/>
      <c r="DI223" s="345"/>
      <c r="DJ223" s="345"/>
      <c r="DK223" s="345"/>
      <c r="DL223" s="345"/>
      <c r="DM223" s="345"/>
      <c r="DN223" s="345"/>
      <c r="DO223" s="345"/>
      <c r="DP223" s="345"/>
      <c r="DQ223" s="345"/>
      <c r="DR223" s="345"/>
      <c r="DS223" s="345"/>
      <c r="DT223" s="345"/>
      <c r="DU223" s="345"/>
      <c r="DV223" s="345"/>
      <c r="DW223" s="345"/>
      <c r="DX223" s="345"/>
      <c r="DY223" s="345"/>
      <c r="DZ223" s="345"/>
      <c r="EA223" s="345"/>
    </row>
    <row r="224" spans="1:131" hidden="1">
      <c r="A224" s="345"/>
      <c r="B224" s="345"/>
      <c r="C224" s="345"/>
      <c r="D224" s="345"/>
      <c r="E224" s="345"/>
      <c r="F224" s="345"/>
      <c r="G224" s="345"/>
      <c r="H224" s="345"/>
      <c r="I224" s="345"/>
      <c r="J224" s="345"/>
      <c r="K224" s="345"/>
      <c r="L224" s="345"/>
      <c r="M224" s="345"/>
      <c r="N224" s="345"/>
      <c r="O224" s="345"/>
      <c r="P224" s="345"/>
      <c r="Q224" s="345"/>
      <c r="R224" s="345"/>
      <c r="S224" s="345"/>
      <c r="T224" s="345"/>
      <c r="U224" s="345"/>
      <c r="V224" s="345"/>
      <c r="W224" s="345"/>
      <c r="X224" s="345"/>
      <c r="Y224" s="345"/>
      <c r="Z224" s="345"/>
      <c r="AA224" s="345"/>
      <c r="AB224" s="345"/>
      <c r="AC224" s="345"/>
      <c r="AD224" s="345"/>
      <c r="AE224" s="345"/>
      <c r="AF224" s="345"/>
      <c r="AG224" s="345"/>
      <c r="AH224" s="345"/>
      <c r="AI224" s="345"/>
      <c r="AJ224" s="345"/>
      <c r="AK224" s="345"/>
      <c r="AL224" s="345"/>
      <c r="AM224" s="345"/>
      <c r="AN224" s="345"/>
      <c r="AO224" s="345"/>
      <c r="AP224" s="345"/>
      <c r="AQ224" s="345"/>
      <c r="AR224" s="345"/>
      <c r="AS224" s="345"/>
      <c r="AT224" s="345"/>
      <c r="AU224" s="345"/>
      <c r="AV224" s="345"/>
      <c r="AW224" s="345"/>
      <c r="AX224" s="345"/>
      <c r="AY224" s="345"/>
      <c r="AZ224" s="345"/>
      <c r="BA224" s="345"/>
      <c r="BB224" s="345"/>
      <c r="BC224" s="345"/>
      <c r="BD224" s="345"/>
      <c r="BE224" s="345"/>
      <c r="BF224" s="345"/>
      <c r="BG224" s="345"/>
      <c r="BH224" s="345"/>
      <c r="BI224" s="345"/>
      <c r="BJ224" s="345"/>
      <c r="BK224" s="345"/>
      <c r="BL224" s="345"/>
      <c r="BM224" s="345"/>
      <c r="BN224" s="345"/>
      <c r="BO224" s="345"/>
      <c r="BP224" s="345"/>
      <c r="BQ224" s="345"/>
      <c r="BR224" s="345"/>
      <c r="BS224" s="345"/>
      <c r="BT224" s="345"/>
      <c r="BU224" s="345"/>
      <c r="BV224" s="345"/>
      <c r="BW224" s="345"/>
      <c r="BX224" s="345"/>
      <c r="BY224" s="345"/>
      <c r="BZ224" s="345"/>
      <c r="CA224" s="345"/>
      <c r="CB224" s="345"/>
      <c r="CC224" s="345"/>
      <c r="CD224" s="345"/>
      <c r="CE224" s="345"/>
      <c r="CF224" s="345"/>
      <c r="CG224" s="345"/>
      <c r="CH224" s="345"/>
      <c r="CI224" s="345"/>
      <c r="CJ224" s="345"/>
      <c r="CK224" s="345"/>
      <c r="CL224" s="345"/>
      <c r="CM224" s="345"/>
      <c r="CN224" s="345"/>
      <c r="CO224" s="345"/>
      <c r="CP224" s="345"/>
      <c r="CQ224" s="345"/>
      <c r="CR224" s="345"/>
      <c r="CS224" s="345"/>
      <c r="CT224" s="345"/>
      <c r="CU224" s="345"/>
      <c r="CV224" s="345"/>
      <c r="CW224" s="345"/>
      <c r="CX224" s="345"/>
      <c r="CY224" s="345"/>
      <c r="CZ224" s="345"/>
      <c r="DA224" s="345"/>
      <c r="DB224" s="345"/>
      <c r="DC224" s="345"/>
      <c r="DD224" s="345"/>
      <c r="DE224" s="345"/>
      <c r="DF224" s="345"/>
      <c r="DG224" s="345"/>
      <c r="DH224" s="345"/>
      <c r="DI224" s="345"/>
      <c r="DJ224" s="345"/>
      <c r="DK224" s="345"/>
      <c r="DL224" s="345"/>
      <c r="DM224" s="345"/>
      <c r="DN224" s="345"/>
      <c r="DO224" s="345"/>
      <c r="DP224" s="345"/>
      <c r="DQ224" s="345"/>
      <c r="DR224" s="345"/>
      <c r="DS224" s="345"/>
      <c r="DT224" s="345"/>
      <c r="DU224" s="345"/>
      <c r="DV224" s="345"/>
      <c r="DW224" s="345"/>
      <c r="DX224" s="345"/>
      <c r="DY224" s="345"/>
      <c r="DZ224" s="345"/>
      <c r="EA224" s="345"/>
    </row>
    <row r="225" spans="1:131" hidden="1">
      <c r="A225" s="345"/>
      <c r="B225" s="345"/>
      <c r="C225" s="345"/>
      <c r="D225" s="345"/>
      <c r="E225" s="345"/>
      <c r="F225" s="345"/>
      <c r="G225" s="345"/>
      <c r="H225" s="345"/>
      <c r="I225" s="345"/>
      <c r="J225" s="345"/>
      <c r="K225" s="345"/>
      <c r="L225" s="345"/>
      <c r="M225" s="345"/>
      <c r="N225" s="345"/>
      <c r="O225" s="345"/>
      <c r="P225" s="345"/>
      <c r="Q225" s="345"/>
      <c r="R225" s="345"/>
      <c r="S225" s="345"/>
      <c r="T225" s="345"/>
      <c r="U225" s="345"/>
      <c r="V225" s="345"/>
      <c r="W225" s="345"/>
      <c r="X225" s="345"/>
      <c r="Y225" s="345"/>
      <c r="Z225" s="345"/>
      <c r="AA225" s="345"/>
      <c r="AB225" s="345"/>
      <c r="AC225" s="345"/>
      <c r="AD225" s="345"/>
      <c r="AE225" s="345"/>
      <c r="AF225" s="345"/>
      <c r="AG225" s="345"/>
      <c r="AH225" s="345"/>
      <c r="AI225" s="345"/>
      <c r="AJ225" s="345"/>
      <c r="AK225" s="345"/>
      <c r="AL225" s="345"/>
      <c r="AM225" s="345"/>
      <c r="AN225" s="345"/>
      <c r="AO225" s="345"/>
      <c r="AP225" s="345"/>
      <c r="AQ225" s="345"/>
      <c r="AR225" s="345"/>
      <c r="AS225" s="345"/>
      <c r="AT225" s="345"/>
      <c r="AU225" s="345"/>
      <c r="AV225" s="345"/>
      <c r="AW225" s="345"/>
      <c r="AX225" s="345"/>
      <c r="AY225" s="345"/>
      <c r="AZ225" s="345"/>
      <c r="BA225" s="345"/>
      <c r="BB225" s="345"/>
      <c r="BC225" s="345"/>
      <c r="BD225" s="345"/>
      <c r="BE225" s="345"/>
      <c r="BF225" s="345"/>
      <c r="BG225" s="345"/>
      <c r="BH225" s="345"/>
      <c r="BI225" s="345"/>
      <c r="BJ225" s="345"/>
      <c r="BK225" s="345"/>
      <c r="BL225" s="345"/>
      <c r="BM225" s="345"/>
      <c r="BN225" s="345"/>
      <c r="BO225" s="345"/>
      <c r="BP225" s="345"/>
      <c r="BQ225" s="345"/>
      <c r="BR225" s="345"/>
      <c r="BS225" s="345"/>
      <c r="BT225" s="345"/>
      <c r="BU225" s="345"/>
      <c r="BV225" s="345"/>
      <c r="BW225" s="345"/>
      <c r="BX225" s="345"/>
      <c r="BY225" s="345"/>
      <c r="BZ225" s="345"/>
      <c r="CA225" s="345"/>
      <c r="CB225" s="345"/>
      <c r="CC225" s="345"/>
      <c r="CD225" s="345"/>
      <c r="CE225" s="345"/>
      <c r="CF225" s="345"/>
      <c r="CG225" s="345"/>
      <c r="CH225" s="345"/>
      <c r="CI225" s="345"/>
      <c r="CJ225" s="345"/>
      <c r="CK225" s="345"/>
      <c r="CL225" s="345"/>
      <c r="CM225" s="345"/>
      <c r="CN225" s="345"/>
      <c r="CO225" s="345"/>
      <c r="CP225" s="345"/>
      <c r="CQ225" s="345"/>
      <c r="CR225" s="345"/>
      <c r="CS225" s="345"/>
      <c r="CT225" s="345"/>
      <c r="CU225" s="345"/>
      <c r="CV225" s="345"/>
      <c r="CW225" s="345"/>
      <c r="CX225" s="345"/>
      <c r="CY225" s="345"/>
      <c r="CZ225" s="345"/>
      <c r="DA225" s="345"/>
      <c r="DB225" s="345"/>
      <c r="DC225" s="345"/>
      <c r="DD225" s="345"/>
      <c r="DE225" s="345"/>
      <c r="DF225" s="345"/>
      <c r="DG225" s="345"/>
      <c r="DH225" s="345"/>
      <c r="DI225" s="345"/>
      <c r="DJ225" s="345"/>
      <c r="DK225" s="345"/>
      <c r="DL225" s="345"/>
      <c r="DM225" s="345"/>
      <c r="DN225" s="345"/>
      <c r="DO225" s="345"/>
      <c r="DP225" s="345"/>
      <c r="DQ225" s="345"/>
      <c r="DR225" s="345"/>
      <c r="DS225" s="345"/>
      <c r="DT225" s="345"/>
      <c r="DU225" s="345"/>
      <c r="DV225" s="345"/>
      <c r="DW225" s="345"/>
      <c r="DX225" s="345"/>
      <c r="DY225" s="345"/>
      <c r="DZ225" s="345"/>
      <c r="EA225" s="345"/>
    </row>
    <row r="226" spans="1:131" hidden="1">
      <c r="A226" s="345"/>
      <c r="B226" s="345"/>
      <c r="C226" s="345"/>
      <c r="D226" s="345"/>
      <c r="E226" s="345"/>
      <c r="F226" s="345"/>
      <c r="G226" s="345"/>
      <c r="H226" s="345"/>
      <c r="I226" s="345"/>
      <c r="J226" s="345"/>
      <c r="K226" s="345"/>
      <c r="L226" s="345"/>
      <c r="M226" s="345"/>
      <c r="N226" s="345"/>
      <c r="O226" s="345"/>
      <c r="P226" s="345"/>
      <c r="Q226" s="345"/>
      <c r="R226" s="345"/>
      <c r="S226" s="345"/>
      <c r="T226" s="345"/>
      <c r="U226" s="345"/>
      <c r="V226" s="345"/>
      <c r="W226" s="345"/>
      <c r="X226" s="345"/>
      <c r="Y226" s="345"/>
      <c r="Z226" s="345"/>
      <c r="AA226" s="345"/>
      <c r="AB226" s="345"/>
      <c r="AC226" s="345"/>
      <c r="AD226" s="345"/>
      <c r="AE226" s="345"/>
      <c r="AF226" s="345"/>
      <c r="AG226" s="345"/>
      <c r="AH226" s="345"/>
      <c r="AI226" s="345"/>
      <c r="AJ226" s="345"/>
      <c r="AK226" s="345"/>
      <c r="AL226" s="345"/>
      <c r="AM226" s="345"/>
      <c r="AN226" s="345"/>
      <c r="AO226" s="345"/>
      <c r="AP226" s="345"/>
      <c r="AQ226" s="345"/>
      <c r="AR226" s="345"/>
      <c r="AS226" s="345"/>
      <c r="AT226" s="345"/>
      <c r="AU226" s="345"/>
      <c r="AV226" s="345"/>
      <c r="AW226" s="345"/>
      <c r="AX226" s="345"/>
      <c r="AY226" s="345"/>
      <c r="AZ226" s="345"/>
      <c r="BA226" s="345"/>
      <c r="BB226" s="345"/>
      <c r="BC226" s="345"/>
      <c r="BD226" s="345"/>
      <c r="BE226" s="345"/>
      <c r="BF226" s="345"/>
      <c r="BG226" s="345"/>
      <c r="BH226" s="345"/>
      <c r="BI226" s="345"/>
      <c r="BJ226" s="345"/>
      <c r="BK226" s="345"/>
      <c r="BL226" s="345"/>
      <c r="BM226" s="345"/>
      <c r="BN226" s="345"/>
      <c r="BO226" s="345"/>
      <c r="BP226" s="345"/>
      <c r="BQ226" s="345"/>
      <c r="BR226" s="345"/>
      <c r="BS226" s="345"/>
      <c r="BT226" s="345"/>
      <c r="BU226" s="345"/>
      <c r="BV226" s="345"/>
      <c r="BW226" s="345"/>
      <c r="BX226" s="345"/>
      <c r="BY226" s="345"/>
      <c r="BZ226" s="345"/>
      <c r="CA226" s="345"/>
      <c r="CB226" s="345"/>
      <c r="CC226" s="345"/>
      <c r="CD226" s="345"/>
      <c r="CE226" s="345"/>
      <c r="CF226" s="345"/>
      <c r="CG226" s="345"/>
      <c r="CH226" s="345"/>
      <c r="CI226" s="345"/>
      <c r="CJ226" s="345"/>
      <c r="CK226" s="345"/>
      <c r="CL226" s="345"/>
      <c r="CM226" s="345"/>
      <c r="CN226" s="345"/>
      <c r="CO226" s="345"/>
      <c r="CP226" s="345"/>
      <c r="CQ226" s="345"/>
      <c r="CR226" s="345"/>
      <c r="CS226" s="345"/>
      <c r="CT226" s="345"/>
      <c r="CU226" s="345"/>
      <c r="CV226" s="345"/>
      <c r="CW226" s="345"/>
      <c r="CX226" s="345"/>
      <c r="CY226" s="345"/>
      <c r="CZ226" s="345"/>
      <c r="DA226" s="345"/>
      <c r="DB226" s="345"/>
      <c r="DC226" s="345"/>
      <c r="DD226" s="345"/>
      <c r="DE226" s="345"/>
      <c r="DF226" s="345"/>
      <c r="DG226" s="345"/>
      <c r="DH226" s="345"/>
      <c r="DI226" s="345"/>
      <c r="DJ226" s="345"/>
      <c r="DK226" s="345"/>
      <c r="DL226" s="345"/>
      <c r="DM226" s="345"/>
      <c r="DN226" s="345"/>
      <c r="DO226" s="345"/>
      <c r="DP226" s="345"/>
      <c r="DQ226" s="345"/>
      <c r="DR226" s="345"/>
      <c r="DS226" s="345"/>
      <c r="DT226" s="345"/>
      <c r="DU226" s="345"/>
      <c r="DV226" s="345"/>
      <c r="DW226" s="345"/>
      <c r="DX226" s="345"/>
      <c r="DY226" s="345"/>
      <c r="DZ226" s="345"/>
      <c r="EA226" s="345"/>
    </row>
    <row r="227" spans="1:131" hidden="1">
      <c r="A227" s="345"/>
      <c r="B227" s="345"/>
      <c r="C227" s="345"/>
      <c r="D227" s="345"/>
      <c r="E227" s="345"/>
      <c r="F227" s="345"/>
      <c r="G227" s="345"/>
      <c r="H227" s="345"/>
      <c r="I227" s="345"/>
      <c r="J227" s="345"/>
      <c r="K227" s="345"/>
      <c r="L227" s="345"/>
      <c r="M227" s="345"/>
      <c r="N227" s="345"/>
      <c r="O227" s="345"/>
      <c r="P227" s="345"/>
      <c r="Q227" s="345"/>
      <c r="R227" s="345"/>
      <c r="S227" s="345"/>
      <c r="T227" s="345"/>
      <c r="U227" s="345"/>
      <c r="V227" s="345"/>
      <c r="W227" s="345"/>
      <c r="X227" s="345"/>
      <c r="Y227" s="345"/>
      <c r="Z227" s="345"/>
      <c r="AA227" s="345"/>
      <c r="AB227" s="345"/>
      <c r="AC227" s="345"/>
      <c r="AD227" s="345"/>
      <c r="AE227" s="345"/>
      <c r="AF227" s="345"/>
      <c r="AG227" s="345"/>
      <c r="AH227" s="345"/>
      <c r="AI227" s="345"/>
      <c r="AJ227" s="345"/>
      <c r="AK227" s="345"/>
      <c r="AL227" s="345"/>
      <c r="AM227" s="345"/>
      <c r="AN227" s="345"/>
      <c r="AO227" s="345"/>
      <c r="AP227" s="345"/>
      <c r="AQ227" s="345"/>
      <c r="AR227" s="345"/>
      <c r="AS227" s="345"/>
      <c r="AT227" s="345"/>
      <c r="AU227" s="345"/>
      <c r="AV227" s="345"/>
      <c r="AW227" s="345"/>
      <c r="AX227" s="345"/>
      <c r="AY227" s="345"/>
      <c r="AZ227" s="345"/>
      <c r="BA227" s="345"/>
      <c r="BB227" s="345"/>
      <c r="BC227" s="345"/>
      <c r="BD227" s="345"/>
      <c r="BE227" s="345"/>
      <c r="BF227" s="345"/>
      <c r="BG227" s="345"/>
      <c r="BH227" s="345"/>
      <c r="BI227" s="345"/>
      <c r="BJ227" s="345"/>
      <c r="BK227" s="345"/>
      <c r="BL227" s="345"/>
      <c r="BM227" s="345"/>
      <c r="BN227" s="345"/>
      <c r="BO227" s="345"/>
      <c r="BP227" s="345"/>
      <c r="BQ227" s="345"/>
      <c r="BR227" s="345"/>
      <c r="BS227" s="345"/>
      <c r="BT227" s="345"/>
      <c r="BU227" s="345"/>
      <c r="BV227" s="345"/>
      <c r="BW227" s="345"/>
      <c r="BX227" s="345"/>
      <c r="BY227" s="345"/>
      <c r="BZ227" s="345"/>
      <c r="CA227" s="345"/>
      <c r="CB227" s="345"/>
      <c r="CC227" s="345"/>
      <c r="CD227" s="345"/>
      <c r="CE227" s="345"/>
      <c r="CF227" s="345"/>
      <c r="CG227" s="345"/>
      <c r="CH227" s="345"/>
      <c r="CI227" s="345"/>
      <c r="CJ227" s="345"/>
      <c r="CK227" s="345"/>
      <c r="CL227" s="345"/>
      <c r="CM227" s="345"/>
      <c r="CN227" s="345"/>
      <c r="CO227" s="345"/>
      <c r="CP227" s="345"/>
      <c r="CQ227" s="345"/>
      <c r="CR227" s="345"/>
      <c r="CS227" s="345"/>
      <c r="CT227" s="345"/>
      <c r="CU227" s="345"/>
      <c r="CV227" s="345"/>
      <c r="CW227" s="345"/>
      <c r="CX227" s="345"/>
      <c r="CY227" s="345"/>
      <c r="CZ227" s="345"/>
      <c r="DA227" s="345"/>
      <c r="DB227" s="345"/>
      <c r="DC227" s="345"/>
      <c r="DD227" s="345"/>
      <c r="DE227" s="345"/>
      <c r="DF227" s="345"/>
      <c r="DG227" s="345"/>
      <c r="DH227" s="345"/>
      <c r="DI227" s="345"/>
      <c r="DJ227" s="345"/>
      <c r="DK227" s="345"/>
      <c r="DL227" s="345"/>
      <c r="DM227" s="345"/>
      <c r="DN227" s="345"/>
      <c r="DO227" s="345"/>
      <c r="DP227" s="345"/>
      <c r="DQ227" s="345"/>
      <c r="DR227" s="345"/>
      <c r="DS227" s="345"/>
      <c r="DT227" s="345"/>
      <c r="DU227" s="345"/>
      <c r="DV227" s="345"/>
      <c r="DW227" s="345"/>
      <c r="DX227" s="345"/>
      <c r="DY227" s="345"/>
      <c r="DZ227" s="345"/>
      <c r="EA227" s="345"/>
    </row>
    <row r="228" spans="1:131" hidden="1">
      <c r="A228" s="345"/>
      <c r="B228" s="345"/>
      <c r="C228" s="345"/>
      <c r="D228" s="345"/>
      <c r="E228" s="345"/>
      <c r="F228" s="345"/>
      <c r="G228" s="345"/>
      <c r="H228" s="345"/>
      <c r="I228" s="345"/>
      <c r="J228" s="345"/>
      <c r="K228" s="345"/>
      <c r="L228" s="345"/>
      <c r="M228" s="345"/>
      <c r="N228" s="345"/>
      <c r="O228" s="345"/>
      <c r="P228" s="345"/>
      <c r="Q228" s="345"/>
      <c r="R228" s="345"/>
      <c r="S228" s="345"/>
      <c r="T228" s="345"/>
      <c r="U228" s="345"/>
      <c r="V228" s="345"/>
      <c r="W228" s="345"/>
      <c r="X228" s="345"/>
      <c r="Y228" s="345"/>
      <c r="Z228" s="345"/>
      <c r="AA228" s="345"/>
      <c r="AB228" s="345"/>
      <c r="AC228" s="345"/>
      <c r="AD228" s="345"/>
      <c r="AE228" s="345"/>
      <c r="AF228" s="345"/>
      <c r="AG228" s="345"/>
      <c r="AH228" s="345"/>
      <c r="AI228" s="345"/>
      <c r="AJ228" s="345"/>
      <c r="AK228" s="345"/>
      <c r="AL228" s="345"/>
      <c r="AM228" s="345"/>
      <c r="AN228" s="345"/>
      <c r="AO228" s="345"/>
      <c r="AP228" s="345"/>
      <c r="AQ228" s="345"/>
      <c r="AR228" s="345"/>
      <c r="AS228" s="345"/>
      <c r="AT228" s="345"/>
      <c r="AU228" s="345"/>
      <c r="AV228" s="345"/>
      <c r="AW228" s="345"/>
      <c r="AX228" s="345"/>
      <c r="AY228" s="345"/>
      <c r="AZ228" s="345"/>
      <c r="BA228" s="345"/>
      <c r="BB228" s="345"/>
      <c r="BC228" s="345"/>
      <c r="BD228" s="345"/>
      <c r="BE228" s="345"/>
      <c r="BF228" s="345"/>
      <c r="BG228" s="345"/>
      <c r="BH228" s="345"/>
      <c r="BI228" s="345"/>
      <c r="BJ228" s="345"/>
      <c r="BK228" s="345"/>
      <c r="BL228" s="345"/>
      <c r="BM228" s="345"/>
      <c r="BN228" s="345"/>
      <c r="BO228" s="345"/>
      <c r="BP228" s="345"/>
      <c r="BQ228" s="345"/>
      <c r="BR228" s="345"/>
      <c r="BS228" s="345"/>
      <c r="BT228" s="345"/>
      <c r="BU228" s="345"/>
      <c r="BV228" s="345"/>
      <c r="BW228" s="345"/>
      <c r="BX228" s="345"/>
      <c r="BY228" s="345"/>
      <c r="BZ228" s="345"/>
      <c r="CA228" s="345"/>
      <c r="CB228" s="345"/>
      <c r="CC228" s="345"/>
      <c r="CD228" s="345"/>
      <c r="CE228" s="345"/>
      <c r="CF228" s="345"/>
      <c r="CG228" s="345"/>
      <c r="CH228" s="345"/>
      <c r="CI228" s="345"/>
      <c r="CJ228" s="345"/>
      <c r="CK228" s="345"/>
      <c r="CL228" s="345"/>
      <c r="CM228" s="345"/>
      <c r="CN228" s="345"/>
      <c r="CO228" s="345"/>
      <c r="CP228" s="345"/>
      <c r="CQ228" s="345"/>
      <c r="CR228" s="345"/>
      <c r="CS228" s="345"/>
      <c r="CT228" s="345"/>
      <c r="CU228" s="345"/>
      <c r="CV228" s="345"/>
      <c r="CW228" s="345"/>
      <c r="CX228" s="345"/>
      <c r="CY228" s="345"/>
      <c r="CZ228" s="345"/>
      <c r="DA228" s="345"/>
      <c r="DB228" s="345"/>
      <c r="DC228" s="345"/>
      <c r="DD228" s="345"/>
      <c r="DE228" s="345"/>
      <c r="DF228" s="345"/>
      <c r="DG228" s="345"/>
      <c r="DH228" s="345"/>
      <c r="DI228" s="345"/>
      <c r="DJ228" s="345"/>
      <c r="DK228" s="345"/>
      <c r="DL228" s="345"/>
      <c r="DM228" s="345"/>
      <c r="DN228" s="345"/>
      <c r="DO228" s="345"/>
      <c r="DP228" s="345"/>
      <c r="DQ228" s="345"/>
      <c r="DR228" s="345"/>
      <c r="DS228" s="345"/>
      <c r="DT228" s="345"/>
      <c r="DU228" s="345"/>
      <c r="DV228" s="345"/>
      <c r="DW228" s="345"/>
      <c r="DX228" s="345"/>
      <c r="DY228" s="345"/>
      <c r="DZ228" s="345"/>
      <c r="EA228" s="345"/>
    </row>
    <row r="229" spans="1:131" hidden="1">
      <c r="A229" s="345"/>
      <c r="B229" s="345"/>
      <c r="C229" s="345"/>
      <c r="D229" s="345"/>
      <c r="E229" s="345"/>
      <c r="F229" s="345"/>
      <c r="G229" s="345"/>
      <c r="H229" s="345"/>
      <c r="I229" s="345"/>
      <c r="J229" s="345"/>
      <c r="K229" s="345"/>
      <c r="L229" s="345"/>
      <c r="M229" s="345"/>
      <c r="N229" s="345"/>
      <c r="O229" s="345"/>
      <c r="P229" s="345"/>
      <c r="Q229" s="345"/>
      <c r="R229" s="345"/>
      <c r="S229" s="345"/>
      <c r="T229" s="345"/>
      <c r="U229" s="345"/>
      <c r="V229" s="345"/>
      <c r="W229" s="345"/>
      <c r="X229" s="345"/>
      <c r="Y229" s="345"/>
      <c r="Z229" s="345"/>
      <c r="AA229" s="345"/>
      <c r="AB229" s="345"/>
      <c r="AC229" s="345"/>
      <c r="AD229" s="345"/>
      <c r="AE229" s="345"/>
      <c r="AF229" s="345"/>
      <c r="AG229" s="345"/>
      <c r="AH229" s="345"/>
      <c r="AI229" s="345"/>
      <c r="AJ229" s="345"/>
      <c r="AK229" s="345"/>
      <c r="AL229" s="345"/>
      <c r="AM229" s="345"/>
      <c r="AN229" s="345"/>
      <c r="AO229" s="345"/>
      <c r="AP229" s="345"/>
      <c r="AQ229" s="345"/>
      <c r="AR229" s="345"/>
      <c r="AS229" s="345"/>
      <c r="AT229" s="345"/>
      <c r="AU229" s="345"/>
      <c r="AV229" s="345"/>
      <c r="AW229" s="345"/>
      <c r="AX229" s="345"/>
      <c r="AY229" s="345"/>
      <c r="AZ229" s="345"/>
      <c r="BA229" s="345"/>
      <c r="BB229" s="345"/>
      <c r="BC229" s="345"/>
      <c r="BD229" s="345"/>
      <c r="BE229" s="345"/>
      <c r="BF229" s="345"/>
      <c r="BG229" s="345"/>
      <c r="BH229" s="345"/>
      <c r="BI229" s="345"/>
      <c r="BJ229" s="345"/>
      <c r="BK229" s="345"/>
      <c r="BL229" s="345"/>
      <c r="BM229" s="345"/>
      <c r="BN229" s="345"/>
      <c r="BO229" s="345"/>
      <c r="BP229" s="345"/>
      <c r="BQ229" s="345"/>
      <c r="BR229" s="345"/>
      <c r="BS229" s="345"/>
      <c r="BT229" s="345"/>
      <c r="BU229" s="345"/>
      <c r="BV229" s="345"/>
      <c r="BW229" s="345"/>
      <c r="BX229" s="345"/>
      <c r="BY229" s="345"/>
      <c r="BZ229" s="345"/>
      <c r="CA229" s="345"/>
      <c r="CB229" s="345"/>
      <c r="CC229" s="345"/>
      <c r="CD229" s="345"/>
      <c r="CE229" s="345"/>
      <c r="CF229" s="345"/>
      <c r="CG229" s="345"/>
      <c r="CH229" s="345"/>
      <c r="CI229" s="345"/>
      <c r="CJ229" s="345"/>
      <c r="CK229" s="345"/>
      <c r="CL229" s="345"/>
      <c r="CM229" s="345"/>
      <c r="CN229" s="345"/>
      <c r="CO229" s="345"/>
      <c r="CP229" s="345"/>
      <c r="CQ229" s="345"/>
      <c r="CR229" s="345"/>
      <c r="CS229" s="345"/>
      <c r="CT229" s="345"/>
      <c r="CU229" s="345"/>
      <c r="CV229" s="345"/>
      <c r="CW229" s="345"/>
      <c r="CX229" s="345"/>
      <c r="CY229" s="345"/>
      <c r="CZ229" s="345"/>
      <c r="DA229" s="345"/>
      <c r="DB229" s="345"/>
      <c r="DC229" s="345"/>
      <c r="DD229" s="345"/>
      <c r="DE229" s="345"/>
      <c r="DF229" s="345"/>
      <c r="DG229" s="345"/>
      <c r="DH229" s="345"/>
      <c r="DI229" s="345"/>
      <c r="DJ229" s="345"/>
      <c r="DK229" s="345"/>
      <c r="DL229" s="345"/>
      <c r="DM229" s="345"/>
      <c r="DN229" s="345"/>
      <c r="DO229" s="345"/>
      <c r="DP229" s="345"/>
      <c r="DQ229" s="345"/>
      <c r="DR229" s="345"/>
      <c r="DS229" s="345"/>
      <c r="DT229" s="345"/>
      <c r="DU229" s="345"/>
      <c r="DV229" s="345"/>
      <c r="DW229" s="345"/>
      <c r="DX229" s="345"/>
      <c r="DY229" s="345"/>
      <c r="DZ229" s="345"/>
      <c r="EA229" s="345"/>
    </row>
    <row r="230" spans="1:131" hidden="1">
      <c r="A230" s="345"/>
      <c r="B230" s="345"/>
      <c r="C230" s="345"/>
      <c r="D230" s="345"/>
      <c r="E230" s="345"/>
      <c r="F230" s="345"/>
      <c r="G230" s="345"/>
      <c r="H230" s="345"/>
      <c r="I230" s="345"/>
      <c r="J230" s="345"/>
      <c r="K230" s="345"/>
      <c r="L230" s="345"/>
      <c r="M230" s="345"/>
      <c r="N230" s="345"/>
      <c r="O230" s="345"/>
      <c r="P230" s="345"/>
      <c r="Q230" s="345"/>
      <c r="R230" s="345"/>
      <c r="S230" s="345"/>
      <c r="T230" s="345"/>
      <c r="U230" s="345"/>
      <c r="V230" s="345"/>
      <c r="W230" s="345"/>
      <c r="X230" s="345"/>
      <c r="Y230" s="345"/>
      <c r="Z230" s="345"/>
      <c r="AA230" s="345"/>
      <c r="AB230" s="345"/>
      <c r="AC230" s="345"/>
      <c r="AD230" s="345"/>
      <c r="AE230" s="345"/>
      <c r="AF230" s="345"/>
      <c r="AG230" s="345"/>
      <c r="AH230" s="345"/>
      <c r="AI230" s="345"/>
      <c r="AJ230" s="345"/>
      <c r="AK230" s="345"/>
      <c r="AL230" s="345"/>
      <c r="AM230" s="345"/>
      <c r="AN230" s="345"/>
      <c r="AO230" s="345"/>
      <c r="AP230" s="345"/>
      <c r="AQ230" s="345"/>
      <c r="AR230" s="345"/>
      <c r="AS230" s="345"/>
      <c r="AT230" s="345"/>
      <c r="AU230" s="345"/>
      <c r="AV230" s="345"/>
      <c r="AW230" s="345"/>
      <c r="AX230" s="345"/>
      <c r="AY230" s="345"/>
      <c r="AZ230" s="345"/>
      <c r="BA230" s="345"/>
      <c r="BB230" s="345"/>
      <c r="BC230" s="345"/>
      <c r="BD230" s="345"/>
      <c r="BE230" s="345"/>
      <c r="BF230" s="345"/>
      <c r="BG230" s="345"/>
      <c r="BH230" s="345"/>
      <c r="BI230" s="345"/>
      <c r="BJ230" s="345"/>
      <c r="BK230" s="345"/>
      <c r="BL230" s="345"/>
      <c r="BM230" s="345"/>
      <c r="BN230" s="345"/>
      <c r="BO230" s="345"/>
      <c r="BP230" s="345"/>
      <c r="BQ230" s="345"/>
      <c r="BR230" s="345"/>
      <c r="BS230" s="345"/>
      <c r="BT230" s="345"/>
      <c r="BU230" s="345"/>
      <c r="BV230" s="345"/>
      <c r="BW230" s="345"/>
      <c r="BX230" s="345"/>
      <c r="BY230" s="345"/>
      <c r="BZ230" s="345"/>
      <c r="CA230" s="345"/>
      <c r="CB230" s="345"/>
      <c r="CC230" s="345"/>
      <c r="CD230" s="345"/>
      <c r="CE230" s="345"/>
      <c r="CF230" s="345"/>
      <c r="CG230" s="345"/>
      <c r="CH230" s="345"/>
      <c r="CI230" s="345"/>
      <c r="CJ230" s="345"/>
      <c r="CK230" s="345"/>
      <c r="CL230" s="345"/>
      <c r="CM230" s="345"/>
      <c r="CN230" s="345"/>
      <c r="CO230" s="345"/>
      <c r="CP230" s="345"/>
      <c r="CQ230" s="345"/>
      <c r="CR230" s="345"/>
      <c r="CS230" s="345"/>
      <c r="CT230" s="345"/>
      <c r="CU230" s="345"/>
      <c r="CV230" s="345"/>
      <c r="CW230" s="345"/>
      <c r="CX230" s="345"/>
      <c r="CY230" s="345"/>
      <c r="CZ230" s="345"/>
      <c r="DA230" s="345"/>
      <c r="DB230" s="345"/>
      <c r="DC230" s="345"/>
      <c r="DD230" s="345"/>
      <c r="DE230" s="345"/>
      <c r="DF230" s="345"/>
      <c r="DG230" s="345"/>
      <c r="DH230" s="345"/>
      <c r="DI230" s="345"/>
      <c r="DJ230" s="345"/>
      <c r="DK230" s="345"/>
      <c r="DL230" s="345"/>
      <c r="DM230" s="345"/>
      <c r="DN230" s="345"/>
      <c r="DO230" s="345"/>
      <c r="DP230" s="345"/>
      <c r="DQ230" s="345"/>
      <c r="DR230" s="345"/>
      <c r="DS230" s="345"/>
      <c r="DT230" s="345"/>
      <c r="DU230" s="345"/>
      <c r="DV230" s="345"/>
      <c r="DW230" s="345"/>
      <c r="DX230" s="345"/>
      <c r="DY230" s="345"/>
      <c r="DZ230" s="345"/>
      <c r="EA230" s="345"/>
    </row>
    <row r="231" spans="1:131" hidden="1">
      <c r="A231" s="345"/>
      <c r="B231" s="345"/>
      <c r="C231" s="345"/>
      <c r="D231" s="345"/>
      <c r="E231" s="345"/>
      <c r="F231" s="345"/>
      <c r="G231" s="345"/>
      <c r="H231" s="345"/>
      <c r="I231" s="345"/>
      <c r="J231" s="345"/>
      <c r="K231" s="345"/>
      <c r="L231" s="345"/>
      <c r="M231" s="345"/>
      <c r="N231" s="345"/>
      <c r="O231" s="345"/>
      <c r="P231" s="345"/>
      <c r="Q231" s="345"/>
      <c r="R231" s="345"/>
      <c r="S231" s="345"/>
      <c r="T231" s="345"/>
      <c r="U231" s="345"/>
      <c r="V231" s="345"/>
      <c r="W231" s="345"/>
      <c r="X231" s="345"/>
      <c r="Y231" s="345"/>
      <c r="Z231" s="345"/>
      <c r="AA231" s="345"/>
      <c r="AB231" s="345"/>
      <c r="AC231" s="345"/>
      <c r="AD231" s="345"/>
      <c r="AE231" s="345"/>
      <c r="AF231" s="345"/>
      <c r="AG231" s="345"/>
      <c r="AH231" s="345"/>
      <c r="AI231" s="345"/>
      <c r="AJ231" s="345"/>
      <c r="AK231" s="345"/>
      <c r="AL231" s="345"/>
      <c r="AM231" s="345"/>
      <c r="AN231" s="345"/>
      <c r="AO231" s="345"/>
      <c r="AP231" s="345"/>
      <c r="AQ231" s="345"/>
      <c r="AR231" s="345"/>
      <c r="AS231" s="345"/>
      <c r="AT231" s="345"/>
      <c r="AU231" s="345"/>
      <c r="AV231" s="345"/>
      <c r="AW231" s="345"/>
      <c r="AX231" s="345"/>
      <c r="AY231" s="345"/>
      <c r="AZ231" s="345"/>
      <c r="BA231" s="345"/>
      <c r="BB231" s="345"/>
      <c r="BC231" s="345"/>
      <c r="BD231" s="345"/>
      <c r="BE231" s="345"/>
      <c r="BF231" s="345"/>
      <c r="BG231" s="345"/>
      <c r="BH231" s="345"/>
      <c r="BI231" s="345"/>
      <c r="BJ231" s="345"/>
      <c r="BK231" s="345"/>
      <c r="BL231" s="345"/>
      <c r="BM231" s="345"/>
      <c r="BN231" s="345"/>
      <c r="BO231" s="345"/>
      <c r="BP231" s="345"/>
      <c r="BQ231" s="345"/>
      <c r="BR231" s="345"/>
      <c r="BS231" s="345"/>
      <c r="BT231" s="345"/>
      <c r="BU231" s="345"/>
      <c r="BV231" s="345"/>
      <c r="BW231" s="345"/>
      <c r="BX231" s="345"/>
      <c r="BY231" s="345"/>
      <c r="BZ231" s="345"/>
      <c r="CA231" s="345"/>
      <c r="CB231" s="345"/>
      <c r="CC231" s="345"/>
      <c r="CD231" s="345"/>
      <c r="CE231" s="345"/>
      <c r="CF231" s="345"/>
      <c r="CG231" s="345"/>
      <c r="CH231" s="345"/>
      <c r="CI231" s="345"/>
      <c r="CJ231" s="345"/>
      <c r="CK231" s="345"/>
      <c r="CL231" s="345"/>
      <c r="CM231" s="345"/>
      <c r="CN231" s="345"/>
      <c r="CO231" s="345"/>
      <c r="CP231" s="345"/>
      <c r="CQ231" s="345"/>
      <c r="CR231" s="345"/>
      <c r="CS231" s="345"/>
      <c r="CT231" s="345"/>
      <c r="CU231" s="345"/>
      <c r="CV231" s="345"/>
      <c r="CW231" s="345"/>
      <c r="CX231" s="345"/>
      <c r="CY231" s="345"/>
      <c r="CZ231" s="345"/>
      <c r="DA231" s="345"/>
      <c r="DB231" s="345"/>
      <c r="DC231" s="345"/>
      <c r="DD231" s="345"/>
      <c r="DE231" s="345"/>
      <c r="DF231" s="345"/>
      <c r="DG231" s="345"/>
      <c r="DH231" s="345"/>
      <c r="DI231" s="345"/>
      <c r="DJ231" s="345"/>
      <c r="DK231" s="345"/>
      <c r="DL231" s="345"/>
      <c r="DM231" s="345"/>
      <c r="DN231" s="345"/>
      <c r="DO231" s="345"/>
      <c r="DP231" s="345"/>
      <c r="DQ231" s="345"/>
      <c r="DR231" s="345"/>
      <c r="DS231" s="345"/>
      <c r="DT231" s="345"/>
      <c r="DU231" s="345"/>
      <c r="DV231" s="345"/>
      <c r="DW231" s="345"/>
      <c r="DX231" s="345"/>
      <c r="DY231" s="345"/>
      <c r="DZ231" s="345"/>
      <c r="EA231" s="345"/>
    </row>
    <row r="232" spans="1:131" hidden="1">
      <c r="A232" s="345"/>
      <c r="B232" s="345"/>
      <c r="C232" s="345"/>
      <c r="D232" s="345"/>
      <c r="E232" s="345"/>
      <c r="F232" s="345"/>
      <c r="G232" s="345"/>
      <c r="H232" s="345"/>
      <c r="I232" s="345"/>
      <c r="J232" s="345"/>
      <c r="K232" s="345"/>
      <c r="L232" s="345"/>
      <c r="M232" s="345"/>
      <c r="N232" s="345"/>
      <c r="O232" s="345"/>
      <c r="P232" s="345"/>
      <c r="Q232" s="345"/>
      <c r="R232" s="345"/>
      <c r="S232" s="345"/>
      <c r="T232" s="345"/>
      <c r="U232" s="345"/>
      <c r="V232" s="345"/>
      <c r="W232" s="345"/>
      <c r="X232" s="345"/>
      <c r="Y232" s="345"/>
      <c r="Z232" s="345"/>
      <c r="AA232" s="345"/>
      <c r="AB232" s="345"/>
      <c r="AC232" s="345"/>
      <c r="AD232" s="345"/>
      <c r="AE232" s="345"/>
      <c r="AF232" s="345"/>
      <c r="AG232" s="345"/>
      <c r="AH232" s="345"/>
      <c r="AI232" s="345"/>
      <c r="AJ232" s="345"/>
      <c r="AK232" s="345"/>
      <c r="AL232" s="345"/>
      <c r="AM232" s="345"/>
      <c r="AN232" s="345"/>
      <c r="AO232" s="345"/>
      <c r="AP232" s="345"/>
      <c r="AQ232" s="345"/>
      <c r="AR232" s="345"/>
      <c r="AS232" s="345"/>
      <c r="AT232" s="345"/>
      <c r="AU232" s="345"/>
      <c r="AV232" s="345"/>
      <c r="AW232" s="345"/>
      <c r="AX232" s="345"/>
      <c r="AY232" s="345"/>
      <c r="AZ232" s="345"/>
      <c r="BA232" s="345"/>
      <c r="BB232" s="345"/>
      <c r="BC232" s="345"/>
      <c r="BD232" s="345"/>
      <c r="BE232" s="345"/>
      <c r="BF232" s="345"/>
      <c r="BG232" s="345"/>
      <c r="BH232" s="345"/>
      <c r="BI232" s="345"/>
      <c r="BJ232" s="345"/>
      <c r="BK232" s="345"/>
      <c r="BL232" s="345"/>
      <c r="BM232" s="345"/>
      <c r="BN232" s="345"/>
      <c r="BO232" s="345"/>
      <c r="BP232" s="345"/>
      <c r="BQ232" s="345"/>
      <c r="BR232" s="345"/>
      <c r="BS232" s="345"/>
      <c r="BT232" s="345"/>
      <c r="BU232" s="345"/>
      <c r="BV232" s="345"/>
      <c r="BW232" s="345"/>
      <c r="BX232" s="345"/>
      <c r="BY232" s="345"/>
      <c r="BZ232" s="345"/>
      <c r="CA232" s="345"/>
      <c r="CB232" s="345"/>
      <c r="CC232" s="345"/>
      <c r="CD232" s="345"/>
      <c r="CE232" s="345"/>
      <c r="CF232" s="345"/>
      <c r="CG232" s="345"/>
      <c r="CH232" s="345"/>
      <c r="CI232" s="345"/>
      <c r="CJ232" s="345"/>
      <c r="CK232" s="345"/>
      <c r="CL232" s="345"/>
      <c r="CM232" s="345"/>
      <c r="CN232" s="345"/>
      <c r="CO232" s="345"/>
      <c r="CP232" s="345"/>
      <c r="CQ232" s="345"/>
      <c r="CR232" s="345"/>
      <c r="CS232" s="345"/>
      <c r="CT232" s="345"/>
      <c r="CU232" s="345"/>
      <c r="CV232" s="345"/>
      <c r="CW232" s="345"/>
      <c r="CX232" s="345"/>
      <c r="CY232" s="345"/>
      <c r="CZ232" s="345"/>
      <c r="DA232" s="345"/>
      <c r="DB232" s="345"/>
      <c r="DC232" s="345"/>
      <c r="DD232" s="345"/>
      <c r="DE232" s="345"/>
      <c r="DF232" s="345"/>
      <c r="DG232" s="345"/>
      <c r="DH232" s="345"/>
      <c r="DI232" s="345"/>
      <c r="DJ232" s="345"/>
      <c r="DK232" s="345"/>
      <c r="DL232" s="345"/>
      <c r="DM232" s="345"/>
      <c r="DN232" s="345"/>
      <c r="DO232" s="345"/>
      <c r="DP232" s="345"/>
      <c r="DQ232" s="345"/>
      <c r="DR232" s="345"/>
      <c r="DS232" s="345"/>
      <c r="DT232" s="345"/>
      <c r="DU232" s="345"/>
      <c r="DV232" s="345"/>
      <c r="DW232" s="345"/>
      <c r="DX232" s="345"/>
      <c r="DY232" s="345"/>
      <c r="DZ232" s="345"/>
      <c r="EA232" s="345"/>
    </row>
    <row r="233" spans="1:131" hidden="1">
      <c r="A233" s="345"/>
      <c r="B233" s="345"/>
      <c r="C233" s="345"/>
      <c r="D233" s="345"/>
      <c r="E233" s="345"/>
      <c r="F233" s="345"/>
      <c r="G233" s="345"/>
      <c r="H233" s="345"/>
      <c r="I233" s="345"/>
      <c r="J233" s="345"/>
      <c r="K233" s="345"/>
      <c r="L233" s="345"/>
      <c r="M233" s="345"/>
      <c r="N233" s="345"/>
      <c r="O233" s="345"/>
      <c r="P233" s="345"/>
      <c r="Q233" s="345"/>
      <c r="R233" s="345"/>
      <c r="S233" s="345"/>
      <c r="T233" s="345"/>
      <c r="U233" s="345"/>
      <c r="V233" s="345"/>
      <c r="W233" s="345"/>
      <c r="X233" s="345"/>
      <c r="Y233" s="345"/>
      <c r="Z233" s="345"/>
      <c r="AA233" s="345"/>
      <c r="AB233" s="345"/>
      <c r="AC233" s="345"/>
      <c r="AD233" s="345"/>
      <c r="AE233" s="345"/>
      <c r="AF233" s="345"/>
      <c r="AG233" s="345"/>
      <c r="AH233" s="345"/>
      <c r="AI233" s="345"/>
      <c r="AJ233" s="345"/>
      <c r="AK233" s="345"/>
      <c r="AL233" s="345"/>
      <c r="AM233" s="345"/>
      <c r="AN233" s="345"/>
      <c r="AO233" s="345"/>
      <c r="AP233" s="345"/>
      <c r="AQ233" s="345"/>
      <c r="AR233" s="345"/>
      <c r="AS233" s="345"/>
      <c r="AT233" s="345"/>
      <c r="AU233" s="345"/>
      <c r="AV233" s="345"/>
      <c r="AW233" s="345"/>
      <c r="AX233" s="345"/>
      <c r="AY233" s="345"/>
      <c r="AZ233" s="345"/>
      <c r="BA233" s="345"/>
      <c r="BB233" s="345"/>
      <c r="BC233" s="345"/>
      <c r="BD233" s="345"/>
      <c r="BE233" s="345"/>
      <c r="BF233" s="345"/>
      <c r="BG233" s="345"/>
      <c r="BH233" s="345"/>
      <c r="BI233" s="345"/>
      <c r="BJ233" s="345"/>
      <c r="BK233" s="345"/>
      <c r="BL233" s="345"/>
      <c r="BM233" s="345"/>
      <c r="BN233" s="345"/>
      <c r="BO233" s="345"/>
      <c r="BP233" s="345"/>
      <c r="BQ233" s="345"/>
      <c r="BR233" s="345"/>
      <c r="BS233" s="345"/>
      <c r="BT233" s="345"/>
      <c r="BU233" s="345"/>
      <c r="BV233" s="345"/>
      <c r="BW233" s="345"/>
      <c r="BX233" s="345"/>
      <c r="BY233" s="345"/>
      <c r="BZ233" s="345"/>
      <c r="CA233" s="345"/>
      <c r="CB233" s="345"/>
      <c r="CC233" s="345"/>
      <c r="CD233" s="345"/>
      <c r="CE233" s="345"/>
      <c r="CF233" s="345"/>
      <c r="CG233" s="345"/>
      <c r="CH233" s="345"/>
      <c r="CI233" s="345"/>
      <c r="CJ233" s="345"/>
      <c r="CK233" s="345"/>
      <c r="CL233" s="345"/>
      <c r="CM233" s="345"/>
      <c r="CN233" s="345"/>
      <c r="CO233" s="345"/>
      <c r="CP233" s="345"/>
      <c r="CQ233" s="345"/>
      <c r="CR233" s="345"/>
      <c r="CS233" s="345"/>
      <c r="CT233" s="345"/>
      <c r="CU233" s="345"/>
      <c r="CV233" s="345"/>
      <c r="CW233" s="345"/>
      <c r="CX233" s="345"/>
      <c r="CY233" s="345"/>
      <c r="CZ233" s="345"/>
      <c r="DA233" s="345"/>
      <c r="DB233" s="345"/>
      <c r="DC233" s="345"/>
      <c r="DD233" s="345"/>
      <c r="DE233" s="345"/>
      <c r="DF233" s="345"/>
      <c r="DG233" s="345"/>
      <c r="DH233" s="345"/>
      <c r="DI233" s="345"/>
      <c r="DJ233" s="345"/>
      <c r="DK233" s="345"/>
      <c r="DL233" s="345"/>
      <c r="DM233" s="345"/>
      <c r="DN233" s="345"/>
      <c r="DO233" s="345"/>
      <c r="DP233" s="345"/>
      <c r="DQ233" s="345"/>
      <c r="DR233" s="345"/>
      <c r="DS233" s="345"/>
      <c r="DT233" s="345"/>
      <c r="DU233" s="345"/>
      <c r="DV233" s="345"/>
      <c r="DW233" s="345"/>
      <c r="DX233" s="345"/>
      <c r="DY233" s="345"/>
      <c r="DZ233" s="345"/>
      <c r="EA233" s="345"/>
    </row>
    <row r="234" spans="1:131" hidden="1">
      <c r="A234" s="345"/>
      <c r="B234" s="345"/>
      <c r="C234" s="345"/>
      <c r="D234" s="345"/>
      <c r="E234" s="345"/>
      <c r="F234" s="345"/>
      <c r="G234" s="345"/>
      <c r="H234" s="345"/>
      <c r="I234" s="345"/>
      <c r="J234" s="345"/>
      <c r="K234" s="345"/>
      <c r="L234" s="345"/>
      <c r="M234" s="345"/>
      <c r="N234" s="345"/>
      <c r="O234" s="345"/>
      <c r="P234" s="345"/>
      <c r="Q234" s="345"/>
      <c r="R234" s="345"/>
      <c r="S234" s="345"/>
      <c r="T234" s="345"/>
      <c r="U234" s="345"/>
      <c r="V234" s="345"/>
      <c r="W234" s="345"/>
      <c r="X234" s="345"/>
      <c r="Y234" s="345"/>
      <c r="Z234" s="345"/>
      <c r="AA234" s="345"/>
      <c r="AB234" s="345"/>
      <c r="AC234" s="345"/>
      <c r="AD234" s="345"/>
      <c r="AE234" s="345"/>
      <c r="AF234" s="345"/>
      <c r="AG234" s="345"/>
      <c r="AH234" s="345"/>
      <c r="AI234" s="345"/>
      <c r="AJ234" s="345"/>
      <c r="AK234" s="345"/>
      <c r="AL234" s="345"/>
      <c r="AM234" s="345"/>
      <c r="AN234" s="345"/>
      <c r="AO234" s="345"/>
      <c r="AP234" s="345"/>
      <c r="AQ234" s="345"/>
      <c r="AR234" s="345"/>
      <c r="AS234" s="345"/>
      <c r="AT234" s="345"/>
      <c r="AU234" s="345"/>
      <c r="AV234" s="345"/>
      <c r="AW234" s="345"/>
      <c r="AX234" s="345"/>
      <c r="AY234" s="345"/>
      <c r="AZ234" s="345"/>
      <c r="BA234" s="345"/>
      <c r="BB234" s="345"/>
      <c r="BC234" s="345"/>
      <c r="BD234" s="345"/>
      <c r="BE234" s="345"/>
      <c r="BF234" s="345"/>
      <c r="BG234" s="345"/>
      <c r="BH234" s="345"/>
      <c r="BI234" s="345"/>
      <c r="BJ234" s="345"/>
      <c r="BK234" s="345"/>
      <c r="BL234" s="345"/>
      <c r="BM234" s="345"/>
      <c r="BN234" s="345"/>
      <c r="BO234" s="345"/>
      <c r="BP234" s="345"/>
      <c r="BQ234" s="345"/>
      <c r="BR234" s="345"/>
      <c r="BS234" s="345"/>
      <c r="BT234" s="345"/>
      <c r="BU234" s="345"/>
      <c r="BV234" s="345"/>
      <c r="BW234" s="345"/>
      <c r="BX234" s="345"/>
      <c r="BY234" s="345"/>
      <c r="BZ234" s="345"/>
      <c r="CA234" s="345"/>
      <c r="CB234" s="345"/>
      <c r="CC234" s="345"/>
      <c r="CD234" s="345"/>
      <c r="CE234" s="345"/>
      <c r="CF234" s="345"/>
      <c r="CG234" s="345"/>
      <c r="CH234" s="345"/>
      <c r="CI234" s="345"/>
      <c r="CJ234" s="345"/>
      <c r="CK234" s="345"/>
      <c r="CL234" s="345"/>
      <c r="CM234" s="345"/>
      <c r="CN234" s="345"/>
      <c r="CO234" s="345"/>
      <c r="CP234" s="345"/>
      <c r="CQ234" s="345"/>
      <c r="CR234" s="345"/>
      <c r="CS234" s="345"/>
      <c r="CT234" s="345"/>
      <c r="CU234" s="345"/>
      <c r="CV234" s="345"/>
      <c r="CW234" s="345"/>
      <c r="CX234" s="345"/>
      <c r="CY234" s="345"/>
      <c r="CZ234" s="345"/>
      <c r="DA234" s="345"/>
      <c r="DB234" s="345"/>
      <c r="DC234" s="345"/>
      <c r="DD234" s="345"/>
      <c r="DE234" s="345"/>
      <c r="DF234" s="345"/>
      <c r="DG234" s="345"/>
      <c r="DH234" s="345"/>
      <c r="DI234" s="345"/>
      <c r="DJ234" s="345"/>
      <c r="DK234" s="345"/>
      <c r="DL234" s="345"/>
      <c r="DM234" s="345"/>
      <c r="DN234" s="345"/>
      <c r="DO234" s="345"/>
      <c r="DP234" s="345"/>
      <c r="DQ234" s="345"/>
      <c r="DR234" s="345"/>
      <c r="DS234" s="345"/>
      <c r="DT234" s="345"/>
      <c r="DU234" s="345"/>
      <c r="DV234" s="345"/>
      <c r="DW234" s="345"/>
      <c r="DX234" s="345"/>
      <c r="DY234" s="345"/>
      <c r="DZ234" s="345"/>
      <c r="EA234" s="345"/>
    </row>
    <row r="235" spans="1:131" hidden="1">
      <c r="A235" s="345"/>
      <c r="B235" s="345"/>
      <c r="C235" s="345"/>
      <c r="D235" s="345"/>
      <c r="E235" s="345"/>
      <c r="F235" s="345"/>
      <c r="G235" s="345"/>
      <c r="H235" s="345"/>
      <c r="I235" s="345"/>
      <c r="J235" s="345"/>
      <c r="K235" s="345"/>
      <c r="L235" s="345"/>
      <c r="M235" s="345"/>
      <c r="N235" s="345"/>
      <c r="O235" s="345"/>
      <c r="P235" s="345"/>
      <c r="Q235" s="345"/>
      <c r="R235" s="345"/>
      <c r="S235" s="345"/>
      <c r="T235" s="345"/>
      <c r="U235" s="345"/>
      <c r="V235" s="345"/>
      <c r="W235" s="345"/>
      <c r="X235" s="345"/>
      <c r="Y235" s="345"/>
      <c r="Z235" s="345"/>
      <c r="AA235" s="345"/>
      <c r="AB235" s="345"/>
      <c r="AC235" s="345"/>
      <c r="AD235" s="345"/>
      <c r="AE235" s="345"/>
      <c r="AF235" s="345"/>
      <c r="AG235" s="345"/>
      <c r="AH235" s="345"/>
      <c r="AI235" s="345"/>
      <c r="AJ235" s="345"/>
      <c r="AK235" s="345"/>
      <c r="AL235" s="345"/>
      <c r="AM235" s="345"/>
      <c r="AN235" s="345"/>
      <c r="AO235" s="345"/>
      <c r="AP235" s="345"/>
      <c r="AQ235" s="345"/>
      <c r="AR235" s="345"/>
      <c r="AS235" s="345"/>
      <c r="AT235" s="345"/>
      <c r="AU235" s="345"/>
      <c r="AV235" s="345"/>
      <c r="AW235" s="345"/>
      <c r="AX235" s="345"/>
      <c r="AY235" s="345"/>
      <c r="AZ235" s="345"/>
      <c r="BA235" s="345"/>
      <c r="BB235" s="345"/>
      <c r="BC235" s="345"/>
      <c r="BD235" s="345"/>
      <c r="BE235" s="345"/>
      <c r="BF235" s="345"/>
      <c r="BG235" s="345"/>
      <c r="BH235" s="345"/>
      <c r="BI235" s="345"/>
      <c r="BJ235" s="345"/>
      <c r="BK235" s="345"/>
      <c r="BL235" s="345"/>
      <c r="BM235" s="345"/>
      <c r="BN235" s="345"/>
      <c r="BO235" s="345"/>
      <c r="BP235" s="345"/>
      <c r="BQ235" s="345"/>
      <c r="BR235" s="345"/>
      <c r="BS235" s="345"/>
      <c r="BT235" s="345"/>
      <c r="BU235" s="345"/>
      <c r="BV235" s="345"/>
      <c r="BW235" s="345"/>
      <c r="BX235" s="345"/>
      <c r="BY235" s="345"/>
      <c r="BZ235" s="345"/>
      <c r="CA235" s="345"/>
      <c r="CB235" s="345"/>
      <c r="CC235" s="345"/>
      <c r="CD235" s="345"/>
      <c r="CE235" s="345"/>
      <c r="CF235" s="345"/>
      <c r="CG235" s="345"/>
      <c r="CH235" s="345"/>
      <c r="CI235" s="345"/>
      <c r="CJ235" s="345"/>
      <c r="CK235" s="345"/>
      <c r="CL235" s="345"/>
      <c r="CM235" s="345"/>
      <c r="CN235" s="345"/>
      <c r="CO235" s="345"/>
      <c r="CP235" s="345"/>
      <c r="CQ235" s="345"/>
      <c r="CR235" s="345"/>
      <c r="CS235" s="345"/>
      <c r="CT235" s="345"/>
      <c r="CU235" s="345"/>
      <c r="CV235" s="345"/>
      <c r="CW235" s="345"/>
      <c r="CX235" s="345"/>
      <c r="CY235" s="345"/>
      <c r="CZ235" s="345"/>
      <c r="DA235" s="345"/>
      <c r="DB235" s="345"/>
      <c r="DC235" s="345"/>
      <c r="DD235" s="345"/>
      <c r="DE235" s="345"/>
      <c r="DF235" s="345"/>
      <c r="DG235" s="345"/>
      <c r="DH235" s="345"/>
      <c r="DI235" s="345"/>
      <c r="DJ235" s="345"/>
      <c r="DK235" s="345"/>
      <c r="DL235" s="345"/>
      <c r="DM235" s="345"/>
      <c r="DN235" s="345"/>
      <c r="DO235" s="345"/>
      <c r="DP235" s="345"/>
      <c r="DQ235" s="345"/>
      <c r="DR235" s="345"/>
      <c r="DS235" s="345"/>
      <c r="DT235" s="345"/>
      <c r="DU235" s="345"/>
      <c r="DV235" s="345"/>
      <c r="DW235" s="345"/>
      <c r="DX235" s="345"/>
      <c r="DY235" s="345"/>
      <c r="DZ235" s="345"/>
      <c r="EA235" s="345"/>
    </row>
    <row r="236" spans="1:131" hidden="1">
      <c r="A236" s="345"/>
      <c r="B236" s="345"/>
      <c r="C236" s="345"/>
      <c r="D236" s="345"/>
      <c r="E236" s="345"/>
      <c r="F236" s="345"/>
      <c r="G236" s="345"/>
      <c r="H236" s="345"/>
      <c r="I236" s="345"/>
      <c r="J236" s="345"/>
      <c r="K236" s="345"/>
      <c r="L236" s="345"/>
      <c r="M236" s="345"/>
      <c r="N236" s="345"/>
      <c r="O236" s="345"/>
      <c r="P236" s="345"/>
      <c r="Q236" s="345"/>
      <c r="R236" s="345"/>
      <c r="S236" s="345"/>
      <c r="T236" s="345"/>
      <c r="U236" s="345"/>
      <c r="V236" s="345"/>
      <c r="W236" s="345"/>
      <c r="X236" s="345"/>
      <c r="Y236" s="345"/>
      <c r="Z236" s="345"/>
      <c r="AA236" s="345"/>
      <c r="AB236" s="345"/>
      <c r="AC236" s="345"/>
      <c r="AD236" s="345"/>
      <c r="AE236" s="345"/>
      <c r="AF236" s="345"/>
      <c r="AG236" s="345"/>
      <c r="AH236" s="345"/>
      <c r="AI236" s="345"/>
      <c r="AJ236" s="345"/>
      <c r="AK236" s="345"/>
      <c r="AL236" s="345"/>
      <c r="AM236" s="345"/>
      <c r="AN236" s="345"/>
      <c r="AO236" s="345"/>
      <c r="AP236" s="345"/>
      <c r="AQ236" s="345"/>
      <c r="AR236" s="345"/>
      <c r="AS236" s="345"/>
      <c r="AT236" s="345"/>
      <c r="AU236" s="345"/>
      <c r="AV236" s="345"/>
      <c r="AW236" s="345"/>
      <c r="AX236" s="345"/>
      <c r="AY236" s="345"/>
      <c r="AZ236" s="345"/>
      <c r="BA236" s="345"/>
      <c r="BB236" s="345"/>
      <c r="BC236" s="345"/>
      <c r="BD236" s="345"/>
      <c r="BE236" s="345"/>
      <c r="BF236" s="345"/>
      <c r="BG236" s="345"/>
      <c r="BH236" s="345"/>
      <c r="BI236" s="345"/>
      <c r="BJ236" s="345"/>
      <c r="BK236" s="345"/>
      <c r="BL236" s="345"/>
      <c r="BM236" s="345"/>
      <c r="BN236" s="345"/>
      <c r="BO236" s="345"/>
      <c r="BP236" s="345"/>
      <c r="BQ236" s="345"/>
      <c r="BR236" s="345"/>
      <c r="BS236" s="345"/>
      <c r="BT236" s="345"/>
      <c r="BU236" s="345"/>
      <c r="BV236" s="345"/>
      <c r="BW236" s="345"/>
      <c r="BX236" s="345"/>
      <c r="BY236" s="345"/>
      <c r="BZ236" s="345"/>
      <c r="CA236" s="345"/>
      <c r="CB236" s="345"/>
      <c r="CC236" s="345"/>
      <c r="CD236" s="345"/>
      <c r="CE236" s="345"/>
      <c r="CF236" s="345"/>
      <c r="CG236" s="345"/>
      <c r="CH236" s="345"/>
      <c r="CI236" s="345"/>
      <c r="CJ236" s="345"/>
      <c r="CK236" s="345"/>
      <c r="CL236" s="345"/>
      <c r="CM236" s="345"/>
      <c r="CN236" s="345"/>
      <c r="CO236" s="345"/>
      <c r="CP236" s="345"/>
      <c r="CQ236" s="345"/>
      <c r="CR236" s="345"/>
      <c r="CS236" s="345"/>
      <c r="CT236" s="345"/>
      <c r="CU236" s="345"/>
      <c r="CV236" s="345"/>
      <c r="CW236" s="345"/>
      <c r="CX236" s="345"/>
      <c r="CY236" s="345"/>
      <c r="CZ236" s="345"/>
      <c r="DA236" s="345"/>
      <c r="DB236" s="345"/>
      <c r="DC236" s="345"/>
      <c r="DD236" s="345"/>
      <c r="DE236" s="345"/>
      <c r="DF236" s="345"/>
      <c r="DG236" s="345"/>
      <c r="DH236" s="345"/>
      <c r="DI236" s="345"/>
      <c r="DJ236" s="345"/>
      <c r="DK236" s="345"/>
      <c r="DL236" s="345"/>
      <c r="DM236" s="345"/>
      <c r="DN236" s="345"/>
      <c r="DO236" s="345"/>
      <c r="DP236" s="345"/>
      <c r="DQ236" s="345"/>
      <c r="DR236" s="345"/>
      <c r="DS236" s="345"/>
      <c r="DT236" s="345"/>
      <c r="DU236" s="345"/>
      <c r="DV236" s="345"/>
      <c r="DW236" s="345"/>
      <c r="DX236" s="345"/>
      <c r="DY236" s="345"/>
      <c r="DZ236" s="345"/>
      <c r="EA236" s="345"/>
    </row>
    <row r="237" spans="1:131" hidden="1">
      <c r="A237" s="345"/>
      <c r="B237" s="345"/>
      <c r="C237" s="345"/>
      <c r="D237" s="345"/>
      <c r="E237" s="345"/>
      <c r="F237" s="345"/>
      <c r="G237" s="345"/>
      <c r="H237" s="345"/>
      <c r="I237" s="345"/>
      <c r="J237" s="345"/>
      <c r="K237" s="345"/>
      <c r="L237" s="345"/>
      <c r="M237" s="345"/>
      <c r="N237" s="345"/>
      <c r="O237" s="345"/>
      <c r="P237" s="345"/>
      <c r="Q237" s="345"/>
      <c r="R237" s="345"/>
      <c r="S237" s="345"/>
      <c r="T237" s="345"/>
      <c r="U237" s="345"/>
      <c r="V237" s="345"/>
      <c r="W237" s="345"/>
      <c r="X237" s="345"/>
      <c r="Y237" s="345"/>
      <c r="Z237" s="345"/>
      <c r="AA237" s="345"/>
      <c r="AB237" s="345"/>
      <c r="AC237" s="345"/>
      <c r="AD237" s="345"/>
      <c r="AE237" s="345"/>
      <c r="AF237" s="345"/>
      <c r="AG237" s="345"/>
      <c r="AH237" s="345"/>
      <c r="AI237" s="345"/>
      <c r="AJ237" s="345"/>
      <c r="AK237" s="345"/>
      <c r="AL237" s="345"/>
      <c r="AM237" s="345"/>
      <c r="AN237" s="345"/>
      <c r="AO237" s="345"/>
      <c r="AP237" s="345"/>
      <c r="AQ237" s="345"/>
      <c r="AR237" s="345"/>
      <c r="AS237" s="345"/>
      <c r="AT237" s="345"/>
      <c r="AU237" s="345"/>
      <c r="AV237" s="345"/>
      <c r="AW237" s="345"/>
      <c r="AX237" s="345"/>
      <c r="AY237" s="345"/>
      <c r="AZ237" s="345"/>
      <c r="BA237" s="345"/>
      <c r="BB237" s="345"/>
      <c r="BC237" s="345"/>
      <c r="BD237" s="345"/>
      <c r="BE237" s="345"/>
      <c r="BF237" s="345"/>
      <c r="BG237" s="345"/>
      <c r="BH237" s="345"/>
      <c r="BI237" s="345"/>
      <c r="BJ237" s="345"/>
      <c r="BK237" s="345"/>
      <c r="BL237" s="345"/>
      <c r="BM237" s="345"/>
      <c r="BN237" s="345"/>
      <c r="BO237" s="345"/>
      <c r="BP237" s="345"/>
      <c r="BQ237" s="345"/>
      <c r="BR237" s="345"/>
      <c r="BS237" s="345"/>
      <c r="BT237" s="345"/>
      <c r="BU237" s="345"/>
      <c r="BV237" s="345"/>
      <c r="BW237" s="345"/>
      <c r="BX237" s="345"/>
      <c r="BY237" s="345"/>
      <c r="BZ237" s="345"/>
      <c r="CA237" s="345"/>
      <c r="CB237" s="345"/>
      <c r="CC237" s="345"/>
      <c r="CD237" s="345"/>
      <c r="CE237" s="345"/>
      <c r="CF237" s="345"/>
      <c r="CG237" s="345"/>
      <c r="CH237" s="345"/>
      <c r="CI237" s="345"/>
      <c r="CJ237" s="345"/>
      <c r="CK237" s="345"/>
      <c r="CL237" s="345"/>
      <c r="CM237" s="345"/>
      <c r="CN237" s="345"/>
      <c r="CO237" s="345"/>
      <c r="CP237" s="345"/>
      <c r="CQ237" s="345"/>
      <c r="CR237" s="345"/>
      <c r="CS237" s="345"/>
      <c r="CT237" s="345"/>
      <c r="CU237" s="345"/>
      <c r="CV237" s="345"/>
      <c r="CW237" s="345"/>
      <c r="CX237" s="345"/>
      <c r="CY237" s="345"/>
      <c r="CZ237" s="345"/>
      <c r="DA237" s="345"/>
      <c r="DB237" s="345"/>
      <c r="DC237" s="345"/>
      <c r="DD237" s="345"/>
      <c r="DE237" s="345"/>
      <c r="DF237" s="345"/>
      <c r="DG237" s="345"/>
      <c r="DH237" s="345"/>
      <c r="DI237" s="345"/>
      <c r="DJ237" s="345"/>
      <c r="DK237" s="345"/>
      <c r="DL237" s="345"/>
      <c r="DM237" s="345"/>
      <c r="DN237" s="345"/>
      <c r="DO237" s="345"/>
      <c r="DP237" s="345"/>
      <c r="DQ237" s="345"/>
      <c r="DR237" s="345"/>
      <c r="DS237" s="345"/>
      <c r="DT237" s="345"/>
      <c r="DU237" s="345"/>
      <c r="DV237" s="345"/>
      <c r="DW237" s="345"/>
      <c r="DX237" s="345"/>
      <c r="DY237" s="345"/>
      <c r="DZ237" s="345"/>
      <c r="EA237" s="345"/>
    </row>
    <row r="238" spans="1:131" hidden="1">
      <c r="A238" s="345"/>
      <c r="B238" s="345"/>
      <c r="C238" s="345"/>
      <c r="D238" s="345"/>
      <c r="E238" s="345"/>
      <c r="F238" s="345"/>
      <c r="G238" s="345"/>
      <c r="H238" s="345"/>
      <c r="I238" s="345"/>
      <c r="J238" s="345"/>
      <c r="K238" s="345"/>
      <c r="L238" s="345"/>
      <c r="M238" s="345"/>
      <c r="N238" s="345"/>
      <c r="O238" s="345"/>
      <c r="P238" s="345"/>
      <c r="Q238" s="345"/>
      <c r="R238" s="345"/>
      <c r="S238" s="345"/>
      <c r="T238" s="345"/>
      <c r="U238" s="345"/>
      <c r="V238" s="345"/>
      <c r="W238" s="345"/>
      <c r="X238" s="345"/>
      <c r="Y238" s="345"/>
      <c r="Z238" s="345"/>
      <c r="AA238" s="345"/>
      <c r="AB238" s="345"/>
      <c r="AC238" s="345"/>
      <c r="AD238" s="345"/>
      <c r="AE238" s="345"/>
      <c r="AF238" s="345"/>
      <c r="AG238" s="345"/>
      <c r="AH238" s="345"/>
      <c r="AI238" s="345"/>
      <c r="AJ238" s="345"/>
      <c r="AK238" s="345"/>
      <c r="AL238" s="345"/>
      <c r="AM238" s="345"/>
      <c r="AN238" s="345"/>
      <c r="AO238" s="345"/>
      <c r="AP238" s="345"/>
      <c r="AQ238" s="345"/>
      <c r="AR238" s="345"/>
      <c r="AS238" s="345"/>
      <c r="AT238" s="345"/>
      <c r="AU238" s="345"/>
      <c r="AV238" s="345"/>
      <c r="AW238" s="345"/>
      <c r="AX238" s="345"/>
      <c r="AY238" s="345"/>
      <c r="AZ238" s="345"/>
      <c r="BA238" s="345"/>
      <c r="BB238" s="345"/>
      <c r="BC238" s="345"/>
      <c r="BD238" s="345"/>
      <c r="BE238" s="345"/>
      <c r="BF238" s="345"/>
      <c r="BG238" s="345"/>
      <c r="BH238" s="345"/>
      <c r="BI238" s="345"/>
      <c r="BJ238" s="345"/>
      <c r="BK238" s="345"/>
      <c r="BL238" s="345"/>
      <c r="BM238" s="345"/>
      <c r="BN238" s="345"/>
      <c r="BO238" s="345"/>
      <c r="BP238" s="345"/>
      <c r="BQ238" s="345"/>
      <c r="BR238" s="345"/>
      <c r="BS238" s="345"/>
      <c r="BT238" s="345"/>
      <c r="BU238" s="345"/>
      <c r="BV238" s="345"/>
      <c r="BW238" s="345"/>
      <c r="BX238" s="345"/>
      <c r="BY238" s="345"/>
      <c r="BZ238" s="345"/>
      <c r="CA238" s="345"/>
      <c r="CB238" s="345"/>
      <c r="CC238" s="345"/>
      <c r="CD238" s="345"/>
      <c r="CE238" s="345"/>
      <c r="CF238" s="345"/>
      <c r="CG238" s="345"/>
      <c r="CH238" s="345"/>
      <c r="CI238" s="345"/>
      <c r="CJ238" s="345"/>
      <c r="CK238" s="345"/>
      <c r="CL238" s="345"/>
      <c r="CM238" s="345"/>
      <c r="CN238" s="345"/>
      <c r="CO238" s="345"/>
      <c r="CP238" s="345"/>
      <c r="CQ238" s="345"/>
      <c r="CR238" s="345"/>
      <c r="CS238" s="345"/>
      <c r="CT238" s="345"/>
      <c r="CU238" s="345"/>
      <c r="CV238" s="345"/>
      <c r="CW238" s="345"/>
      <c r="CX238" s="345"/>
      <c r="CY238" s="345"/>
      <c r="CZ238" s="345"/>
      <c r="DA238" s="345"/>
      <c r="DB238" s="345"/>
      <c r="DC238" s="345"/>
      <c r="DD238" s="345"/>
      <c r="DE238" s="345"/>
      <c r="DF238" s="345"/>
      <c r="DG238" s="345"/>
      <c r="DH238" s="345"/>
      <c r="DI238" s="345"/>
      <c r="DJ238" s="345"/>
      <c r="DK238" s="345"/>
      <c r="DL238" s="345"/>
      <c r="DM238" s="345"/>
      <c r="DN238" s="345"/>
      <c r="DO238" s="345"/>
      <c r="DP238" s="345"/>
      <c r="DQ238" s="345"/>
      <c r="DR238" s="345"/>
      <c r="DS238" s="345"/>
      <c r="DT238" s="345"/>
      <c r="DU238" s="345"/>
      <c r="DV238" s="345"/>
      <c r="DW238" s="345"/>
      <c r="DX238" s="345"/>
      <c r="DY238" s="345"/>
      <c r="DZ238" s="345"/>
      <c r="EA238" s="345"/>
    </row>
    <row r="239" spans="1:131" hidden="1">
      <c r="A239" s="345"/>
      <c r="B239" s="345"/>
      <c r="C239" s="345"/>
      <c r="D239" s="345"/>
      <c r="E239" s="345"/>
      <c r="F239" s="345"/>
      <c r="G239" s="345"/>
      <c r="H239" s="345"/>
      <c r="I239" s="345"/>
      <c r="J239" s="345"/>
      <c r="K239" s="345"/>
      <c r="L239" s="345"/>
      <c r="M239" s="345"/>
      <c r="N239" s="345"/>
      <c r="O239" s="345"/>
      <c r="P239" s="345"/>
      <c r="Q239" s="345"/>
      <c r="R239" s="345"/>
      <c r="S239" s="345"/>
      <c r="T239" s="345"/>
      <c r="U239" s="345"/>
      <c r="V239" s="345"/>
      <c r="W239" s="345"/>
      <c r="X239" s="345"/>
      <c r="Y239" s="345"/>
      <c r="Z239" s="345"/>
      <c r="AA239" s="345"/>
      <c r="AB239" s="345"/>
      <c r="AC239" s="345"/>
      <c r="AD239" s="345"/>
      <c r="AE239" s="345"/>
      <c r="AF239" s="345"/>
      <c r="AG239" s="345"/>
      <c r="AH239" s="345"/>
      <c r="AI239" s="345"/>
      <c r="AJ239" s="345"/>
      <c r="AK239" s="345"/>
      <c r="AL239" s="345"/>
      <c r="AM239" s="345"/>
      <c r="AN239" s="345"/>
      <c r="AO239" s="345"/>
      <c r="AP239" s="345"/>
      <c r="AQ239" s="345"/>
      <c r="AR239" s="345"/>
      <c r="AS239" s="345"/>
      <c r="AT239" s="345"/>
      <c r="AU239" s="345"/>
      <c r="AV239" s="345"/>
      <c r="AW239" s="345"/>
      <c r="AX239" s="345"/>
      <c r="AY239" s="345"/>
      <c r="AZ239" s="345"/>
      <c r="BA239" s="345"/>
      <c r="BB239" s="345"/>
      <c r="BC239" s="345"/>
      <c r="BD239" s="345"/>
      <c r="BE239" s="345"/>
      <c r="BF239" s="345"/>
      <c r="BG239" s="345"/>
      <c r="BH239" s="345"/>
      <c r="BI239" s="345"/>
      <c r="BJ239" s="345"/>
      <c r="BK239" s="345"/>
      <c r="BL239" s="345"/>
      <c r="BM239" s="345"/>
      <c r="BN239" s="345"/>
      <c r="BO239" s="345"/>
      <c r="BP239" s="345"/>
      <c r="BQ239" s="345"/>
      <c r="BR239" s="345"/>
      <c r="BS239" s="345"/>
      <c r="BT239" s="345"/>
      <c r="BU239" s="345"/>
      <c r="BV239" s="345"/>
      <c r="BW239" s="345"/>
      <c r="BX239" s="345"/>
      <c r="BY239" s="345"/>
      <c r="BZ239" s="345"/>
      <c r="CA239" s="345"/>
      <c r="CB239" s="345"/>
      <c r="CC239" s="345"/>
      <c r="CD239" s="345"/>
      <c r="CE239" s="345"/>
      <c r="CF239" s="345"/>
      <c r="CG239" s="345"/>
      <c r="CH239" s="345"/>
      <c r="CI239" s="345"/>
      <c r="CJ239" s="345"/>
      <c r="CK239" s="345"/>
      <c r="CL239" s="345"/>
      <c r="CM239" s="345"/>
      <c r="CN239" s="345"/>
      <c r="CO239" s="345"/>
      <c r="CP239" s="345"/>
      <c r="CQ239" s="345"/>
      <c r="CR239" s="345"/>
      <c r="CS239" s="345"/>
      <c r="CT239" s="345"/>
      <c r="CU239" s="345"/>
      <c r="CV239" s="345"/>
      <c r="CW239" s="345"/>
      <c r="CX239" s="345"/>
      <c r="CY239" s="345"/>
      <c r="CZ239" s="345"/>
      <c r="DA239" s="345"/>
      <c r="DB239" s="345"/>
      <c r="DC239" s="345"/>
      <c r="DD239" s="345"/>
      <c r="DE239" s="345"/>
      <c r="DF239" s="345"/>
      <c r="DG239" s="345"/>
      <c r="DH239" s="345"/>
      <c r="DI239" s="345"/>
      <c r="DJ239" s="345"/>
      <c r="DK239" s="345"/>
      <c r="DL239" s="345"/>
      <c r="DM239" s="345"/>
      <c r="DN239" s="345"/>
      <c r="DO239" s="345"/>
      <c r="DP239" s="345"/>
      <c r="DQ239" s="345"/>
      <c r="DR239" s="345"/>
      <c r="DS239" s="345"/>
      <c r="DT239" s="345"/>
      <c r="DU239" s="345"/>
      <c r="DV239" s="345"/>
      <c r="DW239" s="345"/>
      <c r="DX239" s="345"/>
      <c r="DY239" s="345"/>
      <c r="DZ239" s="345"/>
      <c r="EA239" s="345"/>
    </row>
    <row r="240" spans="1:131" hidden="1">
      <c r="A240" s="345"/>
      <c r="B240" s="345"/>
      <c r="C240" s="345"/>
      <c r="D240" s="345"/>
      <c r="E240" s="345"/>
      <c r="F240" s="345"/>
      <c r="G240" s="345"/>
      <c r="H240" s="345"/>
      <c r="I240" s="345"/>
      <c r="J240" s="345"/>
      <c r="K240" s="345"/>
      <c r="L240" s="345"/>
      <c r="M240" s="345"/>
      <c r="N240" s="345"/>
      <c r="O240" s="345"/>
      <c r="P240" s="345"/>
      <c r="Q240" s="345"/>
      <c r="R240" s="345"/>
      <c r="S240" s="345"/>
      <c r="T240" s="345"/>
      <c r="U240" s="345"/>
      <c r="V240" s="345"/>
      <c r="W240" s="345"/>
      <c r="X240" s="345"/>
      <c r="Y240" s="345"/>
      <c r="Z240" s="345"/>
      <c r="AA240" s="345"/>
      <c r="AB240" s="345"/>
      <c r="AC240" s="345"/>
      <c r="AD240" s="345"/>
      <c r="AE240" s="345"/>
      <c r="AF240" s="345"/>
      <c r="AG240" s="345"/>
      <c r="AH240" s="345"/>
      <c r="AI240" s="345"/>
      <c r="AJ240" s="345"/>
      <c r="AK240" s="345"/>
      <c r="AL240" s="345"/>
      <c r="AM240" s="345"/>
      <c r="AN240" s="345"/>
      <c r="AO240" s="345"/>
      <c r="AP240" s="345"/>
      <c r="AQ240" s="345"/>
      <c r="AR240" s="345"/>
      <c r="AS240" s="345"/>
      <c r="AT240" s="345"/>
      <c r="AU240" s="345"/>
      <c r="AV240" s="345"/>
      <c r="AW240" s="345"/>
      <c r="AX240" s="345"/>
      <c r="AY240" s="345"/>
      <c r="AZ240" s="345"/>
      <c r="BA240" s="345"/>
      <c r="BB240" s="345"/>
      <c r="BC240" s="345"/>
      <c r="BD240" s="345"/>
      <c r="BE240" s="345"/>
      <c r="BF240" s="345"/>
      <c r="BG240" s="345"/>
      <c r="BH240" s="345"/>
      <c r="BI240" s="345"/>
      <c r="BJ240" s="345"/>
      <c r="BK240" s="345"/>
      <c r="BL240" s="345"/>
      <c r="BM240" s="345"/>
      <c r="BN240" s="345"/>
      <c r="BO240" s="345"/>
      <c r="BP240" s="345"/>
      <c r="BQ240" s="345"/>
      <c r="BR240" s="345"/>
      <c r="BS240" s="345"/>
      <c r="BT240" s="345"/>
      <c r="BU240" s="345"/>
      <c r="BV240" s="345"/>
      <c r="BW240" s="345"/>
      <c r="BX240" s="345"/>
      <c r="BY240" s="345"/>
      <c r="BZ240" s="345"/>
      <c r="CA240" s="345"/>
      <c r="CB240" s="345"/>
      <c r="CC240" s="345"/>
      <c r="CD240" s="345"/>
      <c r="CE240" s="345"/>
      <c r="CF240" s="345"/>
      <c r="CG240" s="345"/>
      <c r="CH240" s="345"/>
      <c r="CI240" s="345"/>
      <c r="CJ240" s="345"/>
      <c r="CK240" s="345"/>
      <c r="CL240" s="345"/>
      <c r="CM240" s="345"/>
      <c r="CN240" s="345"/>
      <c r="CO240" s="345"/>
      <c r="CP240" s="345"/>
      <c r="CQ240" s="345"/>
      <c r="CR240" s="345"/>
      <c r="CS240" s="345"/>
      <c r="CT240" s="345"/>
      <c r="CU240" s="345"/>
      <c r="CV240" s="345"/>
      <c r="CW240" s="345"/>
      <c r="CX240" s="345"/>
      <c r="CY240" s="345"/>
      <c r="CZ240" s="345"/>
      <c r="DA240" s="345"/>
      <c r="DB240" s="345"/>
      <c r="DC240" s="345"/>
      <c r="DD240" s="345"/>
      <c r="DE240" s="345"/>
      <c r="DF240" s="345"/>
      <c r="DG240" s="345"/>
      <c r="DH240" s="345"/>
      <c r="DI240" s="345"/>
      <c r="DJ240" s="345"/>
      <c r="DK240" s="345"/>
      <c r="DL240" s="345"/>
      <c r="DM240" s="345"/>
      <c r="DN240" s="345"/>
      <c r="DO240" s="345"/>
      <c r="DP240" s="345"/>
      <c r="DQ240" s="345"/>
      <c r="DR240" s="345"/>
      <c r="DS240" s="345"/>
      <c r="DT240" s="345"/>
      <c r="DU240" s="345"/>
      <c r="DV240" s="345"/>
      <c r="DW240" s="345"/>
      <c r="DX240" s="345"/>
      <c r="DY240" s="345"/>
      <c r="DZ240" s="345"/>
      <c r="EA240" s="345"/>
    </row>
    <row r="241" spans="1:131" hidden="1">
      <c r="A241" s="345"/>
      <c r="B241" s="345"/>
      <c r="C241" s="345"/>
      <c r="D241" s="345"/>
      <c r="E241" s="345"/>
      <c r="F241" s="345"/>
      <c r="G241" s="345"/>
      <c r="H241" s="345"/>
      <c r="I241" s="345"/>
      <c r="J241" s="345"/>
      <c r="K241" s="345"/>
      <c r="L241" s="345"/>
      <c r="M241" s="345"/>
      <c r="N241" s="345"/>
      <c r="O241" s="345"/>
      <c r="P241" s="345"/>
      <c r="Q241" s="345"/>
      <c r="R241" s="345"/>
      <c r="S241" s="345"/>
      <c r="T241" s="345"/>
      <c r="U241" s="345"/>
      <c r="V241" s="345"/>
      <c r="W241" s="345"/>
      <c r="X241" s="345"/>
      <c r="Y241" s="345"/>
      <c r="Z241" s="345"/>
      <c r="AA241" s="345"/>
      <c r="AB241" s="345"/>
      <c r="AC241" s="345"/>
      <c r="AD241" s="345"/>
      <c r="AE241" s="345"/>
      <c r="AF241" s="345"/>
      <c r="AG241" s="345"/>
      <c r="AH241" s="345"/>
      <c r="AI241" s="345"/>
      <c r="AJ241" s="345"/>
      <c r="AK241" s="345"/>
      <c r="AL241" s="345"/>
      <c r="AM241" s="345"/>
      <c r="AN241" s="345"/>
      <c r="AO241" s="345"/>
      <c r="AP241" s="345"/>
      <c r="AQ241" s="345"/>
      <c r="AR241" s="345"/>
      <c r="AS241" s="345"/>
      <c r="AT241" s="345"/>
      <c r="AU241" s="345"/>
      <c r="AV241" s="345"/>
      <c r="AW241" s="345"/>
      <c r="AX241" s="345"/>
      <c r="AY241" s="345"/>
      <c r="AZ241" s="345"/>
      <c r="BA241" s="345"/>
      <c r="BB241" s="345"/>
      <c r="BC241" s="345"/>
      <c r="BD241" s="345"/>
      <c r="BE241" s="345"/>
      <c r="BF241" s="345"/>
      <c r="BG241" s="345"/>
      <c r="BH241" s="345"/>
      <c r="BI241" s="345"/>
      <c r="BJ241" s="345"/>
      <c r="BK241" s="345"/>
      <c r="BL241" s="345"/>
      <c r="BM241" s="345"/>
      <c r="BN241" s="345"/>
      <c r="BO241" s="345"/>
      <c r="BP241" s="345"/>
      <c r="BQ241" s="345"/>
      <c r="BR241" s="345"/>
      <c r="BS241" s="345"/>
      <c r="BT241" s="345"/>
      <c r="BU241" s="345"/>
      <c r="BV241" s="345"/>
      <c r="BW241" s="345"/>
      <c r="BX241" s="345"/>
      <c r="BY241" s="345"/>
      <c r="BZ241" s="345"/>
      <c r="CA241" s="345"/>
      <c r="CB241" s="345"/>
      <c r="CC241" s="345"/>
      <c r="CD241" s="345"/>
      <c r="CE241" s="345"/>
      <c r="CF241" s="345"/>
      <c r="CG241" s="345"/>
      <c r="CH241" s="345"/>
      <c r="CI241" s="345"/>
      <c r="CJ241" s="345"/>
      <c r="CK241" s="345"/>
      <c r="CL241" s="345"/>
      <c r="CM241" s="345"/>
      <c r="CN241" s="345"/>
      <c r="CO241" s="345"/>
      <c r="CP241" s="345"/>
      <c r="CQ241" s="345"/>
      <c r="CR241" s="345"/>
      <c r="CS241" s="345"/>
      <c r="CT241" s="345"/>
      <c r="CU241" s="345"/>
      <c r="CV241" s="345"/>
      <c r="CW241" s="345"/>
      <c r="CX241" s="345"/>
      <c r="CY241" s="345"/>
      <c r="CZ241" s="345"/>
      <c r="DA241" s="345"/>
      <c r="DB241" s="345"/>
      <c r="DC241" s="345"/>
      <c r="DD241" s="345"/>
      <c r="DE241" s="345"/>
      <c r="DF241" s="345"/>
      <c r="DG241" s="345"/>
      <c r="DH241" s="345"/>
      <c r="DI241" s="345"/>
      <c r="DJ241" s="345"/>
      <c r="DK241" s="345"/>
      <c r="DL241" s="345"/>
      <c r="DM241" s="345"/>
      <c r="DN241" s="345"/>
      <c r="DO241" s="345"/>
      <c r="DP241" s="345"/>
      <c r="DQ241" s="345"/>
      <c r="DR241" s="345"/>
      <c r="DS241" s="345"/>
      <c r="DT241" s="345"/>
      <c r="DU241" s="345"/>
      <c r="DV241" s="345"/>
      <c r="DW241" s="345"/>
      <c r="DX241" s="345"/>
      <c r="DY241" s="345"/>
      <c r="DZ241" s="345"/>
      <c r="EA241" s="345"/>
    </row>
    <row r="242" spans="1:131" hidden="1">
      <c r="A242" s="345"/>
      <c r="B242" s="345"/>
      <c r="C242" s="345"/>
      <c r="D242" s="345"/>
      <c r="E242" s="345"/>
      <c r="F242" s="345"/>
      <c r="G242" s="345"/>
      <c r="H242" s="345"/>
      <c r="I242" s="345"/>
      <c r="J242" s="345"/>
      <c r="K242" s="345"/>
      <c r="L242" s="345"/>
      <c r="M242" s="345"/>
      <c r="N242" s="345"/>
      <c r="O242" s="345"/>
      <c r="P242" s="345"/>
      <c r="Q242" s="345"/>
      <c r="R242" s="345"/>
      <c r="S242" s="345"/>
      <c r="T242" s="345"/>
      <c r="U242" s="345"/>
      <c r="V242" s="345"/>
      <c r="W242" s="345"/>
      <c r="X242" s="345"/>
      <c r="Y242" s="345"/>
      <c r="Z242" s="345"/>
      <c r="AA242" s="345"/>
      <c r="AB242" s="345"/>
      <c r="AC242" s="345"/>
      <c r="AD242" s="345"/>
      <c r="AE242" s="345"/>
      <c r="AF242" s="345"/>
      <c r="AG242" s="345"/>
      <c r="AH242" s="345"/>
      <c r="AI242" s="345"/>
      <c r="AJ242" s="345"/>
      <c r="AK242" s="345"/>
      <c r="AL242" s="345"/>
      <c r="AM242" s="345"/>
      <c r="AN242" s="345"/>
      <c r="AO242" s="345"/>
      <c r="AP242" s="345"/>
      <c r="AQ242" s="345"/>
      <c r="AR242" s="345"/>
      <c r="AS242" s="345"/>
      <c r="AT242" s="345"/>
      <c r="AU242" s="345"/>
      <c r="AV242" s="345"/>
      <c r="AW242" s="345"/>
      <c r="AX242" s="345"/>
      <c r="AY242" s="345"/>
      <c r="AZ242" s="345"/>
      <c r="BA242" s="345"/>
      <c r="BB242" s="345"/>
      <c r="BC242" s="345"/>
      <c r="BD242" s="345"/>
      <c r="BE242" s="345"/>
      <c r="BF242" s="345"/>
      <c r="BG242" s="345"/>
      <c r="BH242" s="345"/>
      <c r="BI242" s="345"/>
      <c r="BJ242" s="345"/>
      <c r="BK242" s="345"/>
      <c r="BL242" s="345"/>
      <c r="BM242" s="345"/>
      <c r="BN242" s="345"/>
      <c r="BO242" s="345"/>
      <c r="BP242" s="345"/>
      <c r="BQ242" s="345"/>
      <c r="BR242" s="345"/>
      <c r="BS242" s="345"/>
      <c r="BT242" s="345"/>
      <c r="BU242" s="345"/>
      <c r="BV242" s="345"/>
      <c r="BW242" s="345"/>
      <c r="BX242" s="345"/>
      <c r="BY242" s="345"/>
      <c r="BZ242" s="345"/>
      <c r="CA242" s="345"/>
      <c r="CB242" s="345"/>
      <c r="CC242" s="345"/>
      <c r="CD242" s="345"/>
      <c r="CE242" s="345"/>
      <c r="CF242" s="345"/>
      <c r="CG242" s="345"/>
      <c r="CH242" s="345"/>
      <c r="CI242" s="345"/>
      <c r="CJ242" s="345"/>
      <c r="CK242" s="345"/>
      <c r="CL242" s="345"/>
      <c r="CM242" s="345"/>
      <c r="CN242" s="345"/>
      <c r="CO242" s="345"/>
      <c r="CP242" s="345"/>
      <c r="CQ242" s="345"/>
      <c r="CR242" s="345"/>
      <c r="CS242" s="345"/>
      <c r="CT242" s="345"/>
      <c r="CU242" s="345"/>
      <c r="CV242" s="345"/>
      <c r="CW242" s="345"/>
      <c r="CX242" s="345"/>
      <c r="CY242" s="345"/>
      <c r="CZ242" s="345"/>
      <c r="DA242" s="345"/>
      <c r="DB242" s="345"/>
      <c r="DC242" s="345"/>
      <c r="DD242" s="345"/>
      <c r="DE242" s="345"/>
      <c r="DF242" s="345"/>
      <c r="DG242" s="345"/>
      <c r="DH242" s="345"/>
      <c r="DI242" s="345"/>
      <c r="DJ242" s="345"/>
      <c r="DK242" s="345"/>
      <c r="DL242" s="345"/>
      <c r="DM242" s="345"/>
      <c r="DN242" s="345"/>
      <c r="DO242" s="345"/>
      <c r="DP242" s="345"/>
      <c r="DQ242" s="345"/>
      <c r="DR242" s="345"/>
      <c r="DS242" s="345"/>
      <c r="DT242" s="345"/>
      <c r="DU242" s="345"/>
      <c r="DV242" s="345"/>
      <c r="DW242" s="345"/>
      <c r="DX242" s="345"/>
      <c r="DY242" s="345"/>
      <c r="DZ242" s="345"/>
      <c r="EA242" s="345"/>
    </row>
    <row r="243" spans="1:131" hidden="1">
      <c r="A243" s="345"/>
      <c r="B243" s="345"/>
      <c r="C243" s="345"/>
      <c r="D243" s="345"/>
      <c r="E243" s="345"/>
      <c r="F243" s="345"/>
      <c r="G243" s="345"/>
      <c r="H243" s="345"/>
      <c r="I243" s="345"/>
      <c r="J243" s="345"/>
      <c r="K243" s="345"/>
      <c r="L243" s="345"/>
      <c r="M243" s="345"/>
      <c r="N243" s="345"/>
      <c r="O243" s="345"/>
      <c r="P243" s="345"/>
      <c r="Q243" s="345"/>
      <c r="R243" s="345"/>
      <c r="S243" s="345"/>
      <c r="T243" s="345"/>
      <c r="U243" s="345"/>
      <c r="V243" s="345"/>
      <c r="W243" s="345"/>
      <c r="X243" s="345"/>
      <c r="Y243" s="345"/>
      <c r="Z243" s="345"/>
      <c r="AA243" s="345"/>
      <c r="AB243" s="345"/>
      <c r="AC243" s="345"/>
      <c r="AD243" s="345"/>
      <c r="AE243" s="345"/>
      <c r="AF243" s="345"/>
      <c r="AG243" s="345"/>
      <c r="AH243" s="345"/>
      <c r="AI243" s="345"/>
      <c r="AJ243" s="345"/>
      <c r="AK243" s="345"/>
      <c r="AL243" s="345"/>
      <c r="AM243" s="345"/>
      <c r="AN243" s="345"/>
      <c r="AO243" s="345"/>
      <c r="AP243" s="345"/>
      <c r="AQ243" s="345"/>
      <c r="AR243" s="345"/>
      <c r="AS243" s="345"/>
      <c r="AT243" s="345"/>
      <c r="AU243" s="345"/>
      <c r="AV243" s="345"/>
      <c r="AW243" s="345"/>
      <c r="AX243" s="345"/>
      <c r="AY243" s="345"/>
      <c r="AZ243" s="345"/>
      <c r="BA243" s="345"/>
      <c r="BB243" s="345"/>
      <c r="BC243" s="345"/>
      <c r="BD243" s="345"/>
      <c r="BE243" s="345"/>
      <c r="BF243" s="345"/>
      <c r="BG243" s="345"/>
      <c r="BH243" s="345"/>
      <c r="BI243" s="345"/>
      <c r="BJ243" s="345"/>
      <c r="BK243" s="345"/>
      <c r="BL243" s="345"/>
      <c r="BM243" s="345"/>
      <c r="BN243" s="345"/>
      <c r="BO243" s="345"/>
      <c r="BP243" s="345"/>
      <c r="BQ243" s="345"/>
      <c r="BR243" s="345"/>
      <c r="BS243" s="345"/>
      <c r="BT243" s="345"/>
      <c r="BU243" s="345"/>
      <c r="BV243" s="345"/>
      <c r="BW243" s="345"/>
      <c r="BX243" s="345"/>
      <c r="BY243" s="345"/>
      <c r="BZ243" s="345"/>
      <c r="CA243" s="345"/>
      <c r="CB243" s="345"/>
      <c r="CC243" s="345"/>
      <c r="CD243" s="345"/>
      <c r="CE243" s="345"/>
      <c r="CF243" s="345"/>
      <c r="CG243" s="345"/>
      <c r="CH243" s="345"/>
      <c r="CI243" s="345"/>
      <c r="CJ243" s="345"/>
      <c r="CK243" s="345"/>
      <c r="CL243" s="345"/>
      <c r="CM243" s="345"/>
      <c r="CN243" s="345"/>
      <c r="CO243" s="345"/>
      <c r="CP243" s="345"/>
      <c r="CQ243" s="345"/>
      <c r="CR243" s="345"/>
      <c r="CS243" s="345"/>
      <c r="CT243" s="345"/>
      <c r="CU243" s="345"/>
      <c r="CV243" s="345"/>
      <c r="CW243" s="345"/>
      <c r="CX243" s="345"/>
      <c r="CY243" s="345"/>
      <c r="CZ243" s="345"/>
      <c r="DA243" s="345"/>
      <c r="DB243" s="345"/>
      <c r="DC243" s="345"/>
      <c r="DD243" s="345"/>
      <c r="DE243" s="345"/>
      <c r="DF243" s="345"/>
      <c r="DG243" s="345"/>
      <c r="DH243" s="345"/>
      <c r="DI243" s="345"/>
      <c r="DJ243" s="345"/>
      <c r="DK243" s="345"/>
      <c r="DL243" s="345"/>
      <c r="DM243" s="345"/>
      <c r="DN243" s="345"/>
      <c r="DO243" s="345"/>
      <c r="DP243" s="345"/>
      <c r="DQ243" s="345"/>
      <c r="DR243" s="345"/>
      <c r="DS243" s="345"/>
      <c r="DT243" s="345"/>
      <c r="DU243" s="345"/>
      <c r="DV243" s="345"/>
      <c r="DW243" s="345"/>
      <c r="DX243" s="345"/>
      <c r="DY243" s="345"/>
      <c r="DZ243" s="345"/>
      <c r="EA243" s="345"/>
    </row>
    <row r="244" spans="1:131" hidden="1">
      <c r="A244" s="345"/>
      <c r="B244" s="345"/>
      <c r="C244" s="345"/>
      <c r="D244" s="345"/>
      <c r="E244" s="345"/>
      <c r="F244" s="345"/>
      <c r="G244" s="345"/>
      <c r="H244" s="345"/>
      <c r="I244" s="345"/>
      <c r="J244" s="345"/>
      <c r="K244" s="345"/>
      <c r="L244" s="345"/>
      <c r="M244" s="345"/>
      <c r="N244" s="345"/>
      <c r="O244" s="345"/>
      <c r="P244" s="345"/>
      <c r="Q244" s="345"/>
      <c r="R244" s="345"/>
      <c r="S244" s="345"/>
      <c r="T244" s="345"/>
      <c r="U244" s="345"/>
      <c r="V244" s="345"/>
      <c r="W244" s="345"/>
      <c r="X244" s="345"/>
      <c r="Y244" s="345"/>
      <c r="Z244" s="345"/>
      <c r="AA244" s="345"/>
      <c r="AB244" s="345"/>
      <c r="AC244" s="345"/>
      <c r="AD244" s="345"/>
      <c r="AE244" s="345"/>
      <c r="AF244" s="345"/>
      <c r="AG244" s="345"/>
      <c r="AH244" s="345"/>
      <c r="AI244" s="345"/>
      <c r="AJ244" s="345"/>
      <c r="AK244" s="345"/>
      <c r="AL244" s="345"/>
      <c r="AM244" s="345"/>
      <c r="AN244" s="345"/>
      <c r="AO244" s="345"/>
      <c r="AP244" s="345"/>
      <c r="AQ244" s="345"/>
      <c r="AR244" s="345"/>
      <c r="AS244" s="345"/>
      <c r="AT244" s="345"/>
      <c r="AU244" s="345"/>
      <c r="AV244" s="345"/>
      <c r="AW244" s="345"/>
      <c r="AX244" s="345"/>
      <c r="AY244" s="345"/>
      <c r="AZ244" s="345"/>
      <c r="BA244" s="345"/>
      <c r="BB244" s="345"/>
      <c r="BC244" s="345"/>
      <c r="BD244" s="345"/>
      <c r="BE244" s="345"/>
      <c r="BF244" s="345"/>
      <c r="BG244" s="345"/>
      <c r="BH244" s="345"/>
      <c r="BI244" s="345"/>
      <c r="BJ244" s="345"/>
      <c r="BK244" s="345"/>
      <c r="BL244" s="345"/>
      <c r="BM244" s="345"/>
      <c r="BN244" s="345"/>
      <c r="BO244" s="345"/>
      <c r="BP244" s="345"/>
      <c r="BQ244" s="345"/>
      <c r="BR244" s="345"/>
      <c r="BS244" s="345"/>
      <c r="BT244" s="345"/>
      <c r="BU244" s="345"/>
      <c r="BV244" s="345"/>
      <c r="BW244" s="345"/>
      <c r="BX244" s="345"/>
      <c r="BY244" s="345"/>
      <c r="BZ244" s="345"/>
      <c r="CA244" s="345"/>
      <c r="CB244" s="345"/>
      <c r="CC244" s="345"/>
      <c r="CD244" s="345"/>
      <c r="CE244" s="345"/>
      <c r="CF244" s="345"/>
      <c r="CG244" s="345"/>
      <c r="CH244" s="345"/>
      <c r="CI244" s="345"/>
      <c r="CJ244" s="345"/>
      <c r="CK244" s="345"/>
      <c r="CL244" s="345"/>
      <c r="CM244" s="345"/>
      <c r="CN244" s="345"/>
      <c r="CO244" s="345"/>
      <c r="CP244" s="345"/>
      <c r="CQ244" s="345"/>
      <c r="CR244" s="345"/>
      <c r="CS244" s="345"/>
      <c r="CT244" s="345"/>
      <c r="CU244" s="345"/>
      <c r="CV244" s="345"/>
      <c r="CW244" s="345"/>
      <c r="CX244" s="345"/>
      <c r="CY244" s="345"/>
      <c r="CZ244" s="345"/>
      <c r="DA244" s="345"/>
      <c r="DB244" s="345"/>
      <c r="DC244" s="345"/>
      <c r="DD244" s="345"/>
      <c r="DE244" s="345"/>
      <c r="DF244" s="345"/>
      <c r="DG244" s="345"/>
      <c r="DH244" s="345"/>
      <c r="DI244" s="345"/>
      <c r="DJ244" s="345"/>
      <c r="DK244" s="345"/>
      <c r="DL244" s="345"/>
      <c r="DM244" s="345"/>
      <c r="DN244" s="345"/>
      <c r="DO244" s="345"/>
      <c r="DP244" s="345"/>
      <c r="DQ244" s="345"/>
      <c r="DR244" s="345"/>
      <c r="DS244" s="345"/>
      <c r="DT244" s="345"/>
      <c r="DU244" s="345"/>
      <c r="DV244" s="345"/>
      <c r="DW244" s="345"/>
      <c r="DX244" s="345"/>
      <c r="DY244" s="345"/>
      <c r="DZ244" s="345"/>
      <c r="EA244" s="345"/>
    </row>
    <row r="245" spans="1:131" hidden="1">
      <c r="A245" s="345"/>
      <c r="B245" s="345"/>
      <c r="C245" s="345"/>
      <c r="D245" s="345"/>
      <c r="E245" s="345"/>
      <c r="F245" s="345"/>
      <c r="G245" s="345"/>
      <c r="H245" s="345"/>
      <c r="I245" s="345"/>
      <c r="J245" s="345"/>
      <c r="K245" s="345"/>
      <c r="L245" s="345"/>
      <c r="M245" s="345"/>
      <c r="N245" s="345"/>
      <c r="O245" s="345"/>
      <c r="P245" s="345"/>
      <c r="Q245" s="345"/>
      <c r="R245" s="345"/>
      <c r="S245" s="345"/>
      <c r="T245" s="345"/>
      <c r="U245" s="345"/>
      <c r="V245" s="345"/>
      <c r="W245" s="345"/>
      <c r="X245" s="345"/>
      <c r="Y245" s="345"/>
      <c r="Z245" s="345"/>
      <c r="AA245" s="345"/>
      <c r="AB245" s="345"/>
      <c r="AC245" s="345"/>
      <c r="AD245" s="345"/>
      <c r="AE245" s="345"/>
      <c r="AF245" s="345"/>
      <c r="AG245" s="345"/>
      <c r="AH245" s="345"/>
      <c r="AI245" s="345"/>
      <c r="AJ245" s="345"/>
      <c r="AK245" s="345"/>
      <c r="AL245" s="345"/>
      <c r="AM245" s="345"/>
      <c r="AN245" s="345"/>
      <c r="AO245" s="345"/>
      <c r="AP245" s="345"/>
      <c r="AQ245" s="345"/>
      <c r="AR245" s="345"/>
      <c r="AS245" s="345"/>
      <c r="AT245" s="345"/>
      <c r="AU245" s="345"/>
      <c r="AV245" s="345"/>
      <c r="AW245" s="345"/>
      <c r="AX245" s="345"/>
      <c r="AY245" s="345"/>
      <c r="AZ245" s="345"/>
      <c r="BA245" s="345"/>
      <c r="BB245" s="345"/>
      <c r="BC245" s="345"/>
      <c r="BD245" s="345"/>
      <c r="BE245" s="345"/>
      <c r="BF245" s="345"/>
      <c r="BG245" s="345"/>
      <c r="BH245" s="345"/>
      <c r="BI245" s="345"/>
      <c r="BJ245" s="345"/>
      <c r="BK245" s="345"/>
      <c r="BL245" s="345"/>
      <c r="BM245" s="345"/>
      <c r="BN245" s="345"/>
      <c r="BO245" s="345"/>
      <c r="BP245" s="345"/>
      <c r="BQ245" s="345"/>
      <c r="BR245" s="345"/>
      <c r="BS245" s="345"/>
      <c r="BT245" s="345"/>
      <c r="BU245" s="345"/>
      <c r="BV245" s="345"/>
      <c r="BW245" s="345"/>
      <c r="BX245" s="345"/>
      <c r="BY245" s="345"/>
      <c r="BZ245" s="345"/>
      <c r="CA245" s="345"/>
      <c r="CB245" s="345"/>
      <c r="CC245" s="345"/>
      <c r="CD245" s="345"/>
      <c r="CE245" s="345"/>
      <c r="CF245" s="345"/>
      <c r="CG245" s="345"/>
      <c r="CH245" s="345"/>
      <c r="CI245" s="345"/>
      <c r="CJ245" s="345"/>
      <c r="CK245" s="345"/>
      <c r="CL245" s="345"/>
      <c r="CM245" s="345"/>
      <c r="CN245" s="345"/>
      <c r="CO245" s="345"/>
      <c r="CP245" s="345"/>
      <c r="CQ245" s="345"/>
      <c r="CR245" s="345"/>
      <c r="CS245" s="345"/>
      <c r="CT245" s="345"/>
      <c r="CU245" s="345"/>
      <c r="CV245" s="345"/>
      <c r="CW245" s="345"/>
      <c r="CX245" s="345"/>
      <c r="CY245" s="345"/>
      <c r="CZ245" s="345"/>
      <c r="DA245" s="345"/>
      <c r="DB245" s="345"/>
      <c r="DC245" s="345"/>
      <c r="DD245" s="345"/>
      <c r="DE245" s="345"/>
      <c r="DF245" s="345"/>
      <c r="DG245" s="345"/>
      <c r="DH245" s="345"/>
      <c r="DI245" s="345"/>
      <c r="DJ245" s="345"/>
      <c r="DK245" s="345"/>
      <c r="DL245" s="345"/>
      <c r="DM245" s="345"/>
      <c r="DN245" s="345"/>
      <c r="DO245" s="345"/>
      <c r="DP245" s="345"/>
      <c r="DQ245" s="345"/>
      <c r="DR245" s="345"/>
      <c r="DS245" s="345"/>
      <c r="DT245" s="345"/>
      <c r="DU245" s="345"/>
      <c r="DV245" s="345"/>
      <c r="DW245" s="345"/>
      <c r="DX245" s="345"/>
      <c r="DY245" s="345"/>
      <c r="DZ245" s="345"/>
      <c r="EA245" s="345"/>
    </row>
    <row r="246" spans="1:131" hidden="1">
      <c r="A246" s="345"/>
      <c r="B246" s="345"/>
      <c r="C246" s="345"/>
      <c r="D246" s="345"/>
      <c r="E246" s="345"/>
      <c r="F246" s="345"/>
      <c r="G246" s="345"/>
      <c r="H246" s="345"/>
      <c r="I246" s="345"/>
      <c r="J246" s="345"/>
      <c r="K246" s="345"/>
      <c r="L246" s="345"/>
      <c r="M246" s="345"/>
      <c r="N246" s="345"/>
      <c r="O246" s="345"/>
      <c r="P246" s="345"/>
      <c r="Q246" s="345"/>
      <c r="R246" s="345"/>
      <c r="S246" s="345"/>
      <c r="T246" s="345"/>
      <c r="U246" s="345"/>
      <c r="V246" s="345"/>
      <c r="W246" s="345"/>
      <c r="X246" s="345"/>
      <c r="Y246" s="345"/>
      <c r="Z246" s="345"/>
      <c r="AA246" s="345"/>
      <c r="AB246" s="345"/>
      <c r="AC246" s="345"/>
      <c r="AD246" s="345"/>
      <c r="AE246" s="345"/>
      <c r="AF246" s="345"/>
      <c r="AG246" s="345"/>
      <c r="AH246" s="345"/>
      <c r="AI246" s="345"/>
      <c r="AJ246" s="345"/>
      <c r="AK246" s="345"/>
      <c r="AL246" s="345"/>
      <c r="AM246" s="345"/>
      <c r="AN246" s="345"/>
      <c r="AO246" s="345"/>
      <c r="AP246" s="345"/>
      <c r="AQ246" s="345"/>
      <c r="AR246" s="345"/>
      <c r="AS246" s="345"/>
      <c r="AT246" s="345"/>
      <c r="AU246" s="345"/>
      <c r="AV246" s="345"/>
      <c r="AW246" s="345"/>
      <c r="AX246" s="345"/>
      <c r="AY246" s="345"/>
      <c r="AZ246" s="345"/>
      <c r="BA246" s="345"/>
      <c r="BB246" s="345"/>
      <c r="BC246" s="345"/>
      <c r="BD246" s="345"/>
      <c r="BE246" s="345"/>
      <c r="BF246" s="345"/>
      <c r="BG246" s="345"/>
      <c r="BH246" s="345"/>
      <c r="BI246" s="345"/>
      <c r="BJ246" s="345"/>
      <c r="BK246" s="345"/>
      <c r="BL246" s="345"/>
      <c r="BM246" s="345"/>
      <c r="BN246" s="345"/>
      <c r="BO246" s="345"/>
      <c r="BP246" s="345"/>
      <c r="BQ246" s="345"/>
      <c r="BR246" s="345"/>
      <c r="BS246" s="345"/>
      <c r="BT246" s="345"/>
      <c r="BU246" s="345"/>
      <c r="BV246" s="345"/>
      <c r="BW246" s="345"/>
      <c r="BX246" s="345"/>
      <c r="BY246" s="345"/>
      <c r="BZ246" s="345"/>
      <c r="CA246" s="345"/>
      <c r="CB246" s="345"/>
      <c r="CC246" s="345"/>
      <c r="CD246" s="345"/>
      <c r="CE246" s="345"/>
      <c r="CF246" s="345"/>
      <c r="CG246" s="345"/>
      <c r="CH246" s="345"/>
      <c r="CI246" s="345"/>
      <c r="CJ246" s="345"/>
      <c r="CK246" s="345"/>
      <c r="CL246" s="345"/>
      <c r="CM246" s="345"/>
      <c r="CN246" s="345"/>
      <c r="CO246" s="345"/>
      <c r="CP246" s="345"/>
      <c r="CQ246" s="345"/>
      <c r="CR246" s="345"/>
      <c r="CS246" s="345"/>
      <c r="CT246" s="345"/>
      <c r="CU246" s="345"/>
      <c r="CV246" s="345"/>
      <c r="CW246" s="345"/>
      <c r="CX246" s="345"/>
      <c r="CY246" s="345"/>
      <c r="CZ246" s="345"/>
      <c r="DA246" s="345"/>
      <c r="DB246" s="345"/>
      <c r="DC246" s="345"/>
      <c r="DD246" s="345"/>
      <c r="DE246" s="345"/>
      <c r="DF246" s="345"/>
      <c r="DG246" s="345"/>
      <c r="DH246" s="345"/>
      <c r="DI246" s="345"/>
      <c r="DJ246" s="345"/>
      <c r="DK246" s="345"/>
      <c r="DL246" s="345"/>
      <c r="DM246" s="345"/>
      <c r="DN246" s="345"/>
      <c r="DO246" s="345"/>
      <c r="DP246" s="345"/>
      <c r="DQ246" s="345"/>
      <c r="DR246" s="345"/>
      <c r="DS246" s="345"/>
      <c r="DT246" s="345"/>
      <c r="DU246" s="345"/>
      <c r="DV246" s="345"/>
      <c r="DW246" s="345"/>
      <c r="DX246" s="345"/>
      <c r="DY246" s="345"/>
      <c r="DZ246" s="345"/>
      <c r="EA246" s="345"/>
    </row>
    <row r="247" spans="1:131" hidden="1">
      <c r="A247" s="345"/>
      <c r="B247" s="345"/>
      <c r="C247" s="345"/>
      <c r="D247" s="345"/>
      <c r="E247" s="345"/>
      <c r="F247" s="345"/>
      <c r="G247" s="345"/>
      <c r="H247" s="345"/>
      <c r="I247" s="345"/>
      <c r="J247" s="345"/>
      <c r="K247" s="345"/>
      <c r="L247" s="345"/>
      <c r="M247" s="345"/>
      <c r="N247" s="345"/>
      <c r="O247" s="345"/>
      <c r="P247" s="345"/>
      <c r="Q247" s="345"/>
      <c r="R247" s="345"/>
      <c r="S247" s="345"/>
      <c r="T247" s="345"/>
      <c r="U247" s="345"/>
      <c r="V247" s="345"/>
      <c r="W247" s="345"/>
      <c r="X247" s="345"/>
      <c r="Y247" s="345"/>
      <c r="Z247" s="345"/>
      <c r="AA247" s="345"/>
      <c r="AB247" s="345"/>
      <c r="AC247" s="345"/>
      <c r="AD247" s="345"/>
      <c r="AE247" s="345"/>
      <c r="AF247" s="345"/>
      <c r="AG247" s="345"/>
      <c r="AH247" s="345"/>
      <c r="AI247" s="345"/>
      <c r="AJ247" s="345"/>
      <c r="AK247" s="345"/>
      <c r="AL247" s="345"/>
      <c r="AM247" s="345"/>
      <c r="AN247" s="345"/>
      <c r="AO247" s="345"/>
      <c r="AP247" s="345"/>
      <c r="AQ247" s="345"/>
      <c r="AR247" s="345"/>
      <c r="AS247" s="345"/>
      <c r="AT247" s="345"/>
      <c r="AU247" s="345"/>
      <c r="AV247" s="345"/>
      <c r="AW247" s="345"/>
      <c r="AX247" s="345"/>
      <c r="AY247" s="345"/>
      <c r="AZ247" s="345"/>
      <c r="BA247" s="345"/>
      <c r="BB247" s="345"/>
      <c r="BC247" s="345"/>
      <c r="BD247" s="345"/>
      <c r="BE247" s="345"/>
      <c r="BF247" s="345"/>
      <c r="BG247" s="345"/>
      <c r="BH247" s="345"/>
      <c r="BI247" s="345"/>
      <c r="BJ247" s="345"/>
      <c r="BK247" s="345"/>
      <c r="BL247" s="345"/>
      <c r="BM247" s="345"/>
      <c r="BN247" s="345"/>
      <c r="BO247" s="345"/>
      <c r="BP247" s="345"/>
      <c r="BQ247" s="345"/>
      <c r="BR247" s="345"/>
      <c r="BS247" s="345"/>
      <c r="BT247" s="345"/>
      <c r="BU247" s="345"/>
      <c r="BV247" s="345"/>
      <c r="BW247" s="345"/>
      <c r="BX247" s="345"/>
      <c r="BY247" s="345"/>
      <c r="BZ247" s="345"/>
      <c r="CA247" s="345"/>
      <c r="CB247" s="345"/>
      <c r="CC247" s="345"/>
      <c r="CD247" s="345"/>
      <c r="CE247" s="345"/>
      <c r="CF247" s="345"/>
      <c r="CG247" s="345"/>
      <c r="CH247" s="345"/>
      <c r="CI247" s="345"/>
      <c r="CJ247" s="345"/>
      <c r="CK247" s="345"/>
      <c r="CL247" s="345"/>
      <c r="CM247" s="345"/>
      <c r="CN247" s="345"/>
      <c r="CO247" s="345"/>
      <c r="CP247" s="345"/>
      <c r="CQ247" s="345"/>
      <c r="CR247" s="345"/>
      <c r="CS247" s="345"/>
      <c r="CT247" s="345"/>
      <c r="CU247" s="345"/>
      <c r="CV247" s="345"/>
      <c r="CW247" s="345"/>
      <c r="CX247" s="345"/>
      <c r="CY247" s="345"/>
      <c r="CZ247" s="345"/>
      <c r="DA247" s="345"/>
      <c r="DB247" s="345"/>
      <c r="DC247" s="345"/>
      <c r="DD247" s="345"/>
      <c r="DE247" s="345"/>
      <c r="DF247" s="345"/>
      <c r="DG247" s="345"/>
      <c r="DH247" s="345"/>
      <c r="DI247" s="345"/>
      <c r="DJ247" s="345"/>
      <c r="DK247" s="345"/>
      <c r="DL247" s="345"/>
      <c r="DM247" s="345"/>
      <c r="DN247" s="345"/>
      <c r="DO247" s="345"/>
      <c r="DP247" s="345"/>
      <c r="DQ247" s="345"/>
      <c r="DR247" s="345"/>
      <c r="DS247" s="345"/>
      <c r="DT247" s="345"/>
      <c r="DU247" s="345"/>
      <c r="DV247" s="345"/>
      <c r="DW247" s="345"/>
      <c r="DX247" s="345"/>
      <c r="DY247" s="345"/>
      <c r="DZ247" s="345"/>
      <c r="EA247" s="345"/>
    </row>
    <row r="248" spans="1:131" hidden="1">
      <c r="A248" s="345"/>
      <c r="B248" s="345"/>
      <c r="C248" s="345"/>
      <c r="D248" s="345"/>
      <c r="E248" s="345"/>
      <c r="F248" s="345"/>
      <c r="G248" s="345"/>
      <c r="H248" s="345"/>
      <c r="I248" s="345"/>
      <c r="J248" s="345"/>
      <c r="K248" s="345"/>
      <c r="L248" s="345"/>
      <c r="M248" s="345"/>
      <c r="N248" s="345"/>
      <c r="O248" s="345"/>
      <c r="P248" s="345"/>
      <c r="Q248" s="345"/>
      <c r="R248" s="345"/>
      <c r="S248" s="345"/>
      <c r="T248" s="345"/>
      <c r="U248" s="345"/>
      <c r="V248" s="345"/>
      <c r="W248" s="345"/>
      <c r="X248" s="345"/>
      <c r="Y248" s="345"/>
      <c r="Z248" s="345"/>
      <c r="AA248" s="345"/>
      <c r="AB248" s="345"/>
      <c r="AC248" s="345"/>
      <c r="AD248" s="345"/>
      <c r="AE248" s="345"/>
      <c r="AF248" s="345"/>
      <c r="AG248" s="345"/>
      <c r="AH248" s="345"/>
      <c r="AI248" s="345"/>
      <c r="AJ248" s="345"/>
      <c r="AK248" s="345"/>
      <c r="AL248" s="345"/>
      <c r="AM248" s="345"/>
      <c r="AN248" s="345"/>
      <c r="AO248" s="345"/>
      <c r="AP248" s="345"/>
      <c r="AQ248" s="345"/>
      <c r="AR248" s="345"/>
      <c r="AS248" s="345"/>
      <c r="AT248" s="345"/>
      <c r="AU248" s="345"/>
      <c r="AV248" s="345"/>
      <c r="AW248" s="345"/>
      <c r="AX248" s="345"/>
      <c r="AY248" s="345"/>
      <c r="AZ248" s="345"/>
      <c r="BA248" s="345"/>
      <c r="BB248" s="345"/>
      <c r="BC248" s="345"/>
      <c r="BD248" s="345"/>
      <c r="BE248" s="345"/>
      <c r="BF248" s="345"/>
      <c r="BG248" s="345"/>
      <c r="BH248" s="345"/>
      <c r="BI248" s="345"/>
      <c r="BJ248" s="345"/>
      <c r="BK248" s="345"/>
      <c r="BL248" s="345"/>
      <c r="BM248" s="345"/>
      <c r="BN248" s="345"/>
      <c r="BO248" s="345"/>
      <c r="BP248" s="345"/>
      <c r="BQ248" s="345"/>
      <c r="BR248" s="345"/>
      <c r="BS248" s="345"/>
      <c r="BT248" s="345"/>
      <c r="BU248" s="345"/>
      <c r="BV248" s="345"/>
      <c r="BW248" s="345"/>
      <c r="BX248" s="345"/>
      <c r="BY248" s="345"/>
      <c r="BZ248" s="345"/>
      <c r="CA248" s="345"/>
      <c r="CB248" s="345"/>
      <c r="CC248" s="345"/>
      <c r="CD248" s="345"/>
      <c r="CE248" s="345"/>
      <c r="CF248" s="345"/>
      <c r="CG248" s="345"/>
      <c r="CH248" s="345"/>
      <c r="CI248" s="345"/>
      <c r="CJ248" s="345"/>
      <c r="CK248" s="345"/>
      <c r="CL248" s="345"/>
      <c r="CM248" s="345"/>
      <c r="CN248" s="345"/>
      <c r="CO248" s="345"/>
      <c r="CP248" s="345"/>
      <c r="CQ248" s="345"/>
      <c r="CR248" s="345"/>
      <c r="CS248" s="345"/>
      <c r="CT248" s="345"/>
      <c r="CU248" s="345"/>
      <c r="CV248" s="345"/>
      <c r="CW248" s="345"/>
      <c r="CX248" s="345"/>
      <c r="CY248" s="345"/>
      <c r="CZ248" s="345"/>
      <c r="DA248" s="345"/>
      <c r="DB248" s="345"/>
      <c r="DC248" s="345"/>
      <c r="DD248" s="345"/>
      <c r="DE248" s="345"/>
      <c r="DF248" s="345"/>
      <c r="DG248" s="345"/>
      <c r="DH248" s="345"/>
      <c r="DI248" s="345"/>
      <c r="DJ248" s="345"/>
      <c r="DK248" s="345"/>
      <c r="DL248" s="345"/>
      <c r="DM248" s="345"/>
      <c r="DN248" s="345"/>
      <c r="DO248" s="345"/>
      <c r="DP248" s="345"/>
      <c r="DQ248" s="345"/>
      <c r="DR248" s="345"/>
      <c r="DS248" s="345"/>
      <c r="DT248" s="345"/>
      <c r="DU248" s="345"/>
      <c r="DV248" s="345"/>
      <c r="DW248" s="345"/>
      <c r="DX248" s="345"/>
      <c r="DY248" s="345"/>
      <c r="DZ248" s="345"/>
      <c r="EA248" s="345"/>
    </row>
    <row r="249" spans="1:131" hidden="1">
      <c r="A249" s="345"/>
      <c r="B249" s="345"/>
      <c r="C249" s="345"/>
      <c r="D249" s="345"/>
      <c r="E249" s="345"/>
      <c r="F249" s="345"/>
      <c r="G249" s="345"/>
      <c r="H249" s="345"/>
      <c r="I249" s="345"/>
      <c r="J249" s="345"/>
      <c r="K249" s="345"/>
      <c r="L249" s="345"/>
      <c r="M249" s="345"/>
      <c r="N249" s="345"/>
      <c r="O249" s="345"/>
      <c r="P249" s="345"/>
      <c r="Q249" s="345"/>
      <c r="R249" s="345"/>
      <c r="S249" s="345"/>
      <c r="T249" s="345"/>
      <c r="U249" s="345"/>
      <c r="V249" s="345"/>
      <c r="W249" s="345"/>
      <c r="X249" s="345"/>
      <c r="Y249" s="345"/>
      <c r="Z249" s="345"/>
      <c r="AA249" s="345"/>
      <c r="AB249" s="345"/>
      <c r="AC249" s="345"/>
      <c r="AD249" s="345"/>
      <c r="AE249" s="345"/>
      <c r="AF249" s="345"/>
      <c r="AG249" s="345"/>
      <c r="AH249" s="345"/>
      <c r="AI249" s="345"/>
      <c r="AJ249" s="345"/>
      <c r="AK249" s="345"/>
      <c r="AL249" s="345"/>
      <c r="AM249" s="345"/>
      <c r="AN249" s="345"/>
      <c r="AO249" s="345"/>
      <c r="AP249" s="345"/>
      <c r="AQ249" s="345"/>
      <c r="AR249" s="345"/>
      <c r="AS249" s="345"/>
      <c r="AT249" s="345"/>
      <c r="AU249" s="345"/>
      <c r="AV249" s="345"/>
      <c r="AW249" s="345"/>
      <c r="AX249" s="345"/>
      <c r="AY249" s="345"/>
      <c r="AZ249" s="345"/>
      <c r="BA249" s="345"/>
      <c r="BB249" s="345"/>
      <c r="BC249" s="345"/>
      <c r="BD249" s="345"/>
      <c r="BE249" s="345"/>
      <c r="BF249" s="345"/>
      <c r="BG249" s="345"/>
      <c r="BH249" s="345"/>
      <c r="BI249" s="345"/>
      <c r="BJ249" s="345"/>
      <c r="BK249" s="345"/>
      <c r="BL249" s="345"/>
      <c r="BM249" s="345"/>
      <c r="BN249" s="345"/>
      <c r="BO249" s="345"/>
      <c r="BP249" s="345"/>
      <c r="BQ249" s="345"/>
      <c r="BR249" s="345"/>
      <c r="BS249" s="345"/>
      <c r="BT249" s="345"/>
      <c r="BU249" s="345"/>
      <c r="BV249" s="345"/>
      <c r="BW249" s="345"/>
      <c r="BX249" s="345"/>
      <c r="BY249" s="345"/>
      <c r="BZ249" s="345"/>
      <c r="CA249" s="345"/>
      <c r="CB249" s="345"/>
      <c r="CC249" s="345"/>
      <c r="CD249" s="345"/>
      <c r="CE249" s="345"/>
      <c r="CF249" s="345"/>
      <c r="CG249" s="345"/>
      <c r="CH249" s="345"/>
      <c r="CI249" s="345"/>
      <c r="CJ249" s="345"/>
      <c r="CK249" s="345"/>
      <c r="CL249" s="345"/>
      <c r="CM249" s="345"/>
      <c r="CN249" s="345"/>
      <c r="CO249" s="345"/>
      <c r="CP249" s="345"/>
      <c r="CQ249" s="345"/>
      <c r="CR249" s="345"/>
      <c r="CS249" s="345"/>
      <c r="CT249" s="345"/>
      <c r="CU249" s="345"/>
      <c r="CV249" s="345"/>
      <c r="CW249" s="345"/>
      <c r="CX249" s="345"/>
      <c r="CY249" s="345"/>
      <c r="CZ249" s="345"/>
      <c r="DA249" s="345"/>
      <c r="DB249" s="345"/>
      <c r="DC249" s="345"/>
      <c r="DD249" s="345"/>
      <c r="DE249" s="345"/>
      <c r="DF249" s="345"/>
      <c r="DG249" s="345"/>
      <c r="DH249" s="345"/>
      <c r="DI249" s="345"/>
      <c r="DJ249" s="345"/>
      <c r="DK249" s="345"/>
      <c r="DL249" s="345"/>
      <c r="DM249" s="345"/>
      <c r="DN249" s="345"/>
      <c r="DO249" s="345"/>
      <c r="DP249" s="345"/>
      <c r="DQ249" s="345"/>
      <c r="DR249" s="345"/>
      <c r="DS249" s="345"/>
      <c r="DT249" s="345"/>
      <c r="DU249" s="345"/>
      <c r="DV249" s="345"/>
      <c r="DW249" s="345"/>
      <c r="DX249" s="345"/>
      <c r="DY249" s="345"/>
      <c r="DZ249" s="345"/>
      <c r="EA249" s="345"/>
    </row>
    <row r="250" spans="1:131" hidden="1">
      <c r="A250" s="345"/>
      <c r="B250" s="345"/>
      <c r="C250" s="345"/>
      <c r="D250" s="345"/>
      <c r="E250" s="345"/>
      <c r="F250" s="345"/>
      <c r="G250" s="345"/>
      <c r="H250" s="345"/>
      <c r="I250" s="345"/>
      <c r="J250" s="345"/>
      <c r="K250" s="345"/>
      <c r="L250" s="345"/>
      <c r="M250" s="345"/>
      <c r="N250" s="345"/>
      <c r="O250" s="345"/>
      <c r="P250" s="345"/>
      <c r="Q250" s="345"/>
      <c r="R250" s="345"/>
      <c r="S250" s="345"/>
      <c r="T250" s="345"/>
      <c r="U250" s="345"/>
      <c r="V250" s="345"/>
      <c r="W250" s="345"/>
      <c r="X250" s="345"/>
      <c r="Y250" s="345"/>
      <c r="Z250" s="345"/>
      <c r="AA250" s="345"/>
      <c r="AB250" s="345"/>
      <c r="AC250" s="345"/>
      <c r="AD250" s="345"/>
      <c r="AE250" s="345"/>
      <c r="AF250" s="345"/>
      <c r="AG250" s="345"/>
      <c r="AH250" s="345"/>
      <c r="AI250" s="345"/>
      <c r="AJ250" s="345"/>
      <c r="AK250" s="345"/>
      <c r="AL250" s="345"/>
      <c r="AM250" s="345"/>
      <c r="AN250" s="345"/>
      <c r="AO250" s="345"/>
      <c r="AP250" s="345"/>
      <c r="AQ250" s="345"/>
      <c r="AR250" s="345"/>
      <c r="AS250" s="345"/>
      <c r="AT250" s="345"/>
      <c r="AU250" s="345"/>
      <c r="AV250" s="345"/>
      <c r="AW250" s="345"/>
      <c r="AX250" s="345"/>
      <c r="AY250" s="345"/>
      <c r="AZ250" s="345"/>
      <c r="BA250" s="345"/>
      <c r="BB250" s="345"/>
      <c r="BC250" s="345"/>
      <c r="BD250" s="345"/>
      <c r="BE250" s="345"/>
      <c r="BF250" s="345"/>
      <c r="BG250" s="345"/>
      <c r="BH250" s="345"/>
      <c r="BI250" s="345"/>
      <c r="BJ250" s="345"/>
      <c r="BK250" s="345"/>
      <c r="BL250" s="345"/>
      <c r="BM250" s="345"/>
      <c r="BN250" s="345"/>
      <c r="BO250" s="345"/>
      <c r="BP250" s="345"/>
      <c r="BQ250" s="345"/>
      <c r="BR250" s="345"/>
      <c r="BS250" s="345"/>
      <c r="BT250" s="345"/>
      <c r="BU250" s="345"/>
      <c r="BV250" s="345"/>
      <c r="BW250" s="345"/>
      <c r="BX250" s="345"/>
      <c r="BY250" s="345"/>
      <c r="BZ250" s="345"/>
      <c r="CA250" s="345"/>
      <c r="CB250" s="345"/>
      <c r="CC250" s="345"/>
      <c r="CD250" s="345"/>
      <c r="CE250" s="345"/>
      <c r="CF250" s="345"/>
      <c r="CG250" s="345"/>
      <c r="CH250" s="345"/>
      <c r="CI250" s="345"/>
      <c r="CJ250" s="345"/>
      <c r="CK250" s="345"/>
      <c r="CL250" s="345"/>
      <c r="CM250" s="345"/>
      <c r="CN250" s="345"/>
      <c r="CO250" s="345"/>
      <c r="CP250" s="345"/>
      <c r="CQ250" s="345"/>
      <c r="CR250" s="345"/>
      <c r="CS250" s="345"/>
      <c r="CT250" s="345"/>
      <c r="CU250" s="345"/>
      <c r="CV250" s="345"/>
      <c r="CW250" s="345"/>
      <c r="CX250" s="345"/>
      <c r="CY250" s="345"/>
      <c r="CZ250" s="345"/>
      <c r="DA250" s="345"/>
      <c r="DB250" s="345"/>
      <c r="DC250" s="345"/>
      <c r="DD250" s="345"/>
      <c r="DE250" s="345"/>
      <c r="DF250" s="345"/>
      <c r="DG250" s="345"/>
      <c r="DH250" s="345"/>
      <c r="DI250" s="345"/>
      <c r="DJ250" s="345"/>
      <c r="DK250" s="345"/>
      <c r="DL250" s="345"/>
      <c r="DM250" s="345"/>
      <c r="DN250" s="345"/>
      <c r="DO250" s="345"/>
      <c r="DP250" s="345"/>
      <c r="DQ250" s="345"/>
      <c r="DR250" s="345"/>
      <c r="DS250" s="345"/>
      <c r="DT250" s="345"/>
      <c r="DU250" s="345"/>
      <c r="DV250" s="345"/>
      <c r="DW250" s="345"/>
      <c r="DX250" s="345"/>
      <c r="DY250" s="345"/>
      <c r="DZ250" s="345"/>
      <c r="EA250" s="345"/>
    </row>
    <row r="251" spans="1:131" hidden="1">
      <c r="A251" s="345"/>
      <c r="B251" s="345"/>
      <c r="C251" s="345"/>
      <c r="D251" s="345"/>
      <c r="E251" s="345"/>
      <c r="F251" s="345"/>
      <c r="G251" s="345"/>
      <c r="H251" s="345"/>
      <c r="I251" s="345"/>
      <c r="J251" s="345"/>
      <c r="K251" s="345"/>
      <c r="L251" s="345"/>
      <c r="M251" s="345"/>
      <c r="N251" s="345"/>
      <c r="O251" s="345"/>
      <c r="P251" s="345"/>
      <c r="Q251" s="345"/>
      <c r="R251" s="345"/>
      <c r="S251" s="345"/>
      <c r="T251" s="345"/>
      <c r="U251" s="345"/>
      <c r="V251" s="345"/>
      <c r="W251" s="345"/>
      <c r="X251" s="345"/>
      <c r="Y251" s="345"/>
      <c r="Z251" s="345"/>
      <c r="AA251" s="345"/>
      <c r="AB251" s="345"/>
      <c r="AC251" s="345"/>
      <c r="AD251" s="345"/>
      <c r="AE251" s="345"/>
      <c r="AF251" s="345"/>
      <c r="AG251" s="345"/>
      <c r="AH251" s="345"/>
      <c r="AI251" s="345"/>
      <c r="AJ251" s="345"/>
      <c r="AK251" s="345"/>
      <c r="AL251" s="345"/>
      <c r="AM251" s="345"/>
      <c r="AN251" s="345"/>
      <c r="AO251" s="345"/>
      <c r="AP251" s="345"/>
      <c r="AQ251" s="345"/>
      <c r="AR251" s="345"/>
      <c r="AS251" s="345"/>
      <c r="AT251" s="345"/>
      <c r="AU251" s="345"/>
      <c r="AV251" s="345"/>
      <c r="AW251" s="345"/>
      <c r="AX251" s="345"/>
      <c r="AY251" s="345"/>
      <c r="AZ251" s="345"/>
      <c r="BA251" s="345"/>
      <c r="BB251" s="345"/>
      <c r="BC251" s="345"/>
      <c r="BD251" s="345"/>
      <c r="BE251" s="345"/>
      <c r="BF251" s="345"/>
      <c r="BG251" s="345"/>
      <c r="BH251" s="345"/>
      <c r="BI251" s="345"/>
      <c r="BJ251" s="345"/>
      <c r="BK251" s="345"/>
      <c r="BL251" s="345"/>
      <c r="BM251" s="345"/>
      <c r="BN251" s="345"/>
      <c r="BO251" s="345"/>
      <c r="BP251" s="345"/>
      <c r="BQ251" s="345"/>
      <c r="BR251" s="345"/>
      <c r="BS251" s="345"/>
      <c r="BT251" s="345"/>
      <c r="BU251" s="345"/>
      <c r="BV251" s="345"/>
      <c r="BW251" s="345"/>
      <c r="BX251" s="345"/>
      <c r="BY251" s="345"/>
      <c r="BZ251" s="345"/>
      <c r="CA251" s="345"/>
      <c r="CB251" s="345"/>
      <c r="CC251" s="345"/>
      <c r="CD251" s="345"/>
      <c r="CE251" s="345"/>
      <c r="CF251" s="345"/>
      <c r="CG251" s="345"/>
      <c r="CH251" s="345"/>
      <c r="CI251" s="345"/>
      <c r="CJ251" s="345"/>
      <c r="CK251" s="345"/>
      <c r="CL251" s="345"/>
      <c r="CM251" s="345"/>
      <c r="CN251" s="345"/>
      <c r="CO251" s="345"/>
      <c r="CP251" s="345"/>
      <c r="CQ251" s="345"/>
      <c r="CR251" s="345"/>
      <c r="CS251" s="345"/>
      <c r="CT251" s="345"/>
      <c r="CU251" s="345"/>
      <c r="CV251" s="345"/>
      <c r="CW251" s="345"/>
      <c r="CX251" s="345"/>
      <c r="CY251" s="345"/>
      <c r="CZ251" s="345"/>
      <c r="DA251" s="345"/>
      <c r="DB251" s="345"/>
      <c r="DC251" s="345"/>
      <c r="DD251" s="345"/>
      <c r="DE251" s="345"/>
      <c r="DF251" s="345"/>
      <c r="DG251" s="345"/>
      <c r="DH251" s="345"/>
      <c r="DI251" s="345"/>
      <c r="DJ251" s="345"/>
      <c r="DK251" s="345"/>
      <c r="DL251" s="345"/>
      <c r="DM251" s="345"/>
      <c r="DN251" s="345"/>
      <c r="DO251" s="345"/>
      <c r="DP251" s="345"/>
      <c r="DQ251" s="345"/>
      <c r="DR251" s="345"/>
      <c r="DS251" s="345"/>
      <c r="DT251" s="345"/>
      <c r="DU251" s="345"/>
      <c r="DV251" s="345"/>
      <c r="DW251" s="345"/>
      <c r="DX251" s="345"/>
      <c r="DY251" s="345"/>
      <c r="DZ251" s="345"/>
      <c r="EA251" s="345"/>
    </row>
    <row r="252" spans="1:131" hidden="1">
      <c r="A252" s="345"/>
      <c r="B252" s="345"/>
      <c r="C252" s="345"/>
      <c r="D252" s="345"/>
      <c r="E252" s="345"/>
      <c r="F252" s="345"/>
      <c r="G252" s="345"/>
      <c r="H252" s="345"/>
      <c r="I252" s="345"/>
      <c r="J252" s="345"/>
      <c r="K252" s="345"/>
      <c r="L252" s="345"/>
      <c r="M252" s="345"/>
      <c r="N252" s="345"/>
      <c r="O252" s="345"/>
      <c r="P252" s="345"/>
      <c r="Q252" s="345"/>
      <c r="R252" s="345"/>
      <c r="S252" s="345"/>
      <c r="T252" s="345"/>
      <c r="U252" s="345"/>
      <c r="V252" s="345"/>
      <c r="W252" s="345"/>
      <c r="X252" s="345"/>
      <c r="Y252" s="345"/>
      <c r="Z252" s="345"/>
      <c r="AA252" s="345"/>
      <c r="AB252" s="345"/>
      <c r="AC252" s="345"/>
      <c r="AD252" s="345"/>
      <c r="AE252" s="345"/>
      <c r="AF252" s="345"/>
      <c r="AG252" s="345"/>
      <c r="AH252" s="345"/>
      <c r="AI252" s="345"/>
      <c r="AJ252" s="345"/>
      <c r="AK252" s="345"/>
      <c r="AL252" s="345"/>
      <c r="AM252" s="345"/>
      <c r="AN252" s="345"/>
      <c r="AO252" s="345"/>
      <c r="AP252" s="345"/>
      <c r="AQ252" s="345"/>
      <c r="AR252" s="345"/>
      <c r="AS252" s="345"/>
      <c r="AT252" s="345"/>
      <c r="AU252" s="345"/>
      <c r="AV252" s="345"/>
      <c r="AW252" s="345"/>
      <c r="AX252" s="345"/>
      <c r="AY252" s="345"/>
      <c r="AZ252" s="345"/>
      <c r="BA252" s="345"/>
      <c r="BB252" s="345"/>
      <c r="BC252" s="345"/>
      <c r="BD252" s="345"/>
      <c r="BE252" s="345"/>
      <c r="BF252" s="345"/>
      <c r="BG252" s="345"/>
      <c r="BH252" s="345"/>
      <c r="BI252" s="345"/>
      <c r="BJ252" s="345"/>
      <c r="BK252" s="345"/>
      <c r="BL252" s="345"/>
      <c r="BM252" s="345"/>
      <c r="BN252" s="345"/>
      <c r="BO252" s="345"/>
      <c r="BP252" s="345"/>
      <c r="BQ252" s="345"/>
      <c r="BR252" s="345"/>
      <c r="BS252" s="345"/>
      <c r="BT252" s="345"/>
      <c r="BU252" s="345"/>
      <c r="BV252" s="345"/>
      <c r="BW252" s="345"/>
      <c r="BX252" s="345"/>
      <c r="BY252" s="345"/>
      <c r="BZ252" s="345"/>
      <c r="CA252" s="345"/>
      <c r="CB252" s="345"/>
      <c r="CC252" s="345"/>
      <c r="CD252" s="345"/>
      <c r="CE252" s="345"/>
      <c r="CF252" s="345"/>
      <c r="CG252" s="345"/>
      <c r="CH252" s="345"/>
      <c r="CI252" s="345"/>
      <c r="CJ252" s="345"/>
      <c r="CK252" s="345"/>
      <c r="CL252" s="345"/>
      <c r="CM252" s="345"/>
      <c r="CN252" s="345"/>
      <c r="CO252" s="345"/>
      <c r="CP252" s="345"/>
      <c r="CQ252" s="345"/>
      <c r="CR252" s="345"/>
      <c r="CS252" s="345"/>
      <c r="CT252" s="345"/>
      <c r="CU252" s="345"/>
      <c r="CV252" s="345"/>
      <c r="CW252" s="345"/>
      <c r="CX252" s="345"/>
      <c r="CY252" s="345"/>
      <c r="CZ252" s="345"/>
      <c r="DA252" s="345"/>
      <c r="DB252" s="345"/>
      <c r="DC252" s="345"/>
      <c r="DD252" s="345"/>
      <c r="DE252" s="345"/>
      <c r="DF252" s="345"/>
      <c r="DG252" s="345"/>
      <c r="DH252" s="345"/>
      <c r="DI252" s="345"/>
      <c r="DJ252" s="345"/>
      <c r="DK252" s="345"/>
      <c r="DL252" s="345"/>
      <c r="DM252" s="345"/>
      <c r="DN252" s="345"/>
      <c r="DO252" s="345"/>
      <c r="DP252" s="345"/>
      <c r="DQ252" s="345"/>
      <c r="DR252" s="345"/>
      <c r="DS252" s="345"/>
      <c r="DT252" s="345"/>
      <c r="DU252" s="345"/>
      <c r="DV252" s="345"/>
      <c r="DW252" s="345"/>
      <c r="DX252" s="345"/>
      <c r="DY252" s="345"/>
      <c r="DZ252" s="345"/>
      <c r="EA252" s="345"/>
    </row>
    <row r="253" spans="1:131" hidden="1">
      <c r="A253" s="345"/>
      <c r="B253" s="345"/>
      <c r="C253" s="345"/>
      <c r="D253" s="345"/>
      <c r="E253" s="345"/>
      <c r="F253" s="345"/>
      <c r="G253" s="345"/>
      <c r="H253" s="345"/>
      <c r="I253" s="345"/>
      <c r="J253" s="345"/>
      <c r="K253" s="345"/>
      <c r="L253" s="345"/>
      <c r="M253" s="345"/>
      <c r="N253" s="345"/>
      <c r="O253" s="345"/>
      <c r="P253" s="345"/>
      <c r="Q253" s="345"/>
      <c r="R253" s="345"/>
      <c r="S253" s="345"/>
      <c r="T253" s="345"/>
      <c r="U253" s="345"/>
      <c r="V253" s="345"/>
      <c r="W253" s="345"/>
      <c r="X253" s="345"/>
      <c r="Y253" s="345"/>
      <c r="Z253" s="345"/>
      <c r="AA253" s="345"/>
      <c r="AB253" s="345"/>
      <c r="AC253" s="345"/>
      <c r="AD253" s="345"/>
      <c r="AE253" s="345"/>
      <c r="AF253" s="345"/>
      <c r="AG253" s="345"/>
      <c r="AH253" s="345"/>
      <c r="AI253" s="345"/>
      <c r="AJ253" s="345"/>
      <c r="AK253" s="345"/>
      <c r="AL253" s="345"/>
      <c r="AM253" s="345"/>
      <c r="AN253" s="345"/>
      <c r="AO253" s="345"/>
      <c r="AP253" s="345"/>
      <c r="AQ253" s="345"/>
      <c r="AR253" s="345"/>
      <c r="AS253" s="345"/>
      <c r="AT253" s="345"/>
      <c r="AU253" s="345"/>
      <c r="AV253" s="345"/>
      <c r="AW253" s="345"/>
      <c r="AX253" s="345"/>
      <c r="AY253" s="345"/>
      <c r="AZ253" s="345"/>
      <c r="BA253" s="345"/>
      <c r="BB253" s="345"/>
      <c r="BC253" s="345"/>
      <c r="BD253" s="345"/>
      <c r="BE253" s="345"/>
      <c r="BF253" s="345"/>
      <c r="BG253" s="345"/>
      <c r="BH253" s="345"/>
      <c r="BI253" s="345"/>
      <c r="BJ253" s="345"/>
      <c r="BK253" s="345"/>
      <c r="BL253" s="345"/>
      <c r="BM253" s="345"/>
      <c r="BN253" s="345"/>
      <c r="BO253" s="345"/>
      <c r="BP253" s="345"/>
      <c r="BQ253" s="345"/>
      <c r="BR253" s="345"/>
      <c r="BS253" s="345"/>
      <c r="BT253" s="345"/>
      <c r="BU253" s="345"/>
      <c r="BV253" s="345"/>
      <c r="BW253" s="345"/>
      <c r="BX253" s="345"/>
      <c r="BY253" s="345"/>
      <c r="BZ253" s="345"/>
      <c r="CA253" s="345"/>
      <c r="CB253" s="345"/>
      <c r="CC253" s="345"/>
      <c r="CD253" s="345"/>
      <c r="CE253" s="345"/>
      <c r="CF253" s="345"/>
      <c r="CG253" s="345"/>
      <c r="CH253" s="345"/>
      <c r="CI253" s="345"/>
      <c r="CJ253" s="345"/>
      <c r="CK253" s="345"/>
      <c r="CL253" s="345"/>
      <c r="CM253" s="345"/>
      <c r="CN253" s="345"/>
      <c r="CO253" s="345"/>
      <c r="CP253" s="345"/>
      <c r="CQ253" s="345"/>
      <c r="CR253" s="345"/>
      <c r="CS253" s="345"/>
      <c r="CT253" s="345"/>
      <c r="CU253" s="345"/>
      <c r="CV253" s="345"/>
      <c r="CW253" s="345"/>
      <c r="CX253" s="345"/>
      <c r="CY253" s="345"/>
      <c r="CZ253" s="345"/>
      <c r="DA253" s="345"/>
      <c r="DB253" s="345"/>
      <c r="DC253" s="345"/>
      <c r="DD253" s="345"/>
      <c r="DE253" s="345"/>
      <c r="DF253" s="345"/>
      <c r="DG253" s="345"/>
      <c r="DH253" s="345"/>
      <c r="DI253" s="345"/>
      <c r="DJ253" s="345"/>
      <c r="DK253" s="345"/>
      <c r="DL253" s="345"/>
      <c r="DM253" s="345"/>
      <c r="DN253" s="345"/>
      <c r="DO253" s="345"/>
      <c r="DP253" s="345"/>
      <c r="DQ253" s="345"/>
      <c r="DR253" s="345"/>
      <c r="DS253" s="345"/>
      <c r="DT253" s="345"/>
      <c r="DU253" s="345"/>
      <c r="DV253" s="345"/>
      <c r="DW253" s="345"/>
      <c r="DX253" s="345"/>
      <c r="DY253" s="345"/>
      <c r="DZ253" s="345"/>
      <c r="EA253" s="345"/>
    </row>
    <row r="254" spans="1:131" hidden="1">
      <c r="A254" s="345"/>
      <c r="B254" s="345"/>
      <c r="C254" s="345"/>
      <c r="D254" s="345"/>
      <c r="E254" s="345"/>
      <c r="F254" s="345"/>
      <c r="G254" s="345"/>
      <c r="H254" s="345"/>
      <c r="I254" s="345"/>
      <c r="J254" s="345"/>
      <c r="K254" s="345"/>
      <c r="L254" s="345"/>
      <c r="M254" s="345"/>
      <c r="N254" s="345"/>
      <c r="O254" s="345"/>
      <c r="P254" s="345"/>
      <c r="Q254" s="345"/>
      <c r="R254" s="345"/>
      <c r="S254" s="345"/>
      <c r="T254" s="345"/>
      <c r="U254" s="345"/>
      <c r="V254" s="345"/>
      <c r="W254" s="345"/>
      <c r="X254" s="345"/>
      <c r="Y254" s="345"/>
      <c r="Z254" s="345"/>
      <c r="AA254" s="345"/>
      <c r="AB254" s="345"/>
      <c r="AC254" s="345"/>
      <c r="AD254" s="345"/>
      <c r="AE254" s="345"/>
      <c r="AF254" s="345"/>
      <c r="AG254" s="345"/>
      <c r="AH254" s="345"/>
      <c r="AI254" s="345"/>
      <c r="AJ254" s="345"/>
      <c r="AK254" s="345"/>
      <c r="AL254" s="345"/>
      <c r="AM254" s="345"/>
      <c r="AN254" s="345"/>
      <c r="AO254" s="345"/>
      <c r="AP254" s="345"/>
      <c r="AQ254" s="345"/>
      <c r="AR254" s="345"/>
      <c r="AS254" s="345"/>
      <c r="AT254" s="345"/>
      <c r="AU254" s="345"/>
      <c r="AV254" s="345"/>
      <c r="AW254" s="345"/>
      <c r="AX254" s="345"/>
      <c r="AY254" s="345"/>
      <c r="AZ254" s="345"/>
      <c r="BA254" s="345"/>
      <c r="BB254" s="345"/>
      <c r="BC254" s="345"/>
      <c r="BD254" s="345"/>
      <c r="BE254" s="345"/>
      <c r="BF254" s="345"/>
      <c r="BG254" s="345"/>
      <c r="BH254" s="345"/>
      <c r="BI254" s="345"/>
      <c r="BJ254" s="345"/>
      <c r="BK254" s="345"/>
      <c r="BL254" s="345"/>
      <c r="BM254" s="345"/>
      <c r="BN254" s="345"/>
      <c r="BO254" s="345"/>
      <c r="BP254" s="345"/>
      <c r="BQ254" s="345"/>
      <c r="BR254" s="345"/>
      <c r="BS254" s="345"/>
      <c r="BT254" s="345"/>
      <c r="BU254" s="345"/>
      <c r="BV254" s="345"/>
      <c r="BW254" s="345"/>
      <c r="BX254" s="345"/>
      <c r="BY254" s="345"/>
      <c r="BZ254" s="345"/>
      <c r="CA254" s="345"/>
      <c r="CB254" s="345"/>
      <c r="CC254" s="345"/>
      <c r="CD254" s="345"/>
      <c r="CE254" s="345"/>
      <c r="CF254" s="345"/>
      <c r="CG254" s="345"/>
      <c r="CH254" s="345"/>
      <c r="CI254" s="345"/>
      <c r="CJ254" s="345"/>
      <c r="CK254" s="345"/>
      <c r="CL254" s="345"/>
      <c r="CM254" s="345"/>
      <c r="CN254" s="345"/>
      <c r="CO254" s="345"/>
      <c r="CP254" s="345"/>
      <c r="CQ254" s="345"/>
      <c r="CR254" s="345"/>
      <c r="CS254" s="345"/>
      <c r="CT254" s="345"/>
      <c r="CU254" s="345"/>
      <c r="CV254" s="345"/>
      <c r="CW254" s="345"/>
      <c r="CX254" s="345"/>
      <c r="CY254" s="345"/>
      <c r="CZ254" s="345"/>
      <c r="DA254" s="345"/>
      <c r="DB254" s="345"/>
      <c r="DC254" s="345"/>
      <c r="DD254" s="345"/>
      <c r="DE254" s="345"/>
      <c r="DF254" s="345"/>
      <c r="DG254" s="345"/>
      <c r="DH254" s="345"/>
      <c r="DI254" s="345"/>
      <c r="DJ254" s="345"/>
      <c r="DK254" s="345"/>
      <c r="DL254" s="345"/>
      <c r="DM254" s="345"/>
      <c r="DN254" s="345"/>
      <c r="DO254" s="345"/>
      <c r="DP254" s="345"/>
      <c r="DQ254" s="345"/>
      <c r="DR254" s="345"/>
      <c r="DS254" s="345"/>
      <c r="DT254" s="345"/>
      <c r="DU254" s="345"/>
      <c r="DV254" s="345"/>
      <c r="DW254" s="345"/>
      <c r="DX254" s="345"/>
      <c r="DY254" s="345"/>
      <c r="DZ254" s="345"/>
      <c r="EA254" s="345"/>
    </row>
    <row r="255" spans="1:131" hidden="1">
      <c r="A255" s="345"/>
      <c r="B255" s="345"/>
      <c r="C255" s="345"/>
      <c r="D255" s="345"/>
      <c r="E255" s="345"/>
      <c r="F255" s="345"/>
      <c r="G255" s="345"/>
      <c r="H255" s="345"/>
      <c r="I255" s="345"/>
      <c r="J255" s="345"/>
      <c r="K255" s="345"/>
      <c r="L255" s="345"/>
      <c r="M255" s="345"/>
      <c r="N255" s="345"/>
      <c r="O255" s="345"/>
      <c r="P255" s="345"/>
      <c r="Q255" s="345"/>
      <c r="R255" s="345"/>
      <c r="S255" s="345"/>
      <c r="T255" s="345"/>
      <c r="U255" s="345"/>
      <c r="V255" s="345"/>
      <c r="W255" s="345"/>
      <c r="X255" s="345"/>
      <c r="Y255" s="345"/>
      <c r="Z255" s="345"/>
      <c r="AA255" s="345"/>
      <c r="AB255" s="345"/>
      <c r="AC255" s="345"/>
      <c r="AD255" s="345"/>
      <c r="AE255" s="345"/>
      <c r="AF255" s="345"/>
      <c r="AG255" s="345"/>
      <c r="AH255" s="345"/>
      <c r="AI255" s="345"/>
      <c r="AJ255" s="345"/>
      <c r="AK255" s="345"/>
      <c r="AL255" s="345"/>
      <c r="AM255" s="345"/>
      <c r="AN255" s="345"/>
      <c r="AO255" s="345"/>
      <c r="AP255" s="345"/>
      <c r="AQ255" s="345"/>
      <c r="AR255" s="345"/>
      <c r="AS255" s="345"/>
      <c r="AT255" s="345"/>
      <c r="AU255" s="345"/>
      <c r="AV255" s="345"/>
      <c r="AW255" s="345"/>
      <c r="AX255" s="345"/>
      <c r="AY255" s="345"/>
      <c r="AZ255" s="345"/>
      <c r="BA255" s="345"/>
      <c r="BB255" s="345"/>
      <c r="BC255" s="345"/>
      <c r="BD255" s="345"/>
      <c r="BE255" s="345"/>
      <c r="BF255" s="345"/>
      <c r="BG255" s="345"/>
      <c r="BH255" s="345"/>
      <c r="BI255" s="345"/>
      <c r="BJ255" s="345"/>
      <c r="BK255" s="345"/>
      <c r="BL255" s="345"/>
      <c r="BM255" s="345"/>
      <c r="BN255" s="345"/>
      <c r="BO255" s="345"/>
      <c r="BP255" s="345"/>
      <c r="BQ255" s="345"/>
      <c r="BR255" s="345"/>
      <c r="BS255" s="345"/>
      <c r="BT255" s="345"/>
      <c r="BU255" s="345"/>
      <c r="BV255" s="345"/>
      <c r="BW255" s="345"/>
      <c r="BX255" s="345"/>
      <c r="BY255" s="345"/>
      <c r="BZ255" s="345"/>
      <c r="CA255" s="345"/>
      <c r="CB255" s="345"/>
      <c r="CC255" s="345"/>
      <c r="CD255" s="345"/>
      <c r="CE255" s="345"/>
      <c r="CF255" s="345"/>
      <c r="CG255" s="345"/>
      <c r="CH255" s="345"/>
      <c r="CI255" s="345"/>
      <c r="CJ255" s="345"/>
      <c r="CK255" s="345"/>
      <c r="CL255" s="345"/>
      <c r="CM255" s="345"/>
      <c r="CN255" s="345"/>
      <c r="CO255" s="345"/>
      <c r="CP255" s="345"/>
      <c r="CQ255" s="345"/>
      <c r="CR255" s="345"/>
      <c r="CS255" s="345"/>
      <c r="CT255" s="345"/>
      <c r="CU255" s="345"/>
      <c r="CV255" s="345"/>
      <c r="CW255" s="345"/>
      <c r="CX255" s="345"/>
      <c r="CY255" s="345"/>
      <c r="CZ255" s="345"/>
      <c r="DA255" s="345"/>
      <c r="DB255" s="345"/>
      <c r="DC255" s="345"/>
      <c r="DD255" s="345"/>
      <c r="DE255" s="345"/>
      <c r="DF255" s="345"/>
      <c r="DG255" s="345"/>
      <c r="DH255" s="345"/>
      <c r="DI255" s="345"/>
      <c r="DJ255" s="345"/>
      <c r="DK255" s="345"/>
      <c r="DL255" s="345"/>
      <c r="DM255" s="345"/>
      <c r="DN255" s="345"/>
      <c r="DO255" s="345"/>
      <c r="DP255" s="345"/>
      <c r="DQ255" s="345"/>
      <c r="DR255" s="345"/>
      <c r="DS255" s="345"/>
      <c r="DT255" s="345"/>
      <c r="DU255" s="345"/>
      <c r="DV255" s="345"/>
      <c r="DW255" s="345"/>
      <c r="DX255" s="345"/>
      <c r="DY255" s="345"/>
      <c r="DZ255" s="345"/>
      <c r="EA255" s="345"/>
    </row>
    <row r="256" spans="1:131" hidden="1">
      <c r="A256" s="345"/>
      <c r="B256" s="345"/>
      <c r="C256" s="345"/>
      <c r="D256" s="345"/>
      <c r="E256" s="345"/>
      <c r="F256" s="345"/>
      <c r="G256" s="345"/>
      <c r="H256" s="345"/>
      <c r="I256" s="345"/>
      <c r="J256" s="345"/>
      <c r="K256" s="345"/>
      <c r="L256" s="345"/>
      <c r="M256" s="345"/>
      <c r="N256" s="345"/>
      <c r="O256" s="345"/>
      <c r="P256" s="345"/>
      <c r="Q256" s="345"/>
      <c r="R256" s="345"/>
      <c r="S256" s="345"/>
      <c r="T256" s="345"/>
      <c r="U256" s="345"/>
      <c r="V256" s="345"/>
      <c r="W256" s="345"/>
      <c r="X256" s="345"/>
      <c r="Y256" s="345"/>
      <c r="Z256" s="345"/>
      <c r="AA256" s="345"/>
      <c r="AB256" s="345"/>
      <c r="AC256" s="345"/>
      <c r="AD256" s="345"/>
      <c r="AE256" s="345"/>
      <c r="AF256" s="345"/>
      <c r="AG256" s="345"/>
      <c r="AH256" s="345"/>
      <c r="AI256" s="345"/>
      <c r="AJ256" s="345"/>
      <c r="AK256" s="345"/>
      <c r="AL256" s="345"/>
      <c r="AM256" s="345"/>
      <c r="AN256" s="345"/>
      <c r="AO256" s="345"/>
      <c r="AP256" s="345"/>
      <c r="AQ256" s="345"/>
      <c r="AR256" s="345"/>
      <c r="AS256" s="345"/>
      <c r="AT256" s="345"/>
      <c r="AU256" s="345"/>
      <c r="AV256" s="345"/>
      <c r="AW256" s="345"/>
      <c r="AX256" s="345"/>
      <c r="AY256" s="345"/>
      <c r="AZ256" s="345"/>
      <c r="BA256" s="345"/>
      <c r="BB256" s="345"/>
      <c r="BC256" s="345"/>
      <c r="BD256" s="345"/>
      <c r="BE256" s="345"/>
      <c r="BF256" s="345"/>
      <c r="BG256" s="345"/>
      <c r="BH256" s="345"/>
      <c r="BI256" s="345"/>
      <c r="BJ256" s="345"/>
      <c r="BK256" s="345"/>
      <c r="BL256" s="345"/>
      <c r="BM256" s="345"/>
      <c r="BN256" s="345"/>
      <c r="BO256" s="345"/>
      <c r="BP256" s="345"/>
      <c r="BQ256" s="345"/>
      <c r="BR256" s="345"/>
      <c r="BS256" s="345"/>
      <c r="BT256" s="345"/>
      <c r="BU256" s="345"/>
      <c r="BV256" s="345"/>
      <c r="BW256" s="345"/>
      <c r="BX256" s="345"/>
      <c r="BY256" s="345"/>
      <c r="BZ256" s="345"/>
      <c r="CA256" s="345"/>
      <c r="CB256" s="345"/>
      <c r="CC256" s="345"/>
      <c r="CD256" s="345"/>
      <c r="CE256" s="345"/>
      <c r="CF256" s="345"/>
      <c r="CG256" s="345"/>
      <c r="CH256" s="345"/>
      <c r="CI256" s="345"/>
      <c r="CJ256" s="345"/>
      <c r="CK256" s="345"/>
      <c r="CL256" s="345"/>
      <c r="CM256" s="345"/>
      <c r="CN256" s="345"/>
      <c r="CO256" s="345"/>
      <c r="CP256" s="345"/>
      <c r="CQ256" s="345"/>
      <c r="CR256" s="345"/>
      <c r="CS256" s="345"/>
      <c r="CT256" s="345"/>
      <c r="CU256" s="345"/>
      <c r="CV256" s="345"/>
      <c r="CW256" s="345"/>
      <c r="CX256" s="345"/>
      <c r="CY256" s="345"/>
      <c r="CZ256" s="345"/>
      <c r="DA256" s="345"/>
      <c r="DB256" s="345"/>
      <c r="DC256" s="345"/>
      <c r="DD256" s="345"/>
      <c r="DE256" s="345"/>
      <c r="DF256" s="345"/>
      <c r="DG256" s="345"/>
      <c r="DH256" s="345"/>
      <c r="DI256" s="345"/>
      <c r="DJ256" s="345"/>
      <c r="DK256" s="345"/>
      <c r="DL256" s="345"/>
      <c r="DM256" s="345"/>
      <c r="DN256" s="345"/>
      <c r="DO256" s="345"/>
      <c r="DP256" s="345"/>
      <c r="DQ256" s="345"/>
      <c r="DR256" s="345"/>
      <c r="DS256" s="345"/>
      <c r="DT256" s="345"/>
      <c r="DU256" s="345"/>
      <c r="DV256" s="345"/>
      <c r="DW256" s="345"/>
      <c r="DX256" s="345"/>
      <c r="DY256" s="345"/>
      <c r="DZ256" s="345"/>
      <c r="EA256" s="345"/>
    </row>
  </sheetData>
  <sheetProtection algorithmName="SHA-512" hashValue="Y8yq28LYUfxF/Xj0VHH2NCQMOYkuZxrl9a2DT+mGd5P+QMaGLQPxvSz8wPPPKRMgvrFhgDnC8rdDRrR00N/MfQ==" saltValue="AncX3tJO6nb0XapvkULRGg==" spinCount="100000" sheet="1" formatColumns="0" formatRows="0" selectLockedCells="1"/>
  <protectedRanges>
    <protectedRange sqref="O47" name="Range5"/>
    <protectedRange sqref="D7:K10" name="Range2"/>
    <protectedRange sqref="H15:J18" name="Range1"/>
    <protectedRange sqref="L16:Q18" name="Range3"/>
    <protectedRange sqref="L16:Q18" name="Range4"/>
  </protectedRanges>
  <mergeCells count="164">
    <mergeCell ref="D3:Q3"/>
    <mergeCell ref="D4:Q4"/>
    <mergeCell ref="D5:Q5"/>
    <mergeCell ref="D6:K6"/>
    <mergeCell ref="L6:Q6"/>
    <mergeCell ref="D7:K7"/>
    <mergeCell ref="L7:Q7"/>
    <mergeCell ref="D11:G11"/>
    <mergeCell ref="H11:K11"/>
    <mergeCell ref="L11:N11"/>
    <mergeCell ref="O11:Q11"/>
    <mergeCell ref="D12:G12"/>
    <mergeCell ref="H12:K12"/>
    <mergeCell ref="L12:N12"/>
    <mergeCell ref="O12:Q12"/>
    <mergeCell ref="D8:K8"/>
    <mergeCell ref="L8:Q8"/>
    <mergeCell ref="D9:K9"/>
    <mergeCell ref="L9:Q9"/>
    <mergeCell ref="D10:K10"/>
    <mergeCell ref="L10:Q10"/>
    <mergeCell ref="D13:Q13"/>
    <mergeCell ref="D14:G14"/>
    <mergeCell ref="H14:I14"/>
    <mergeCell ref="L14:O14"/>
    <mergeCell ref="P14:Q14"/>
    <mergeCell ref="D15:G15"/>
    <mergeCell ref="H15:I15"/>
    <mergeCell ref="L15:M15"/>
    <mergeCell ref="N15:O15"/>
    <mergeCell ref="P15:Q15"/>
    <mergeCell ref="D16:G16"/>
    <mergeCell ref="H16:I16"/>
    <mergeCell ref="L16:M18"/>
    <mergeCell ref="N16:O18"/>
    <mergeCell ref="P16:Q18"/>
    <mergeCell ref="D17:G17"/>
    <mergeCell ref="H17:I17"/>
    <mergeCell ref="D18:G18"/>
    <mergeCell ref="H18:I18"/>
    <mergeCell ref="L23:M23"/>
    <mergeCell ref="E24:E25"/>
    <mergeCell ref="F24:I25"/>
    <mergeCell ref="J24:J25"/>
    <mergeCell ref="K24:K25"/>
    <mergeCell ref="L24:M25"/>
    <mergeCell ref="M31:N31"/>
    <mergeCell ref="D19:Q19"/>
    <mergeCell ref="E20:M20"/>
    <mergeCell ref="P20:Q20"/>
    <mergeCell ref="D21:D27"/>
    <mergeCell ref="F21:I21"/>
    <mergeCell ref="L21:M21"/>
    <mergeCell ref="N21:Q27"/>
    <mergeCell ref="F22:I22"/>
    <mergeCell ref="L22:M22"/>
    <mergeCell ref="F23:I23"/>
    <mergeCell ref="E26:E27"/>
    <mergeCell ref="F26:I27"/>
    <mergeCell ref="J26:J27"/>
    <mergeCell ref="K26:K27"/>
    <mergeCell ref="L26:M27"/>
    <mergeCell ref="D32:E32"/>
    <mergeCell ref="F32:M32"/>
    <mergeCell ref="P32:Q32"/>
    <mergeCell ref="D33:E33"/>
    <mergeCell ref="F33:M33"/>
    <mergeCell ref="P33:Q33"/>
    <mergeCell ref="P28:Q28"/>
    <mergeCell ref="D29:E31"/>
    <mergeCell ref="F29:F30"/>
    <mergeCell ref="G29:I30"/>
    <mergeCell ref="J29:K30"/>
    <mergeCell ref="L29:L30"/>
    <mergeCell ref="M29:N30"/>
    <mergeCell ref="O29:Q31"/>
    <mergeCell ref="G31:I31"/>
    <mergeCell ref="J31:K31"/>
    <mergeCell ref="F28:K28"/>
    <mergeCell ref="L28:M28"/>
    <mergeCell ref="D37:E37"/>
    <mergeCell ref="F37:M37"/>
    <mergeCell ref="P37:Q37"/>
    <mergeCell ref="D38:E38"/>
    <mergeCell ref="F38:M38"/>
    <mergeCell ref="P38:Q38"/>
    <mergeCell ref="D34:E36"/>
    <mergeCell ref="G34:H34"/>
    <mergeCell ref="K34:M34"/>
    <mergeCell ref="N34:Q36"/>
    <mergeCell ref="G35:H35"/>
    <mergeCell ref="K35:M35"/>
    <mergeCell ref="G36:H36"/>
    <mergeCell ref="K36:M36"/>
    <mergeCell ref="D42:E42"/>
    <mergeCell ref="F42:K42"/>
    <mergeCell ref="L42:M42"/>
    <mergeCell ref="D43:E43"/>
    <mergeCell ref="F43:K43"/>
    <mergeCell ref="L43:M43"/>
    <mergeCell ref="D39:E39"/>
    <mergeCell ref="F39:M39"/>
    <mergeCell ref="P39:Q39"/>
    <mergeCell ref="D40:E40"/>
    <mergeCell ref="F40:K40"/>
    <mergeCell ref="L40:M40"/>
    <mergeCell ref="N40:Q43"/>
    <mergeCell ref="D41:E41"/>
    <mergeCell ref="F41:K41"/>
    <mergeCell ref="L41:M41"/>
    <mergeCell ref="G54:K54"/>
    <mergeCell ref="G55:K55"/>
    <mergeCell ref="D44:E44"/>
    <mergeCell ref="F44:M44"/>
    <mergeCell ref="P44:Q44"/>
    <mergeCell ref="D45:E46"/>
    <mergeCell ref="F45:M45"/>
    <mergeCell ref="N45:Q45"/>
    <mergeCell ref="F46:K46"/>
    <mergeCell ref="L46:M46"/>
    <mergeCell ref="N46:O46"/>
    <mergeCell ref="P46:Q60"/>
    <mergeCell ref="L63:M63"/>
    <mergeCell ref="N63:O63"/>
    <mergeCell ref="P63:Q76"/>
    <mergeCell ref="D64:E77"/>
    <mergeCell ref="G64:K64"/>
    <mergeCell ref="G65:K65"/>
    <mergeCell ref="G66:K66"/>
    <mergeCell ref="G56:K56"/>
    <mergeCell ref="G57:K57"/>
    <mergeCell ref="F58:K58"/>
    <mergeCell ref="D59:E60"/>
    <mergeCell ref="F59:K59"/>
    <mergeCell ref="L59:M61"/>
    <mergeCell ref="F60:K60"/>
    <mergeCell ref="D61:E61"/>
    <mergeCell ref="F61:K61"/>
    <mergeCell ref="D47:E58"/>
    <mergeCell ref="G47:K47"/>
    <mergeCell ref="G48:K48"/>
    <mergeCell ref="G49:K49"/>
    <mergeCell ref="G50:K50"/>
    <mergeCell ref="G51:K51"/>
    <mergeCell ref="G52:K52"/>
    <mergeCell ref="G53:K53"/>
    <mergeCell ref="G67:K67"/>
    <mergeCell ref="G68:K68"/>
    <mergeCell ref="G69:K69"/>
    <mergeCell ref="G70:K70"/>
    <mergeCell ref="G71:K71"/>
    <mergeCell ref="G72:K72"/>
    <mergeCell ref="D62:E62"/>
    <mergeCell ref="G62:K62"/>
    <mergeCell ref="D63:E63"/>
    <mergeCell ref="P78:P79"/>
    <mergeCell ref="Q78:Q79"/>
    <mergeCell ref="G73:K73"/>
    <mergeCell ref="G74:K74"/>
    <mergeCell ref="G75:K75"/>
    <mergeCell ref="G76:K76"/>
    <mergeCell ref="G77:J77"/>
    <mergeCell ref="D78:E79"/>
    <mergeCell ref="F78:O79"/>
  </mergeCells>
  <pageMargins left="0.74803149606299213" right="0.43307086614173229" top="0.11811023622047245" bottom="0.23622047244094491" header="0.31496062992125984" footer="0.23622047244094491"/>
  <pageSetup paperSize="9" scale="66"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DE6C6-CD38-422A-AE42-0A7B42446BAC}">
  <sheetPr>
    <tabColor rgb="FF7030A0"/>
  </sheetPr>
  <dimension ref="A1:DZ200"/>
  <sheetViews>
    <sheetView workbookViewId="0">
      <selection activeCell="P22" sqref="P22"/>
    </sheetView>
  </sheetViews>
  <sheetFormatPr defaultColWidth="0" defaultRowHeight="15" customHeight="1" zeroHeight="1"/>
  <cols>
    <col min="1" max="1" width="4.42578125" customWidth="1"/>
    <col min="2" max="2" width="5.7109375" customWidth="1"/>
    <col min="3" max="3" width="9.140625" customWidth="1"/>
    <col min="4" max="4" width="5.7109375" customWidth="1"/>
    <col min="5" max="5" width="9.140625" customWidth="1"/>
    <col min="6" max="6" width="9.85546875" customWidth="1"/>
    <col min="7" max="7" width="6.7109375" customWidth="1"/>
    <col min="8" max="9" width="9.140625" customWidth="1"/>
    <col min="10" max="10" width="8.7109375" customWidth="1"/>
    <col min="11" max="11" width="8.5703125" customWidth="1"/>
    <col min="12" max="12" width="9.140625" customWidth="1"/>
    <col min="13" max="13" width="11.85546875" customWidth="1"/>
    <col min="14" max="14" width="6.42578125" customWidth="1"/>
    <col min="15" max="15" width="9.140625" customWidth="1"/>
    <col min="16" max="16" width="3.85546875" customWidth="1"/>
    <col min="17" max="17" width="4.28515625" customWidth="1"/>
    <col min="18" max="21" width="9.140625" customWidth="1"/>
    <col min="22" max="16384" width="9.140625" hidden="1"/>
  </cols>
  <sheetData>
    <row r="1" spans="1:130" ht="13.5" customHeight="1">
      <c r="A1" s="1"/>
      <c r="B1" s="1"/>
      <c r="C1" s="1"/>
      <c r="D1" s="1"/>
      <c r="E1" s="1"/>
      <c r="F1" s="1"/>
      <c r="G1" s="1"/>
      <c r="H1" s="1"/>
      <c r="I1" s="1"/>
      <c r="J1" s="1"/>
      <c r="K1" s="1"/>
      <c r="L1" s="1"/>
      <c r="M1" s="1"/>
      <c r="N1" s="347"/>
      <c r="O1" s="347"/>
      <c r="P1" s="347"/>
      <c r="Q1" s="347"/>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row>
    <row r="2" spans="1:130" ht="9" customHeight="1" thickBot="1">
      <c r="A2" s="1"/>
      <c r="B2" s="1"/>
      <c r="C2" s="1"/>
      <c r="D2" s="1"/>
      <c r="E2" s="1"/>
      <c r="F2" s="1"/>
      <c r="G2" s="1"/>
      <c r="H2" s="1"/>
      <c r="I2" s="1"/>
      <c r="J2" s="1"/>
      <c r="K2" s="1"/>
      <c r="L2" s="1"/>
      <c r="M2" s="1"/>
      <c r="N2" s="347"/>
      <c r="O2" s="347"/>
      <c r="P2" s="347"/>
      <c r="Q2" s="347"/>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row>
    <row r="3" spans="1:130" ht="15.75" thickTop="1">
      <c r="A3" s="1"/>
      <c r="B3" s="373"/>
      <c r="C3" s="109"/>
      <c r="D3" s="2811"/>
      <c r="E3" s="2811"/>
      <c r="F3" s="2811"/>
      <c r="G3" s="2811"/>
      <c r="H3" s="2811"/>
      <c r="I3" s="2811"/>
      <c r="J3" s="2811"/>
      <c r="K3" s="110"/>
      <c r="L3" s="2812"/>
      <c r="M3" s="2813"/>
      <c r="N3" s="348"/>
      <c r="O3" s="348"/>
      <c r="P3" s="349"/>
      <c r="Q3" s="350"/>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row>
    <row r="4" spans="1:130">
      <c r="A4" s="1"/>
      <c r="B4" s="374" t="s">
        <v>1513</v>
      </c>
      <c r="C4" s="6224" t="s">
        <v>1565</v>
      </c>
      <c r="D4" s="5903"/>
      <c r="E4" s="5903"/>
      <c r="F4" s="5903"/>
      <c r="G4" s="5903"/>
      <c r="H4" s="5903"/>
      <c r="I4" s="5903"/>
      <c r="J4" s="2510"/>
      <c r="K4" s="2511"/>
      <c r="L4" s="2814" t="s">
        <v>5</v>
      </c>
      <c r="M4" s="3388">
        <f>'New Tax Regime'!M25</f>
        <v>1686934</v>
      </c>
      <c r="N4" s="351"/>
      <c r="O4" s="351"/>
      <c r="P4" s="350"/>
      <c r="Q4" s="350"/>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row>
    <row r="5" spans="1:130">
      <c r="A5" s="1"/>
      <c r="B5" s="374" t="s">
        <v>1516</v>
      </c>
      <c r="C5" s="6227" t="s">
        <v>1564</v>
      </c>
      <c r="D5" s="6228"/>
      <c r="E5" s="6228"/>
      <c r="F5" s="6228"/>
      <c r="G5" s="6228"/>
      <c r="H5" s="6228"/>
      <c r="I5" s="6228"/>
      <c r="J5" s="2510"/>
      <c r="K5" s="2511"/>
      <c r="L5" s="2814" t="s">
        <v>5</v>
      </c>
      <c r="M5" s="2681">
        <f>'New Tax Regime'!M35</f>
        <v>137387</v>
      </c>
      <c r="N5" s="348"/>
      <c r="O5" s="348"/>
      <c r="P5" s="350"/>
      <c r="Q5" s="350"/>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row>
    <row r="6" spans="1:130">
      <c r="A6" s="1"/>
      <c r="B6" s="374" t="s">
        <v>1517</v>
      </c>
      <c r="C6" s="6224" t="s">
        <v>8</v>
      </c>
      <c r="D6" s="5903"/>
      <c r="E6" s="5903"/>
      <c r="F6" s="6229" t="str">
        <f>'New Tax Regime'!F36</f>
        <v>(No Tax Rebate)</v>
      </c>
      <c r="G6" s="6229"/>
      <c r="H6" s="6229"/>
      <c r="I6" s="6229"/>
      <c r="J6" s="6229"/>
      <c r="K6" s="2511"/>
      <c r="L6" s="2814" t="s">
        <v>5</v>
      </c>
      <c r="M6" s="2680">
        <f>'New Tax Regime'!M36</f>
        <v>0</v>
      </c>
      <c r="N6" s="352"/>
      <c r="O6" s="353"/>
      <c r="P6" s="350"/>
      <c r="Q6" s="350"/>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row>
    <row r="7" spans="1:130">
      <c r="A7" s="1"/>
      <c r="B7" s="374" t="s">
        <v>1518</v>
      </c>
      <c r="C7" s="6224" t="s">
        <v>1566</v>
      </c>
      <c r="D7" s="5903"/>
      <c r="E7" s="5903"/>
      <c r="F7" s="5903"/>
      <c r="G7" s="5903"/>
      <c r="H7" s="5903"/>
      <c r="I7" s="5903"/>
      <c r="J7" s="5903"/>
      <c r="K7" s="6230"/>
      <c r="L7" s="2814" t="s">
        <v>5</v>
      </c>
      <c r="M7" s="2680">
        <f>'New Tax Regime'!M37</f>
        <v>137387</v>
      </c>
      <c r="N7" s="353"/>
      <c r="O7" s="353"/>
      <c r="P7" s="354"/>
      <c r="Q7" s="350"/>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row>
    <row r="8" spans="1:130">
      <c r="A8" s="1"/>
      <c r="B8" s="374" t="s">
        <v>1519</v>
      </c>
      <c r="C8" s="6224" t="s">
        <v>1567</v>
      </c>
      <c r="D8" s="5903"/>
      <c r="E8" s="5903"/>
      <c r="F8" s="5903"/>
      <c r="G8" s="5903"/>
      <c r="H8" s="5903"/>
      <c r="I8" s="5903"/>
      <c r="J8" s="2510"/>
      <c r="K8" s="2511"/>
      <c r="L8" s="2814" t="s">
        <v>5</v>
      </c>
      <c r="M8" s="2680">
        <f>'New Tax Regime'!M38</f>
        <v>5495</v>
      </c>
      <c r="N8" s="353"/>
      <c r="O8" s="353"/>
      <c r="P8" s="354"/>
      <c r="Q8" s="350"/>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row>
    <row r="9" spans="1:130">
      <c r="A9" s="1"/>
      <c r="B9" s="374" t="s">
        <v>1520</v>
      </c>
      <c r="C9" s="6224" t="s">
        <v>1568</v>
      </c>
      <c r="D9" s="5903"/>
      <c r="E9" s="5903"/>
      <c r="F9" s="5903"/>
      <c r="G9" s="5903"/>
      <c r="H9" s="5903"/>
      <c r="I9" s="5903"/>
      <c r="J9" s="2510"/>
      <c r="K9" s="2511"/>
      <c r="L9" s="2814" t="s">
        <v>5</v>
      </c>
      <c r="M9" s="2680">
        <f>SUM(M7+M8)</f>
        <v>142882</v>
      </c>
      <c r="N9" s="355"/>
      <c r="O9" s="355"/>
      <c r="P9" s="356"/>
      <c r="Q9" s="350"/>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row>
    <row r="10" spans="1:130">
      <c r="A10" s="1"/>
      <c r="B10" s="374" t="s">
        <v>1522</v>
      </c>
      <c r="C10" s="6224" t="s">
        <v>479</v>
      </c>
      <c r="D10" s="5903"/>
      <c r="E10" s="5903"/>
      <c r="F10" s="5903"/>
      <c r="G10" s="5903"/>
      <c r="H10" s="5903"/>
      <c r="I10" s="5903"/>
      <c r="J10" s="2510"/>
      <c r="K10" s="2511"/>
      <c r="L10" s="2814" t="s">
        <v>5</v>
      </c>
      <c r="M10" s="2680">
        <f>'New Tax Regime'!M40</f>
        <v>0</v>
      </c>
      <c r="N10" s="348"/>
      <c r="O10" s="348"/>
      <c r="P10" s="349"/>
      <c r="Q10" s="350"/>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row>
    <row r="11" spans="1:130">
      <c r="A11" s="1"/>
      <c r="B11" s="374" t="s">
        <v>1523</v>
      </c>
      <c r="C11" s="6224" t="s">
        <v>1569</v>
      </c>
      <c r="D11" s="5903"/>
      <c r="E11" s="5903"/>
      <c r="F11" s="5903"/>
      <c r="G11" s="5903"/>
      <c r="H11" s="5903"/>
      <c r="I11" s="5903"/>
      <c r="J11" s="2510"/>
      <c r="K11" s="2511"/>
      <c r="L11" s="2814" t="s">
        <v>5</v>
      </c>
      <c r="M11" s="2680">
        <f>SUM(M9-M10)</f>
        <v>142882</v>
      </c>
      <c r="N11" s="355"/>
      <c r="O11" s="355"/>
      <c r="P11" s="356"/>
      <c r="Q11" s="350"/>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row>
    <row r="12" spans="1:130">
      <c r="A12" s="1"/>
      <c r="B12" s="374" t="s">
        <v>1527</v>
      </c>
      <c r="C12" s="6224" t="s">
        <v>324</v>
      </c>
      <c r="D12" s="5903"/>
      <c r="E12" s="5903"/>
      <c r="F12" s="5903"/>
      <c r="G12" s="5903"/>
      <c r="H12" s="5903"/>
      <c r="I12" s="5903"/>
      <c r="J12" s="2510"/>
      <c r="K12" s="2511"/>
      <c r="L12" s="2814" t="s">
        <v>5</v>
      </c>
      <c r="M12" s="2680">
        <v>0</v>
      </c>
      <c r="N12" s="348"/>
      <c r="O12" s="348"/>
      <c r="P12" s="349"/>
      <c r="Q12" s="350"/>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row>
    <row r="13" spans="1:130">
      <c r="A13" s="1"/>
      <c r="B13" s="374"/>
      <c r="C13" s="6225" t="s">
        <v>325</v>
      </c>
      <c r="D13" s="6226"/>
      <c r="E13" s="6226"/>
      <c r="F13" s="6226"/>
      <c r="G13" s="6226"/>
      <c r="H13" s="6226"/>
      <c r="I13" s="6226"/>
      <c r="J13" s="6226"/>
      <c r="K13" s="2511"/>
      <c r="L13" s="2814" t="s">
        <v>5</v>
      </c>
      <c r="M13" s="2680">
        <f>'New Tax Regime'!M42</f>
        <v>194000</v>
      </c>
      <c r="N13" s="348"/>
      <c r="O13" s="348"/>
      <c r="P13" s="349"/>
      <c r="Q13" s="350"/>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row>
    <row r="14" spans="1:130">
      <c r="A14" s="1"/>
      <c r="B14" s="375" t="s">
        <v>1570</v>
      </c>
      <c r="C14" s="6201" t="str">
        <f>'New Tax Regime'!I50</f>
        <v xml:space="preserve">Tax  To be  Refundable </v>
      </c>
      <c r="D14" s="6202"/>
      <c r="E14" s="6202"/>
      <c r="F14" s="6202"/>
      <c r="G14" s="6202"/>
      <c r="H14" s="6202"/>
      <c r="I14" s="6202"/>
      <c r="J14" s="6202"/>
      <c r="K14" s="6203"/>
      <c r="L14" s="2814" t="s">
        <v>5</v>
      </c>
      <c r="M14" s="2681">
        <f>'New Tax Regime'!M50</f>
        <v>51118</v>
      </c>
      <c r="N14" s="355"/>
      <c r="O14" s="355"/>
      <c r="P14" s="357"/>
      <c r="Q14" s="350"/>
      <c r="R14" s="1"/>
      <c r="S14" s="1"/>
      <c r="T14" s="1"/>
      <c r="U14" s="358"/>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row>
    <row r="15" spans="1:130">
      <c r="A15" s="1"/>
      <c r="B15" s="2815"/>
      <c r="C15" s="2816"/>
      <c r="D15" s="2816"/>
      <c r="E15" s="2816"/>
      <c r="F15" s="2816"/>
      <c r="G15" s="2816"/>
      <c r="H15" s="2816"/>
      <c r="I15" s="2817"/>
      <c r="J15" s="2817"/>
      <c r="K15" s="2817"/>
      <c r="L15" s="2818"/>
      <c r="M15" s="2819"/>
      <c r="N15" s="355"/>
      <c r="O15" s="355"/>
      <c r="P15" s="357"/>
      <c r="Q15" s="350"/>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row>
    <row r="16" spans="1:130">
      <c r="A16" s="1"/>
      <c r="B16" s="111"/>
      <c r="C16" s="112"/>
      <c r="D16" s="112"/>
      <c r="E16" s="112"/>
      <c r="F16" s="112"/>
      <c r="G16" s="112"/>
      <c r="H16" s="112"/>
      <c r="I16" s="112"/>
      <c r="J16" s="112"/>
      <c r="K16" s="112"/>
      <c r="L16" s="112"/>
      <c r="M16" s="113"/>
      <c r="N16" s="359"/>
      <c r="O16" s="359"/>
      <c r="P16" s="349"/>
      <c r="Q16" s="350"/>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row>
    <row r="17" spans="1:130" ht="17.25">
      <c r="A17" s="1"/>
      <c r="B17" s="6208" t="s">
        <v>326</v>
      </c>
      <c r="C17" s="6209"/>
      <c r="D17" s="6209"/>
      <c r="E17" s="6209"/>
      <c r="F17" s="6209"/>
      <c r="G17" s="6209"/>
      <c r="H17" s="6209"/>
      <c r="I17" s="6209"/>
      <c r="J17" s="6209"/>
      <c r="K17" s="6209"/>
      <c r="L17" s="6209"/>
      <c r="M17" s="6210"/>
      <c r="N17" s="360"/>
      <c r="O17" s="360"/>
      <c r="P17" s="361"/>
      <c r="Q17" s="362"/>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row>
    <row r="18" spans="1:130">
      <c r="A18" s="1"/>
      <c r="B18" s="6211" t="s">
        <v>327</v>
      </c>
      <c r="C18" s="6212"/>
      <c r="D18" s="6212"/>
      <c r="E18" s="6212"/>
      <c r="F18" s="6212"/>
      <c r="G18" s="6212"/>
      <c r="H18" s="6212"/>
      <c r="I18" s="6212"/>
      <c r="J18" s="6212"/>
      <c r="K18" s="6212"/>
      <c r="L18" s="6212"/>
      <c r="M18" s="6213"/>
      <c r="N18" s="363"/>
      <c r="O18" s="363"/>
      <c r="P18" s="364"/>
      <c r="Q18" s="348"/>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row>
    <row r="19" spans="1:130">
      <c r="A19" s="1"/>
      <c r="B19" s="111"/>
      <c r="C19" s="112"/>
      <c r="D19" s="112"/>
      <c r="E19" s="112"/>
      <c r="F19" s="2820"/>
      <c r="G19" s="2820"/>
      <c r="H19" s="112"/>
      <c r="I19" s="112"/>
      <c r="J19" s="112"/>
      <c r="K19" s="112"/>
      <c r="L19" s="112"/>
      <c r="M19" s="113"/>
      <c r="N19" s="359"/>
      <c r="O19" s="2956"/>
      <c r="P19" s="2957"/>
      <c r="Q19" s="2958"/>
      <c r="R19" s="2959"/>
      <c r="S19" s="2959"/>
      <c r="T19" s="2959"/>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row>
    <row r="20" spans="1:130">
      <c r="A20" s="1"/>
      <c r="B20" s="2821" t="s">
        <v>328</v>
      </c>
      <c r="C20" s="6214" t="s">
        <v>329</v>
      </c>
      <c r="D20" s="6214"/>
      <c r="E20" s="2822" t="s">
        <v>330</v>
      </c>
      <c r="F20" s="6215" t="s">
        <v>331</v>
      </c>
      <c r="G20" s="6216"/>
      <c r="H20" s="2823" t="s">
        <v>6</v>
      </c>
      <c r="I20" s="2823" t="s">
        <v>332</v>
      </c>
      <c r="J20" s="2823" t="s">
        <v>333</v>
      </c>
      <c r="K20" s="2822" t="s">
        <v>334</v>
      </c>
      <c r="L20" s="6214" t="s">
        <v>335</v>
      </c>
      <c r="M20" s="6217"/>
      <c r="N20" s="365"/>
      <c r="O20" s="2960"/>
      <c r="P20" s="2960"/>
      <c r="Q20" s="2958"/>
      <c r="R20" s="2959"/>
      <c r="S20" s="2959"/>
      <c r="T20" s="2959"/>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row>
    <row r="21" spans="1:130">
      <c r="A21" s="1"/>
      <c r="B21" s="114" t="s">
        <v>336</v>
      </c>
      <c r="C21" s="6218" t="s">
        <v>337</v>
      </c>
      <c r="D21" s="6218"/>
      <c r="E21" s="2683" t="s">
        <v>337</v>
      </c>
      <c r="F21" s="6215" t="s">
        <v>338</v>
      </c>
      <c r="G21" s="6216"/>
      <c r="H21" s="2682" t="s">
        <v>339</v>
      </c>
      <c r="I21" s="2682" t="s">
        <v>340</v>
      </c>
      <c r="J21" s="2682" t="s">
        <v>341</v>
      </c>
      <c r="K21" s="2683" t="s">
        <v>342</v>
      </c>
      <c r="L21" s="6218" t="s">
        <v>343</v>
      </c>
      <c r="M21" s="6219"/>
      <c r="N21" s="365"/>
      <c r="O21" s="2960"/>
      <c r="P21" s="2960"/>
      <c r="Q21" s="2958"/>
      <c r="R21" s="2959"/>
      <c r="S21" s="2959"/>
      <c r="T21" s="2959"/>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row>
    <row r="22" spans="1:130">
      <c r="A22" s="1"/>
      <c r="B22" s="115"/>
      <c r="C22" s="6220"/>
      <c r="D22" s="6220"/>
      <c r="E22" s="2684"/>
      <c r="F22" s="6221" t="s">
        <v>337</v>
      </c>
      <c r="G22" s="6222"/>
      <c r="H22" s="2685" t="s">
        <v>337</v>
      </c>
      <c r="I22" s="2684"/>
      <c r="J22" s="2685" t="s">
        <v>344</v>
      </c>
      <c r="K22" s="2684" t="s">
        <v>339</v>
      </c>
      <c r="L22" s="6220" t="s">
        <v>345</v>
      </c>
      <c r="M22" s="6223"/>
      <c r="N22" s="365"/>
      <c r="O22" s="2960"/>
      <c r="P22" s="2960"/>
      <c r="Q22" s="2958"/>
      <c r="R22" s="2959"/>
      <c r="S22" s="2959"/>
      <c r="T22" s="2959"/>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row>
    <row r="23" spans="1:130">
      <c r="A23" s="1"/>
      <c r="B23" s="116">
        <v>1</v>
      </c>
      <c r="C23" s="6231"/>
      <c r="D23" s="6232"/>
      <c r="E23" s="2824"/>
      <c r="F23" s="6231"/>
      <c r="G23" s="6232"/>
      <c r="H23" s="2824"/>
      <c r="I23" s="2825"/>
      <c r="J23" s="2826"/>
      <c r="K23" s="2827"/>
      <c r="L23" s="6233"/>
      <c r="M23" s="6234"/>
      <c r="N23" s="363"/>
      <c r="O23" s="2961"/>
      <c r="P23" s="2962"/>
      <c r="Q23" s="2958"/>
      <c r="R23" s="2959"/>
      <c r="S23" s="2959"/>
      <c r="T23" s="2959"/>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row>
    <row r="24" spans="1:130">
      <c r="A24" s="1"/>
      <c r="B24" s="117">
        <v>2</v>
      </c>
      <c r="C24" s="6235"/>
      <c r="D24" s="6236"/>
      <c r="E24" s="2828"/>
      <c r="F24" s="6235"/>
      <c r="G24" s="6236"/>
      <c r="H24" s="2829"/>
      <c r="I24" s="2830"/>
      <c r="J24" s="2831"/>
      <c r="K24" s="2832"/>
      <c r="L24" s="6237"/>
      <c r="M24" s="6238"/>
      <c r="N24" s="363"/>
      <c r="O24" s="2963"/>
      <c r="P24" s="2962"/>
      <c r="Q24" s="2958"/>
      <c r="R24" s="2959"/>
      <c r="S24" s="2959"/>
      <c r="T24" s="2959"/>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row>
    <row r="25" spans="1:130">
      <c r="A25" s="1"/>
      <c r="B25" s="117">
        <v>3</v>
      </c>
      <c r="C25" s="6235"/>
      <c r="D25" s="6236"/>
      <c r="E25" s="2828"/>
      <c r="F25" s="6235"/>
      <c r="G25" s="6236"/>
      <c r="H25" s="2829"/>
      <c r="I25" s="2830"/>
      <c r="J25" s="2831"/>
      <c r="K25" s="2832"/>
      <c r="L25" s="6237"/>
      <c r="M25" s="6238"/>
      <c r="N25" s="363"/>
      <c r="O25" s="2963"/>
      <c r="P25" s="2962"/>
      <c r="Q25" s="2958"/>
      <c r="R25" s="2959"/>
      <c r="S25" s="2959"/>
      <c r="T25" s="2959"/>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row>
    <row r="26" spans="1:130">
      <c r="A26" s="1"/>
      <c r="B26" s="117">
        <v>4</v>
      </c>
      <c r="C26" s="6235"/>
      <c r="D26" s="6236"/>
      <c r="E26" s="2828"/>
      <c r="F26" s="6235"/>
      <c r="G26" s="6236"/>
      <c r="H26" s="2829"/>
      <c r="I26" s="2830"/>
      <c r="J26" s="2831"/>
      <c r="K26" s="2832"/>
      <c r="L26" s="6237"/>
      <c r="M26" s="6238"/>
      <c r="N26" s="363"/>
      <c r="O26" s="2963"/>
      <c r="P26" s="2962"/>
      <c r="Q26" s="2958"/>
      <c r="R26" s="2959"/>
      <c r="S26" s="2959"/>
      <c r="T26" s="2959"/>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row>
    <row r="27" spans="1:130">
      <c r="A27" s="1"/>
      <c r="B27" s="117">
        <v>5</v>
      </c>
      <c r="C27" s="6235"/>
      <c r="D27" s="6236"/>
      <c r="E27" s="2828"/>
      <c r="F27" s="6235"/>
      <c r="G27" s="6236"/>
      <c r="H27" s="2829"/>
      <c r="I27" s="2830"/>
      <c r="J27" s="2831"/>
      <c r="K27" s="2832"/>
      <c r="L27" s="6237"/>
      <c r="M27" s="6238"/>
      <c r="N27" s="363"/>
      <c r="O27" s="2963"/>
      <c r="P27" s="2962"/>
      <c r="Q27" s="2958"/>
      <c r="R27" s="2959"/>
      <c r="S27" s="2959"/>
      <c r="T27" s="2959"/>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row>
    <row r="28" spans="1:130">
      <c r="A28" s="1"/>
      <c r="B28" s="117">
        <v>6</v>
      </c>
      <c r="C28" s="6235"/>
      <c r="D28" s="6236"/>
      <c r="E28" s="2829"/>
      <c r="F28" s="6235"/>
      <c r="G28" s="6236"/>
      <c r="H28" s="2829"/>
      <c r="I28" s="2831"/>
      <c r="J28" s="2831"/>
      <c r="K28" s="2833"/>
      <c r="L28" s="6237"/>
      <c r="M28" s="6238"/>
      <c r="N28" s="363"/>
      <c r="O28" s="2963"/>
      <c r="P28" s="2962"/>
      <c r="Q28" s="2958"/>
      <c r="R28" s="2959"/>
      <c r="S28" s="2959"/>
      <c r="T28" s="2959"/>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row>
    <row r="29" spans="1:130">
      <c r="A29" s="1"/>
      <c r="B29" s="117">
        <v>7</v>
      </c>
      <c r="C29" s="6235"/>
      <c r="D29" s="6236"/>
      <c r="E29" s="2829"/>
      <c r="F29" s="6235"/>
      <c r="G29" s="6236"/>
      <c r="H29" s="2829"/>
      <c r="I29" s="2834"/>
      <c r="J29" s="2831"/>
      <c r="K29" s="2833"/>
      <c r="L29" s="6239"/>
      <c r="M29" s="6240"/>
      <c r="N29" s="363"/>
      <c r="O29" s="2961"/>
      <c r="P29" s="2962"/>
      <c r="Q29" s="2958"/>
      <c r="R29" s="2959"/>
      <c r="S29" s="2959"/>
      <c r="T29" s="2959"/>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row>
    <row r="30" spans="1:130">
      <c r="A30" s="1"/>
      <c r="B30" s="117">
        <v>8</v>
      </c>
      <c r="C30" s="6235"/>
      <c r="D30" s="6236"/>
      <c r="E30" s="2829"/>
      <c r="F30" s="6235"/>
      <c r="G30" s="6236"/>
      <c r="H30" s="2829"/>
      <c r="I30" s="2831"/>
      <c r="J30" s="2831"/>
      <c r="K30" s="2833"/>
      <c r="L30" s="6237"/>
      <c r="M30" s="6238"/>
      <c r="N30" s="363"/>
      <c r="O30" s="2964"/>
      <c r="P30" s="2962"/>
      <c r="Q30" s="2958"/>
      <c r="R30" s="2959"/>
      <c r="S30" s="2959"/>
      <c r="T30" s="2959"/>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row>
    <row r="31" spans="1:130">
      <c r="A31" s="1"/>
      <c r="B31" s="117">
        <v>9</v>
      </c>
      <c r="C31" s="6235"/>
      <c r="D31" s="6236"/>
      <c r="E31" s="2829"/>
      <c r="F31" s="6235"/>
      <c r="G31" s="6236"/>
      <c r="H31" s="2829"/>
      <c r="I31" s="2834"/>
      <c r="J31" s="2831"/>
      <c r="K31" s="2833"/>
      <c r="L31" s="6239"/>
      <c r="M31" s="6240"/>
      <c r="N31" s="363"/>
      <c r="O31" s="2965"/>
      <c r="P31" s="2962"/>
      <c r="Q31" s="2958"/>
      <c r="R31" s="2959"/>
      <c r="S31" s="2959"/>
      <c r="T31" s="2959"/>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row>
    <row r="32" spans="1:130">
      <c r="A32" s="1"/>
      <c r="B32" s="117">
        <v>10</v>
      </c>
      <c r="C32" s="6235"/>
      <c r="D32" s="6236"/>
      <c r="E32" s="2835"/>
      <c r="F32" s="2836"/>
      <c r="G32" s="2837"/>
      <c r="H32" s="2835"/>
      <c r="I32" s="2838"/>
      <c r="J32" s="2839"/>
      <c r="K32" s="2840"/>
      <c r="L32" s="6237"/>
      <c r="M32" s="6238"/>
      <c r="N32" s="363"/>
      <c r="O32" s="2965"/>
      <c r="P32" s="2962"/>
      <c r="Q32" s="2958"/>
      <c r="R32" s="2959"/>
      <c r="S32" s="2959"/>
      <c r="T32" s="2959"/>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row>
    <row r="33" spans="1:130">
      <c r="A33" s="1"/>
      <c r="B33" s="117">
        <v>11</v>
      </c>
      <c r="C33" s="6235"/>
      <c r="D33" s="6236"/>
      <c r="E33" s="2835"/>
      <c r="F33" s="2836"/>
      <c r="G33" s="2837"/>
      <c r="H33" s="2835"/>
      <c r="I33" s="2838"/>
      <c r="J33" s="2839"/>
      <c r="K33" s="2840"/>
      <c r="L33" s="6237"/>
      <c r="M33" s="6238"/>
      <c r="N33" s="363"/>
      <c r="O33" s="2965"/>
      <c r="P33" s="2962"/>
      <c r="Q33" s="2958"/>
      <c r="R33" s="2959"/>
      <c r="S33" s="2959"/>
      <c r="T33" s="2959"/>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row>
    <row r="34" spans="1:130">
      <c r="A34" s="1"/>
      <c r="B34" s="117">
        <v>12</v>
      </c>
      <c r="C34" s="6247"/>
      <c r="D34" s="6248"/>
      <c r="E34" s="2841"/>
      <c r="F34" s="6247"/>
      <c r="G34" s="6248"/>
      <c r="H34" s="2841"/>
      <c r="I34" s="2842"/>
      <c r="J34" s="2843"/>
      <c r="K34" s="2844"/>
      <c r="L34" s="6241"/>
      <c r="M34" s="6242"/>
      <c r="N34" s="363"/>
      <c r="O34" s="2965"/>
      <c r="P34" s="2962"/>
      <c r="Q34" s="2958"/>
      <c r="R34" s="2959"/>
      <c r="S34" s="2959"/>
      <c r="T34" s="2959"/>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row>
    <row r="35" spans="1:130">
      <c r="A35" s="1"/>
      <c r="B35" s="2845"/>
      <c r="C35" s="6243" t="s">
        <v>29</v>
      </c>
      <c r="D35" s="6244"/>
      <c r="E35" s="2846" t="s">
        <v>29</v>
      </c>
      <c r="F35" s="6243" t="s">
        <v>29</v>
      </c>
      <c r="G35" s="6244"/>
      <c r="H35" s="2847" t="s">
        <v>29</v>
      </c>
      <c r="I35" s="2848"/>
      <c r="J35" s="2849"/>
      <c r="K35" s="2848"/>
      <c r="L35" s="6245"/>
      <c r="M35" s="6246"/>
      <c r="N35" s="363"/>
      <c r="O35" s="2966"/>
      <c r="P35" s="2962"/>
      <c r="Q35" s="2958"/>
      <c r="R35" s="2959"/>
      <c r="S35" s="2959"/>
      <c r="T35" s="2959"/>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row>
    <row r="36" spans="1:130">
      <c r="A36" s="1"/>
      <c r="B36" s="592"/>
      <c r="C36" s="593"/>
      <c r="D36" s="593"/>
      <c r="E36" s="593"/>
      <c r="F36" s="593"/>
      <c r="G36" s="593"/>
      <c r="H36" s="593"/>
      <c r="I36" s="594"/>
      <c r="J36" s="593"/>
      <c r="K36" s="593"/>
      <c r="L36" s="593"/>
      <c r="M36" s="595"/>
      <c r="N36" s="359"/>
      <c r="O36" s="2967"/>
      <c r="P36" s="2957"/>
      <c r="Q36" s="2958"/>
      <c r="R36" s="2959"/>
      <c r="S36" s="2959"/>
      <c r="T36" s="2959"/>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row>
    <row r="37" spans="1:130" ht="18">
      <c r="A37" s="1"/>
      <c r="B37" s="596"/>
      <c r="C37" s="597"/>
      <c r="D37" s="598"/>
      <c r="E37" s="598"/>
      <c r="F37" s="599"/>
      <c r="G37" s="600" t="s">
        <v>177</v>
      </c>
      <c r="H37" s="6252" t="str">
        <f>CONCATENATE('Data Sheet-II'!L22)</f>
        <v>G.Hadasa Rani</v>
      </c>
      <c r="I37" s="6253"/>
      <c r="J37" s="6253"/>
      <c r="K37" s="6253"/>
      <c r="L37" s="6207" t="s">
        <v>346</v>
      </c>
      <c r="M37" s="6254"/>
      <c r="N37" s="366"/>
      <c r="O37" s="2968"/>
      <c r="P37" s="2968"/>
      <c r="Q37" s="2968"/>
      <c r="R37" s="2959"/>
      <c r="S37" s="2959"/>
      <c r="T37" s="2959"/>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row>
    <row r="38" spans="1:130" ht="18" customHeight="1">
      <c r="A38" s="1"/>
      <c r="B38" s="601" t="s">
        <v>347</v>
      </c>
      <c r="C38" s="602"/>
      <c r="D38" s="6255" t="str">
        <f>CONCATENATE('Data Sheet-II'!L23)</f>
        <v>Principal</v>
      </c>
      <c r="E38" s="6255"/>
      <c r="F38" s="6255"/>
      <c r="G38" s="6255"/>
      <c r="H38" s="6256" t="s">
        <v>348</v>
      </c>
      <c r="I38" s="6256"/>
      <c r="J38" s="6256"/>
      <c r="K38" s="6256"/>
      <c r="L38" s="6257" t="str">
        <f>CONCATENATE("Rs",":", 'New Tax Regime'!M41,"/-")</f>
        <v>Rs:142882/-</v>
      </c>
      <c r="M38" s="6258"/>
      <c r="N38" s="367"/>
      <c r="O38" s="2969"/>
      <c r="P38" s="2970"/>
      <c r="Q38" s="2971"/>
      <c r="R38" s="2959"/>
      <c r="S38" s="2959"/>
      <c r="T38" s="2959"/>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row>
    <row r="39" spans="1:130" ht="16.5">
      <c r="A39" s="1"/>
      <c r="B39" s="6259" t="s">
        <v>349</v>
      </c>
      <c r="C39" s="6260"/>
      <c r="D39" s="6260"/>
      <c r="E39" s="6260"/>
      <c r="F39" s="6261" t="str">
        <f>'converts -II'!B2</f>
        <v>One Lakhs Forty Two Thousand Eight Hundred and Eighty Two  Rupees Only</v>
      </c>
      <c r="G39" s="6261"/>
      <c r="H39" s="6261"/>
      <c r="I39" s="6261"/>
      <c r="J39" s="6261"/>
      <c r="K39" s="6261"/>
      <c r="L39" s="6261"/>
      <c r="M39" s="6262"/>
      <c r="N39" s="368"/>
      <c r="O39" s="2972"/>
      <c r="P39" s="2973"/>
      <c r="Q39" s="2974"/>
      <c r="R39" s="2959"/>
      <c r="S39" s="2959"/>
      <c r="T39" s="2959"/>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row>
    <row r="40" spans="1:130">
      <c r="A40" s="1"/>
      <c r="B40" s="6249" t="s">
        <v>350</v>
      </c>
      <c r="C40" s="6250"/>
      <c r="D40" s="6250"/>
      <c r="E40" s="6250"/>
      <c r="F40" s="6250"/>
      <c r="G40" s="6250"/>
      <c r="H40" s="6250"/>
      <c r="I40" s="6250"/>
      <c r="J40" s="6250"/>
      <c r="K40" s="6250"/>
      <c r="L40" s="6250"/>
      <c r="M40" s="6251"/>
      <c r="N40" s="369"/>
      <c r="O40" s="2975"/>
      <c r="P40" s="2976"/>
      <c r="Q40" s="2971"/>
      <c r="R40" s="2959"/>
      <c r="S40" s="2959"/>
      <c r="T40" s="2959"/>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row>
    <row r="41" spans="1:130">
      <c r="A41" s="1"/>
      <c r="B41" s="6249"/>
      <c r="C41" s="6250"/>
      <c r="D41" s="6250"/>
      <c r="E41" s="6250"/>
      <c r="F41" s="6250"/>
      <c r="G41" s="6250"/>
      <c r="H41" s="6250"/>
      <c r="I41" s="6250"/>
      <c r="J41" s="6250"/>
      <c r="K41" s="6250"/>
      <c r="L41" s="6250"/>
      <c r="M41" s="6251"/>
      <c r="N41" s="369"/>
      <c r="O41" s="2977"/>
      <c r="P41" s="2978"/>
      <c r="Q41" s="2978"/>
      <c r="R41" s="2959"/>
      <c r="S41" s="2959"/>
      <c r="T41" s="2959"/>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row>
    <row r="42" spans="1:130">
      <c r="A42" s="1"/>
      <c r="B42" s="6249"/>
      <c r="C42" s="6250"/>
      <c r="D42" s="6250"/>
      <c r="E42" s="6250"/>
      <c r="F42" s="6250"/>
      <c r="G42" s="6250"/>
      <c r="H42" s="6250"/>
      <c r="I42" s="6250"/>
      <c r="J42" s="6250"/>
      <c r="K42" s="6250"/>
      <c r="L42" s="6250"/>
      <c r="M42" s="6251"/>
      <c r="N42" s="370"/>
      <c r="O42" s="2979"/>
      <c r="P42" s="2980"/>
      <c r="Q42" s="2981"/>
      <c r="R42" s="2959"/>
      <c r="S42" s="2959"/>
      <c r="T42" s="2959"/>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row>
    <row r="43" spans="1:130">
      <c r="A43" s="1"/>
      <c r="B43" s="592"/>
      <c r="C43" s="593"/>
      <c r="D43" s="593"/>
      <c r="E43" s="593"/>
      <c r="F43" s="593"/>
      <c r="G43" s="593"/>
      <c r="H43" s="593"/>
      <c r="I43" s="593"/>
      <c r="J43" s="593"/>
      <c r="K43" s="593"/>
      <c r="L43" s="593"/>
      <c r="M43" s="595"/>
      <c r="N43" s="371"/>
      <c r="O43" s="2982"/>
      <c r="P43" s="2983"/>
      <c r="Q43" s="2958"/>
      <c r="R43" s="2959"/>
      <c r="S43" s="2959"/>
      <c r="T43" s="2959"/>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row>
    <row r="44" spans="1:130">
      <c r="A44" s="1"/>
      <c r="B44" s="603"/>
      <c r="C44" s="529"/>
      <c r="D44" s="529"/>
      <c r="E44" s="529"/>
      <c r="F44" s="529"/>
      <c r="G44" s="529"/>
      <c r="H44" s="604" t="s">
        <v>351</v>
      </c>
      <c r="I44" s="529"/>
      <c r="J44" s="529"/>
      <c r="K44" s="529"/>
      <c r="L44" s="529"/>
      <c r="M44" s="605"/>
      <c r="N44" s="371"/>
      <c r="O44" s="2982"/>
      <c r="P44" s="2983"/>
      <c r="Q44" s="2971"/>
      <c r="R44" s="2959"/>
      <c r="S44" s="2959"/>
      <c r="T44" s="2959"/>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row>
    <row r="45" spans="1:130">
      <c r="A45" s="1"/>
      <c r="B45" s="603"/>
      <c r="C45" s="529"/>
      <c r="D45" s="529"/>
      <c r="E45" s="529"/>
      <c r="F45" s="529"/>
      <c r="G45" s="529"/>
      <c r="H45" s="606"/>
      <c r="I45" s="529"/>
      <c r="J45" s="529"/>
      <c r="K45" s="529"/>
      <c r="L45" s="529"/>
      <c r="M45" s="605"/>
      <c r="N45" s="371"/>
      <c r="O45" s="2982"/>
      <c r="P45" s="2983"/>
      <c r="Q45" s="2971"/>
      <c r="R45" s="2959"/>
      <c r="S45" s="2959"/>
      <c r="T45" s="2959"/>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row>
    <row r="46" spans="1:130" ht="15.75">
      <c r="A46" s="1"/>
      <c r="B46" s="6206" t="s">
        <v>178</v>
      </c>
      <c r="C46" s="6207"/>
      <c r="D46" s="6204" t="str">
        <f>CONCATENATE('Data Sheet-II'!L32)</f>
        <v>Kodad</v>
      </c>
      <c r="E46" s="6204"/>
      <c r="F46" s="529"/>
      <c r="G46" s="529"/>
      <c r="H46" s="604" t="s">
        <v>352</v>
      </c>
      <c r="I46" s="529"/>
      <c r="J46" s="529"/>
      <c r="K46" s="529"/>
      <c r="L46" s="529"/>
      <c r="M46" s="605"/>
      <c r="N46" s="371"/>
      <c r="O46" s="2982"/>
      <c r="P46" s="2983"/>
      <c r="Q46" s="2971"/>
      <c r="R46" s="2959"/>
      <c r="S46" s="2959"/>
      <c r="T46" s="2959"/>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row>
    <row r="47" spans="1:130" ht="15.75">
      <c r="A47" s="1"/>
      <c r="B47" s="6206" t="s">
        <v>353</v>
      </c>
      <c r="C47" s="6207"/>
      <c r="D47" s="6205">
        <f ca="1">TODAY()</f>
        <v>46059</v>
      </c>
      <c r="E47" s="6205"/>
      <c r="F47" s="607"/>
      <c r="G47" s="607"/>
      <c r="H47" s="6207" t="s">
        <v>547</v>
      </c>
      <c r="I47" s="6207"/>
      <c r="J47" s="608" t="str">
        <f>CONCATENATE('Data Sheet-II'!L22)</f>
        <v>G.Hadasa Rani</v>
      </c>
      <c r="K47" s="529"/>
      <c r="L47" s="529"/>
      <c r="M47" s="609"/>
      <c r="N47" s="372"/>
      <c r="O47" s="2984"/>
      <c r="P47" s="2975"/>
      <c r="Q47" s="2981"/>
      <c r="R47" s="2959"/>
      <c r="S47" s="2959"/>
      <c r="T47" s="2959"/>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row>
    <row r="48" spans="1:130" ht="15.75" customHeight="1">
      <c r="A48" s="1"/>
      <c r="B48" s="603"/>
      <c r="C48" s="529"/>
      <c r="D48" s="529"/>
      <c r="E48" s="529"/>
      <c r="F48" s="610"/>
      <c r="G48" s="610"/>
      <c r="H48" s="6207" t="s">
        <v>548</v>
      </c>
      <c r="I48" s="6207"/>
      <c r="J48" s="529" t="str">
        <f>CONCATENATE('Data Sheet-II'!L23)</f>
        <v>Principal</v>
      </c>
      <c r="K48" s="529"/>
      <c r="L48" s="529"/>
      <c r="M48" s="609"/>
      <c r="N48" s="372"/>
      <c r="O48" s="2984"/>
      <c r="P48" s="2975"/>
      <c r="Q48" s="2981"/>
      <c r="R48" s="2959"/>
      <c r="S48" s="2959"/>
      <c r="T48" s="2959"/>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row>
    <row r="49" spans="1:130">
      <c r="A49" s="1"/>
      <c r="B49" s="592"/>
      <c r="C49" s="593"/>
      <c r="D49" s="593"/>
      <c r="E49" s="593"/>
      <c r="F49" s="593"/>
      <c r="G49" s="593"/>
      <c r="H49" s="593"/>
      <c r="I49" s="593"/>
      <c r="J49" s="593"/>
      <c r="K49" s="593"/>
      <c r="L49" s="593"/>
      <c r="M49" s="595"/>
      <c r="N49" s="359"/>
      <c r="O49" s="2956"/>
      <c r="P49" s="2957"/>
      <c r="Q49" s="2958"/>
      <c r="R49" s="2959"/>
      <c r="S49" s="2959"/>
      <c r="T49" s="2959"/>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row>
    <row r="50" spans="1:130">
      <c r="A50" s="1"/>
      <c r="B50" s="592"/>
      <c r="C50" s="593"/>
      <c r="D50" s="593"/>
      <c r="E50" s="593"/>
      <c r="F50" s="593"/>
      <c r="G50" s="593"/>
      <c r="H50" s="593"/>
      <c r="I50" s="593"/>
      <c r="J50" s="593"/>
      <c r="K50" s="593"/>
      <c r="L50" s="593"/>
      <c r="M50" s="595"/>
      <c r="N50" s="359"/>
      <c r="O50" s="2956"/>
      <c r="P50" s="2957"/>
      <c r="Q50" s="2958"/>
      <c r="R50" s="2959"/>
      <c r="S50" s="2959"/>
      <c r="T50" s="2959"/>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row>
    <row r="51" spans="1:130">
      <c r="A51" s="1"/>
      <c r="B51" s="592"/>
      <c r="C51" s="593"/>
      <c r="D51" s="593"/>
      <c r="E51" s="593"/>
      <c r="F51" s="593"/>
      <c r="G51" s="593"/>
      <c r="H51" s="593"/>
      <c r="I51" s="593"/>
      <c r="J51" s="593"/>
      <c r="K51" s="593"/>
      <c r="L51" s="593"/>
      <c r="M51" s="595"/>
      <c r="N51" s="359"/>
      <c r="O51" s="2956"/>
      <c r="P51" s="2957"/>
      <c r="Q51" s="2958"/>
      <c r="R51" s="2959"/>
      <c r="S51" s="2959"/>
      <c r="T51" s="2959"/>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row>
    <row r="52" spans="1:130">
      <c r="A52" s="1"/>
      <c r="B52" s="592"/>
      <c r="C52" s="593"/>
      <c r="D52" s="593"/>
      <c r="E52" s="593"/>
      <c r="F52" s="593"/>
      <c r="G52" s="593"/>
      <c r="H52" s="593"/>
      <c r="I52" s="593"/>
      <c r="J52" s="593"/>
      <c r="K52" s="593"/>
      <c r="L52" s="593"/>
      <c r="M52" s="595"/>
      <c r="N52" s="359"/>
      <c r="O52" s="2956"/>
      <c r="P52" s="2957"/>
      <c r="Q52" s="2958"/>
      <c r="R52" s="2959"/>
      <c r="S52" s="2959"/>
      <c r="T52" s="2959"/>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row>
    <row r="53" spans="1:130" ht="14.25" customHeight="1" thickBot="1">
      <c r="A53" s="1"/>
      <c r="B53" s="611"/>
      <c r="C53" s="612"/>
      <c r="D53" s="612"/>
      <c r="E53" s="612"/>
      <c r="F53" s="612"/>
      <c r="G53" s="612"/>
      <c r="H53" s="612"/>
      <c r="I53" s="612"/>
      <c r="J53" s="612"/>
      <c r="K53" s="612"/>
      <c r="L53" s="612"/>
      <c r="M53" s="613"/>
      <c r="N53" s="359"/>
      <c r="O53" s="2956"/>
      <c r="P53" s="2957"/>
      <c r="Q53" s="2958"/>
      <c r="R53" s="2959"/>
      <c r="S53" s="2959"/>
      <c r="T53" s="2959"/>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row>
    <row r="54" spans="1:130" ht="16.5" hidden="1" thickTop="1" thickBot="1">
      <c r="A54" s="1"/>
      <c r="B54" s="118"/>
      <c r="C54" s="119"/>
      <c r="D54" s="119"/>
      <c r="E54" s="119"/>
      <c r="F54" s="119"/>
      <c r="G54" s="119"/>
      <c r="H54" s="119"/>
      <c r="I54" s="119"/>
      <c r="J54" s="119"/>
      <c r="K54" s="119"/>
      <c r="L54" s="119"/>
      <c r="M54" s="120"/>
      <c r="N54" s="359"/>
      <c r="O54" s="2956"/>
      <c r="P54" s="2985"/>
      <c r="Q54" s="2958"/>
      <c r="R54" s="2959"/>
      <c r="S54" s="2959"/>
      <c r="T54" s="2959"/>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row>
    <row r="55" spans="1:130" ht="21.75" customHeight="1" thickTop="1">
      <c r="A55" s="1"/>
      <c r="B55" s="1"/>
      <c r="C55" s="1"/>
      <c r="D55" s="1"/>
      <c r="E55" s="1"/>
      <c r="F55" s="1"/>
      <c r="G55" s="1"/>
      <c r="H55" s="1"/>
      <c r="I55" s="1"/>
      <c r="J55" s="1"/>
      <c r="K55" s="1"/>
      <c r="L55" s="1"/>
      <c r="M55" s="1"/>
      <c r="N55" s="1"/>
      <c r="O55" s="2959"/>
      <c r="P55" s="2959"/>
      <c r="Q55" s="2959"/>
      <c r="R55" s="2959"/>
      <c r="S55" s="2959"/>
      <c r="T55" s="2959"/>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row>
    <row r="56" spans="1:130" hidden="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row>
    <row r="57" spans="1:130" hidden="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row>
    <row r="58" spans="1:130" hidden="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row>
    <row r="59" spans="1:130" hidden="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row>
    <row r="60" spans="1:130" hidden="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row>
    <row r="61" spans="1:130" hidden="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row>
    <row r="62" spans="1:130" hidden="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row>
    <row r="63" spans="1:130" hidden="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row>
    <row r="64" spans="1:130" hidden="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row>
    <row r="65" spans="1:130" hidden="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row>
    <row r="66" spans="1:130" hidden="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row>
    <row r="67" spans="1:130" hidden="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row>
    <row r="68" spans="1:130" hidden="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row>
    <row r="69" spans="1:130" hidden="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row>
    <row r="70" spans="1:130" hidden="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row>
    <row r="71" spans="1:130" hidden="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row>
    <row r="72" spans="1:130" hidden="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row>
    <row r="73" spans="1:130" hidden="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row>
    <row r="74" spans="1:130" hidden="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row>
    <row r="75" spans="1:130" hidden="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row>
    <row r="76" spans="1:130" hidden="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row>
    <row r="77" spans="1:130" hidden="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row>
    <row r="78" spans="1:130" hidden="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row>
    <row r="79" spans="1:130" hidden="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row>
    <row r="80" spans="1:130" hidden="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row>
    <row r="81" spans="1:130" hidden="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row>
    <row r="82" spans="1:130" hidden="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row>
    <row r="83" spans="1:130" hidden="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row>
    <row r="84" spans="1:130" hidden="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row>
    <row r="85" spans="1:130" hidden="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row>
    <row r="86" spans="1:130" hidden="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row>
    <row r="87" spans="1:130" hidden="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row>
    <row r="88" spans="1:130" hidden="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row>
    <row r="89" spans="1:130" hidden="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row>
    <row r="90" spans="1:130" hidden="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row>
    <row r="91" spans="1:130" hidden="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row>
    <row r="92" spans="1:130" hidden="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row>
    <row r="93" spans="1:130" hidden="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row>
    <row r="94" spans="1:130" hidden="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row>
    <row r="95" spans="1:130" hidden="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row>
    <row r="96" spans="1:130" hidden="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row>
    <row r="97" spans="1:130" hidden="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row>
    <row r="98" spans="1:130" hidden="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row>
    <row r="99" spans="1:130" hidden="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row>
    <row r="100" spans="1:130" hidden="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row>
    <row r="101" spans="1:130" hidden="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row>
    <row r="102" spans="1:130" hidden="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row>
    <row r="103" spans="1:130" hidden="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row>
    <row r="104" spans="1:130" hidden="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row>
    <row r="105" spans="1:130" hidden="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row>
    <row r="106" spans="1:130" hidden="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row>
    <row r="107" spans="1:130" hidden="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row>
    <row r="108" spans="1:130" hidden="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row>
    <row r="109" spans="1:130" hidden="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row>
    <row r="110" spans="1:130" hidden="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row>
    <row r="111" spans="1:130" hidden="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row>
    <row r="112" spans="1:130" hidden="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row>
    <row r="113" spans="1:130" hidden="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row>
    <row r="114" spans="1:130" hidden="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row>
    <row r="115" spans="1:130" hidden="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row>
    <row r="116" spans="1:130" hidden="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row>
    <row r="117" spans="1:130" hidden="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row>
    <row r="118" spans="1:130" hidden="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row>
    <row r="119" spans="1:130" hidden="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row>
    <row r="120" spans="1:130" hidden="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row>
    <row r="121" spans="1:130" hidden="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row>
    <row r="122" spans="1:130" hidden="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row>
    <row r="123" spans="1:130" hidden="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row>
    <row r="124" spans="1:130" hidden="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row>
    <row r="125" spans="1:130" hidden="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row>
    <row r="126" spans="1:130" hidden="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row>
    <row r="127" spans="1:130" hidden="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row>
    <row r="128" spans="1:130" hidden="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row>
    <row r="129" spans="1:130" hidden="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row>
    <row r="130" spans="1:130" hidden="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row>
    <row r="131" spans="1:130" hidden="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row>
    <row r="132" spans="1:130" hidden="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row>
    <row r="133" spans="1:130" hidden="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row>
    <row r="134" spans="1:130" hidden="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row>
    <row r="135" spans="1:130" hidden="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row>
    <row r="136" spans="1:130" hidden="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row>
    <row r="137" spans="1:130" hidden="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row>
    <row r="138" spans="1:130" hidden="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row>
    <row r="139" spans="1:130" hidden="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row>
    <row r="140" spans="1:130" hidden="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row>
    <row r="141" spans="1:130" hidden="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row>
    <row r="142" spans="1:130" hidden="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row>
    <row r="143" spans="1:130" hidden="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row>
    <row r="144" spans="1:130" hidden="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row>
    <row r="145" spans="1:130" hidden="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row>
    <row r="146" spans="1:130" hidden="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row>
    <row r="147" spans="1:130" hidden="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row>
    <row r="148" spans="1:130" hidden="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row>
    <row r="149" spans="1:130" hidden="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row>
    <row r="150" spans="1:130" hidden="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row>
    <row r="151" spans="1:130" hidden="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row>
    <row r="152" spans="1:130" hidden="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row>
    <row r="153" spans="1:130" hidden="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row>
    <row r="154" spans="1:130" hidden="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row>
    <row r="155" spans="1:130" hidden="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row>
    <row r="156" spans="1:130" hidden="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row>
    <row r="157" spans="1:130" hidden="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row>
    <row r="158" spans="1:130" hidden="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row>
    <row r="159" spans="1:130" hidden="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row>
    <row r="160" spans="1:130" hidden="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row>
    <row r="161" spans="1:130" hidden="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row>
    <row r="162" spans="1:130" hidden="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row>
    <row r="163" spans="1:130" hidden="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row>
    <row r="164" spans="1:130" hidden="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row>
    <row r="165" spans="1:130" hidden="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row>
    <row r="166" spans="1:130" hidden="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row>
    <row r="167" spans="1:130" hidden="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row>
    <row r="168" spans="1:130" hidden="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row>
    <row r="169" spans="1:130" hidden="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row>
    <row r="170" spans="1:130" hidden="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row>
    <row r="171" spans="1:130" hidden="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row>
    <row r="172" spans="1:130" hidden="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row>
    <row r="173" spans="1:130" hidden="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row>
    <row r="174" spans="1:130" hidden="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row>
    <row r="175" spans="1:130" hidden="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row>
    <row r="176" spans="1:130" hidden="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row>
    <row r="177" spans="1:130" hidden="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row>
    <row r="178" spans="1:130" hidden="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row>
    <row r="179" spans="1:130" hidden="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row>
    <row r="180" spans="1:130" hidden="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row>
    <row r="181" spans="1:130" hidden="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row>
    <row r="182" spans="1:130" hidden="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row>
    <row r="183" spans="1:130" hidden="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row>
    <row r="184" spans="1:130" hidden="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row>
    <row r="185" spans="1:130" hidden="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row>
    <row r="186" spans="1:130" hidden="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row>
    <row r="187" spans="1:130" hidden="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row>
    <row r="188" spans="1:130" hidden="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row>
    <row r="189" spans="1:130" hidden="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row>
    <row r="190" spans="1:130" hidden="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row>
    <row r="191" spans="1:130" hidden="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row>
    <row r="192" spans="1:130" hidden="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row>
    <row r="193" spans="1:130" hidden="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row>
    <row r="194" spans="1:130" hidden="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row>
    <row r="195" spans="1:130" hidden="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row>
    <row r="196" spans="1:130" hidden="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row>
    <row r="197" spans="1:130" hidden="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row>
    <row r="198" spans="1:130" hidden="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row>
    <row r="199" spans="1:130" hidden="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row>
    <row r="200" spans="1:130" hidden="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row>
  </sheetData>
  <sheetProtection algorithmName="SHA-512" hashValue="K+C3SOyhMWo+/shQzOH/mrWLjYIenI3gtKCE6WOUpbivg9g+poXSVKH0BES5UjTRlDCg4Xa3zcG7lzx6kyHNaA==" saltValue="f3Xw3HEHVsCx64ZBQ48w1w==" spinCount="100000" sheet="1" formatColumns="0" formatRows="0" selectLockedCells="1"/>
  <protectedRanges>
    <protectedRange sqref="D46:G47" name="Range3"/>
    <protectedRange sqref="C23:M35" name="Range1"/>
    <protectedRange sqref="D38 F37:H37 B37:C39 J37:M37 H38 G38:G39 D39:F39 H39:M39 J38:K38" name="Range2"/>
    <protectedRange sqref="D46:E47" name="Range4"/>
    <protectedRange sqref="L38:M38" name="Range2_1"/>
  </protectedRanges>
  <mergeCells count="74">
    <mergeCell ref="C8:I8"/>
    <mergeCell ref="C4:I4"/>
    <mergeCell ref="C5:I5"/>
    <mergeCell ref="C6:E6"/>
    <mergeCell ref="F6:J6"/>
    <mergeCell ref="C7:K7"/>
    <mergeCell ref="C21:D21"/>
    <mergeCell ref="F21:G21"/>
    <mergeCell ref="L21:M21"/>
    <mergeCell ref="C9:I9"/>
    <mergeCell ref="C10:I10"/>
    <mergeCell ref="C11:I11"/>
    <mergeCell ref="C12:I12"/>
    <mergeCell ref="C13:J13"/>
    <mergeCell ref="C14:K14"/>
    <mergeCell ref="B17:M17"/>
    <mergeCell ref="B18:M18"/>
    <mergeCell ref="C20:D20"/>
    <mergeCell ref="F20:G20"/>
    <mergeCell ref="L20:M20"/>
    <mergeCell ref="C22:D22"/>
    <mergeCell ref="F22:G22"/>
    <mergeCell ref="L22:M22"/>
    <mergeCell ref="C23:D23"/>
    <mergeCell ref="F23:G23"/>
    <mergeCell ref="L23:M23"/>
    <mergeCell ref="C24:D24"/>
    <mergeCell ref="F24:G24"/>
    <mergeCell ref="L24:M24"/>
    <mergeCell ref="C25:D25"/>
    <mergeCell ref="F25:G25"/>
    <mergeCell ref="L25:M25"/>
    <mergeCell ref="C26:D26"/>
    <mergeCell ref="F26:G26"/>
    <mergeCell ref="L26:M26"/>
    <mergeCell ref="C27:D27"/>
    <mergeCell ref="F27:G27"/>
    <mergeCell ref="L27:M27"/>
    <mergeCell ref="C28:D28"/>
    <mergeCell ref="F28:G28"/>
    <mergeCell ref="L28:M28"/>
    <mergeCell ref="C29:D29"/>
    <mergeCell ref="F29:G29"/>
    <mergeCell ref="L29:M29"/>
    <mergeCell ref="C30:D30"/>
    <mergeCell ref="F30:G30"/>
    <mergeCell ref="L30:M30"/>
    <mergeCell ref="C31:D31"/>
    <mergeCell ref="F31:G31"/>
    <mergeCell ref="L31:M31"/>
    <mergeCell ref="D38:G38"/>
    <mergeCell ref="H38:K38"/>
    <mergeCell ref="L38:M38"/>
    <mergeCell ref="C32:D32"/>
    <mergeCell ref="L32:M32"/>
    <mergeCell ref="C33:D33"/>
    <mergeCell ref="L33:M33"/>
    <mergeCell ref="C34:D34"/>
    <mergeCell ref="F34:G34"/>
    <mergeCell ref="L34:M34"/>
    <mergeCell ref="C35:D35"/>
    <mergeCell ref="F35:G35"/>
    <mergeCell ref="L35:M35"/>
    <mergeCell ref="H37:K37"/>
    <mergeCell ref="L37:M37"/>
    <mergeCell ref="H48:I48"/>
    <mergeCell ref="B39:E39"/>
    <mergeCell ref="F39:M39"/>
    <mergeCell ref="B40:M42"/>
    <mergeCell ref="B46:C46"/>
    <mergeCell ref="D46:E46"/>
    <mergeCell ref="B47:C47"/>
    <mergeCell ref="D47:E47"/>
    <mergeCell ref="H47:I47"/>
  </mergeCells>
  <pageMargins left="0.7" right="0.7" top="0.75" bottom="0.75" header="0.3" footer="0.3"/>
  <pageSetup paperSize="9" scale="8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HB251"/>
  <sheetViews>
    <sheetView topLeftCell="A16" workbookViewId="0">
      <selection activeCell="K142" sqref="K142"/>
    </sheetView>
  </sheetViews>
  <sheetFormatPr defaultRowHeight="15"/>
  <cols>
    <col min="1" max="1" width="5.5703125" customWidth="1"/>
    <col min="2" max="2" width="4.5703125" customWidth="1"/>
    <col min="5" max="5" width="5" customWidth="1"/>
    <col min="7" max="7" width="8.5703125" customWidth="1"/>
    <col min="9" max="9" width="10.7109375" customWidth="1"/>
    <col min="10" max="10" width="17" customWidth="1"/>
    <col min="11" max="11" width="19" customWidth="1"/>
    <col min="12" max="12" width="5.5703125" customWidth="1"/>
    <col min="17" max="17" width="8" customWidth="1"/>
    <col min="21" max="21" width="22.5703125" customWidth="1"/>
    <col min="22" max="22" width="20.28515625" customWidth="1"/>
    <col min="26" max="26" width="4.7109375" customWidth="1"/>
    <col min="27" max="27" width="5.28515625" customWidth="1"/>
    <col min="33" max="33" width="11.140625" customWidth="1"/>
    <col min="35" max="35" width="23.140625" customWidth="1"/>
    <col min="36" max="36" width="9.85546875" customWidth="1"/>
    <col min="45" max="45" width="9.85546875" customWidth="1"/>
    <col min="46" max="46" width="20.85546875" customWidth="1"/>
    <col min="49" max="49" width="31" customWidth="1"/>
    <col min="51" max="51" width="10.5703125" customWidth="1"/>
    <col min="53" max="53" width="4.85546875" customWidth="1"/>
    <col min="54" max="55" width="5.28515625" customWidth="1"/>
    <col min="59" max="59" width="11.28515625" customWidth="1"/>
    <col min="60" max="60" width="11" customWidth="1"/>
    <col min="62" max="62" width="12.28515625" customWidth="1"/>
    <col min="63" max="63" width="13" customWidth="1"/>
    <col min="73" max="73" width="25.42578125" customWidth="1"/>
    <col min="85" max="85" width="8.5703125" customWidth="1"/>
    <col min="86" max="86" width="13.7109375" customWidth="1"/>
    <col min="88" max="88" width="14.28515625" customWidth="1"/>
    <col min="90" max="90" width="12.85546875" customWidth="1"/>
    <col min="101" max="101" width="21" customWidth="1"/>
    <col min="103" max="103" width="9" customWidth="1"/>
    <col min="144" max="144" width="20.5703125" customWidth="1"/>
    <col min="155" max="155" width="11.140625" customWidth="1"/>
    <col min="169" max="169" width="20.5703125" customWidth="1"/>
    <col min="194" max="194" width="20.5703125" customWidth="1"/>
  </cols>
  <sheetData>
    <row r="1" spans="1:210">
      <c r="A1" s="1293"/>
      <c r="B1" s="1226"/>
      <c r="C1" s="1226"/>
      <c r="D1" s="1226"/>
      <c r="E1" s="1226"/>
      <c r="F1" s="1226"/>
      <c r="G1" s="1226"/>
      <c r="H1" s="1226"/>
      <c r="I1" s="1226"/>
      <c r="J1" s="1226"/>
      <c r="K1" s="1226"/>
      <c r="L1" s="1226"/>
      <c r="M1" s="1226"/>
      <c r="N1" s="1226"/>
      <c r="O1" s="1226"/>
      <c r="P1" s="1226"/>
      <c r="Q1" s="1226"/>
      <c r="R1" s="1226"/>
      <c r="S1" s="1226"/>
      <c r="T1" s="1226"/>
      <c r="U1" s="1226"/>
      <c r="V1" s="1226"/>
      <c r="W1" s="1226"/>
      <c r="X1" s="1226"/>
      <c r="Y1" s="1226"/>
      <c r="Z1" s="1294"/>
      <c r="AA1" s="1226"/>
      <c r="AB1" s="1226"/>
      <c r="AC1" s="1226"/>
      <c r="AD1" s="1226"/>
      <c r="AE1" s="1226"/>
      <c r="AF1" s="1226"/>
      <c r="AG1" s="1226"/>
      <c r="AH1" s="1226"/>
      <c r="AI1" s="1226"/>
      <c r="AJ1" s="1226"/>
      <c r="AK1" s="1226"/>
      <c r="AL1" s="1226"/>
      <c r="AM1" s="1226"/>
      <c r="AN1" s="1226"/>
      <c r="AO1" s="1226"/>
      <c r="AP1" s="1226"/>
      <c r="AQ1" s="1226"/>
      <c r="AR1" s="1226"/>
      <c r="AS1" s="1226"/>
      <c r="AT1" s="1226"/>
      <c r="AU1" s="1226"/>
      <c r="AV1" s="1226"/>
      <c r="AW1" s="1226"/>
      <c r="AX1" s="1226"/>
      <c r="AY1" s="1226"/>
      <c r="AZ1" s="1226"/>
      <c r="BA1" s="1294"/>
      <c r="BB1" s="1226"/>
      <c r="BC1" s="1226"/>
      <c r="BD1" s="1226"/>
      <c r="BE1" s="1226"/>
      <c r="BF1" s="1226"/>
      <c r="BG1" s="1226"/>
      <c r="BH1" s="1226"/>
      <c r="BI1" s="1226"/>
      <c r="BJ1" s="1226"/>
      <c r="BK1" s="1226"/>
      <c r="BL1" s="1226"/>
      <c r="BM1" s="1226"/>
      <c r="BN1" s="1226"/>
      <c r="BO1" s="1226"/>
      <c r="BP1" s="1226"/>
      <c r="BQ1" s="1226"/>
      <c r="BR1" s="1226"/>
      <c r="BS1" s="1226"/>
      <c r="BT1" s="1226"/>
      <c r="BU1" s="1226"/>
      <c r="BV1" s="1226"/>
      <c r="BW1" s="1226"/>
      <c r="BX1" s="1226"/>
      <c r="BY1" s="1226"/>
      <c r="BZ1" s="1226"/>
      <c r="CA1" s="1226"/>
      <c r="CB1" s="1226"/>
      <c r="CC1" s="1294"/>
      <c r="CD1" s="1226"/>
      <c r="CE1" s="1226"/>
      <c r="CF1" s="1226"/>
      <c r="CG1" s="1226"/>
      <c r="CH1" s="1226"/>
      <c r="CI1" s="1226"/>
      <c r="CJ1" s="1226"/>
      <c r="CK1" s="1226"/>
      <c r="CL1" s="1226"/>
      <c r="CM1" s="1226"/>
      <c r="CN1" s="1226"/>
      <c r="CO1" s="1226"/>
      <c r="CP1" s="1226"/>
      <c r="CQ1" s="1226"/>
      <c r="CR1" s="1226"/>
      <c r="CS1" s="1226"/>
      <c r="CT1" s="1226"/>
      <c r="CU1" s="1226"/>
      <c r="CV1" s="1226"/>
      <c r="CW1" s="1226"/>
      <c r="CX1" s="1226"/>
      <c r="CY1" s="1226"/>
      <c r="CZ1" s="1226"/>
      <c r="DA1" s="1226"/>
      <c r="DB1" s="1226"/>
      <c r="DC1" s="1226"/>
      <c r="DD1" s="1226"/>
      <c r="DE1" s="864"/>
      <c r="DF1" s="1348"/>
      <c r="DG1" s="864"/>
      <c r="DH1" s="864"/>
      <c r="DI1" s="864"/>
      <c r="DJ1" s="864"/>
      <c r="DK1" s="864"/>
      <c r="DL1" s="864"/>
      <c r="DM1" s="864"/>
      <c r="DN1" s="864"/>
      <c r="DO1" s="864"/>
      <c r="DP1" s="864"/>
      <c r="DQ1" s="864"/>
      <c r="DR1" s="864"/>
      <c r="DS1" s="864"/>
      <c r="DT1" s="864"/>
      <c r="DU1" s="864"/>
      <c r="DV1" s="864"/>
      <c r="DW1" s="864"/>
      <c r="DX1" s="864"/>
      <c r="DY1" s="864"/>
      <c r="DZ1" s="864"/>
      <c r="EA1" s="864"/>
      <c r="EB1" s="864"/>
      <c r="EC1" s="864"/>
      <c r="ED1" s="864"/>
      <c r="EE1" s="864"/>
      <c r="EF1" s="1348"/>
      <c r="EG1" s="864"/>
      <c r="EH1" s="864"/>
      <c r="EI1" s="864"/>
      <c r="EJ1" s="864"/>
      <c r="EK1" s="864"/>
      <c r="EL1" s="864"/>
      <c r="EM1" s="864"/>
      <c r="EN1" s="864"/>
      <c r="EO1" s="864"/>
      <c r="EP1" s="864"/>
      <c r="EQ1" s="864"/>
      <c r="ER1" s="864"/>
      <c r="ES1" s="864"/>
      <c r="ET1" s="864"/>
      <c r="EU1" s="864"/>
      <c r="EV1" s="864"/>
      <c r="EW1" s="864"/>
      <c r="EX1" s="864"/>
      <c r="EY1" s="864"/>
      <c r="EZ1" s="864"/>
      <c r="FA1" s="864"/>
      <c r="FB1" s="864"/>
      <c r="FC1" s="864"/>
      <c r="FD1" s="864"/>
      <c r="FE1" s="1348"/>
      <c r="FF1" s="864"/>
      <c r="FG1" s="864"/>
      <c r="FH1" s="864"/>
      <c r="FI1" s="864"/>
      <c r="FJ1" s="864"/>
      <c r="FK1" s="864"/>
      <c r="FL1" s="864"/>
      <c r="FM1" s="864"/>
      <c r="FN1" s="864"/>
      <c r="FO1" s="864"/>
      <c r="FP1" s="864"/>
      <c r="FQ1" s="864"/>
      <c r="FR1" s="864"/>
      <c r="FS1" s="864"/>
      <c r="FT1" s="864"/>
      <c r="FU1" s="864"/>
      <c r="FV1" s="864"/>
      <c r="FW1" s="864"/>
      <c r="FX1" s="864"/>
      <c r="FY1" s="864"/>
      <c r="FZ1" s="864"/>
      <c r="GA1" s="864"/>
      <c r="GB1" s="864"/>
      <c r="GC1" s="864"/>
      <c r="GD1" s="1348"/>
      <c r="GE1" s="864"/>
      <c r="GF1" s="864"/>
      <c r="GG1" s="864"/>
      <c r="GH1" s="864"/>
      <c r="GI1" s="864"/>
      <c r="GJ1" s="864"/>
      <c r="GK1" s="864"/>
      <c r="GL1" s="864"/>
      <c r="GM1" s="864"/>
      <c r="GN1" s="864"/>
      <c r="GO1" s="864"/>
      <c r="GP1" s="864"/>
      <c r="GQ1" s="864"/>
      <c r="GR1" s="864"/>
      <c r="GS1" s="864"/>
      <c r="GT1" s="864"/>
      <c r="GU1" s="864"/>
      <c r="GV1" s="864"/>
      <c r="GW1" s="864"/>
      <c r="GX1" s="864"/>
      <c r="GY1" s="864"/>
      <c r="GZ1" s="864"/>
      <c r="HA1" s="864"/>
      <c r="HB1" s="831"/>
    </row>
    <row r="2" spans="1:210">
      <c r="A2" s="1293"/>
      <c r="B2" s="831"/>
      <c r="C2" s="831"/>
      <c r="D2" s="831"/>
      <c r="E2" s="831"/>
      <c r="F2" s="831"/>
      <c r="G2" s="831"/>
      <c r="H2" s="831"/>
      <c r="I2" s="831"/>
      <c r="J2" s="831"/>
      <c r="K2" s="831"/>
      <c r="L2" s="831"/>
      <c r="M2" s="831"/>
      <c r="N2" s="831"/>
      <c r="O2" s="831"/>
      <c r="P2" s="831"/>
      <c r="Q2" s="831"/>
      <c r="R2" s="831"/>
      <c r="S2" s="831"/>
      <c r="T2" s="831"/>
      <c r="U2" s="831"/>
      <c r="V2" s="831"/>
      <c r="W2" s="831"/>
      <c r="X2" s="831"/>
      <c r="Y2" s="831"/>
      <c r="Z2" s="1294"/>
      <c r="AA2" s="831"/>
      <c r="AB2" s="831"/>
      <c r="AC2" s="831"/>
      <c r="AD2" s="831"/>
      <c r="AE2" s="831"/>
      <c r="AF2" s="831"/>
      <c r="AG2" s="831"/>
      <c r="AH2" s="831"/>
      <c r="AI2" s="831"/>
      <c r="AJ2" s="831"/>
      <c r="AK2" s="831"/>
      <c r="AL2" s="831"/>
      <c r="AM2" s="831"/>
      <c r="AN2" s="831"/>
      <c r="AO2" s="831"/>
      <c r="AP2" s="831"/>
      <c r="AQ2" s="831"/>
      <c r="AR2" s="831"/>
      <c r="AS2" s="831"/>
      <c r="AT2" s="831"/>
      <c r="AU2" s="831"/>
      <c r="AV2" s="831"/>
      <c r="AW2" s="831"/>
      <c r="AX2" s="831"/>
      <c r="AY2" s="831"/>
      <c r="AZ2" s="831"/>
      <c r="BA2" s="1294"/>
      <c r="BB2" s="831"/>
      <c r="BC2" s="831"/>
      <c r="BD2" s="831"/>
      <c r="BE2" s="831"/>
      <c r="BF2" s="831"/>
      <c r="BG2" s="831"/>
      <c r="BH2" s="831"/>
      <c r="BI2" s="831"/>
      <c r="BJ2" s="831"/>
      <c r="BK2" s="831"/>
      <c r="BL2" s="831"/>
      <c r="BM2" s="831"/>
      <c r="BN2" s="831"/>
      <c r="BO2" s="831"/>
      <c r="BP2" s="831"/>
      <c r="BQ2" s="831"/>
      <c r="BR2" s="831"/>
      <c r="BS2" s="831"/>
      <c r="BT2" s="831"/>
      <c r="BU2" s="831"/>
      <c r="BV2" s="831"/>
      <c r="BW2" s="831"/>
      <c r="BX2" s="831"/>
      <c r="BY2" s="831"/>
      <c r="BZ2" s="831"/>
      <c r="CA2" s="831"/>
      <c r="CB2" s="831"/>
      <c r="CC2" s="1294"/>
      <c r="CD2" s="831"/>
      <c r="CE2" s="831"/>
      <c r="CF2" s="831"/>
      <c r="CG2" s="831"/>
      <c r="CH2" s="831"/>
      <c r="CI2" s="831"/>
      <c r="CJ2" s="831"/>
      <c r="CK2" s="831"/>
      <c r="CL2" s="831"/>
      <c r="CM2" s="831"/>
      <c r="CN2" s="831"/>
      <c r="CO2" s="831"/>
      <c r="CP2" s="831"/>
      <c r="CQ2" s="831"/>
      <c r="CR2" s="831"/>
      <c r="CS2" s="831"/>
      <c r="CT2" s="831"/>
      <c r="CU2" s="831"/>
      <c r="CV2" s="831"/>
      <c r="CW2" s="831"/>
      <c r="CX2" s="831"/>
      <c r="CY2" s="831"/>
      <c r="CZ2" s="831"/>
      <c r="DA2" s="831"/>
      <c r="DB2" s="831"/>
      <c r="DC2" s="831"/>
      <c r="DD2" s="831"/>
      <c r="DE2" s="1294"/>
      <c r="DF2" s="1226"/>
      <c r="DG2" s="1226"/>
      <c r="DH2" s="1226"/>
      <c r="DI2" s="1226"/>
      <c r="DJ2" s="1226"/>
      <c r="DK2" s="1226"/>
      <c r="DL2" s="1226"/>
      <c r="DM2" s="1226"/>
      <c r="DN2" s="1226"/>
      <c r="DO2" s="1226"/>
      <c r="DP2" s="1226"/>
      <c r="DQ2" s="1226"/>
      <c r="DR2" s="1226"/>
      <c r="DS2" s="1226"/>
      <c r="DT2" s="1226"/>
      <c r="DU2" s="1226"/>
      <c r="DV2" s="1226"/>
      <c r="DW2" s="1226"/>
      <c r="DX2" s="1226"/>
      <c r="DY2" s="1226"/>
      <c r="DZ2" s="1226"/>
      <c r="EA2" s="1226"/>
      <c r="EB2" s="1226"/>
      <c r="EC2" s="1226"/>
      <c r="ED2" s="1226"/>
      <c r="EE2" s="1294"/>
      <c r="EF2" s="1226"/>
      <c r="EG2" s="1226"/>
      <c r="EH2" s="1226"/>
      <c r="EI2" s="1226"/>
      <c r="EJ2" s="1226"/>
      <c r="EK2" s="1226"/>
      <c r="EL2" s="1226"/>
      <c r="EM2" s="1226"/>
      <c r="EN2" s="1226"/>
      <c r="EO2" s="1226"/>
      <c r="EP2" s="1226"/>
      <c r="EQ2" s="1226"/>
      <c r="ER2" s="1226"/>
      <c r="ES2" s="1226"/>
      <c r="ET2" s="1226"/>
      <c r="EU2" s="1226"/>
      <c r="EV2" s="1226"/>
      <c r="EW2" s="1226"/>
      <c r="EX2" s="1226"/>
      <c r="EY2" s="1226"/>
      <c r="EZ2" s="1226"/>
      <c r="FA2" s="1226"/>
      <c r="FB2" s="1226"/>
      <c r="FC2" s="1226"/>
      <c r="FD2" s="1294"/>
      <c r="FE2" s="1226"/>
      <c r="FF2" s="1226"/>
      <c r="FG2" s="1226"/>
      <c r="FH2" s="1226"/>
      <c r="FI2" s="1226"/>
      <c r="FJ2" s="1226"/>
      <c r="FK2" s="1226"/>
      <c r="FL2" s="1226"/>
      <c r="FM2" s="1226"/>
      <c r="FN2" s="1226"/>
      <c r="FO2" s="1226"/>
      <c r="FP2" s="1226"/>
      <c r="FQ2" s="1226"/>
      <c r="FR2" s="1226"/>
      <c r="FS2" s="1226"/>
      <c r="FT2" s="1226"/>
      <c r="FU2" s="1226"/>
      <c r="FV2" s="1226"/>
      <c r="FW2" s="1226"/>
      <c r="FX2" s="1226"/>
      <c r="FY2" s="1226"/>
      <c r="FZ2" s="1226"/>
      <c r="GA2" s="1226"/>
      <c r="GB2" s="1226"/>
      <c r="GC2" s="877"/>
      <c r="GD2" s="1226"/>
      <c r="GE2" s="1226"/>
      <c r="GF2" s="1226"/>
      <c r="GG2" s="1226"/>
      <c r="GH2" s="1226"/>
      <c r="GI2" s="1226"/>
      <c r="GJ2" s="1226"/>
      <c r="GK2" s="1226"/>
      <c r="GL2" s="1226"/>
      <c r="GM2" s="1226"/>
      <c r="GN2" s="1226"/>
      <c r="GO2" s="1226"/>
      <c r="GP2" s="1226"/>
      <c r="GQ2" s="1226"/>
      <c r="GR2" s="1226"/>
      <c r="GS2" s="1226"/>
      <c r="GT2" s="1226"/>
      <c r="GU2" s="1226"/>
      <c r="GV2" s="1226"/>
      <c r="GW2" s="1226"/>
      <c r="GX2" s="1226"/>
      <c r="GY2" s="1226"/>
      <c r="GZ2" s="1226"/>
      <c r="HA2" s="1226"/>
      <c r="HB2" s="831"/>
    </row>
    <row r="3" spans="1:210" ht="19.5">
      <c r="A3" s="1293"/>
      <c r="B3" s="1295"/>
      <c r="C3" s="1295"/>
      <c r="D3" s="1295"/>
      <c r="E3" s="3942" t="s">
        <v>1033</v>
      </c>
      <c r="F3" s="3942"/>
      <c r="G3" s="3942"/>
      <c r="H3" s="3942"/>
      <c r="I3" s="3942"/>
      <c r="J3" s="3942"/>
      <c r="K3" s="3942"/>
      <c r="L3" s="1295"/>
      <c r="M3" s="1295"/>
      <c r="N3" s="1295"/>
      <c r="O3" s="1295"/>
      <c r="P3" s="1295"/>
      <c r="Q3" s="1295"/>
      <c r="R3" s="1295"/>
      <c r="S3" s="1295"/>
      <c r="T3" s="1295"/>
      <c r="U3" s="1295"/>
      <c r="V3" s="1295"/>
      <c r="W3" s="1295"/>
      <c r="X3" s="1295"/>
      <c r="Y3" s="1295"/>
      <c r="Z3" s="1294"/>
      <c r="AA3" s="1295"/>
      <c r="AB3" s="1295"/>
      <c r="AC3" s="1295"/>
      <c r="AD3" s="3942" t="s">
        <v>1034</v>
      </c>
      <c r="AE3" s="3942"/>
      <c r="AF3" s="3942"/>
      <c r="AG3" s="3942"/>
      <c r="AH3" s="3942"/>
      <c r="AI3" s="3942"/>
      <c r="AJ3" s="3942"/>
      <c r="AK3" s="3942"/>
      <c r="AL3" s="1295"/>
      <c r="AM3" s="1295"/>
      <c r="AN3" s="1295"/>
      <c r="AO3" s="1295"/>
      <c r="AP3" s="1295"/>
      <c r="AQ3" s="1295"/>
      <c r="AR3" s="1295"/>
      <c r="AS3" s="1295"/>
      <c r="AT3" s="1295"/>
      <c r="AU3" s="1295"/>
      <c r="AV3" s="1295"/>
      <c r="AW3" s="1295"/>
      <c r="AX3" s="1295"/>
      <c r="AY3" s="1295"/>
      <c r="AZ3" s="1295"/>
      <c r="BA3" s="1294"/>
      <c r="BB3" s="1295"/>
      <c r="BC3" s="1295"/>
      <c r="BD3" s="1295"/>
      <c r="BE3" s="3942" t="s">
        <v>1035</v>
      </c>
      <c r="BF3" s="3942"/>
      <c r="BG3" s="3942"/>
      <c r="BH3" s="3942"/>
      <c r="BI3" s="3942"/>
      <c r="BJ3" s="3942"/>
      <c r="BK3" s="3942"/>
      <c r="BL3" s="3942"/>
      <c r="BM3" s="1295"/>
      <c r="BN3" s="1295"/>
      <c r="BO3" s="1295"/>
      <c r="BP3" s="1295"/>
      <c r="BQ3" s="1295"/>
      <c r="BR3" s="1295"/>
      <c r="BS3" s="1295"/>
      <c r="BT3" s="1295"/>
      <c r="BU3" s="1295"/>
      <c r="BV3" s="1295"/>
      <c r="BW3" s="1295"/>
      <c r="BX3" s="1295"/>
      <c r="BY3" s="1295"/>
      <c r="BZ3" s="1295"/>
      <c r="CA3" s="1295"/>
      <c r="CB3" s="1295"/>
      <c r="CC3" s="1294"/>
      <c r="CD3" s="1295"/>
      <c r="CE3" s="1295"/>
      <c r="CF3" s="1295"/>
      <c r="CG3" s="3942" t="s">
        <v>1036</v>
      </c>
      <c r="CH3" s="3942"/>
      <c r="CI3" s="3942"/>
      <c r="CJ3" s="3942"/>
      <c r="CK3" s="3942"/>
      <c r="CL3" s="3942"/>
      <c r="CM3" s="3942"/>
      <c r="CN3" s="3942"/>
      <c r="CO3" s="1295"/>
      <c r="CP3" s="1295"/>
      <c r="CQ3" s="1295"/>
      <c r="CR3" s="1295"/>
      <c r="CS3" s="1295"/>
      <c r="CT3" s="1295"/>
      <c r="CU3" s="1295"/>
      <c r="CV3" s="1295"/>
      <c r="CW3" s="1295"/>
      <c r="CX3" s="1295"/>
      <c r="CY3" s="1295"/>
      <c r="CZ3" s="1295"/>
      <c r="DA3" s="1295"/>
      <c r="DB3" s="1295"/>
      <c r="DC3" s="1295"/>
      <c r="DD3" s="1295"/>
      <c r="DE3" s="1294"/>
      <c r="DF3" s="831"/>
      <c r="DG3" s="831"/>
      <c r="DH3" s="831"/>
      <c r="DI3" s="831"/>
      <c r="DJ3" s="831"/>
      <c r="DK3" s="831"/>
      <c r="DL3" s="831"/>
      <c r="DM3" s="831"/>
      <c r="DN3" s="831"/>
      <c r="DO3" s="831"/>
      <c r="DP3" s="831"/>
      <c r="DQ3" s="831"/>
      <c r="DR3" s="831"/>
      <c r="DS3" s="831"/>
      <c r="DT3" s="831"/>
      <c r="DU3" s="831"/>
      <c r="DV3" s="831"/>
      <c r="DW3" s="831"/>
      <c r="DX3" s="831"/>
      <c r="DY3" s="831"/>
      <c r="DZ3" s="831"/>
      <c r="EA3" s="831"/>
      <c r="EB3" s="831"/>
      <c r="EC3" s="831"/>
      <c r="ED3" s="831"/>
      <c r="EE3" s="1294"/>
      <c r="EF3" s="831"/>
      <c r="EG3" s="831"/>
      <c r="EH3" s="831"/>
      <c r="EI3" s="831"/>
      <c r="EJ3" s="831"/>
      <c r="EK3" s="831"/>
      <c r="EL3" s="831"/>
      <c r="EM3" s="831"/>
      <c r="EN3" s="831"/>
      <c r="EO3" s="831"/>
      <c r="EP3" s="831"/>
      <c r="EQ3" s="831"/>
      <c r="ER3" s="831"/>
      <c r="ES3" s="831"/>
      <c r="ET3" s="831"/>
      <c r="EU3" s="831"/>
      <c r="EV3" s="831"/>
      <c r="EW3" s="831"/>
      <c r="EX3" s="831"/>
      <c r="EY3" s="831"/>
      <c r="EZ3" s="831"/>
      <c r="FA3" s="831"/>
      <c r="FB3" s="831"/>
      <c r="FC3" s="831"/>
      <c r="FD3" s="1294"/>
      <c r="FE3" s="831"/>
      <c r="FF3" s="831"/>
      <c r="FG3" s="831"/>
      <c r="FH3" s="831"/>
      <c r="FI3" s="831"/>
      <c r="FJ3" s="831"/>
      <c r="FK3" s="831"/>
      <c r="FL3" s="831"/>
      <c r="FM3" s="831"/>
      <c r="FN3" s="831"/>
      <c r="FO3" s="831"/>
      <c r="FP3" s="831"/>
      <c r="FQ3" s="831"/>
      <c r="FR3" s="831"/>
      <c r="FS3" s="831"/>
      <c r="FT3" s="831"/>
      <c r="FU3" s="831"/>
      <c r="FV3" s="831"/>
      <c r="FW3" s="831"/>
      <c r="FX3" s="831"/>
      <c r="FY3" s="831"/>
      <c r="FZ3" s="831"/>
      <c r="GA3" s="831"/>
      <c r="GB3" s="831"/>
      <c r="GC3" s="877"/>
      <c r="GD3" s="831"/>
      <c r="GE3" s="831"/>
      <c r="GF3" s="831"/>
      <c r="GG3" s="831"/>
      <c r="GH3" s="831"/>
      <c r="GI3" s="831"/>
      <c r="GJ3" s="831"/>
      <c r="GK3" s="831"/>
      <c r="GL3" s="831"/>
      <c r="GM3" s="831"/>
      <c r="GN3" s="831"/>
      <c r="GO3" s="831"/>
      <c r="GP3" s="831"/>
      <c r="GQ3" s="831"/>
      <c r="GR3" s="831"/>
      <c r="GS3" s="831"/>
      <c r="GT3" s="831"/>
      <c r="GU3" s="831"/>
      <c r="GV3" s="831"/>
      <c r="GW3" s="831"/>
      <c r="GX3" s="831"/>
      <c r="GY3" s="831"/>
      <c r="GZ3" s="831"/>
      <c r="HA3" s="831"/>
      <c r="HB3" s="831"/>
    </row>
    <row r="4" spans="1:210" ht="19.5">
      <c r="A4" s="1293"/>
      <c r="B4" s="1296"/>
      <c r="C4" s="1296"/>
      <c r="D4" s="1296"/>
      <c r="E4" s="3982" t="s">
        <v>1037</v>
      </c>
      <c r="F4" s="3982"/>
      <c r="G4" s="3982"/>
      <c r="H4" s="3982"/>
      <c r="I4" s="3982"/>
      <c r="J4" s="3982"/>
      <c r="K4" s="3982"/>
      <c r="L4" s="1296"/>
      <c r="M4" s="1296"/>
      <c r="N4" s="1296"/>
      <c r="O4" s="1296"/>
      <c r="P4" s="1296"/>
      <c r="Q4" s="1296"/>
      <c r="R4" s="1296"/>
      <c r="S4" s="1296"/>
      <c r="T4" s="1296"/>
      <c r="U4" s="1296"/>
      <c r="V4" s="1296"/>
      <c r="W4" s="1296"/>
      <c r="X4" s="1296"/>
      <c r="Y4" s="1296"/>
      <c r="Z4" s="1294"/>
      <c r="AA4" s="1296"/>
      <c r="AB4" s="1296"/>
      <c r="AC4" s="1296"/>
      <c r="AD4" s="3982" t="s">
        <v>1038</v>
      </c>
      <c r="AE4" s="3982"/>
      <c r="AF4" s="3982"/>
      <c r="AG4" s="3982"/>
      <c r="AH4" s="3982"/>
      <c r="AI4" s="3982"/>
      <c r="AJ4" s="3982"/>
      <c r="AK4" s="1296"/>
      <c r="AL4" s="1296"/>
      <c r="AM4" s="1296"/>
      <c r="AN4" s="1296"/>
      <c r="AO4" s="1296"/>
      <c r="AP4" s="1296"/>
      <c r="AQ4" s="1296"/>
      <c r="AR4" s="1296"/>
      <c r="AS4" s="1296"/>
      <c r="AT4" s="1296"/>
      <c r="AU4" s="1296"/>
      <c r="AV4" s="1296"/>
      <c r="AW4" s="1296"/>
      <c r="AX4" s="1296"/>
      <c r="AY4" s="1296"/>
      <c r="AZ4" s="1296"/>
      <c r="BA4" s="1294"/>
      <c r="BB4" s="1296"/>
      <c r="BC4" s="1296"/>
      <c r="BD4" s="1296"/>
      <c r="BE4" s="3983" t="s">
        <v>1039</v>
      </c>
      <c r="BF4" s="3983"/>
      <c r="BG4" s="3983"/>
      <c r="BH4" s="3983"/>
      <c r="BI4" s="3983"/>
      <c r="BJ4" s="3983"/>
      <c r="BK4" s="3983"/>
      <c r="BL4" s="1296"/>
      <c r="BM4" s="1296"/>
      <c r="BN4" s="1296"/>
      <c r="BO4" s="1296"/>
      <c r="BP4" s="1296"/>
      <c r="BQ4" s="1296"/>
      <c r="BR4" s="1296"/>
      <c r="BS4" s="1296"/>
      <c r="BT4" s="1296"/>
      <c r="BU4" s="1296"/>
      <c r="BV4" s="1296"/>
      <c r="BW4" s="1296"/>
      <c r="BX4" s="1296"/>
      <c r="BY4" s="1296"/>
      <c r="BZ4" s="1296"/>
      <c r="CA4" s="1296"/>
      <c r="CB4" s="1296"/>
      <c r="CC4" s="1294"/>
      <c r="CD4" s="1296"/>
      <c r="CE4" s="1296"/>
      <c r="CF4" s="1296"/>
      <c r="CG4" s="3941" t="s">
        <v>1040</v>
      </c>
      <c r="CH4" s="3941"/>
      <c r="CI4" s="3941"/>
      <c r="CJ4" s="3941"/>
      <c r="CK4" s="3941"/>
      <c r="CL4" s="3941"/>
      <c r="CM4" s="3941"/>
      <c r="CN4" s="1296"/>
      <c r="CO4" s="1296"/>
      <c r="CP4" s="1296"/>
      <c r="CQ4" s="1296"/>
      <c r="CR4" s="1296"/>
      <c r="CS4" s="1296"/>
      <c r="CT4" s="1296"/>
      <c r="CU4" s="1296"/>
      <c r="CV4" s="1296"/>
      <c r="CW4" s="1296"/>
      <c r="CX4" s="1296"/>
      <c r="CY4" s="1296"/>
      <c r="CZ4" s="1296"/>
      <c r="DA4" s="1296"/>
      <c r="DB4" s="1296"/>
      <c r="DC4" s="1296"/>
      <c r="DD4" s="1296"/>
      <c r="DE4" s="1294"/>
      <c r="DF4" s="1295"/>
      <c r="DG4" s="1295"/>
      <c r="DH4" s="1295"/>
      <c r="DI4" s="3942" t="s">
        <v>1064</v>
      </c>
      <c r="DJ4" s="3942"/>
      <c r="DK4" s="3942"/>
      <c r="DL4" s="3942"/>
      <c r="DM4" s="3942"/>
      <c r="DN4" s="3942"/>
      <c r="DO4" s="3942"/>
      <c r="DP4" s="3942"/>
      <c r="DQ4" s="1295"/>
      <c r="DR4" s="1295"/>
      <c r="DS4" s="1295"/>
      <c r="DT4" s="1295"/>
      <c r="DU4" s="1295"/>
      <c r="DV4" s="1295"/>
      <c r="DW4" s="1295"/>
      <c r="DX4" s="1295"/>
      <c r="DY4" s="1295"/>
      <c r="DZ4" s="1295"/>
      <c r="EA4" s="1295"/>
      <c r="EB4" s="1295"/>
      <c r="EC4" s="1295"/>
      <c r="ED4" s="1295"/>
      <c r="EE4" s="1294"/>
      <c r="EF4" s="1295"/>
      <c r="EG4" s="1295"/>
      <c r="EH4" s="1295"/>
      <c r="EI4" s="3942" t="s">
        <v>1071</v>
      </c>
      <c r="EJ4" s="3942"/>
      <c r="EK4" s="3942"/>
      <c r="EL4" s="3942"/>
      <c r="EM4" s="3942"/>
      <c r="EN4" s="3942"/>
      <c r="EO4" s="3942"/>
      <c r="EP4" s="3942"/>
      <c r="EQ4" s="1295"/>
      <c r="ER4" s="1295"/>
      <c r="ES4" s="1295"/>
      <c r="ET4" s="1295"/>
      <c r="EU4" s="1295"/>
      <c r="EV4" s="1295"/>
      <c r="EW4" s="1295"/>
      <c r="EX4" s="1295"/>
      <c r="EY4" s="1295"/>
      <c r="EZ4" s="1295"/>
      <c r="FA4" s="1295"/>
      <c r="FB4" s="1295"/>
      <c r="FC4" s="1295"/>
      <c r="FD4" s="1294"/>
      <c r="FE4" s="1295"/>
      <c r="FF4" s="1295"/>
      <c r="FG4" s="1295"/>
      <c r="FH4" s="3942" t="s">
        <v>1152</v>
      </c>
      <c r="FI4" s="3942"/>
      <c r="FJ4" s="3942"/>
      <c r="FK4" s="3942"/>
      <c r="FL4" s="3942"/>
      <c r="FM4" s="3942"/>
      <c r="FN4" s="3942"/>
      <c r="FO4" s="3942"/>
      <c r="FP4" s="1295"/>
      <c r="FQ4" s="1295"/>
      <c r="FR4" s="1295"/>
      <c r="FS4" s="1295"/>
      <c r="FT4" s="1295"/>
      <c r="FU4" s="1295"/>
      <c r="FV4" s="1295"/>
      <c r="FW4" s="1295"/>
      <c r="FX4" s="1295"/>
      <c r="FY4" s="1295"/>
      <c r="FZ4" s="1295"/>
      <c r="GA4" s="1295"/>
      <c r="GB4" s="1295"/>
      <c r="GC4" s="877"/>
      <c r="GD4" s="1295"/>
      <c r="GE4" s="1295"/>
      <c r="GF4" s="1295"/>
      <c r="GG4" s="3942" t="s">
        <v>1154</v>
      </c>
      <c r="GH4" s="3942"/>
      <c r="GI4" s="3942"/>
      <c r="GJ4" s="3942"/>
      <c r="GK4" s="3942"/>
      <c r="GL4" s="3942"/>
      <c r="GM4" s="3942"/>
      <c r="GN4" s="3942"/>
      <c r="GO4" s="1295"/>
      <c r="GP4" s="1295"/>
      <c r="GQ4" s="1295"/>
      <c r="GR4" s="1295"/>
      <c r="GS4" s="1295"/>
      <c r="GT4" s="1295"/>
      <c r="GU4" s="1295"/>
      <c r="GV4" s="1295"/>
      <c r="GW4" s="1295"/>
      <c r="GX4" s="1295"/>
      <c r="GY4" s="1295"/>
      <c r="GZ4" s="1295"/>
      <c r="HA4" s="1295"/>
      <c r="HB4" s="831"/>
    </row>
    <row r="5" spans="1:210" ht="19.5" customHeight="1">
      <c r="A5" s="1293"/>
      <c r="B5" s="833"/>
      <c r="C5" s="833"/>
      <c r="D5" s="833"/>
      <c r="E5" s="833"/>
      <c r="F5" s="833"/>
      <c r="G5" s="833"/>
      <c r="H5" s="833"/>
      <c r="I5" s="833"/>
      <c r="J5" s="833"/>
      <c r="K5" s="833"/>
      <c r="L5" s="833"/>
      <c r="M5" s="833"/>
      <c r="N5" s="833"/>
      <c r="O5" s="833"/>
      <c r="P5" s="833"/>
      <c r="Q5" s="833"/>
      <c r="R5" s="833"/>
      <c r="S5" s="833"/>
      <c r="T5" s="833"/>
      <c r="U5" s="833"/>
      <c r="V5" s="833"/>
      <c r="W5" s="833"/>
      <c r="X5" s="833"/>
      <c r="Y5" s="833"/>
      <c r="Z5" s="1294"/>
      <c r="AA5" s="833"/>
      <c r="AB5" s="833"/>
      <c r="AC5" s="833"/>
      <c r="AD5" s="833"/>
      <c r="AE5" s="833"/>
      <c r="AF5" s="833"/>
      <c r="AG5" s="833"/>
      <c r="AH5" s="833"/>
      <c r="AI5" s="833"/>
      <c r="AJ5" s="833"/>
      <c r="AK5" s="833"/>
      <c r="AL5" s="833"/>
      <c r="AM5" s="833"/>
      <c r="AN5" s="833"/>
      <c r="AO5" s="833"/>
      <c r="AP5" s="833"/>
      <c r="AQ5" s="833"/>
      <c r="AR5" s="833"/>
      <c r="AS5" s="833"/>
      <c r="AT5" s="833"/>
      <c r="AU5" s="833"/>
      <c r="AV5" s="833"/>
      <c r="AW5" s="833"/>
      <c r="AX5" s="833"/>
      <c r="AY5" s="833"/>
      <c r="AZ5" s="833"/>
      <c r="BA5" s="1294"/>
      <c r="BB5" s="833"/>
      <c r="BC5" s="833"/>
      <c r="BD5" s="833"/>
      <c r="BE5" s="833"/>
      <c r="BF5" s="833"/>
      <c r="BG5" s="833"/>
      <c r="BH5" s="833"/>
      <c r="BI5" s="833"/>
      <c r="BJ5" s="833"/>
      <c r="BK5" s="833"/>
      <c r="BL5" s="833"/>
      <c r="BM5" s="833"/>
      <c r="BN5" s="833"/>
      <c r="BO5" s="833"/>
      <c r="BP5" s="833"/>
      <c r="BQ5" s="833"/>
      <c r="BR5" s="833"/>
      <c r="BS5" s="833"/>
      <c r="BT5" s="833"/>
      <c r="BU5" s="833"/>
      <c r="BV5" s="833"/>
      <c r="BW5" s="833"/>
      <c r="BX5" s="833"/>
      <c r="BY5" s="833"/>
      <c r="BZ5" s="833"/>
      <c r="CA5" s="833"/>
      <c r="CB5" s="833"/>
      <c r="CC5" s="1294"/>
      <c r="CD5" s="833"/>
      <c r="CE5" s="833"/>
      <c r="CF5" s="833"/>
      <c r="CG5" s="833"/>
      <c r="CH5" s="833"/>
      <c r="CI5" s="833"/>
      <c r="CJ5" s="833"/>
      <c r="CK5" s="833"/>
      <c r="CL5" s="833"/>
      <c r="CM5" s="833"/>
      <c r="CN5" s="833"/>
      <c r="CO5" s="833"/>
      <c r="CP5" s="833"/>
      <c r="CQ5" s="833"/>
      <c r="CR5" s="833"/>
      <c r="CS5" s="833"/>
      <c r="CT5" s="833"/>
      <c r="CU5" s="833"/>
      <c r="CV5" s="833"/>
      <c r="CW5" s="833"/>
      <c r="CX5" s="833"/>
      <c r="CY5" s="833"/>
      <c r="CZ5" s="833"/>
      <c r="DA5" s="833"/>
      <c r="DB5" s="833"/>
      <c r="DC5" s="833"/>
      <c r="DD5" s="833"/>
      <c r="DE5" s="1294"/>
      <c r="DF5" s="1296"/>
      <c r="DG5" s="1296"/>
      <c r="DH5" s="1296"/>
      <c r="DI5" s="3941" t="s">
        <v>1065</v>
      </c>
      <c r="DJ5" s="3941"/>
      <c r="DK5" s="3941"/>
      <c r="DL5" s="3941"/>
      <c r="DM5" s="3941"/>
      <c r="DN5" s="3941"/>
      <c r="DO5" s="3941"/>
      <c r="DP5" s="1296"/>
      <c r="DQ5" s="1296"/>
      <c r="DR5" s="1296"/>
      <c r="DS5" s="1296"/>
      <c r="DT5" s="1296"/>
      <c r="DU5" s="1296"/>
      <c r="DV5" s="1296"/>
      <c r="DW5" s="1296"/>
      <c r="DX5" s="1296"/>
      <c r="DY5" s="1296"/>
      <c r="DZ5" s="1296"/>
      <c r="EA5" s="1296"/>
      <c r="EB5" s="1296"/>
      <c r="EC5" s="1296"/>
      <c r="ED5" s="1296"/>
      <c r="EE5" s="1294"/>
      <c r="EF5" s="1296"/>
      <c r="EG5" s="1296"/>
      <c r="EH5" s="1296"/>
      <c r="EI5" s="3941" t="s">
        <v>1151</v>
      </c>
      <c r="EJ5" s="3941"/>
      <c r="EK5" s="3941"/>
      <c r="EL5" s="3941"/>
      <c r="EM5" s="3941"/>
      <c r="EN5" s="3941"/>
      <c r="EO5" s="3941"/>
      <c r="EP5" s="1296"/>
      <c r="EQ5" s="1296"/>
      <c r="ER5" s="1296"/>
      <c r="ES5" s="1296"/>
      <c r="ET5" s="1296"/>
      <c r="EU5" s="1296"/>
      <c r="EV5" s="1296"/>
      <c r="EW5" s="1296"/>
      <c r="EX5" s="1296"/>
      <c r="EY5" s="1296"/>
      <c r="EZ5" s="1296"/>
      <c r="FA5" s="1296"/>
      <c r="FB5" s="1296"/>
      <c r="FC5" s="1296"/>
      <c r="FD5" s="1294"/>
      <c r="FE5" s="1296"/>
      <c r="FF5" s="1296"/>
      <c r="FG5" s="1296"/>
      <c r="FH5" s="3941" t="s">
        <v>1153</v>
      </c>
      <c r="FI5" s="3941"/>
      <c r="FJ5" s="3941"/>
      <c r="FK5" s="3941"/>
      <c r="FL5" s="3941"/>
      <c r="FM5" s="3941"/>
      <c r="FN5" s="3941"/>
      <c r="FO5" s="1296"/>
      <c r="FP5" s="1296"/>
      <c r="FQ5" s="1296"/>
      <c r="FR5" s="1296"/>
      <c r="FS5" s="1296"/>
      <c r="FT5" s="1296"/>
      <c r="FU5" s="1296"/>
      <c r="FV5" s="1296"/>
      <c r="FW5" s="1296"/>
      <c r="FX5" s="1296"/>
      <c r="FY5" s="1296"/>
      <c r="FZ5" s="1296"/>
      <c r="GA5" s="1296"/>
      <c r="GB5" s="1296"/>
      <c r="GC5" s="877"/>
      <c r="GD5" s="1296"/>
      <c r="GE5" s="1296"/>
      <c r="GF5" s="1296"/>
      <c r="GG5" s="3941" t="s">
        <v>1175</v>
      </c>
      <c r="GH5" s="3941"/>
      <c r="GI5" s="3941"/>
      <c r="GJ5" s="3941"/>
      <c r="GK5" s="3941"/>
      <c r="GL5" s="3941"/>
      <c r="GM5" s="3941"/>
      <c r="GN5" s="1296"/>
      <c r="GO5" s="1296"/>
      <c r="GP5" s="1296"/>
      <c r="GQ5" s="1296"/>
      <c r="GR5" s="1296"/>
      <c r="GS5" s="1296"/>
      <c r="GT5" s="1296"/>
      <c r="GU5" s="1296"/>
      <c r="GV5" s="1296"/>
      <c r="GW5" s="1296"/>
      <c r="GX5" s="1296"/>
      <c r="GY5" s="1296"/>
      <c r="GZ5" s="1296"/>
      <c r="HA5" s="1296"/>
      <c r="HB5" s="831"/>
    </row>
    <row r="6" spans="1:210" ht="18" customHeight="1">
      <c r="A6" s="1293"/>
      <c r="B6" s="831"/>
      <c r="Z6" s="1294"/>
      <c r="AA6" s="1297"/>
      <c r="BA6" s="1294"/>
      <c r="BB6" s="1297"/>
      <c r="CB6" s="942"/>
      <c r="CC6" s="1294"/>
      <c r="CD6" s="1297"/>
      <c r="DE6" s="1294"/>
      <c r="DF6" s="833"/>
      <c r="DG6" s="833"/>
      <c r="DH6" s="833"/>
      <c r="DI6" s="833"/>
      <c r="DJ6" s="833"/>
      <c r="DK6" s="833"/>
      <c r="DL6" s="833"/>
      <c r="DM6" s="833"/>
      <c r="DN6" s="833"/>
      <c r="DO6" s="833"/>
      <c r="DP6" s="833"/>
      <c r="DQ6" s="833"/>
      <c r="DR6" s="833"/>
      <c r="DS6" s="833"/>
      <c r="DT6" s="833"/>
      <c r="DU6" s="833"/>
      <c r="DV6" s="833"/>
      <c r="DW6" s="833"/>
      <c r="DX6" s="833"/>
      <c r="DY6" s="833"/>
      <c r="DZ6" s="833"/>
      <c r="EA6" s="833"/>
      <c r="EB6" s="833"/>
      <c r="EC6" s="833"/>
      <c r="ED6" s="833"/>
      <c r="EE6" s="1294"/>
      <c r="EF6" s="833"/>
      <c r="EG6" s="833"/>
      <c r="EH6" s="833"/>
      <c r="EI6" s="833"/>
      <c r="EJ6" s="833"/>
      <c r="EK6" s="833"/>
      <c r="EL6" s="833"/>
      <c r="EM6" s="833"/>
      <c r="EN6" s="833"/>
      <c r="EO6" s="833"/>
      <c r="EP6" s="833"/>
      <c r="EQ6" s="833"/>
      <c r="ER6" s="833"/>
      <c r="ES6" s="833"/>
      <c r="ET6" s="833"/>
      <c r="EU6" s="833"/>
      <c r="EV6" s="833"/>
      <c r="EW6" s="833"/>
      <c r="EX6" s="833"/>
      <c r="EY6" s="833"/>
      <c r="EZ6" s="833"/>
      <c r="FA6" s="833"/>
      <c r="FB6" s="833"/>
      <c r="FC6" s="833"/>
      <c r="FD6" s="1294"/>
      <c r="FE6" s="833"/>
      <c r="FF6" s="833"/>
      <c r="FG6" s="833"/>
      <c r="FH6" s="833"/>
      <c r="FI6" s="833"/>
      <c r="FJ6" s="833"/>
      <c r="FK6" s="833"/>
      <c r="FL6" s="833"/>
      <c r="FM6" s="833"/>
      <c r="FN6" s="833"/>
      <c r="FO6" s="833"/>
      <c r="FP6" s="833"/>
      <c r="FQ6" s="833"/>
      <c r="FR6" s="833"/>
      <c r="FS6" s="833"/>
      <c r="FT6" s="833"/>
      <c r="FU6" s="833"/>
      <c r="FV6" s="833"/>
      <c r="FW6" s="833"/>
      <c r="FX6" s="833"/>
      <c r="FY6" s="833"/>
      <c r="FZ6" s="833"/>
      <c r="GA6" s="833"/>
      <c r="GB6" s="833"/>
      <c r="GC6" s="877"/>
      <c r="GD6" s="833"/>
      <c r="GE6" s="833"/>
      <c r="GF6" s="833"/>
      <c r="GG6" s="833"/>
      <c r="GH6" s="833"/>
      <c r="GI6" s="833"/>
      <c r="GJ6" s="833"/>
      <c r="GK6" s="833"/>
      <c r="GL6" s="833"/>
      <c r="GM6" s="833"/>
      <c r="GN6" s="833"/>
      <c r="GO6" s="833"/>
      <c r="GP6" s="833"/>
      <c r="GQ6" s="833"/>
      <c r="GR6" s="833"/>
      <c r="GS6" s="833"/>
      <c r="GT6" s="833"/>
      <c r="GU6" s="833"/>
      <c r="GV6" s="833"/>
      <c r="GW6" s="833"/>
      <c r="GX6" s="833"/>
      <c r="GY6" s="833"/>
      <c r="GZ6" s="833"/>
      <c r="HA6" s="833"/>
      <c r="HB6" s="831"/>
    </row>
    <row r="7" spans="1:210" ht="18" customHeight="1">
      <c r="A7" s="1293"/>
      <c r="B7" s="831"/>
      <c r="F7" s="3940" t="s">
        <v>1041</v>
      </c>
      <c r="G7" s="3940"/>
      <c r="H7" s="3940"/>
      <c r="I7" s="1298">
        <f>' Data Sheet-I'!F21</f>
        <v>0</v>
      </c>
      <c r="J7" s="1300"/>
      <c r="K7" s="1300"/>
      <c r="S7" s="1299"/>
      <c r="T7" s="1299"/>
      <c r="U7" s="1299"/>
      <c r="V7" s="1300"/>
      <c r="Z7" s="1294"/>
      <c r="AA7" s="1297"/>
      <c r="AD7" s="3940" t="s">
        <v>1041</v>
      </c>
      <c r="AE7" s="3940"/>
      <c r="AF7" s="3940"/>
      <c r="AG7" s="1298">
        <f>' Data Sheet-I'!F22</f>
        <v>0</v>
      </c>
      <c r="AH7" s="1300"/>
      <c r="AI7" s="1300"/>
      <c r="AQ7" s="1299"/>
      <c r="AR7" s="1299"/>
      <c r="AS7" s="1299"/>
      <c r="AT7" s="1300"/>
      <c r="BA7" s="1294"/>
      <c r="BB7" s="1297"/>
      <c r="BE7" s="3940" t="s">
        <v>1041</v>
      </c>
      <c r="BF7" s="3940"/>
      <c r="BG7" s="3940"/>
      <c r="BH7" s="1298">
        <f>' Data Sheet-I'!F23</f>
        <v>0</v>
      </c>
      <c r="BI7" s="1300"/>
      <c r="BJ7" s="1300"/>
      <c r="BR7" s="1299"/>
      <c r="BS7" s="1299"/>
      <c r="BT7" s="1299"/>
      <c r="BU7" s="1300"/>
      <c r="CB7" s="942"/>
      <c r="CC7" s="1294"/>
      <c r="CD7" s="1297"/>
      <c r="CG7" s="3940" t="s">
        <v>1041</v>
      </c>
      <c r="CH7" s="3940"/>
      <c r="CI7" s="3940"/>
      <c r="CJ7" s="1298">
        <f>' Data Sheet-I'!F24</f>
        <v>0</v>
      </c>
      <c r="CK7" s="1300"/>
      <c r="CL7" s="1300"/>
      <c r="CT7" s="1299"/>
      <c r="CU7" s="1299"/>
      <c r="CV7" s="1299"/>
      <c r="CW7" s="1300"/>
      <c r="DE7" s="1294"/>
      <c r="DF7" s="1297"/>
      <c r="EE7" s="1294"/>
      <c r="EF7" s="1297"/>
      <c r="EG7" s="831"/>
      <c r="FD7" s="1294"/>
      <c r="FE7" s="1297"/>
      <c r="GC7" s="877"/>
      <c r="GD7" s="1523"/>
      <c r="HB7" s="831"/>
    </row>
    <row r="8" spans="1:210" ht="18" customHeight="1">
      <c r="A8" s="1293"/>
      <c r="B8" s="831"/>
      <c r="Z8" s="1294"/>
      <c r="AA8" s="1297"/>
      <c r="BA8" s="1294"/>
      <c r="BB8" s="1297"/>
      <c r="CB8" s="942"/>
      <c r="CC8" s="1294"/>
      <c r="CD8" s="1297"/>
      <c r="DE8" s="1294"/>
      <c r="DF8" s="1297"/>
      <c r="DI8" s="3940" t="s">
        <v>1041</v>
      </c>
      <c r="DJ8" s="3940"/>
      <c r="DK8" s="3940"/>
      <c r="DL8" s="1298">
        <f>' Data Sheet-I'!F25</f>
        <v>0</v>
      </c>
      <c r="DM8" s="1300"/>
      <c r="DN8" s="1300"/>
      <c r="DV8" s="1299"/>
      <c r="DW8" s="1299"/>
      <c r="DX8" s="1299"/>
      <c r="DY8" s="1300"/>
      <c r="EE8" s="1294"/>
      <c r="EF8" s="1297"/>
      <c r="EI8" s="3940" t="s">
        <v>1041</v>
      </c>
      <c r="EJ8" s="3940"/>
      <c r="EK8" s="3940"/>
      <c r="EL8" s="1298">
        <f>' Data Sheet-I'!F26</f>
        <v>0</v>
      </c>
      <c r="EM8" s="1300"/>
      <c r="EN8" s="1300"/>
      <c r="EV8" s="1299"/>
      <c r="EW8" s="1299"/>
      <c r="EX8" s="1299"/>
      <c r="EY8" s="1300"/>
      <c r="FD8" s="1294"/>
      <c r="FE8" s="1297"/>
      <c r="FH8" s="3940" t="s">
        <v>1041</v>
      </c>
      <c r="FI8" s="3940"/>
      <c r="FJ8" s="3940"/>
      <c r="FK8" s="1298">
        <f>' Data Sheet-I'!F27</f>
        <v>0</v>
      </c>
      <c r="FL8" s="1300"/>
      <c r="FM8" s="1300"/>
      <c r="FU8" s="1299"/>
      <c r="FV8" s="1299"/>
      <c r="FW8" s="1299"/>
      <c r="FX8" s="1300"/>
      <c r="GC8" s="877"/>
      <c r="GD8" s="1523"/>
      <c r="GG8" s="3940" t="s">
        <v>1041</v>
      </c>
      <c r="GH8" s="3940"/>
      <c r="GI8" s="3940"/>
      <c r="GJ8" s="1298">
        <f>' Data Sheet-I'!F28</f>
        <v>0</v>
      </c>
      <c r="GK8" s="1300"/>
      <c r="GL8" s="1300"/>
      <c r="GT8" s="1299"/>
      <c r="GU8" s="1299"/>
      <c r="GV8" s="1299"/>
      <c r="GW8" s="1300"/>
      <c r="HB8" s="831"/>
    </row>
    <row r="9" spans="1:210" ht="18" customHeight="1">
      <c r="A9" s="1293"/>
      <c r="B9" s="831"/>
      <c r="F9" s="3939" t="s">
        <v>777</v>
      </c>
      <c r="G9" s="3939"/>
      <c r="H9" s="3939"/>
      <c r="I9" s="1302">
        <f>' Data Sheet-I'!M21</f>
        <v>0</v>
      </c>
      <c r="Z9" s="1294"/>
      <c r="AA9" s="1297"/>
      <c r="AD9" s="3939" t="s">
        <v>777</v>
      </c>
      <c r="AE9" s="3939"/>
      <c r="AF9" s="3939"/>
      <c r="AG9" s="1301">
        <f>' Data Sheet-I'!M22</f>
        <v>0</v>
      </c>
      <c r="BA9" s="1294"/>
      <c r="BB9" s="1297"/>
      <c r="BE9" s="3939" t="s">
        <v>777</v>
      </c>
      <c r="BF9" s="3939"/>
      <c r="BG9" s="3939"/>
      <c r="BH9" s="1301">
        <f>' Data Sheet-I'!M23</f>
        <v>0</v>
      </c>
      <c r="CB9" s="942"/>
      <c r="CC9" s="1294"/>
      <c r="CD9" s="1297"/>
      <c r="CG9" s="3939" t="s">
        <v>777</v>
      </c>
      <c r="CH9" s="3939"/>
      <c r="CI9" s="3939"/>
      <c r="CJ9" s="1301">
        <f>' Data Sheet-I'!M24</f>
        <v>0</v>
      </c>
      <c r="DE9" s="1294"/>
      <c r="DF9" s="1297"/>
      <c r="EE9" s="1294"/>
      <c r="EF9" s="1297"/>
      <c r="FD9" s="1294"/>
      <c r="FE9" s="1297"/>
      <c r="GC9" s="877"/>
      <c r="GD9" s="1523"/>
      <c r="HB9" s="831"/>
    </row>
    <row r="10" spans="1:210" ht="18" customHeight="1">
      <c r="A10" s="3979" t="s">
        <v>1033</v>
      </c>
      <c r="B10" s="3980" t="s">
        <v>1042</v>
      </c>
      <c r="Z10" s="3981" t="s">
        <v>1043</v>
      </c>
      <c r="AA10" s="4005" t="s">
        <v>1044</v>
      </c>
      <c r="BA10" s="3981" t="s">
        <v>1035</v>
      </c>
      <c r="BB10" s="4005" t="s">
        <v>1045</v>
      </c>
      <c r="CB10" s="942"/>
      <c r="CC10" s="3981" t="s">
        <v>1036</v>
      </c>
      <c r="CD10" s="4005" t="s">
        <v>1046</v>
      </c>
      <c r="DE10" s="1294"/>
      <c r="DF10" s="1297"/>
      <c r="DI10" s="3939" t="s">
        <v>777</v>
      </c>
      <c r="DJ10" s="3939"/>
      <c r="DK10" s="3939"/>
      <c r="DL10" s="1301">
        <f>' Data Sheet-I'!M25</f>
        <v>0</v>
      </c>
      <c r="EE10" s="1294"/>
      <c r="EF10" s="1297"/>
      <c r="EI10" s="3939" t="s">
        <v>777</v>
      </c>
      <c r="EJ10" s="3939"/>
      <c r="EK10" s="3939"/>
      <c r="EL10" s="1301">
        <f>' Data Sheet-I'!M26</f>
        <v>0</v>
      </c>
      <c r="FD10" s="1294"/>
      <c r="FE10" s="1297"/>
      <c r="FH10" s="3939" t="s">
        <v>777</v>
      </c>
      <c r="FI10" s="3939"/>
      <c r="FJ10" s="3939"/>
      <c r="FK10" s="1301">
        <f>' Data Sheet-I'!M27</f>
        <v>0</v>
      </c>
      <c r="GC10" s="877"/>
      <c r="GD10" s="1523"/>
      <c r="GG10" s="3939" t="s">
        <v>777</v>
      </c>
      <c r="GH10" s="3939"/>
      <c r="GI10" s="3939"/>
      <c r="GJ10" s="1301">
        <f>' Data Sheet-I'!M28</f>
        <v>0</v>
      </c>
      <c r="HB10" s="831"/>
    </row>
    <row r="11" spans="1:210" ht="18" customHeight="1">
      <c r="A11" s="3979"/>
      <c r="B11" s="3980"/>
      <c r="Z11" s="3981"/>
      <c r="AA11" s="4005"/>
      <c r="BA11" s="3981"/>
      <c r="BB11" s="4005"/>
      <c r="CB11" s="942"/>
      <c r="CC11" s="3981"/>
      <c r="CD11" s="4005"/>
      <c r="DE11" s="3981" t="s">
        <v>1064</v>
      </c>
      <c r="DF11" s="4005" t="s">
        <v>1066</v>
      </c>
      <c r="EE11" s="3981" t="s">
        <v>1071</v>
      </c>
      <c r="EF11" s="4005" t="s">
        <v>1077</v>
      </c>
      <c r="FD11" s="3981" t="s">
        <v>1152</v>
      </c>
      <c r="FE11" s="4005" t="s">
        <v>1159</v>
      </c>
      <c r="GC11" s="3962" t="s">
        <v>1154</v>
      </c>
      <c r="GD11" s="3961" t="s">
        <v>1161</v>
      </c>
      <c r="HB11" s="831"/>
    </row>
    <row r="12" spans="1:210" ht="18" customHeight="1">
      <c r="A12" s="3979"/>
      <c r="B12" s="3980"/>
      <c r="Z12" s="3981"/>
      <c r="AA12" s="4005"/>
      <c r="BA12" s="3981"/>
      <c r="BB12" s="4005"/>
      <c r="CB12" s="942"/>
      <c r="CC12" s="3981"/>
      <c r="CD12" s="4005"/>
      <c r="DE12" s="3981"/>
      <c r="DF12" s="4005"/>
      <c r="EE12" s="3981"/>
      <c r="EF12" s="4005"/>
      <c r="FD12" s="3981"/>
      <c r="FE12" s="4005"/>
      <c r="GC12" s="3962"/>
      <c r="GD12" s="3961"/>
      <c r="HB12" s="831"/>
    </row>
    <row r="13" spans="1:210" ht="18" customHeight="1">
      <c r="A13" s="3979"/>
      <c r="B13" s="3980"/>
      <c r="Z13" s="3981"/>
      <c r="AA13" s="4005"/>
      <c r="BA13" s="3981"/>
      <c r="BB13" s="4005"/>
      <c r="CB13" s="942"/>
      <c r="CC13" s="3981"/>
      <c r="CD13" s="4005"/>
      <c r="DE13" s="3981"/>
      <c r="DF13" s="4005"/>
      <c r="EE13" s="3981"/>
      <c r="EF13" s="4005"/>
      <c r="FD13" s="3981"/>
      <c r="FE13" s="4005"/>
      <c r="GC13" s="3962"/>
      <c r="GD13" s="3961"/>
      <c r="HB13" s="831"/>
    </row>
    <row r="14" spans="1:210" ht="18" customHeight="1">
      <c r="A14" s="3979"/>
      <c r="B14" s="3980"/>
      <c r="E14" s="4010" t="s">
        <v>1047</v>
      </c>
      <c r="F14" s="4010"/>
      <c r="G14" s="4010"/>
      <c r="H14" s="4010"/>
      <c r="I14" s="4010"/>
      <c r="J14" s="4010"/>
      <c r="K14" s="4010"/>
      <c r="L14" s="4010"/>
      <c r="M14" s="4010"/>
      <c r="N14" s="4010"/>
      <c r="Z14" s="3981"/>
      <c r="AA14" s="4005"/>
      <c r="AC14" s="3984" t="s">
        <v>1048</v>
      </c>
      <c r="AD14" s="3984"/>
      <c r="AE14" s="3984"/>
      <c r="AF14" s="3984"/>
      <c r="AG14" s="3984"/>
      <c r="AH14" s="3984"/>
      <c r="AI14" s="3984"/>
      <c r="AJ14" s="3984"/>
      <c r="AK14" s="3984"/>
      <c r="AL14" s="3984"/>
      <c r="BA14" s="3981"/>
      <c r="BB14" s="4005"/>
      <c r="BD14" s="3984" t="s">
        <v>1049</v>
      </c>
      <c r="BE14" s="3984"/>
      <c r="BF14" s="3984"/>
      <c r="BG14" s="3984"/>
      <c r="BH14" s="3984"/>
      <c r="BI14" s="3984"/>
      <c r="BJ14" s="3984"/>
      <c r="BK14" s="3984"/>
      <c r="BL14" s="3984"/>
      <c r="BM14" s="3984"/>
      <c r="CB14" s="942"/>
      <c r="CC14" s="3981"/>
      <c r="CD14" s="4005"/>
      <c r="CF14" s="3984" t="s">
        <v>1050</v>
      </c>
      <c r="CG14" s="3984"/>
      <c r="CH14" s="3984"/>
      <c r="CI14" s="3984"/>
      <c r="CJ14" s="3984"/>
      <c r="CK14" s="3984"/>
      <c r="CL14" s="3984"/>
      <c r="CM14" s="3984"/>
      <c r="CN14" s="3984"/>
      <c r="CO14" s="3984"/>
      <c r="DE14" s="3981"/>
      <c r="DF14" s="4005"/>
      <c r="EE14" s="3981"/>
      <c r="EF14" s="4005"/>
      <c r="FD14" s="3981"/>
      <c r="FE14" s="4005"/>
      <c r="GC14" s="3962"/>
      <c r="GD14" s="3961"/>
      <c r="HB14" s="831"/>
    </row>
    <row r="15" spans="1:210" ht="18" customHeight="1">
      <c r="A15" s="3979"/>
      <c r="B15" s="3980"/>
      <c r="E15" s="3985"/>
      <c r="F15" s="3985"/>
      <c r="G15" s="3985"/>
      <c r="H15" s="3985"/>
      <c r="I15" s="3985"/>
      <c r="J15" s="3985"/>
      <c r="K15" s="3985"/>
      <c r="L15" s="3985"/>
      <c r="M15" s="3985"/>
      <c r="N15" s="3985"/>
      <c r="Z15" s="3981"/>
      <c r="AA15" s="4005"/>
      <c r="AC15" s="3986"/>
      <c r="AD15" s="3986"/>
      <c r="AE15" s="3986"/>
      <c r="AF15" s="3986"/>
      <c r="AG15" s="3986"/>
      <c r="AH15" s="3986"/>
      <c r="AI15" s="3986"/>
      <c r="AJ15" s="3986"/>
      <c r="AK15" s="3986"/>
      <c r="AL15" s="3986"/>
      <c r="BA15" s="3981"/>
      <c r="BB15" s="4005"/>
      <c r="BD15" s="3986"/>
      <c r="BE15" s="3986"/>
      <c r="BF15" s="3986"/>
      <c r="BG15" s="3986"/>
      <c r="BH15" s="3986"/>
      <c r="BI15" s="3986"/>
      <c r="BJ15" s="3986"/>
      <c r="BK15" s="3986"/>
      <c r="BL15" s="3986"/>
      <c r="BM15" s="3986"/>
      <c r="CB15" s="942"/>
      <c r="CC15" s="3981"/>
      <c r="CD15" s="4005"/>
      <c r="CF15" s="3986"/>
      <c r="CG15" s="3986"/>
      <c r="CH15" s="3986"/>
      <c r="CI15" s="3986"/>
      <c r="CJ15" s="3986"/>
      <c r="CK15" s="3986"/>
      <c r="CL15" s="3986"/>
      <c r="CM15" s="3986"/>
      <c r="CN15" s="3986"/>
      <c r="CO15" s="3986"/>
      <c r="DE15" s="3981"/>
      <c r="DF15" s="4005"/>
      <c r="DH15" s="3984" t="s">
        <v>1067</v>
      </c>
      <c r="DI15" s="3984"/>
      <c r="DJ15" s="3984"/>
      <c r="DK15" s="3984"/>
      <c r="DL15" s="3984"/>
      <c r="DM15" s="3984"/>
      <c r="DN15" s="3984"/>
      <c r="DO15" s="3984"/>
      <c r="DP15" s="3984"/>
      <c r="DQ15" s="3984"/>
      <c r="EE15" s="3981"/>
      <c r="EF15" s="4005"/>
      <c r="EH15" s="3984" t="s">
        <v>1087</v>
      </c>
      <c r="EI15" s="3984"/>
      <c r="EJ15" s="3984"/>
      <c r="EK15" s="3984"/>
      <c r="EL15" s="3984"/>
      <c r="EM15" s="3984"/>
      <c r="EN15" s="3984"/>
      <c r="EO15" s="3984"/>
      <c r="EP15" s="3984"/>
      <c r="EQ15" s="3984"/>
      <c r="FD15" s="3981"/>
      <c r="FE15" s="4005"/>
      <c r="FG15" s="3984" t="s">
        <v>1158</v>
      </c>
      <c r="FH15" s="3984"/>
      <c r="FI15" s="3984"/>
      <c r="FJ15" s="3984"/>
      <c r="FK15" s="3984"/>
      <c r="FL15" s="3984"/>
      <c r="FM15" s="3984"/>
      <c r="FN15" s="3984"/>
      <c r="FO15" s="3984"/>
      <c r="FP15" s="3984"/>
      <c r="GC15" s="3962"/>
      <c r="GD15" s="3961"/>
      <c r="GF15" s="3938" t="s">
        <v>1162</v>
      </c>
      <c r="GG15" s="3938"/>
      <c r="GH15" s="3938"/>
      <c r="GI15" s="3938"/>
      <c r="GJ15" s="3938"/>
      <c r="GK15" s="3938"/>
      <c r="GL15" s="3938"/>
      <c r="GM15" s="3938"/>
      <c r="GN15" s="3938"/>
      <c r="GO15" s="3938"/>
      <c r="HB15" s="831"/>
    </row>
    <row r="16" spans="1:210" ht="18" customHeight="1">
      <c r="A16" s="3979"/>
      <c r="B16" s="3980"/>
      <c r="E16" s="1303"/>
      <c r="F16" s="1304"/>
      <c r="G16" s="1304"/>
      <c r="H16" s="1304"/>
      <c r="I16" s="1304"/>
      <c r="J16" s="1304"/>
      <c r="K16" s="1304"/>
      <c r="L16" s="1304"/>
      <c r="M16" s="1305"/>
      <c r="N16" s="1306"/>
      <c r="Q16" s="1216"/>
      <c r="R16" s="1216"/>
      <c r="S16" s="1216"/>
      <c r="T16" s="1216"/>
      <c r="U16" s="1216"/>
      <c r="V16" s="1216"/>
      <c r="W16" s="1215"/>
      <c r="Y16" s="1270"/>
      <c r="Z16" s="3981"/>
      <c r="AA16" s="4005"/>
      <c r="AC16" s="1307"/>
      <c r="AD16" s="1308"/>
      <c r="AE16" s="1308"/>
      <c r="AF16" s="1308"/>
      <c r="AG16" s="1308"/>
      <c r="AH16" s="1308"/>
      <c r="AI16" s="1308"/>
      <c r="AJ16" s="1308"/>
      <c r="AK16" s="1309"/>
      <c r="AL16" s="1310"/>
      <c r="AO16" s="1216"/>
      <c r="AP16" s="1216"/>
      <c r="AQ16" s="1216"/>
      <c r="AR16" s="1216"/>
      <c r="AS16" s="1216"/>
      <c r="AT16" s="1216"/>
      <c r="AU16" s="1215"/>
      <c r="AW16" s="1270"/>
      <c r="AX16" s="1270"/>
      <c r="BA16" s="3981"/>
      <c r="BB16" s="4005"/>
      <c r="BD16" s="1307"/>
      <c r="BE16" s="1308"/>
      <c r="BF16" s="1308"/>
      <c r="BG16" s="1308"/>
      <c r="BH16" s="1308"/>
      <c r="BI16" s="1308"/>
      <c r="BJ16" s="1308"/>
      <c r="BK16" s="1308"/>
      <c r="BL16" s="1309"/>
      <c r="BM16" s="1310"/>
      <c r="BP16" s="1216"/>
      <c r="BQ16" s="1216"/>
      <c r="BR16" s="1216"/>
      <c r="BS16" s="1216"/>
      <c r="BT16" s="1216"/>
      <c r="BU16" s="1216"/>
      <c r="BV16" s="1215"/>
      <c r="BX16" s="1270"/>
      <c r="BY16" s="1270"/>
      <c r="CB16" s="942"/>
      <c r="CC16" s="3981"/>
      <c r="CD16" s="4005"/>
      <c r="CF16" s="1307"/>
      <c r="CG16" s="1308"/>
      <c r="CH16" s="1308"/>
      <c r="CI16" s="1308"/>
      <c r="CJ16" s="1308"/>
      <c r="CK16" s="1308"/>
      <c r="CL16" s="1308"/>
      <c r="CM16" s="1308"/>
      <c r="CN16" s="1309"/>
      <c r="CO16" s="1310"/>
      <c r="CR16" s="1216"/>
      <c r="CS16" s="1216"/>
      <c r="CT16" s="1216"/>
      <c r="CU16" s="1216"/>
      <c r="CV16" s="1216"/>
      <c r="CW16" s="1216"/>
      <c r="CX16" s="1215"/>
      <c r="CZ16" s="1270"/>
      <c r="DA16" s="1270"/>
      <c r="DE16" s="3981"/>
      <c r="DF16" s="4005"/>
      <c r="DH16" s="3986"/>
      <c r="DI16" s="3986"/>
      <c r="DJ16" s="3986"/>
      <c r="DK16" s="3986"/>
      <c r="DL16" s="3986"/>
      <c r="DM16" s="3986"/>
      <c r="DN16" s="3986"/>
      <c r="DO16" s="3986"/>
      <c r="DP16" s="3986"/>
      <c r="DQ16" s="3986"/>
      <c r="EE16" s="3981"/>
      <c r="EF16" s="4005"/>
      <c r="EH16" s="3986"/>
      <c r="EI16" s="3986"/>
      <c r="EJ16" s="3986"/>
      <c r="EK16" s="3986"/>
      <c r="EL16" s="3986"/>
      <c r="EM16" s="3986"/>
      <c r="EN16" s="3986"/>
      <c r="EO16" s="3986"/>
      <c r="EP16" s="3986"/>
      <c r="EQ16" s="3986"/>
      <c r="FD16" s="3981"/>
      <c r="FE16" s="4005"/>
      <c r="FG16" s="3986"/>
      <c r="FH16" s="3986"/>
      <c r="FI16" s="3986"/>
      <c r="FJ16" s="3986"/>
      <c r="FK16" s="3986"/>
      <c r="FL16" s="3986"/>
      <c r="FM16" s="3986"/>
      <c r="FN16" s="3986"/>
      <c r="FO16" s="3986"/>
      <c r="FP16" s="3986"/>
      <c r="GC16" s="3962"/>
      <c r="GD16" s="3961"/>
      <c r="GF16" s="3937"/>
      <c r="GG16" s="3937"/>
      <c r="GH16" s="3937"/>
      <c r="GI16" s="3937"/>
      <c r="GJ16" s="3937"/>
      <c r="GK16" s="3937"/>
      <c r="GL16" s="3937"/>
      <c r="GM16" s="3937"/>
      <c r="GN16" s="3937"/>
      <c r="GO16" s="3937"/>
      <c r="HB16" s="831"/>
    </row>
    <row r="17" spans="1:210" ht="18" customHeight="1">
      <c r="A17" s="3979"/>
      <c r="B17" s="3980"/>
      <c r="E17" s="1314" t="s">
        <v>1</v>
      </c>
      <c r="F17" s="1315" t="s">
        <v>1051</v>
      </c>
      <c r="G17" s="1315"/>
      <c r="H17" s="1315"/>
      <c r="I17" s="1315"/>
      <c r="J17" s="1315"/>
      <c r="K17" s="1315"/>
      <c r="L17" s="1315" t="s">
        <v>5</v>
      </c>
      <c r="M17" s="3992" t="str">
        <f t="shared" ref="M17:M22" si="0">W17</f>
        <v/>
      </c>
      <c r="N17" s="3993"/>
      <c r="O17" s="1214"/>
      <c r="P17" s="1214"/>
      <c r="Q17" s="1316"/>
      <c r="R17" s="1311" t="s">
        <v>1051</v>
      </c>
      <c r="S17" s="1311"/>
      <c r="T17" s="1311"/>
      <c r="U17" s="1311"/>
      <c r="V17" s="1312" t="str">
        <f>IF(I7&lt;=200000," ",0)</f>
        <v xml:space="preserve"> </v>
      </c>
      <c r="W17" s="3999" t="str">
        <f>IF(V17=0,"NIL","")</f>
        <v/>
      </c>
      <c r="X17" s="3999"/>
      <c r="Y17" s="1313"/>
      <c r="Z17" s="3981"/>
      <c r="AA17" s="4005"/>
      <c r="AC17" s="1317" t="s">
        <v>1</v>
      </c>
      <c r="AD17" s="1318" t="s">
        <v>9</v>
      </c>
      <c r="AE17" s="1318"/>
      <c r="AF17" s="1318"/>
      <c r="AG17" s="1318"/>
      <c r="AH17" s="1318"/>
      <c r="AI17" s="1318"/>
      <c r="AJ17" s="1318" t="s">
        <v>5</v>
      </c>
      <c r="AK17" s="3987" t="str">
        <f t="shared" ref="AK17:AK22" si="1">AU17</f>
        <v/>
      </c>
      <c r="AL17" s="3988"/>
      <c r="AM17" s="1214"/>
      <c r="AN17" s="1214"/>
      <c r="AO17" s="1316"/>
      <c r="AP17" s="1311" t="s">
        <v>9</v>
      </c>
      <c r="AQ17" s="1311"/>
      <c r="AR17" s="1311"/>
      <c r="AS17" s="1311"/>
      <c r="AT17" s="1312" t="str">
        <f>IF(AG7&lt;=250000," ",0)</f>
        <v xml:space="preserve"> </v>
      </c>
      <c r="AU17" s="3989" t="str">
        <f>IF(AT17=0,"NIL","")</f>
        <v/>
      </c>
      <c r="AV17" s="3989"/>
      <c r="AW17" s="1313"/>
      <c r="AX17" s="1313"/>
      <c r="BA17" s="3981"/>
      <c r="BB17" s="4005"/>
      <c r="BD17" s="1317" t="s">
        <v>1</v>
      </c>
      <c r="BE17" s="1318" t="s">
        <v>9</v>
      </c>
      <c r="BF17" s="1318"/>
      <c r="BG17" s="1318"/>
      <c r="BH17" s="1318"/>
      <c r="BI17" s="1318"/>
      <c r="BJ17" s="1318"/>
      <c r="BK17" s="1318" t="s">
        <v>5</v>
      </c>
      <c r="BL17" s="3987" t="str">
        <f t="shared" ref="BL17:BL22" si="2">BV17</f>
        <v/>
      </c>
      <c r="BM17" s="3988"/>
      <c r="BN17" s="1214"/>
      <c r="BO17" s="1214"/>
      <c r="BP17" s="1316"/>
      <c r="BQ17" s="1311" t="s">
        <v>9</v>
      </c>
      <c r="BR17" s="1311"/>
      <c r="BS17" s="1311"/>
      <c r="BT17" s="1311"/>
      <c r="BU17" s="1312" t="str">
        <f>IF(BH7&lt;=250000," ",0)</f>
        <v xml:space="preserve"> </v>
      </c>
      <c r="BV17" s="3989" t="str">
        <f>IF(BU17=0,"NIL","")</f>
        <v/>
      </c>
      <c r="BW17" s="3989"/>
      <c r="BX17" s="1313"/>
      <c r="BY17" s="1313"/>
      <c r="CB17" s="942"/>
      <c r="CC17" s="3981"/>
      <c r="CD17" s="4005"/>
      <c r="CF17" s="1317" t="s">
        <v>1</v>
      </c>
      <c r="CG17" s="1318" t="s">
        <v>9</v>
      </c>
      <c r="CH17" s="1318"/>
      <c r="CI17" s="1318"/>
      <c r="CJ17" s="1318"/>
      <c r="CK17" s="1318"/>
      <c r="CL17" s="1318"/>
      <c r="CM17" s="1318" t="s">
        <v>5</v>
      </c>
      <c r="CN17" s="3987" t="str">
        <f t="shared" ref="CN17:CN22" si="3">CX17</f>
        <v/>
      </c>
      <c r="CO17" s="3988"/>
      <c r="CP17" s="1214"/>
      <c r="CQ17" s="1214"/>
      <c r="CR17" s="1316"/>
      <c r="CS17" s="1311" t="s">
        <v>9</v>
      </c>
      <c r="CT17" s="1311"/>
      <c r="CU17" s="1311"/>
      <c r="CV17" s="1311"/>
      <c r="CW17" s="1312" t="str">
        <f>IF(CJ7&lt;=250000," ",0)</f>
        <v xml:space="preserve"> </v>
      </c>
      <c r="CX17" s="3989" t="str">
        <f>IF(CW17=0,"NIL","")</f>
        <v/>
      </c>
      <c r="CY17" s="3989"/>
      <c r="CZ17" s="1313"/>
      <c r="DA17" s="1313"/>
      <c r="DE17" s="3981"/>
      <c r="DF17" s="4005"/>
      <c r="DH17" s="1307"/>
      <c r="DI17" s="1308"/>
      <c r="DJ17" s="1308"/>
      <c r="DK17" s="1308"/>
      <c r="DL17" s="1308"/>
      <c r="DM17" s="1308"/>
      <c r="DN17" s="1308"/>
      <c r="DO17" s="1308"/>
      <c r="DP17" s="1309"/>
      <c r="DQ17" s="1310"/>
      <c r="DT17" s="1216"/>
      <c r="DU17" s="1216"/>
      <c r="DV17" s="1216"/>
      <c r="DW17" s="1216"/>
      <c r="DX17" s="1216"/>
      <c r="DY17" s="1216"/>
      <c r="DZ17" s="1215"/>
      <c r="EB17" s="1270"/>
      <c r="EC17" s="1270"/>
      <c r="EE17" s="3981"/>
      <c r="EF17" s="4005"/>
      <c r="EH17" s="1307"/>
      <c r="EI17" s="1308"/>
      <c r="EJ17" s="1308"/>
      <c r="EK17" s="1308"/>
      <c r="EL17" s="1308"/>
      <c r="EM17" s="1308"/>
      <c r="EN17" s="1308"/>
      <c r="EO17" s="1308"/>
      <c r="EP17" s="1309"/>
      <c r="EQ17" s="1310"/>
      <c r="ET17" s="1216"/>
      <c r="EU17" s="1216"/>
      <c r="EV17" s="1216"/>
      <c r="EW17" s="1216"/>
      <c r="EX17" s="1216"/>
      <c r="EY17" s="1216"/>
      <c r="EZ17" s="1215"/>
      <c r="FB17" s="1270"/>
      <c r="FC17" s="1270"/>
      <c r="FD17" s="3981"/>
      <c r="FE17" s="4005"/>
      <c r="FG17" s="1307"/>
      <c r="FH17" s="1308"/>
      <c r="FI17" s="1308"/>
      <c r="FJ17" s="1308"/>
      <c r="FK17" s="1308"/>
      <c r="FL17" s="1308"/>
      <c r="FM17" s="1308"/>
      <c r="FN17" s="1308"/>
      <c r="FO17" s="1309"/>
      <c r="FP17" s="1310"/>
      <c r="FS17" s="1216"/>
      <c r="FT17" s="1216"/>
      <c r="FU17" s="1216"/>
      <c r="FV17" s="1216"/>
      <c r="FW17" s="1216"/>
      <c r="FX17" s="1216"/>
      <c r="FY17" s="1215"/>
      <c r="GA17" s="1270"/>
      <c r="GB17" s="1270"/>
      <c r="GC17" s="3962"/>
      <c r="GD17" s="3961"/>
      <c r="GF17" s="1524"/>
      <c r="GG17" s="1525"/>
      <c r="GH17" s="1525"/>
      <c r="GI17" s="1525"/>
      <c r="GJ17" s="1525"/>
      <c r="GK17" s="1525"/>
      <c r="GL17" s="1525"/>
      <c r="GM17" s="1525"/>
      <c r="GN17" s="1526"/>
      <c r="GO17" s="1527"/>
      <c r="GR17" s="1216"/>
      <c r="GS17" s="1216"/>
      <c r="GT17" s="1216"/>
      <c r="GU17" s="1216"/>
      <c r="GV17" s="1216"/>
      <c r="GW17" s="1216"/>
      <c r="GX17" s="1215"/>
      <c r="GZ17" s="1270"/>
      <c r="HA17" s="1270"/>
      <c r="HB17" s="831"/>
    </row>
    <row r="18" spans="1:210" ht="18" customHeight="1">
      <c r="A18" s="3979"/>
      <c r="B18" s="3980"/>
      <c r="E18" s="1314" t="s">
        <v>2</v>
      </c>
      <c r="F18" s="1315" t="s">
        <v>1052</v>
      </c>
      <c r="G18" s="1315"/>
      <c r="H18" s="1315"/>
      <c r="I18" s="1321"/>
      <c r="J18" s="1321"/>
      <c r="K18" s="1321"/>
      <c r="L18" s="1321" t="s">
        <v>5</v>
      </c>
      <c r="M18" s="3992">
        <f t="shared" si="0"/>
        <v>0</v>
      </c>
      <c r="N18" s="3993"/>
      <c r="O18" s="1214"/>
      <c r="P18" s="1214"/>
      <c r="Q18" s="1316"/>
      <c r="R18" s="1311" t="s">
        <v>1053</v>
      </c>
      <c r="S18" s="1311"/>
      <c r="T18" s="1311"/>
      <c r="U18" s="1319"/>
      <c r="V18" s="1320">
        <f>IF(AND(I7&gt;500000),300000,IF(AND(I7&gt;200000,I7&lt;=500000),I7-200000,0))</f>
        <v>0</v>
      </c>
      <c r="W18" s="3999">
        <f>ROUND(V18*10%,0.1)</f>
        <v>0</v>
      </c>
      <c r="X18" s="3999"/>
      <c r="Y18" s="1313"/>
      <c r="Z18" s="3981"/>
      <c r="AA18" s="4005"/>
      <c r="AC18" s="1317" t="s">
        <v>2</v>
      </c>
      <c r="AD18" s="1318" t="s">
        <v>1054</v>
      </c>
      <c r="AE18" s="1318"/>
      <c r="AF18" s="1318"/>
      <c r="AG18" s="1322"/>
      <c r="AH18" s="1322"/>
      <c r="AI18" s="1322"/>
      <c r="AJ18" s="1322" t="s">
        <v>5</v>
      </c>
      <c r="AK18" s="3987">
        <f t="shared" si="1"/>
        <v>0</v>
      </c>
      <c r="AL18" s="3988"/>
      <c r="AM18" s="1214"/>
      <c r="AN18" s="1214"/>
      <c r="AO18" s="1316"/>
      <c r="AP18" s="1311" t="s">
        <v>1054</v>
      </c>
      <c r="AQ18" s="1311"/>
      <c r="AR18" s="1311"/>
      <c r="AS18" s="1319"/>
      <c r="AT18" s="1320">
        <f>IF(AND(AG7&gt;500000),250000,IF(AND(AG7&gt;250000,AG7&lt;=500000),AG7-250000,0))</f>
        <v>0</v>
      </c>
      <c r="AU18" s="3989">
        <f>ROUND(AT18*10%,0.1)</f>
        <v>0</v>
      </c>
      <c r="AV18" s="3989"/>
      <c r="AW18" s="1313"/>
      <c r="AX18" s="1313"/>
      <c r="BA18" s="3981"/>
      <c r="BB18" s="4005"/>
      <c r="BD18" s="1317" t="s">
        <v>2</v>
      </c>
      <c r="BE18" s="1318" t="s">
        <v>1054</v>
      </c>
      <c r="BF18" s="1318"/>
      <c r="BG18" s="1318"/>
      <c r="BH18" s="1322"/>
      <c r="BI18" s="1322"/>
      <c r="BJ18" s="1322"/>
      <c r="BK18" s="1322" t="s">
        <v>5</v>
      </c>
      <c r="BL18" s="3987">
        <f t="shared" si="2"/>
        <v>0</v>
      </c>
      <c r="BM18" s="3988"/>
      <c r="BN18" s="1214"/>
      <c r="BO18" s="1214"/>
      <c r="BP18" s="1316"/>
      <c r="BQ18" s="1311" t="s">
        <v>1054</v>
      </c>
      <c r="BR18" s="1311"/>
      <c r="BS18" s="1311"/>
      <c r="BT18" s="1319"/>
      <c r="BU18" s="1320">
        <f>IF(AND(BH7&gt;500000),250000,IF(AND(BH7&gt;250000,BH7&lt;=500000),BH7-250000,0))</f>
        <v>0</v>
      </c>
      <c r="BV18" s="3989">
        <f>ROUND(BU18*10%,0.1)</f>
        <v>0</v>
      </c>
      <c r="BW18" s="3989"/>
      <c r="BX18" s="1313"/>
      <c r="BY18" s="1313"/>
      <c r="CB18" s="942"/>
      <c r="CC18" s="3981"/>
      <c r="CD18" s="4005"/>
      <c r="CF18" s="1317" t="s">
        <v>2</v>
      </c>
      <c r="CG18" s="1318" t="s">
        <v>1054</v>
      </c>
      <c r="CH18" s="1318"/>
      <c r="CI18" s="1318"/>
      <c r="CJ18" s="1322"/>
      <c r="CK18" s="1322"/>
      <c r="CL18" s="1322"/>
      <c r="CM18" s="1322" t="s">
        <v>5</v>
      </c>
      <c r="CN18" s="3987">
        <f t="shared" si="3"/>
        <v>0</v>
      </c>
      <c r="CO18" s="3988"/>
      <c r="CP18" s="1214"/>
      <c r="CQ18" s="1214"/>
      <c r="CR18" s="1316"/>
      <c r="CS18" s="1311" t="s">
        <v>1054</v>
      </c>
      <c r="CT18" s="1311"/>
      <c r="CU18" s="1311"/>
      <c r="CV18" s="1319"/>
      <c r="CW18" s="1320">
        <f>IF(AND(CJ7&gt;500000),250000,IF(AND(CJ7&gt;250000,CJ7&lt;=500000),CJ7-250000,0))</f>
        <v>0</v>
      </c>
      <c r="CX18" s="3989">
        <f>ROUND(CW18*10%,0.1)</f>
        <v>0</v>
      </c>
      <c r="CY18" s="3989"/>
      <c r="CZ18" s="1313"/>
      <c r="DA18" s="1313"/>
      <c r="DE18" s="3981"/>
      <c r="DF18" s="4005"/>
      <c r="DH18" s="1317" t="s">
        <v>1</v>
      </c>
      <c r="DI18" s="1318" t="s">
        <v>9</v>
      </c>
      <c r="DJ18" s="1318"/>
      <c r="DK18" s="1318"/>
      <c r="DL18" s="1318"/>
      <c r="DM18" s="1318"/>
      <c r="DN18" s="1318"/>
      <c r="DO18" s="1318" t="s">
        <v>5</v>
      </c>
      <c r="DP18" s="3987" t="str">
        <f t="shared" ref="DP18:DP23" si="4">DZ18</f>
        <v/>
      </c>
      <c r="DQ18" s="3988"/>
      <c r="DR18" s="1214"/>
      <c r="DS18" s="1214"/>
      <c r="DT18" s="1316"/>
      <c r="DU18" s="1311" t="s">
        <v>9</v>
      </c>
      <c r="DV18" s="1311"/>
      <c r="DW18" s="1311"/>
      <c r="DX18" s="1311"/>
      <c r="DY18" s="1312" t="str">
        <f>IF(DL8&lt;=250000," ",0)</f>
        <v xml:space="preserve"> </v>
      </c>
      <c r="DZ18" s="3989" t="str">
        <f>IF(DY18=0,"NIL","")</f>
        <v/>
      </c>
      <c r="EA18" s="3989"/>
      <c r="EB18" s="1313"/>
      <c r="EC18" s="1313"/>
      <c r="EE18" s="3981"/>
      <c r="EF18" s="4005"/>
      <c r="EH18" s="1317" t="s">
        <v>1</v>
      </c>
      <c r="EI18" s="1318" t="s">
        <v>9</v>
      </c>
      <c r="EJ18" s="1318"/>
      <c r="EK18" s="1318"/>
      <c r="EL18" s="1318"/>
      <c r="EM18" s="1318"/>
      <c r="EN18" s="1318"/>
      <c r="EO18" s="1318" t="s">
        <v>5</v>
      </c>
      <c r="EP18" s="3987" t="str">
        <f t="shared" ref="EP18:EP22" si="5">EZ18</f>
        <v/>
      </c>
      <c r="EQ18" s="3988"/>
      <c r="ER18" s="1214"/>
      <c r="ES18" s="1214"/>
      <c r="ET18" s="1316"/>
      <c r="EU18" s="1311" t="s">
        <v>9</v>
      </c>
      <c r="EV18" s="1311"/>
      <c r="EW18" s="1311"/>
      <c r="EX18" s="1311"/>
      <c r="EY18" s="1312" t="str">
        <f>IF(EL8&lt;=250000," ",0)</f>
        <v xml:space="preserve"> </v>
      </c>
      <c r="EZ18" s="3989" t="str">
        <f>IF(EY18=0,"NIL","")</f>
        <v/>
      </c>
      <c r="FA18" s="3989"/>
      <c r="FB18" s="1313"/>
      <c r="FC18" s="1313"/>
      <c r="FD18" s="3981"/>
      <c r="FE18" s="4005"/>
      <c r="FG18" s="1317" t="s">
        <v>1</v>
      </c>
      <c r="FH18" s="1318" t="s">
        <v>9</v>
      </c>
      <c r="FI18" s="1318"/>
      <c r="FJ18" s="1318"/>
      <c r="FK18" s="1318"/>
      <c r="FL18" s="1318"/>
      <c r="FM18" s="1318"/>
      <c r="FN18" s="1318" t="s">
        <v>5</v>
      </c>
      <c r="FO18" s="3987" t="str">
        <f t="shared" ref="FO18:FO23" si="6">FY18</f>
        <v/>
      </c>
      <c r="FP18" s="3988"/>
      <c r="FQ18" s="1214"/>
      <c r="FR18" s="1214"/>
      <c r="FS18" s="1316"/>
      <c r="FT18" s="1311" t="s">
        <v>9</v>
      </c>
      <c r="FU18" s="1311"/>
      <c r="FV18" s="1311"/>
      <c r="FW18" s="1311"/>
      <c r="FX18" s="1312" t="str">
        <f>IF(FK8&lt;=250000," ",0)</f>
        <v xml:space="preserve"> </v>
      </c>
      <c r="FY18" s="3989" t="str">
        <f>IF(FX18=0,"NIL","")</f>
        <v/>
      </c>
      <c r="FZ18" s="3989"/>
      <c r="GA18" s="1313"/>
      <c r="GB18" s="1313"/>
      <c r="GC18" s="3962"/>
      <c r="GD18" s="3961"/>
      <c r="GF18" s="1528" t="s">
        <v>1</v>
      </c>
      <c r="GG18" s="1529" t="s">
        <v>9</v>
      </c>
      <c r="GH18" s="1529"/>
      <c r="GI18" s="1529"/>
      <c r="GJ18" s="1529"/>
      <c r="GK18" s="1529"/>
      <c r="GL18" s="1529"/>
      <c r="GM18" s="1529" t="s">
        <v>5</v>
      </c>
      <c r="GN18" s="3935" t="str">
        <f t="shared" ref="GN18:GN23" si="7">GX18</f>
        <v/>
      </c>
      <c r="GO18" s="3936"/>
      <c r="GP18" s="1214"/>
      <c r="GQ18" s="1214"/>
      <c r="GR18" s="1535"/>
      <c r="GS18" s="1536" t="s">
        <v>9</v>
      </c>
      <c r="GT18" s="1536"/>
      <c r="GU18" s="1536"/>
      <c r="GV18" s="1536"/>
      <c r="GW18" s="1537" t="str">
        <f>IF(GJ8&lt;=250000," ",0)</f>
        <v xml:space="preserve"> </v>
      </c>
      <c r="GX18" s="3934" t="str">
        <f>IF(GW18=0,"NIL","")</f>
        <v/>
      </c>
      <c r="GY18" s="3934"/>
      <c r="GZ18" s="1313"/>
      <c r="HA18" s="1313"/>
      <c r="HB18" s="831"/>
    </row>
    <row r="19" spans="1:210" ht="18" customHeight="1">
      <c r="A19" s="3979"/>
      <c r="B19" s="3980"/>
      <c r="E19" s="1314" t="s">
        <v>3</v>
      </c>
      <c r="F19" s="1315" t="s">
        <v>1055</v>
      </c>
      <c r="G19" s="1315"/>
      <c r="H19" s="1315"/>
      <c r="I19" s="1315"/>
      <c r="J19" s="1315"/>
      <c r="K19" s="1315"/>
      <c r="L19" s="1321" t="s">
        <v>5</v>
      </c>
      <c r="M19" s="3992">
        <f t="shared" si="0"/>
        <v>0</v>
      </c>
      <c r="N19" s="3993"/>
      <c r="O19" s="1214"/>
      <c r="P19" s="1214"/>
      <c r="Q19" s="1316"/>
      <c r="R19" s="1311" t="s">
        <v>1055</v>
      </c>
      <c r="S19" s="1311"/>
      <c r="T19" s="1311"/>
      <c r="U19" s="1311"/>
      <c r="V19" s="1320">
        <f>IF(AND(I7&gt;1000000),500000,IF(AND(I7&gt;500000,I7&lt;=1000000),I7-500000,0))</f>
        <v>0</v>
      </c>
      <c r="W19" s="3999">
        <f>ROUND(V19*20%,0.1)</f>
        <v>0</v>
      </c>
      <c r="X19" s="3999"/>
      <c r="Y19" s="1313"/>
      <c r="Z19" s="3981"/>
      <c r="AA19" s="4005"/>
      <c r="AC19" s="1317" t="s">
        <v>3</v>
      </c>
      <c r="AD19" s="1318" t="s">
        <v>1055</v>
      </c>
      <c r="AE19" s="1318"/>
      <c r="AF19" s="1318"/>
      <c r="AG19" s="1318"/>
      <c r="AH19" s="1318"/>
      <c r="AI19" s="1318"/>
      <c r="AJ19" s="1322" t="s">
        <v>5</v>
      </c>
      <c r="AK19" s="3987">
        <f t="shared" si="1"/>
        <v>0</v>
      </c>
      <c r="AL19" s="3988"/>
      <c r="AM19" s="1214"/>
      <c r="AN19" s="1214"/>
      <c r="AO19" s="1316"/>
      <c r="AP19" s="1311" t="s">
        <v>1055</v>
      </c>
      <c r="AQ19" s="1311"/>
      <c r="AR19" s="1311"/>
      <c r="AS19" s="1311"/>
      <c r="AT19" s="1320">
        <f>IF(AND(AG7&gt;1000000),500000,IF(AND(AG7&gt;500000,AG7&lt;=1000000),AG7-500000,0))</f>
        <v>0</v>
      </c>
      <c r="AU19" s="3989">
        <f>ROUND(AT19*20%,0.1)</f>
        <v>0</v>
      </c>
      <c r="AV19" s="3989"/>
      <c r="AW19" s="1313"/>
      <c r="AX19" s="1313"/>
      <c r="BA19" s="3981"/>
      <c r="BB19" s="4005"/>
      <c r="BD19" s="1317" t="s">
        <v>3</v>
      </c>
      <c r="BE19" s="1318" t="s">
        <v>1055</v>
      </c>
      <c r="BF19" s="1318"/>
      <c r="BG19" s="1318"/>
      <c r="BH19" s="1318"/>
      <c r="BI19" s="1318"/>
      <c r="BJ19" s="1318"/>
      <c r="BK19" s="1322" t="s">
        <v>5</v>
      </c>
      <c r="BL19" s="3987">
        <f t="shared" si="2"/>
        <v>0</v>
      </c>
      <c r="BM19" s="3988"/>
      <c r="BN19" s="1214"/>
      <c r="BO19" s="1214"/>
      <c r="BP19" s="1316"/>
      <c r="BQ19" s="1311" t="s">
        <v>1055</v>
      </c>
      <c r="BR19" s="1311"/>
      <c r="BS19" s="1311"/>
      <c r="BT19" s="1311"/>
      <c r="BU19" s="1320">
        <f>IF(AND(BH7&gt;1000000),500000,IF(AND(BH7&gt;500000,BH7&lt;=1000000),BH7-500000,0))</f>
        <v>0</v>
      </c>
      <c r="BV19" s="3989">
        <f>ROUND(BU19*20%,0.1)</f>
        <v>0</v>
      </c>
      <c r="BW19" s="3989"/>
      <c r="BX19" s="1313"/>
      <c r="BY19" s="1313"/>
      <c r="CB19" s="942"/>
      <c r="CC19" s="3981"/>
      <c r="CD19" s="4005"/>
      <c r="CF19" s="1317" t="s">
        <v>3</v>
      </c>
      <c r="CG19" s="1318" t="s">
        <v>1055</v>
      </c>
      <c r="CH19" s="1318"/>
      <c r="CI19" s="1318"/>
      <c r="CJ19" s="1318"/>
      <c r="CK19" s="1318"/>
      <c r="CL19" s="1318"/>
      <c r="CM19" s="1322" t="s">
        <v>5</v>
      </c>
      <c r="CN19" s="3987">
        <f t="shared" si="3"/>
        <v>0</v>
      </c>
      <c r="CO19" s="3988"/>
      <c r="CP19" s="1214"/>
      <c r="CQ19" s="1214"/>
      <c r="CR19" s="1316"/>
      <c r="CS19" s="1311" t="s">
        <v>1055</v>
      </c>
      <c r="CT19" s="1311"/>
      <c r="CU19" s="1311"/>
      <c r="CV19" s="1311"/>
      <c r="CW19" s="1320">
        <f>IF(AND(CJ7&gt;1000000),500000,IF(AND(CJ7&gt;500000,CJ7&lt;=1000000),CJ7-500000,0))</f>
        <v>0</v>
      </c>
      <c r="CX19" s="3989">
        <f>ROUND(CW19*20%,0.1)</f>
        <v>0</v>
      </c>
      <c r="CY19" s="3989"/>
      <c r="CZ19" s="1313"/>
      <c r="DA19" s="1313"/>
      <c r="DE19" s="3981"/>
      <c r="DF19" s="4005"/>
      <c r="DH19" s="1317" t="s">
        <v>2</v>
      </c>
      <c r="DI19" s="1318" t="s">
        <v>1068</v>
      </c>
      <c r="DJ19" s="1318"/>
      <c r="DK19" s="1318"/>
      <c r="DL19" s="1322"/>
      <c r="DM19" s="1322"/>
      <c r="DN19" s="1322"/>
      <c r="DO19" s="1322" t="s">
        <v>5</v>
      </c>
      <c r="DP19" s="3987">
        <f t="shared" si="4"/>
        <v>0</v>
      </c>
      <c r="DQ19" s="3988"/>
      <c r="DR19" s="1214"/>
      <c r="DS19" s="1214"/>
      <c r="DT19" s="1316"/>
      <c r="DU19" s="1311" t="s">
        <v>1068</v>
      </c>
      <c r="DV19" s="1311"/>
      <c r="DW19" s="1311"/>
      <c r="DX19" s="1319"/>
      <c r="DY19" s="1320">
        <f>IF(AND(DL8&gt;500000),250000,IF(AND(DL8&gt;250000,DL8&lt;=500000),DL8-250000,0))</f>
        <v>0</v>
      </c>
      <c r="DZ19" s="3989">
        <f>ROUND(DY19*5%,0.1)</f>
        <v>0</v>
      </c>
      <c r="EA19" s="3989"/>
      <c r="EB19" s="1313"/>
      <c r="EC19" s="1313"/>
      <c r="EE19" s="3981"/>
      <c r="EF19" s="4005"/>
      <c r="EH19" s="1317" t="s">
        <v>2</v>
      </c>
      <c r="EI19" s="1318" t="s">
        <v>1068</v>
      </c>
      <c r="EJ19" s="1318"/>
      <c r="EK19" s="1318"/>
      <c r="EL19" s="1322"/>
      <c r="EM19" s="1322"/>
      <c r="EN19" s="1322"/>
      <c r="EO19" s="1322" t="s">
        <v>5</v>
      </c>
      <c r="EP19" s="3987">
        <f t="shared" si="5"/>
        <v>0</v>
      </c>
      <c r="EQ19" s="3988"/>
      <c r="ER19" s="1214"/>
      <c r="ES19" s="1214"/>
      <c r="ET19" s="1316"/>
      <c r="EU19" s="1311" t="s">
        <v>1068</v>
      </c>
      <c r="EV19" s="1311"/>
      <c r="EW19" s="1311"/>
      <c r="EX19" s="1319"/>
      <c r="EY19" s="1320">
        <f>IF(AND(EL8&gt;500000),250000,IF(AND(EL8&gt;250000,EL8&lt;=500000),EL8-250000,0))</f>
        <v>0</v>
      </c>
      <c r="EZ19" s="3989">
        <f>ROUND(EY19*5%,0.1)</f>
        <v>0</v>
      </c>
      <c r="FA19" s="3989"/>
      <c r="FB19" s="1313"/>
      <c r="FC19" s="1313"/>
      <c r="FD19" s="3981"/>
      <c r="FE19" s="4005"/>
      <c r="FG19" s="1317" t="s">
        <v>2</v>
      </c>
      <c r="FH19" s="1318" t="s">
        <v>1068</v>
      </c>
      <c r="FI19" s="1318"/>
      <c r="FJ19" s="1318"/>
      <c r="FK19" s="1322"/>
      <c r="FL19" s="1322"/>
      <c r="FM19" s="1322"/>
      <c r="FN19" s="1322" t="s">
        <v>5</v>
      </c>
      <c r="FO19" s="3987">
        <f t="shared" si="6"/>
        <v>0</v>
      </c>
      <c r="FP19" s="3988"/>
      <c r="FQ19" s="1214"/>
      <c r="FR19" s="1214"/>
      <c r="FS19" s="1316"/>
      <c r="FT19" s="1311" t="s">
        <v>1068</v>
      </c>
      <c r="FU19" s="1311"/>
      <c r="FV19" s="1311"/>
      <c r="FW19" s="1319"/>
      <c r="FX19" s="1320">
        <f>IF(AND(FK8&gt;500000),250000,IF(AND(FK8&gt;250000,FK8&lt;=500000),FK8-250000,0))</f>
        <v>0</v>
      </c>
      <c r="FY19" s="3989">
        <f>ROUND(FX19*5%,0.1)</f>
        <v>0</v>
      </c>
      <c r="FZ19" s="3989"/>
      <c r="GA19" s="1313"/>
      <c r="GB19" s="1313"/>
      <c r="GC19" s="3962"/>
      <c r="GD19" s="3961"/>
      <c r="GF19" s="1528" t="s">
        <v>2</v>
      </c>
      <c r="GG19" s="1529" t="s">
        <v>1068</v>
      </c>
      <c r="GH19" s="1529"/>
      <c r="GI19" s="1529"/>
      <c r="GJ19" s="1530"/>
      <c r="GK19" s="1530"/>
      <c r="GL19" s="1530"/>
      <c r="GM19" s="1530" t="s">
        <v>5</v>
      </c>
      <c r="GN19" s="3935">
        <f t="shared" si="7"/>
        <v>0</v>
      </c>
      <c r="GO19" s="3936"/>
      <c r="GP19" s="1214"/>
      <c r="GQ19" s="1214"/>
      <c r="GR19" s="1535"/>
      <c r="GS19" s="1536" t="s">
        <v>1068</v>
      </c>
      <c r="GT19" s="1536"/>
      <c r="GU19" s="1536"/>
      <c r="GV19" s="1538"/>
      <c r="GW19" s="1539">
        <f>IF(AND(GJ8&gt;500000),250000,IF(AND(GJ8&gt;250000,GJ8&lt;=500000),GJ8-250000,0))</f>
        <v>0</v>
      </c>
      <c r="GX19" s="3934">
        <f>ROUND(GW19*5%,0.1)</f>
        <v>0</v>
      </c>
      <c r="GY19" s="3934"/>
      <c r="GZ19" s="1313"/>
      <c r="HA19" s="1313"/>
      <c r="HB19" s="831"/>
    </row>
    <row r="20" spans="1:210" ht="18" customHeight="1">
      <c r="A20" s="3979"/>
      <c r="B20" s="3980"/>
      <c r="E20" s="1314" t="s">
        <v>4</v>
      </c>
      <c r="F20" s="1315" t="s">
        <v>1056</v>
      </c>
      <c r="G20" s="1315"/>
      <c r="H20" s="1315"/>
      <c r="I20" s="1315"/>
      <c r="J20" s="1315"/>
      <c r="K20" s="1315"/>
      <c r="L20" s="1321" t="s">
        <v>5</v>
      </c>
      <c r="M20" s="3992">
        <f t="shared" si="0"/>
        <v>0</v>
      </c>
      <c r="N20" s="3993"/>
      <c r="O20" s="1214"/>
      <c r="P20" s="1214"/>
      <c r="Q20" s="1316"/>
      <c r="R20" s="1311" t="s">
        <v>1056</v>
      </c>
      <c r="S20" s="1311"/>
      <c r="T20" s="1311"/>
      <c r="U20" s="1311"/>
      <c r="V20" s="1320">
        <f>IF(AND(I7&gt;1000000),I7-1000000,0)</f>
        <v>0</v>
      </c>
      <c r="W20" s="3999">
        <f>ROUND(V20*30%,0.1)</f>
        <v>0</v>
      </c>
      <c r="X20" s="3999"/>
      <c r="Y20" s="1313"/>
      <c r="Z20" s="3981"/>
      <c r="AA20" s="4005"/>
      <c r="AC20" s="1317" t="s">
        <v>4</v>
      </c>
      <c r="AD20" s="1318" t="s">
        <v>1056</v>
      </c>
      <c r="AE20" s="1318"/>
      <c r="AF20" s="1318"/>
      <c r="AG20" s="1318"/>
      <c r="AH20" s="1318"/>
      <c r="AI20" s="1318"/>
      <c r="AJ20" s="1322" t="s">
        <v>5</v>
      </c>
      <c r="AK20" s="3987">
        <f t="shared" si="1"/>
        <v>0</v>
      </c>
      <c r="AL20" s="3988"/>
      <c r="AM20" s="1214"/>
      <c r="AN20" s="1214"/>
      <c r="AO20" s="1316"/>
      <c r="AP20" s="1311" t="s">
        <v>1056</v>
      </c>
      <c r="AQ20" s="1311"/>
      <c r="AR20" s="1311"/>
      <c r="AS20" s="1311"/>
      <c r="AT20" s="1320">
        <f>IF(AND(AG7&gt;1000000),AG7-1000000,0)</f>
        <v>0</v>
      </c>
      <c r="AU20" s="3989">
        <f>ROUND(AT20*30%,0.1)</f>
        <v>0</v>
      </c>
      <c r="AV20" s="3989"/>
      <c r="AW20" s="1313"/>
      <c r="AX20" s="1313"/>
      <c r="BA20" s="3981"/>
      <c r="BB20" s="4005"/>
      <c r="BD20" s="1317" t="s">
        <v>4</v>
      </c>
      <c r="BE20" s="1318" t="s">
        <v>1056</v>
      </c>
      <c r="BF20" s="1318"/>
      <c r="BG20" s="1318"/>
      <c r="BH20" s="1318"/>
      <c r="BI20" s="1318"/>
      <c r="BJ20" s="1318"/>
      <c r="BK20" s="1322" t="s">
        <v>5</v>
      </c>
      <c r="BL20" s="3987">
        <f t="shared" si="2"/>
        <v>0</v>
      </c>
      <c r="BM20" s="3988"/>
      <c r="BN20" s="1214"/>
      <c r="BO20" s="1214"/>
      <c r="BP20" s="1316"/>
      <c r="BQ20" s="1311" t="s">
        <v>1056</v>
      </c>
      <c r="BR20" s="1311"/>
      <c r="BS20" s="1311"/>
      <c r="BT20" s="1311"/>
      <c r="BU20" s="1320">
        <f>IF(AND(BH7&gt;1000000),BH7-1000000,0)</f>
        <v>0</v>
      </c>
      <c r="BV20" s="3989">
        <f>ROUND(BU20*30%,0.1)</f>
        <v>0</v>
      </c>
      <c r="BW20" s="3989"/>
      <c r="BX20" s="1313"/>
      <c r="BY20" s="1313"/>
      <c r="CB20" s="942"/>
      <c r="CC20" s="3981"/>
      <c r="CD20" s="4005"/>
      <c r="CF20" s="1317" t="s">
        <v>4</v>
      </c>
      <c r="CG20" s="1318" t="s">
        <v>1056</v>
      </c>
      <c r="CH20" s="1318"/>
      <c r="CI20" s="1318"/>
      <c r="CJ20" s="1318"/>
      <c r="CK20" s="1318"/>
      <c r="CL20" s="1318"/>
      <c r="CM20" s="1322" t="s">
        <v>5</v>
      </c>
      <c r="CN20" s="3987">
        <f t="shared" si="3"/>
        <v>0</v>
      </c>
      <c r="CO20" s="3988"/>
      <c r="CP20" s="1214"/>
      <c r="CQ20" s="1214"/>
      <c r="CR20" s="1316"/>
      <c r="CS20" s="1311" t="s">
        <v>1056</v>
      </c>
      <c r="CT20" s="1311"/>
      <c r="CU20" s="1311"/>
      <c r="CV20" s="1311"/>
      <c r="CW20" s="1320">
        <f>IF(AND(CJ7&gt;1000000),CJ7-1000000,0)</f>
        <v>0</v>
      </c>
      <c r="CX20" s="3989">
        <f>ROUND(CW20*30%,0.1)</f>
        <v>0</v>
      </c>
      <c r="CY20" s="3989"/>
      <c r="CZ20" s="1313"/>
      <c r="DA20" s="1313"/>
      <c r="DE20" s="3981"/>
      <c r="DF20" s="4005"/>
      <c r="DH20" s="1317" t="s">
        <v>3</v>
      </c>
      <c r="DI20" s="1318" t="s">
        <v>1055</v>
      </c>
      <c r="DJ20" s="1318"/>
      <c r="DK20" s="1318"/>
      <c r="DL20" s="1318"/>
      <c r="DM20" s="1318"/>
      <c r="DN20" s="1318"/>
      <c r="DO20" s="1322" t="s">
        <v>5</v>
      </c>
      <c r="DP20" s="3987">
        <f t="shared" si="4"/>
        <v>0</v>
      </c>
      <c r="DQ20" s="3988"/>
      <c r="DR20" s="1214"/>
      <c r="DS20" s="1214"/>
      <c r="DT20" s="1316"/>
      <c r="DU20" s="1311" t="s">
        <v>1055</v>
      </c>
      <c r="DV20" s="1311"/>
      <c r="DW20" s="1311"/>
      <c r="DX20" s="1311"/>
      <c r="DY20" s="1320">
        <f>IF(AND(DL8&gt;1000000),500000,IF(AND(DL8&gt;500000,DL8&lt;=1000000),DL8-500000,0))</f>
        <v>0</v>
      </c>
      <c r="DZ20" s="3989">
        <f>ROUND(DY20*20%,0.1)</f>
        <v>0</v>
      </c>
      <c r="EA20" s="3989"/>
      <c r="EB20" s="1313"/>
      <c r="EC20" s="1313"/>
      <c r="EE20" s="3981"/>
      <c r="EF20" s="4005"/>
      <c r="EH20" s="1317" t="s">
        <v>3</v>
      </c>
      <c r="EI20" s="1318" t="s">
        <v>1055</v>
      </c>
      <c r="EJ20" s="1318"/>
      <c r="EK20" s="1318"/>
      <c r="EL20" s="1318"/>
      <c r="EM20" s="1318"/>
      <c r="EN20" s="1318"/>
      <c r="EO20" s="1322" t="s">
        <v>5</v>
      </c>
      <c r="EP20" s="3987">
        <f t="shared" si="5"/>
        <v>0</v>
      </c>
      <c r="EQ20" s="3988"/>
      <c r="ER20" s="1214"/>
      <c r="ES20" s="1214"/>
      <c r="ET20" s="1316"/>
      <c r="EU20" s="1311" t="s">
        <v>1055</v>
      </c>
      <c r="EV20" s="1311"/>
      <c r="EW20" s="1311"/>
      <c r="EX20" s="1311"/>
      <c r="EY20" s="1320">
        <f>IF(AND(EL8&gt;1000000),500000,IF(AND(EL8&gt;500000,EL8&lt;=1000000),EL8-500000,0))</f>
        <v>0</v>
      </c>
      <c r="EZ20" s="3989">
        <f>ROUND(EY20*20%,0.1)</f>
        <v>0</v>
      </c>
      <c r="FA20" s="3989"/>
      <c r="FB20" s="1313"/>
      <c r="FC20" s="1313"/>
      <c r="FD20" s="3981"/>
      <c r="FE20" s="4005"/>
      <c r="FG20" s="1317" t="s">
        <v>3</v>
      </c>
      <c r="FH20" s="1318" t="s">
        <v>1055</v>
      </c>
      <c r="FI20" s="1318"/>
      <c r="FJ20" s="1318"/>
      <c r="FK20" s="1318"/>
      <c r="FL20" s="1318"/>
      <c r="FM20" s="1318"/>
      <c r="FN20" s="1322" t="s">
        <v>5</v>
      </c>
      <c r="FO20" s="3987">
        <f t="shared" si="6"/>
        <v>0</v>
      </c>
      <c r="FP20" s="3988"/>
      <c r="FQ20" s="1214"/>
      <c r="FR20" s="1214"/>
      <c r="FS20" s="1316"/>
      <c r="FT20" s="1311" t="s">
        <v>1055</v>
      </c>
      <c r="FU20" s="1311"/>
      <c r="FV20" s="1311"/>
      <c r="FW20" s="1311"/>
      <c r="FX20" s="1320">
        <f>IF(AND(FK8&gt;1000000),500000,IF(AND(FK8&gt;500000,FK8&lt;=1000000),FK8-500000,0))</f>
        <v>0</v>
      </c>
      <c r="FY20" s="3989">
        <f>ROUND(FX20*20%,0.1)</f>
        <v>0</v>
      </c>
      <c r="FZ20" s="3989"/>
      <c r="GA20" s="1313"/>
      <c r="GB20" s="1313"/>
      <c r="GC20" s="3962"/>
      <c r="GD20" s="3961"/>
      <c r="GF20" s="1528" t="s">
        <v>3</v>
      </c>
      <c r="GG20" s="1529" t="s">
        <v>1055</v>
      </c>
      <c r="GH20" s="1529"/>
      <c r="GI20" s="1529"/>
      <c r="GJ20" s="1529"/>
      <c r="GK20" s="1529"/>
      <c r="GL20" s="1529"/>
      <c r="GM20" s="1530" t="s">
        <v>5</v>
      </c>
      <c r="GN20" s="3935">
        <f t="shared" si="7"/>
        <v>0</v>
      </c>
      <c r="GO20" s="3936"/>
      <c r="GP20" s="1214"/>
      <c r="GQ20" s="1214"/>
      <c r="GR20" s="1535"/>
      <c r="GS20" s="1536" t="s">
        <v>1055</v>
      </c>
      <c r="GT20" s="1536"/>
      <c r="GU20" s="1536"/>
      <c r="GV20" s="1536"/>
      <c r="GW20" s="1539">
        <f>IF(AND(GJ8&gt;1000000),500000,IF(AND(GJ8&gt;500000,GJ8&lt;=1000000),GJ8-500000,0))</f>
        <v>0</v>
      </c>
      <c r="GX20" s="3934">
        <f>ROUND(GW20*20%,0.1)</f>
        <v>0</v>
      </c>
      <c r="GY20" s="3934"/>
      <c r="GZ20" s="1313"/>
      <c r="HA20" s="1313"/>
      <c r="HB20" s="831"/>
    </row>
    <row r="21" spans="1:210" ht="18" customHeight="1">
      <c r="A21" s="3979"/>
      <c r="B21" s="3980"/>
      <c r="E21" s="3990" t="s">
        <v>0</v>
      </c>
      <c r="F21" s="3991"/>
      <c r="G21" s="3991"/>
      <c r="H21" s="1315"/>
      <c r="I21" s="1315"/>
      <c r="J21" s="1315"/>
      <c r="K21" s="1315"/>
      <c r="L21" s="1315" t="s">
        <v>5</v>
      </c>
      <c r="M21" s="3992">
        <f t="shared" si="0"/>
        <v>0</v>
      </c>
      <c r="N21" s="3993"/>
      <c r="O21" s="1214"/>
      <c r="P21" s="1214"/>
      <c r="Q21" s="1249"/>
      <c r="R21" s="1323"/>
      <c r="S21" s="1311"/>
      <c r="T21" s="1311"/>
      <c r="U21" s="1311"/>
      <c r="V21" s="1324" t="s">
        <v>0</v>
      </c>
      <c r="W21" s="4009">
        <f>SUM(W18:X20)</f>
        <v>0</v>
      </c>
      <c r="X21" s="4009"/>
      <c r="Y21" s="1313"/>
      <c r="Z21" s="3981"/>
      <c r="AA21" s="4005"/>
      <c r="AC21" s="4007" t="s">
        <v>0</v>
      </c>
      <c r="AD21" s="4008"/>
      <c r="AE21" s="4008"/>
      <c r="AF21" s="1318"/>
      <c r="AG21" s="1318"/>
      <c r="AH21" s="1318"/>
      <c r="AI21" s="1318"/>
      <c r="AJ21" s="1318" t="s">
        <v>5</v>
      </c>
      <c r="AK21" s="3987">
        <f t="shared" si="1"/>
        <v>0</v>
      </c>
      <c r="AL21" s="3988"/>
      <c r="AM21" s="1214"/>
      <c r="AN21" s="1214"/>
      <c r="AO21" s="1249"/>
      <c r="AP21" s="1323"/>
      <c r="AQ21" s="1311"/>
      <c r="AR21" s="1311"/>
      <c r="AS21" s="1311"/>
      <c r="AT21" s="1324" t="s">
        <v>0</v>
      </c>
      <c r="AU21" s="4006">
        <f>SUM(AU18:AV20)</f>
        <v>0</v>
      </c>
      <c r="AV21" s="4006"/>
      <c r="AW21" s="1313"/>
      <c r="AX21" s="1313"/>
      <c r="BA21" s="3981"/>
      <c r="BB21" s="4005"/>
      <c r="BD21" s="4007" t="s">
        <v>0</v>
      </c>
      <c r="BE21" s="4008"/>
      <c r="BF21" s="4008"/>
      <c r="BG21" s="1318"/>
      <c r="BH21" s="1318"/>
      <c r="BI21" s="1318"/>
      <c r="BJ21" s="1318"/>
      <c r="BK21" s="1318" t="s">
        <v>5</v>
      </c>
      <c r="BL21" s="3987">
        <f t="shared" si="2"/>
        <v>0</v>
      </c>
      <c r="BM21" s="3988"/>
      <c r="BN21" s="1214"/>
      <c r="BO21" s="1214"/>
      <c r="BP21" s="1249"/>
      <c r="BQ21" s="1323"/>
      <c r="BR21" s="1311"/>
      <c r="BS21" s="1311"/>
      <c r="BT21" s="1311"/>
      <c r="BU21" s="1324" t="s">
        <v>0</v>
      </c>
      <c r="BV21" s="4006">
        <f>SUM(BV18:BW20)</f>
        <v>0</v>
      </c>
      <c r="BW21" s="4006"/>
      <c r="BX21" s="1313"/>
      <c r="BY21" s="1313"/>
      <c r="CB21" s="942"/>
      <c r="CC21" s="3981"/>
      <c r="CD21" s="4005"/>
      <c r="CF21" s="4007" t="s">
        <v>0</v>
      </c>
      <c r="CG21" s="4008"/>
      <c r="CH21" s="4008"/>
      <c r="CI21" s="1318"/>
      <c r="CJ21" s="1318"/>
      <c r="CK21" s="1318"/>
      <c r="CL21" s="1318"/>
      <c r="CM21" s="1318" t="s">
        <v>5</v>
      </c>
      <c r="CN21" s="3987">
        <f t="shared" si="3"/>
        <v>0</v>
      </c>
      <c r="CO21" s="3988"/>
      <c r="CP21" s="1214"/>
      <c r="CQ21" s="1214"/>
      <c r="CR21" s="1249"/>
      <c r="CS21" s="1323"/>
      <c r="CT21" s="1311"/>
      <c r="CU21" s="1311"/>
      <c r="CV21" s="1311"/>
      <c r="CW21" s="1324" t="s">
        <v>0</v>
      </c>
      <c r="CX21" s="4006">
        <f>SUM(CX18:CY20)</f>
        <v>0</v>
      </c>
      <c r="CY21" s="4006"/>
      <c r="CZ21" s="1313"/>
      <c r="DA21" s="1313"/>
      <c r="DE21" s="3981"/>
      <c r="DF21" s="4005"/>
      <c r="DH21" s="1317" t="s">
        <v>4</v>
      </c>
      <c r="DI21" s="1318" t="s">
        <v>1056</v>
      </c>
      <c r="DJ21" s="1318"/>
      <c r="DK21" s="1318"/>
      <c r="DL21" s="1318"/>
      <c r="DM21" s="1318"/>
      <c r="DN21" s="1318"/>
      <c r="DO21" s="1322" t="s">
        <v>5</v>
      </c>
      <c r="DP21" s="3987">
        <f t="shared" si="4"/>
        <v>0</v>
      </c>
      <c r="DQ21" s="3988"/>
      <c r="DR21" s="1214"/>
      <c r="DS21" s="1214"/>
      <c r="DT21" s="1316"/>
      <c r="DU21" s="1311" t="s">
        <v>1056</v>
      </c>
      <c r="DV21" s="1311"/>
      <c r="DW21" s="1311"/>
      <c r="DX21" s="1311"/>
      <c r="DY21" s="1320">
        <f>IF(AND(DL8&gt;1000000),DL8-1000000,0)</f>
        <v>0</v>
      </c>
      <c r="DZ21" s="3989">
        <f>ROUND(DY21*30%,0.1)</f>
        <v>0</v>
      </c>
      <c r="EA21" s="3989"/>
      <c r="EB21" s="1313"/>
      <c r="EC21" s="1313"/>
      <c r="EE21" s="3981"/>
      <c r="EF21" s="4005"/>
      <c r="EH21" s="1317" t="s">
        <v>4</v>
      </c>
      <c r="EI21" s="1318" t="s">
        <v>1056</v>
      </c>
      <c r="EJ21" s="1318"/>
      <c r="EK21" s="1318"/>
      <c r="EL21" s="1318"/>
      <c r="EM21" s="1318"/>
      <c r="EN21" s="1318"/>
      <c r="EO21" s="1322" t="s">
        <v>5</v>
      </c>
      <c r="EP21" s="3987">
        <f t="shared" si="5"/>
        <v>0</v>
      </c>
      <c r="EQ21" s="3988"/>
      <c r="ER21" s="1214"/>
      <c r="ES21" s="1214"/>
      <c r="ET21" s="1316"/>
      <c r="EU21" s="1311" t="s">
        <v>1056</v>
      </c>
      <c r="EV21" s="1311"/>
      <c r="EW21" s="1311"/>
      <c r="EX21" s="1311"/>
      <c r="EY21" s="1320">
        <f>IF(AND(EL8&gt;1000000),EL8-1000000,0)</f>
        <v>0</v>
      </c>
      <c r="EZ21" s="3989">
        <f>ROUND(EY21*30%,0.1)</f>
        <v>0</v>
      </c>
      <c r="FA21" s="3989"/>
      <c r="FB21" s="1313"/>
      <c r="FC21" s="1313"/>
      <c r="FD21" s="3981"/>
      <c r="FE21" s="4005"/>
      <c r="FG21" s="1317" t="s">
        <v>4</v>
      </c>
      <c r="FH21" s="1318" t="s">
        <v>1056</v>
      </c>
      <c r="FI21" s="1318"/>
      <c r="FJ21" s="1318"/>
      <c r="FK21" s="1318"/>
      <c r="FL21" s="1318"/>
      <c r="FM21" s="1318"/>
      <c r="FN21" s="1322" t="s">
        <v>5</v>
      </c>
      <c r="FO21" s="3987">
        <f t="shared" si="6"/>
        <v>0</v>
      </c>
      <c r="FP21" s="3988"/>
      <c r="FQ21" s="1214"/>
      <c r="FR21" s="1214"/>
      <c r="FS21" s="1316"/>
      <c r="FT21" s="1311" t="s">
        <v>1056</v>
      </c>
      <c r="FU21" s="1311"/>
      <c r="FV21" s="1311"/>
      <c r="FW21" s="1311"/>
      <c r="FX21" s="1320">
        <f>IF(AND(FK8&gt;1000000),FK8-1000000,0)</f>
        <v>0</v>
      </c>
      <c r="FY21" s="3989">
        <f>ROUND(FX21*30%,0.1)</f>
        <v>0</v>
      </c>
      <c r="FZ21" s="3989"/>
      <c r="GA21" s="1313"/>
      <c r="GB21" s="1313"/>
      <c r="GC21" s="3962"/>
      <c r="GD21" s="3961"/>
      <c r="GF21" s="1528" t="s">
        <v>4</v>
      </c>
      <c r="GG21" s="1529" t="s">
        <v>1056</v>
      </c>
      <c r="GH21" s="1529"/>
      <c r="GI21" s="1529"/>
      <c r="GJ21" s="1529"/>
      <c r="GK21" s="1529"/>
      <c r="GL21" s="1529"/>
      <c r="GM21" s="1530" t="s">
        <v>5</v>
      </c>
      <c r="GN21" s="3935">
        <f t="shared" si="7"/>
        <v>0</v>
      </c>
      <c r="GO21" s="3936"/>
      <c r="GP21" s="1214"/>
      <c r="GQ21" s="1214"/>
      <c r="GR21" s="1535"/>
      <c r="GS21" s="1536" t="s">
        <v>1056</v>
      </c>
      <c r="GT21" s="1536"/>
      <c r="GU21" s="1536"/>
      <c r="GV21" s="1536"/>
      <c r="GW21" s="1539">
        <f>IF(AND(GJ8&gt;1000000),GJ8-1000000,0)</f>
        <v>0</v>
      </c>
      <c r="GX21" s="3934">
        <f>ROUND(GW21*30%,0.1)</f>
        <v>0</v>
      </c>
      <c r="GY21" s="3934"/>
      <c r="GZ21" s="1313"/>
      <c r="HA21" s="1313"/>
      <c r="HB21" s="831"/>
    </row>
    <row r="22" spans="1:210" ht="18" customHeight="1">
      <c r="A22" s="3979"/>
      <c r="B22" s="3980"/>
      <c r="E22" s="4003" t="s">
        <v>8</v>
      </c>
      <c r="F22" s="4004"/>
      <c r="G22" s="4004"/>
      <c r="H22" s="3995" t="s">
        <v>1058</v>
      </c>
      <c r="I22" s="3995"/>
      <c r="J22" s="3995"/>
      <c r="K22" s="3995"/>
      <c r="L22" s="1315" t="s">
        <v>5</v>
      </c>
      <c r="M22" s="3992">
        <f t="shared" si="0"/>
        <v>0</v>
      </c>
      <c r="N22" s="3993"/>
      <c r="O22" s="1214"/>
      <c r="P22" s="1214"/>
      <c r="Q22" s="3998" t="s">
        <v>1058</v>
      </c>
      <c r="R22" s="3998"/>
      <c r="S22" s="3998"/>
      <c r="T22" s="3998"/>
      <c r="U22" s="3998"/>
      <c r="V22" s="1325"/>
      <c r="W22" s="3999">
        <f>IF(I7&lt;=500000,IF(W21&gt;2000,2000,W21),0)</f>
        <v>0</v>
      </c>
      <c r="X22" s="3999"/>
      <c r="Y22" s="1313"/>
      <c r="Z22" s="3981"/>
      <c r="AA22" s="4005"/>
      <c r="AC22" s="4000" t="s">
        <v>8</v>
      </c>
      <c r="AD22" s="4001"/>
      <c r="AE22" s="4001"/>
      <c r="AF22" s="4002" t="s">
        <v>1058</v>
      </c>
      <c r="AG22" s="4002"/>
      <c r="AH22" s="4002"/>
      <c r="AI22" s="4002"/>
      <c r="AJ22" s="1318" t="s">
        <v>5</v>
      </c>
      <c r="AK22" s="3987">
        <f t="shared" si="1"/>
        <v>0</v>
      </c>
      <c r="AL22" s="3988"/>
      <c r="AM22" s="1214"/>
      <c r="AN22" s="1214"/>
      <c r="AO22" s="3998" t="s">
        <v>1058</v>
      </c>
      <c r="AP22" s="3998"/>
      <c r="AQ22" s="3998"/>
      <c r="AR22" s="3998"/>
      <c r="AS22" s="3998"/>
      <c r="AT22" s="1325"/>
      <c r="AU22" s="3989">
        <f>IF(AG7&lt;=500000,IF(AU21&gt;2000,2000,AU21),0)</f>
        <v>0</v>
      </c>
      <c r="AV22" s="3989"/>
      <c r="AW22" s="1313"/>
      <c r="AX22" s="1313"/>
      <c r="BA22" s="3981"/>
      <c r="BB22" s="4005"/>
      <c r="BD22" s="4000" t="s">
        <v>8</v>
      </c>
      <c r="BE22" s="4001"/>
      <c r="BF22" s="4001"/>
      <c r="BG22" s="4011" t="s">
        <v>1058</v>
      </c>
      <c r="BH22" s="4011"/>
      <c r="BI22" s="4011"/>
      <c r="BJ22" s="4011"/>
      <c r="BK22" s="1318" t="s">
        <v>5</v>
      </c>
      <c r="BL22" s="3987">
        <f t="shared" si="2"/>
        <v>0</v>
      </c>
      <c r="BM22" s="3988"/>
      <c r="BN22" s="1214"/>
      <c r="BO22" s="1214"/>
      <c r="BP22" s="3998" t="s">
        <v>1058</v>
      </c>
      <c r="BQ22" s="3998"/>
      <c r="BR22" s="3998"/>
      <c r="BS22" s="3998"/>
      <c r="BT22" s="3998"/>
      <c r="BU22" s="1325"/>
      <c r="BV22" s="3989">
        <f>IF(BH7&lt;=500000,IF(BV21&gt;2000,2000,BV21),0)</f>
        <v>0</v>
      </c>
      <c r="BW22" s="3989"/>
      <c r="BX22" s="1313"/>
      <c r="BY22" s="1313"/>
      <c r="CB22" s="942"/>
      <c r="CC22" s="3981"/>
      <c r="CD22" s="4005"/>
      <c r="CF22" s="4000" t="s">
        <v>8</v>
      </c>
      <c r="CG22" s="4001"/>
      <c r="CH22" s="4001"/>
      <c r="CI22" s="4011" t="s">
        <v>1059</v>
      </c>
      <c r="CJ22" s="4011"/>
      <c r="CK22" s="4011"/>
      <c r="CL22" s="4011"/>
      <c r="CM22" s="1318" t="s">
        <v>5</v>
      </c>
      <c r="CN22" s="3987">
        <f t="shared" si="3"/>
        <v>0</v>
      </c>
      <c r="CO22" s="3988"/>
      <c r="CP22" s="1214"/>
      <c r="CQ22" s="1214"/>
      <c r="CR22" s="3998" t="s">
        <v>1059</v>
      </c>
      <c r="CS22" s="3998"/>
      <c r="CT22" s="3998"/>
      <c r="CU22" s="3998"/>
      <c r="CV22" s="3998"/>
      <c r="CW22" s="1325"/>
      <c r="CX22" s="3989">
        <f>IF(CJ7&lt;=500000,IF(CX21&gt;5000,5000,CX21),0)</f>
        <v>0</v>
      </c>
      <c r="CY22" s="3989"/>
      <c r="CZ22" s="1313"/>
      <c r="DA22" s="1313"/>
      <c r="DE22" s="3981"/>
      <c r="DF22" s="4005"/>
      <c r="DH22" s="4007" t="s">
        <v>0</v>
      </c>
      <c r="DI22" s="4008"/>
      <c r="DJ22" s="4008"/>
      <c r="DK22" s="1318"/>
      <c r="DL22" s="1318"/>
      <c r="DM22" s="1318"/>
      <c r="DN22" s="1318"/>
      <c r="DO22" s="1318" t="s">
        <v>5</v>
      </c>
      <c r="DP22" s="3987">
        <f t="shared" si="4"/>
        <v>0</v>
      </c>
      <c r="DQ22" s="3988"/>
      <c r="DR22" s="1214"/>
      <c r="DS22" s="1214"/>
      <c r="DT22" s="1249"/>
      <c r="DU22" s="1323"/>
      <c r="DV22" s="1311"/>
      <c r="DW22" s="1311"/>
      <c r="DX22" s="4046" t="s">
        <v>0</v>
      </c>
      <c r="DY22" s="4047"/>
      <c r="DZ22" s="3989">
        <f>SUM(DZ19:EA21)</f>
        <v>0</v>
      </c>
      <c r="EA22" s="3989"/>
      <c r="EB22" s="1313"/>
      <c r="EC22" s="1313"/>
      <c r="EE22" s="3981"/>
      <c r="EF22" s="4005"/>
      <c r="EH22" s="4007" t="s">
        <v>0</v>
      </c>
      <c r="EI22" s="4008"/>
      <c r="EJ22" s="4008"/>
      <c r="EK22" s="1318"/>
      <c r="EL22" s="1318"/>
      <c r="EM22" s="1318"/>
      <c r="EN22" s="1318"/>
      <c r="EO22" s="1318" t="s">
        <v>5</v>
      </c>
      <c r="EP22" s="3987">
        <f t="shared" si="5"/>
        <v>0</v>
      </c>
      <c r="EQ22" s="3988"/>
      <c r="ER22" s="1214"/>
      <c r="ES22" s="1214"/>
      <c r="ET22" s="1249"/>
      <c r="EU22" s="1323"/>
      <c r="EV22" s="1311"/>
      <c r="EW22" s="1311"/>
      <c r="EX22" s="4046" t="s">
        <v>0</v>
      </c>
      <c r="EY22" s="4047"/>
      <c r="EZ22" s="3989">
        <f>SUM(EZ19:FA21)</f>
        <v>0</v>
      </c>
      <c r="FA22" s="3989"/>
      <c r="FB22" s="1313"/>
      <c r="FC22" s="1313"/>
      <c r="FD22" s="3981"/>
      <c r="FE22" s="4005"/>
      <c r="FG22" s="4007" t="s">
        <v>0</v>
      </c>
      <c r="FH22" s="4008"/>
      <c r="FI22" s="4008"/>
      <c r="FJ22" s="1318"/>
      <c r="FK22" s="1318"/>
      <c r="FL22" s="1318"/>
      <c r="FM22" s="1318"/>
      <c r="FN22" s="1318" t="s">
        <v>5</v>
      </c>
      <c r="FO22" s="3987">
        <f t="shared" si="6"/>
        <v>0</v>
      </c>
      <c r="FP22" s="3988"/>
      <c r="FQ22" s="1214"/>
      <c r="FR22" s="1214"/>
      <c r="FS22" s="1249"/>
      <c r="FT22" s="1323"/>
      <c r="FU22" s="1311"/>
      <c r="FV22" s="1311"/>
      <c r="FW22" s="4046" t="s">
        <v>0</v>
      </c>
      <c r="FX22" s="4047"/>
      <c r="FY22" s="3989">
        <f>SUM(FY19:FZ21)</f>
        <v>0</v>
      </c>
      <c r="FZ22" s="3989"/>
      <c r="GA22" s="1313"/>
      <c r="GB22" s="1313"/>
      <c r="GC22" s="3962"/>
      <c r="GD22" s="3961"/>
      <c r="GF22" s="3949" t="s">
        <v>0</v>
      </c>
      <c r="GG22" s="3950"/>
      <c r="GH22" s="3950"/>
      <c r="GI22" s="1529"/>
      <c r="GJ22" s="1529"/>
      <c r="GK22" s="1529"/>
      <c r="GL22" s="1529"/>
      <c r="GM22" s="1529" t="s">
        <v>5</v>
      </c>
      <c r="GN22" s="3935">
        <f t="shared" si="7"/>
        <v>0</v>
      </c>
      <c r="GO22" s="3936"/>
      <c r="GP22" s="1214"/>
      <c r="GQ22" s="1214"/>
      <c r="GR22" s="1296"/>
      <c r="GS22" s="1540"/>
      <c r="GT22" s="1536"/>
      <c r="GU22" s="1536"/>
      <c r="GV22" s="3947" t="s">
        <v>0</v>
      </c>
      <c r="GW22" s="3948"/>
      <c r="GX22" s="3934">
        <f>SUM(GX19:GY21)</f>
        <v>0</v>
      </c>
      <c r="GY22" s="3934"/>
      <c r="GZ22" s="1313"/>
      <c r="HA22" s="1313"/>
      <c r="HB22" s="831"/>
    </row>
    <row r="23" spans="1:210" ht="18" customHeight="1">
      <c r="A23" s="3979"/>
      <c r="B23" s="3980"/>
      <c r="E23" s="3994" t="s">
        <v>1057</v>
      </c>
      <c r="F23" s="3995"/>
      <c r="G23" s="3995"/>
      <c r="H23" s="3995"/>
      <c r="I23" s="3995"/>
      <c r="J23" s="3995"/>
      <c r="K23" s="1326"/>
      <c r="L23" s="1327" t="s">
        <v>5</v>
      </c>
      <c r="M23" s="3992">
        <f>W24</f>
        <v>0</v>
      </c>
      <c r="N23" s="3993"/>
      <c r="O23" s="1214"/>
      <c r="P23" s="1214"/>
      <c r="Q23" s="1249"/>
      <c r="R23" s="1311"/>
      <c r="S23" s="1328"/>
      <c r="T23" s="1329"/>
      <c r="U23" s="3996" t="s">
        <v>6</v>
      </c>
      <c r="V23" s="3997"/>
      <c r="W23" s="3999">
        <f>SUM(W21-W22)</f>
        <v>0</v>
      </c>
      <c r="X23" s="3999"/>
      <c r="Y23" s="1313"/>
      <c r="Z23" s="3981"/>
      <c r="AA23" s="4005"/>
      <c r="AC23" s="4012" t="s">
        <v>1057</v>
      </c>
      <c r="AD23" s="4002"/>
      <c r="AE23" s="4002"/>
      <c r="AF23" s="4002"/>
      <c r="AG23" s="4002"/>
      <c r="AH23" s="4002"/>
      <c r="AI23" s="1330"/>
      <c r="AJ23" s="1331" t="s">
        <v>5</v>
      </c>
      <c r="AK23" s="3987">
        <f>AU24</f>
        <v>0</v>
      </c>
      <c r="AL23" s="3988"/>
      <c r="AM23" s="1214"/>
      <c r="AN23" s="1214"/>
      <c r="AO23" s="1249"/>
      <c r="AP23" s="1311"/>
      <c r="AQ23" s="1328"/>
      <c r="AR23" s="1329"/>
      <c r="AS23" s="3996" t="s">
        <v>6</v>
      </c>
      <c r="AT23" s="3997"/>
      <c r="AU23" s="3989">
        <f>SUM(AU21-AU22)</f>
        <v>0</v>
      </c>
      <c r="AV23" s="3989"/>
      <c r="AW23" s="1313"/>
      <c r="AX23" s="1313"/>
      <c r="BA23" s="3981"/>
      <c r="BB23" s="4005"/>
      <c r="BD23" s="4012" t="s">
        <v>1057</v>
      </c>
      <c r="BE23" s="4002"/>
      <c r="BF23" s="4002"/>
      <c r="BG23" s="4002"/>
      <c r="BH23" s="4002"/>
      <c r="BI23" s="4002"/>
      <c r="BJ23" s="1330"/>
      <c r="BK23" s="1331" t="s">
        <v>5</v>
      </c>
      <c r="BL23" s="3987">
        <f>BV24</f>
        <v>0</v>
      </c>
      <c r="BM23" s="3988"/>
      <c r="BN23" s="1214"/>
      <c r="BO23" s="1214"/>
      <c r="BP23" s="1249"/>
      <c r="BQ23" s="1311"/>
      <c r="BR23" s="1328"/>
      <c r="BS23" s="1329"/>
      <c r="BT23" s="3996" t="s">
        <v>6</v>
      </c>
      <c r="BU23" s="3997"/>
      <c r="BV23" s="3989">
        <f>SUM(BV21-BV22)</f>
        <v>0</v>
      </c>
      <c r="BW23" s="3989"/>
      <c r="BX23" s="1313"/>
      <c r="BY23" s="1313"/>
      <c r="CB23" s="942"/>
      <c r="CC23" s="3981"/>
      <c r="CD23" s="4005"/>
      <c r="CF23" s="4012" t="s">
        <v>1057</v>
      </c>
      <c r="CG23" s="4002"/>
      <c r="CH23" s="4002"/>
      <c r="CI23" s="4002"/>
      <c r="CJ23" s="4002"/>
      <c r="CK23" s="4002"/>
      <c r="CL23" s="1330"/>
      <c r="CM23" s="1331" t="s">
        <v>5</v>
      </c>
      <c r="CN23" s="3987">
        <f>CX24</f>
        <v>0</v>
      </c>
      <c r="CO23" s="3988"/>
      <c r="CP23" s="1214"/>
      <c r="CQ23" s="1214"/>
      <c r="CR23" s="1249"/>
      <c r="CS23" s="1311"/>
      <c r="CT23" s="1328"/>
      <c r="CU23" s="1329"/>
      <c r="CV23" s="3996" t="s">
        <v>6</v>
      </c>
      <c r="CW23" s="3997"/>
      <c r="CX23" s="3989">
        <f>SUM(CX21-CX22)</f>
        <v>0</v>
      </c>
      <c r="CY23" s="3989"/>
      <c r="CZ23" s="1313"/>
      <c r="DA23" s="1313"/>
      <c r="DE23" s="3981"/>
      <c r="DF23" s="4005"/>
      <c r="DH23" s="4000" t="s">
        <v>8</v>
      </c>
      <c r="DI23" s="4001"/>
      <c r="DJ23" s="4001"/>
      <c r="DK23" s="4011" t="s">
        <v>1069</v>
      </c>
      <c r="DL23" s="4011"/>
      <c r="DM23" s="4011"/>
      <c r="DN23" s="4011"/>
      <c r="DO23" s="1318" t="s">
        <v>5</v>
      </c>
      <c r="DP23" s="3987">
        <f t="shared" si="4"/>
        <v>0</v>
      </c>
      <c r="DQ23" s="3988"/>
      <c r="DR23" s="1214"/>
      <c r="DS23" s="1214"/>
      <c r="DT23" s="3998" t="s">
        <v>1069</v>
      </c>
      <c r="DU23" s="3998"/>
      <c r="DV23" s="3998"/>
      <c r="DW23" s="3998"/>
      <c r="DX23" s="3998"/>
      <c r="DY23" s="1325"/>
      <c r="DZ23" s="3989">
        <f>IF(DL8&lt;=350000,IF(DZ22&gt;2500,2500,DZ22),0)</f>
        <v>0</v>
      </c>
      <c r="EA23" s="3989"/>
      <c r="EB23" s="1313"/>
      <c r="EC23" s="1313"/>
      <c r="EE23" s="3981"/>
      <c r="EF23" s="4005"/>
      <c r="EH23" s="4000" t="s">
        <v>8</v>
      </c>
      <c r="EI23" s="4001"/>
      <c r="EJ23" s="4001"/>
      <c r="EK23" s="4011" t="s">
        <v>1069</v>
      </c>
      <c r="EL23" s="4011"/>
      <c r="EM23" s="4011"/>
      <c r="EN23" s="4011"/>
      <c r="EO23" s="1318" t="s">
        <v>5</v>
      </c>
      <c r="EP23" s="3987">
        <f>EZ23</f>
        <v>0</v>
      </c>
      <c r="EQ23" s="3988"/>
      <c r="ER23" s="1214"/>
      <c r="ES23" s="1214"/>
      <c r="ET23" s="3998" t="s">
        <v>1069</v>
      </c>
      <c r="EU23" s="3998"/>
      <c r="EV23" s="3998"/>
      <c r="EW23" s="3998"/>
      <c r="EX23" s="3998"/>
      <c r="EY23" s="1325"/>
      <c r="EZ23" s="3989">
        <f>IF(EL8&lt;=350000,IF(EZ22&gt;2500,2500,EZ22),0)</f>
        <v>0</v>
      </c>
      <c r="FA23" s="3989"/>
      <c r="FB23" s="1313"/>
      <c r="FC23" s="1313"/>
      <c r="FD23" s="3981"/>
      <c r="FE23" s="4005"/>
      <c r="FG23" s="4000" t="s">
        <v>8</v>
      </c>
      <c r="FH23" s="4001"/>
      <c r="FI23" s="4001"/>
      <c r="FJ23" s="4011" t="s">
        <v>1160</v>
      </c>
      <c r="FK23" s="4011"/>
      <c r="FL23" s="4011"/>
      <c r="FM23" s="4011"/>
      <c r="FN23" s="1318" t="s">
        <v>5</v>
      </c>
      <c r="FO23" s="3987">
        <f t="shared" si="6"/>
        <v>0</v>
      </c>
      <c r="FP23" s="3988"/>
      <c r="FQ23" s="1214"/>
      <c r="FR23" s="1214"/>
      <c r="FS23" s="3998" t="s">
        <v>1160</v>
      </c>
      <c r="FT23" s="3998"/>
      <c r="FU23" s="3998"/>
      <c r="FV23" s="3998"/>
      <c r="FW23" s="3998"/>
      <c r="FX23" s="1325"/>
      <c r="FY23" s="3989">
        <f>IF(FK8&lt;=500000,IF(FY22&gt;12500,12500,FY22),0)</f>
        <v>0</v>
      </c>
      <c r="FZ23" s="3989"/>
      <c r="GA23" s="1313"/>
      <c r="GB23" s="1313"/>
      <c r="GC23" s="3962"/>
      <c r="GD23" s="3961"/>
      <c r="GF23" s="3959" t="s">
        <v>8</v>
      </c>
      <c r="GG23" s="3960"/>
      <c r="GH23" s="3960"/>
      <c r="GI23" s="3958" t="s">
        <v>1160</v>
      </c>
      <c r="GJ23" s="3958"/>
      <c r="GK23" s="3958"/>
      <c r="GL23" s="3958"/>
      <c r="GM23" s="1529" t="s">
        <v>5</v>
      </c>
      <c r="GN23" s="3935">
        <f t="shared" si="7"/>
        <v>0</v>
      </c>
      <c r="GO23" s="3936"/>
      <c r="GP23" s="1214"/>
      <c r="GQ23" s="1214"/>
      <c r="GR23" s="3957" t="s">
        <v>1160</v>
      </c>
      <c r="GS23" s="3957"/>
      <c r="GT23" s="3957"/>
      <c r="GU23" s="3957"/>
      <c r="GV23" s="3957"/>
      <c r="GW23" s="1541"/>
      <c r="GX23" s="3934">
        <f>IF(GJ8&lt;=500000,IF(GX22&gt;12500,12500,GX22),0)</f>
        <v>0</v>
      </c>
      <c r="GY23" s="3934"/>
      <c r="GZ23" s="1313"/>
      <c r="HA23" s="1313"/>
      <c r="HB23" s="831"/>
    </row>
    <row r="24" spans="1:210" ht="18" customHeight="1">
      <c r="A24" s="3979"/>
      <c r="B24" s="3980"/>
      <c r="E24" s="1333" t="s">
        <v>1060</v>
      </c>
      <c r="F24" s="1327"/>
      <c r="G24" s="1327"/>
      <c r="H24" s="1327"/>
      <c r="I24" s="1327"/>
      <c r="J24" s="1327"/>
      <c r="K24" s="1334"/>
      <c r="L24" s="1334" t="s">
        <v>5</v>
      </c>
      <c r="M24" s="3992">
        <f>W25</f>
        <v>0</v>
      </c>
      <c r="N24" s="3993"/>
      <c r="O24" s="1214"/>
      <c r="P24" s="1214"/>
      <c r="Q24" s="1249"/>
      <c r="R24" s="1332"/>
      <c r="S24" s="1335"/>
      <c r="T24" s="1336"/>
      <c r="U24" s="1336"/>
      <c r="V24" s="1336" t="s">
        <v>1062</v>
      </c>
      <c r="W24" s="3999">
        <f>ROUND(W23*2%,0.1)</f>
        <v>0</v>
      </c>
      <c r="X24" s="3999"/>
      <c r="Y24" s="1313"/>
      <c r="Z24" s="3981"/>
      <c r="AA24" s="4005"/>
      <c r="AC24" s="1337" t="s">
        <v>1060</v>
      </c>
      <c r="AD24" s="1331"/>
      <c r="AE24" s="1331"/>
      <c r="AF24" s="1331"/>
      <c r="AG24" s="1331"/>
      <c r="AH24" s="1331"/>
      <c r="AI24" s="1338"/>
      <c r="AJ24" s="1338" t="s">
        <v>5</v>
      </c>
      <c r="AK24" s="3987">
        <f>AU25</f>
        <v>0</v>
      </c>
      <c r="AL24" s="3988"/>
      <c r="AM24" s="1214"/>
      <c r="AN24" s="1214"/>
      <c r="AO24" s="1249"/>
      <c r="AP24" s="1332"/>
      <c r="AQ24" s="1335"/>
      <c r="AR24" s="1336"/>
      <c r="AS24" s="1336"/>
      <c r="AT24" s="1336" t="s">
        <v>1062</v>
      </c>
      <c r="AU24" s="3989">
        <f>ROUND(AU23*2%,0.1)</f>
        <v>0</v>
      </c>
      <c r="AV24" s="3989"/>
      <c r="AW24" s="1313"/>
      <c r="AX24" s="1313"/>
      <c r="BA24" s="3981"/>
      <c r="BB24" s="4005"/>
      <c r="BD24" s="1337" t="s">
        <v>1060</v>
      </c>
      <c r="BE24" s="1331"/>
      <c r="BF24" s="1331"/>
      <c r="BG24" s="1331"/>
      <c r="BH24" s="1331"/>
      <c r="BI24" s="1331"/>
      <c r="BJ24" s="1338"/>
      <c r="BK24" s="1338" t="s">
        <v>5</v>
      </c>
      <c r="BL24" s="3987">
        <f>BV25</f>
        <v>0</v>
      </c>
      <c r="BM24" s="3988"/>
      <c r="BN24" s="1214"/>
      <c r="BO24" s="1214"/>
      <c r="BP24" s="1249"/>
      <c r="BQ24" s="1332"/>
      <c r="BR24" s="1335"/>
      <c r="BS24" s="1336"/>
      <c r="BT24" s="1336"/>
      <c r="BU24" s="1336" t="s">
        <v>1062</v>
      </c>
      <c r="BV24" s="3989">
        <f>ROUND(BV23*2%,0.1)</f>
        <v>0</v>
      </c>
      <c r="BW24" s="3989"/>
      <c r="BX24" s="1313"/>
      <c r="BY24" s="1313"/>
      <c r="CB24" s="942"/>
      <c r="CC24" s="3981"/>
      <c r="CD24" s="4005"/>
      <c r="CF24" s="1337" t="s">
        <v>1060</v>
      </c>
      <c r="CG24" s="1331"/>
      <c r="CH24" s="1331"/>
      <c r="CI24" s="1331"/>
      <c r="CJ24" s="1331"/>
      <c r="CK24" s="1331"/>
      <c r="CL24" s="1338"/>
      <c r="CM24" s="1338" t="s">
        <v>5</v>
      </c>
      <c r="CN24" s="3987">
        <f>CX25</f>
        <v>0</v>
      </c>
      <c r="CO24" s="3988"/>
      <c r="CP24" s="1214"/>
      <c r="CQ24" s="1214"/>
      <c r="CR24" s="1249"/>
      <c r="CS24" s="1332"/>
      <c r="CT24" s="1335"/>
      <c r="CU24" s="1336"/>
      <c r="CV24" s="1336"/>
      <c r="CW24" s="1336" t="s">
        <v>1062</v>
      </c>
      <c r="CX24" s="3989">
        <f>ROUND(CX23*2%,0.1)</f>
        <v>0</v>
      </c>
      <c r="CY24" s="3989"/>
      <c r="CZ24" s="1313"/>
      <c r="DA24" s="1313"/>
      <c r="DE24" s="3981"/>
      <c r="DF24" s="4005"/>
      <c r="DH24" s="4012" t="s">
        <v>1057</v>
      </c>
      <c r="DI24" s="4002"/>
      <c r="DJ24" s="4002"/>
      <c r="DK24" s="4002"/>
      <c r="DL24" s="4002"/>
      <c r="DM24" s="4002"/>
      <c r="DN24" s="1330"/>
      <c r="DO24" s="1331" t="s">
        <v>5</v>
      </c>
      <c r="DP24" s="3987">
        <f>DZ25</f>
        <v>0</v>
      </c>
      <c r="DQ24" s="3988"/>
      <c r="DR24" s="1214"/>
      <c r="DS24" s="1214"/>
      <c r="DT24" s="1249"/>
      <c r="DU24" s="1311"/>
      <c r="DV24" s="1328"/>
      <c r="DW24" s="1329"/>
      <c r="DX24" s="3996" t="s">
        <v>6</v>
      </c>
      <c r="DY24" s="3997"/>
      <c r="DZ24" s="3989">
        <f>SUM(DZ22-DZ23)</f>
        <v>0</v>
      </c>
      <c r="EA24" s="3989"/>
      <c r="EB24" s="1313"/>
      <c r="EC24" s="1313"/>
      <c r="EE24" s="3981"/>
      <c r="EF24" s="4005"/>
      <c r="EH24" s="4053" t="s">
        <v>1157</v>
      </c>
      <c r="EI24" s="4054"/>
      <c r="EJ24" s="4054"/>
      <c r="EK24" s="4054"/>
      <c r="EL24" s="4054"/>
      <c r="EM24" s="4054"/>
      <c r="EN24" s="4054"/>
      <c r="EO24" s="1331" t="s">
        <v>5</v>
      </c>
      <c r="EP24" s="3987">
        <f>EZ24</f>
        <v>0</v>
      </c>
      <c r="EQ24" s="3988"/>
      <c r="ER24" s="1214"/>
      <c r="ES24" s="1214"/>
      <c r="ET24" s="1249"/>
      <c r="EU24" s="1311"/>
      <c r="EV24" s="1328"/>
      <c r="EW24" s="1329"/>
      <c r="EX24" s="3996" t="s">
        <v>6</v>
      </c>
      <c r="EY24" s="3997"/>
      <c r="EZ24" s="3989">
        <f>SUM(EZ22-EZ23)</f>
        <v>0</v>
      </c>
      <c r="FA24" s="3989"/>
      <c r="FB24" s="1313"/>
      <c r="FC24" s="1313"/>
      <c r="FD24" s="3981"/>
      <c r="FE24" s="4005"/>
      <c r="FG24" s="4053" t="s">
        <v>1157</v>
      </c>
      <c r="FH24" s="4054"/>
      <c r="FI24" s="4054"/>
      <c r="FJ24" s="4054"/>
      <c r="FK24" s="4054"/>
      <c r="FL24" s="4054"/>
      <c r="FM24" s="4054"/>
      <c r="FN24" s="1331" t="s">
        <v>5</v>
      </c>
      <c r="FO24" s="3987">
        <f>FY24</f>
        <v>0</v>
      </c>
      <c r="FP24" s="3988"/>
      <c r="FQ24" s="1214"/>
      <c r="FR24" s="1214"/>
      <c r="FS24" s="1249"/>
      <c r="FT24" s="1311"/>
      <c r="FU24" s="1328"/>
      <c r="FV24" s="1329"/>
      <c r="FW24" s="3996" t="s">
        <v>6</v>
      </c>
      <c r="FX24" s="3997"/>
      <c r="FY24" s="3989">
        <f>SUM(FY22-FY23)</f>
        <v>0</v>
      </c>
      <c r="FZ24" s="3989"/>
      <c r="GA24" s="1313"/>
      <c r="GB24" s="1313"/>
      <c r="GC24" s="3962"/>
      <c r="GD24" s="3961"/>
      <c r="GF24" s="3955" t="s">
        <v>1157</v>
      </c>
      <c r="GG24" s="3956"/>
      <c r="GH24" s="3956"/>
      <c r="GI24" s="3956"/>
      <c r="GJ24" s="3956"/>
      <c r="GK24" s="3956"/>
      <c r="GL24" s="3956"/>
      <c r="GM24" s="1531" t="s">
        <v>5</v>
      </c>
      <c r="GN24" s="3935">
        <f>GX24</f>
        <v>0</v>
      </c>
      <c r="GO24" s="3936"/>
      <c r="GP24" s="1214"/>
      <c r="GQ24" s="1214"/>
      <c r="GR24" s="1296"/>
      <c r="GS24" s="1536"/>
      <c r="GT24" s="1542"/>
      <c r="GU24" s="1543"/>
      <c r="GV24" s="3953" t="s">
        <v>6</v>
      </c>
      <c r="GW24" s="3954"/>
      <c r="GX24" s="3934">
        <f>SUM(GX22-GX23)</f>
        <v>0</v>
      </c>
      <c r="GY24" s="3934"/>
      <c r="GZ24" s="1313"/>
      <c r="HA24" s="1313"/>
      <c r="HB24" s="831"/>
    </row>
    <row r="25" spans="1:210" ht="18" customHeight="1">
      <c r="A25" s="3979"/>
      <c r="B25" s="3980"/>
      <c r="E25" s="4003" t="s">
        <v>1061</v>
      </c>
      <c r="F25" s="4004"/>
      <c r="G25" s="4004"/>
      <c r="H25" s="4004"/>
      <c r="I25" s="4004"/>
      <c r="J25" s="4004"/>
      <c r="K25" s="1339"/>
      <c r="L25" s="1339" t="s">
        <v>5</v>
      </c>
      <c r="M25" s="4013">
        <f>W26</f>
        <v>0</v>
      </c>
      <c r="N25" s="4014"/>
      <c r="Q25" s="1249"/>
      <c r="R25" s="1249"/>
      <c r="S25" s="1336"/>
      <c r="T25" s="4015" t="s">
        <v>1063</v>
      </c>
      <c r="U25" s="4015"/>
      <c r="V25" s="4016"/>
      <c r="W25" s="3999">
        <f>ROUND(W23*1%,0.1)</f>
        <v>0</v>
      </c>
      <c r="X25" s="3999"/>
      <c r="Y25" s="1270"/>
      <c r="Z25" s="3981"/>
      <c r="AA25" s="4005"/>
      <c r="AC25" s="4000" t="s">
        <v>1061</v>
      </c>
      <c r="AD25" s="4001"/>
      <c r="AE25" s="4001"/>
      <c r="AF25" s="4001"/>
      <c r="AG25" s="4001"/>
      <c r="AH25" s="4001"/>
      <c r="AI25" s="1341"/>
      <c r="AJ25" s="1341" t="s">
        <v>5</v>
      </c>
      <c r="AK25" s="4017">
        <f>AU26</f>
        <v>0</v>
      </c>
      <c r="AL25" s="4018"/>
      <c r="AO25" s="1249"/>
      <c r="AP25" s="1249"/>
      <c r="AQ25" s="1336"/>
      <c r="AR25" s="4015" t="s">
        <v>1063</v>
      </c>
      <c r="AS25" s="4015"/>
      <c r="AT25" s="4016"/>
      <c r="AU25" s="3989">
        <f>ROUND(AU23*1%,0.1)</f>
        <v>0</v>
      </c>
      <c r="AV25" s="3989"/>
      <c r="AW25" s="1270"/>
      <c r="AX25" s="1270"/>
      <c r="BA25" s="3981"/>
      <c r="BB25" s="4005"/>
      <c r="BD25" s="4000" t="s">
        <v>1061</v>
      </c>
      <c r="BE25" s="4001"/>
      <c r="BF25" s="4001"/>
      <c r="BG25" s="4001"/>
      <c r="BH25" s="4001"/>
      <c r="BI25" s="4001"/>
      <c r="BJ25" s="1341"/>
      <c r="BK25" s="1341" t="s">
        <v>5</v>
      </c>
      <c r="BL25" s="4019">
        <f>BV26</f>
        <v>0</v>
      </c>
      <c r="BM25" s="4020"/>
      <c r="BP25" s="1249"/>
      <c r="BQ25" s="1249"/>
      <c r="BR25" s="1336"/>
      <c r="BS25" s="4015" t="s">
        <v>1063</v>
      </c>
      <c r="BT25" s="4015"/>
      <c r="BU25" s="4016"/>
      <c r="BV25" s="3989">
        <f>ROUND(BV23*1%,0.1)</f>
        <v>0</v>
      </c>
      <c r="BW25" s="3989"/>
      <c r="BX25" s="1270"/>
      <c r="BY25" s="1270"/>
      <c r="CB25" s="942"/>
      <c r="CC25" s="3981"/>
      <c r="CD25" s="4005"/>
      <c r="CF25" s="4000" t="s">
        <v>1061</v>
      </c>
      <c r="CG25" s="4001"/>
      <c r="CH25" s="4001"/>
      <c r="CI25" s="4001"/>
      <c r="CJ25" s="4001"/>
      <c r="CK25" s="4001"/>
      <c r="CL25" s="1341"/>
      <c r="CM25" s="1341" t="s">
        <v>5</v>
      </c>
      <c r="CN25" s="4017">
        <f>CX26</f>
        <v>0</v>
      </c>
      <c r="CO25" s="4018"/>
      <c r="CR25" s="1249"/>
      <c r="CS25" s="1249"/>
      <c r="CT25" s="1336"/>
      <c r="CU25" s="4015" t="s">
        <v>1063</v>
      </c>
      <c r="CV25" s="4015"/>
      <c r="CW25" s="4016"/>
      <c r="CX25" s="3989">
        <f>ROUND(CX23*1%,0.1)</f>
        <v>0</v>
      </c>
      <c r="CY25" s="3989"/>
      <c r="CZ25" s="1270"/>
      <c r="DA25" s="1270"/>
      <c r="DE25" s="3981"/>
      <c r="DF25" s="4005"/>
      <c r="DH25" s="1337" t="s">
        <v>1060</v>
      </c>
      <c r="DI25" s="1331"/>
      <c r="DJ25" s="1331"/>
      <c r="DK25" s="1331"/>
      <c r="DL25" s="1331"/>
      <c r="DM25" s="1331"/>
      <c r="DN25" s="1338"/>
      <c r="DO25" s="1338" t="s">
        <v>5</v>
      </c>
      <c r="DP25" s="3987">
        <f>DZ26</f>
        <v>0</v>
      </c>
      <c r="DQ25" s="3988"/>
      <c r="DR25" s="1214"/>
      <c r="DS25" s="1214"/>
      <c r="DT25" s="1249"/>
      <c r="DU25" s="1332"/>
      <c r="DV25" s="1335"/>
      <c r="DW25" s="4015" t="s">
        <v>1062</v>
      </c>
      <c r="DX25" s="4015"/>
      <c r="DY25" s="4016"/>
      <c r="DZ25" s="3989">
        <f>ROUND(DZ24*2%,0.1)</f>
        <v>0</v>
      </c>
      <c r="EA25" s="3989"/>
      <c r="EB25" s="1313"/>
      <c r="EC25" s="1313"/>
      <c r="EE25" s="3981"/>
      <c r="EF25" s="4005"/>
      <c r="EH25" s="4012" t="s">
        <v>1099</v>
      </c>
      <c r="EI25" s="4002"/>
      <c r="EJ25" s="4002"/>
      <c r="EK25" s="4002"/>
      <c r="EL25" s="4002"/>
      <c r="EM25" s="4002"/>
      <c r="EN25" s="1330"/>
      <c r="EO25" s="1338" t="s">
        <v>5</v>
      </c>
      <c r="EP25" s="3987">
        <f t="shared" ref="EP25:EP26" si="8">EZ25</f>
        <v>0</v>
      </c>
      <c r="EQ25" s="3988"/>
      <c r="ER25" s="1214"/>
      <c r="ES25" s="1214"/>
      <c r="ET25" s="1249"/>
      <c r="EU25" s="1332"/>
      <c r="EV25" s="1335"/>
      <c r="EW25" s="4015" t="s">
        <v>1156</v>
      </c>
      <c r="EX25" s="4015"/>
      <c r="EY25" s="4016"/>
      <c r="EZ25" s="3989">
        <f>ROUND(EZ24*4%,0.1)</f>
        <v>0</v>
      </c>
      <c r="FA25" s="3989"/>
      <c r="FB25" s="1313"/>
      <c r="FC25" s="1313"/>
      <c r="FD25" s="3981"/>
      <c r="FE25" s="4005"/>
      <c r="FG25" s="4055" t="s">
        <v>1099</v>
      </c>
      <c r="FH25" s="4056"/>
      <c r="FI25" s="4056"/>
      <c r="FJ25" s="4056"/>
      <c r="FK25" s="4056"/>
      <c r="FL25" s="4056"/>
      <c r="FM25" s="4056"/>
      <c r="FN25" s="1338" t="s">
        <v>5</v>
      </c>
      <c r="FO25" s="3987">
        <f t="shared" ref="FO25:FO28" si="9">FY25</f>
        <v>0</v>
      </c>
      <c r="FP25" s="3988"/>
      <c r="FQ25" s="1214"/>
      <c r="FR25" s="1214"/>
      <c r="FS25" s="1249"/>
      <c r="FT25" s="1332"/>
      <c r="FU25" s="1335"/>
      <c r="FV25" s="4015" t="s">
        <v>1156</v>
      </c>
      <c r="FW25" s="4015"/>
      <c r="FX25" s="4016"/>
      <c r="FY25" s="3989">
        <f>ROUND(FY24*4%,0.1)</f>
        <v>0</v>
      </c>
      <c r="FZ25" s="3989"/>
      <c r="GA25" s="1313"/>
      <c r="GB25" s="1313"/>
      <c r="GC25" s="3962"/>
      <c r="GD25" s="3961"/>
      <c r="GF25" s="3951" t="s">
        <v>1099</v>
      </c>
      <c r="GG25" s="3952"/>
      <c r="GH25" s="3952"/>
      <c r="GI25" s="3952"/>
      <c r="GJ25" s="3952"/>
      <c r="GK25" s="3952"/>
      <c r="GL25" s="3952"/>
      <c r="GM25" s="1532" t="s">
        <v>5</v>
      </c>
      <c r="GN25" s="3935">
        <f t="shared" ref="GN25:GN28" si="10">GX25</f>
        <v>0</v>
      </c>
      <c r="GO25" s="3936"/>
      <c r="GP25" s="1214"/>
      <c r="GQ25" s="1214"/>
      <c r="GR25" s="1296"/>
      <c r="GS25" s="1544"/>
      <c r="GT25" s="1545"/>
      <c r="GU25" s="3974" t="s">
        <v>1156</v>
      </c>
      <c r="GV25" s="3974"/>
      <c r="GW25" s="3975"/>
      <c r="GX25" s="3934">
        <f>ROUND(GX24*4%,0.1)</f>
        <v>0</v>
      </c>
      <c r="GY25" s="3934"/>
      <c r="GZ25" s="1313"/>
      <c r="HA25" s="1313"/>
      <c r="HB25" s="831"/>
    </row>
    <row r="26" spans="1:210" ht="21" customHeight="1">
      <c r="A26" s="3979"/>
      <c r="B26" s="3980"/>
      <c r="E26" s="4035" t="s">
        <v>777</v>
      </c>
      <c r="F26" s="4036"/>
      <c r="G26" s="4036"/>
      <c r="H26" s="4036"/>
      <c r="I26" s="4036"/>
      <c r="J26" s="4036"/>
      <c r="K26" s="1339"/>
      <c r="L26" s="1339" t="s">
        <v>5</v>
      </c>
      <c r="M26" s="4037">
        <v>0</v>
      </c>
      <c r="N26" s="4038"/>
      <c r="Q26" s="1249"/>
      <c r="R26" s="1249"/>
      <c r="S26" s="1342"/>
      <c r="T26" s="1342"/>
      <c r="U26" s="1349"/>
      <c r="V26" s="1349" t="s">
        <v>7</v>
      </c>
      <c r="W26" s="3999">
        <f>IF(SUM(W23:X25)&gt;0,SUM(W23:X25),0)</f>
        <v>0</v>
      </c>
      <c r="X26" s="3999"/>
      <c r="Z26" s="3981"/>
      <c r="AA26" s="4005"/>
      <c r="AC26" s="4033" t="s">
        <v>777</v>
      </c>
      <c r="AD26" s="4034"/>
      <c r="AE26" s="4034"/>
      <c r="AF26" s="4034"/>
      <c r="AG26" s="4034"/>
      <c r="AH26" s="4034"/>
      <c r="AI26" s="1343"/>
      <c r="AJ26" s="1341" t="s">
        <v>5</v>
      </c>
      <c r="AK26" s="4017">
        <v>0</v>
      </c>
      <c r="AL26" s="4018"/>
      <c r="AO26" s="1249"/>
      <c r="AP26" s="1249"/>
      <c r="AQ26" s="1342"/>
      <c r="AR26" s="1342"/>
      <c r="AS26" s="1349"/>
      <c r="AT26" s="1349" t="s">
        <v>7</v>
      </c>
      <c r="AU26" s="3989">
        <f>IF(SUM(AU23:AV25)&gt;0,SUM(AU23:AV25),0)</f>
        <v>0</v>
      </c>
      <c r="AV26" s="3989"/>
      <c r="BA26" s="3981"/>
      <c r="BB26" s="4005"/>
      <c r="BD26" s="4033" t="s">
        <v>777</v>
      </c>
      <c r="BE26" s="4034"/>
      <c r="BF26" s="4034"/>
      <c r="BG26" s="4034"/>
      <c r="BH26" s="4034"/>
      <c r="BI26" s="4034"/>
      <c r="BJ26" s="1343"/>
      <c r="BK26" s="1341" t="s">
        <v>5</v>
      </c>
      <c r="BL26" s="4019">
        <v>0</v>
      </c>
      <c r="BM26" s="4020"/>
      <c r="BP26" s="1249"/>
      <c r="BQ26" s="1249"/>
      <c r="BR26" s="1342"/>
      <c r="BS26" s="1342"/>
      <c r="BT26" s="1349"/>
      <c r="BU26" s="1349" t="s">
        <v>7</v>
      </c>
      <c r="BV26" s="3989">
        <f>IF(SUM(BV23:BW25)&gt;0,SUM(BV23:BW25),0)</f>
        <v>0</v>
      </c>
      <c r="BW26" s="3989"/>
      <c r="CB26" s="942"/>
      <c r="CC26" s="3981"/>
      <c r="CD26" s="4005"/>
      <c r="CF26" s="4033" t="s">
        <v>777</v>
      </c>
      <c r="CG26" s="4034"/>
      <c r="CH26" s="4034"/>
      <c r="CI26" s="4034"/>
      <c r="CJ26" s="4034"/>
      <c r="CK26" s="4034"/>
      <c r="CL26" s="1343"/>
      <c r="CM26" s="1341" t="s">
        <v>5</v>
      </c>
      <c r="CN26" s="4017">
        <v>0</v>
      </c>
      <c r="CO26" s="4018"/>
      <c r="CR26" s="1249"/>
      <c r="CS26" s="1249"/>
      <c r="CT26" s="1342"/>
      <c r="CU26" s="1342"/>
      <c r="CV26" s="1349"/>
      <c r="CW26" s="1349" t="s">
        <v>7</v>
      </c>
      <c r="CX26" s="3989">
        <f>IF(SUM(CX23:CY25)&gt;0,SUM(CX23:CY25),0)</f>
        <v>0</v>
      </c>
      <c r="CY26" s="3989"/>
      <c r="DE26" s="3981"/>
      <c r="DF26" s="4005"/>
      <c r="DH26" s="4000" t="s">
        <v>1061</v>
      </c>
      <c r="DI26" s="4001"/>
      <c r="DJ26" s="4001"/>
      <c r="DK26" s="4001"/>
      <c r="DL26" s="4001"/>
      <c r="DM26" s="4001"/>
      <c r="DN26" s="1341"/>
      <c r="DO26" s="1341" t="s">
        <v>5</v>
      </c>
      <c r="DP26" s="4017">
        <f>DZ27</f>
        <v>0</v>
      </c>
      <c r="DQ26" s="4018"/>
      <c r="DT26" s="1249"/>
      <c r="DU26" s="1249"/>
      <c r="DV26" s="1336"/>
      <c r="DW26" s="4015" t="s">
        <v>1063</v>
      </c>
      <c r="DX26" s="4015"/>
      <c r="DY26" s="4016"/>
      <c r="DZ26" s="3989">
        <f>ROUND(DZ24*1%,0.1)</f>
        <v>0</v>
      </c>
      <c r="EA26" s="3989"/>
      <c r="EB26" s="1270"/>
      <c r="EC26" s="1270"/>
      <c r="EE26" s="3981"/>
      <c r="EF26" s="4005"/>
      <c r="EH26" s="4000" t="s">
        <v>1061</v>
      </c>
      <c r="EI26" s="4001"/>
      <c r="EJ26" s="4001"/>
      <c r="EK26" s="4001"/>
      <c r="EL26" s="4001"/>
      <c r="EM26" s="4001"/>
      <c r="EN26" s="1338"/>
      <c r="EO26" s="1341" t="s">
        <v>5</v>
      </c>
      <c r="EP26" s="3987">
        <f t="shared" si="8"/>
        <v>0</v>
      </c>
      <c r="EQ26" s="3988"/>
      <c r="ET26" s="1249"/>
      <c r="EU26" s="1249"/>
      <c r="EV26" s="1336"/>
      <c r="EW26" s="4051" t="s">
        <v>7</v>
      </c>
      <c r="EX26" s="4051"/>
      <c r="EY26" s="4052"/>
      <c r="EZ26" s="3989">
        <f>SUM(EZ24:FA25)</f>
        <v>0</v>
      </c>
      <c r="FA26" s="3989"/>
      <c r="FB26" s="1270"/>
      <c r="FC26" s="1270"/>
      <c r="FD26" s="3981"/>
      <c r="FE26" s="4005"/>
      <c r="FG26" s="4057" t="s">
        <v>1061</v>
      </c>
      <c r="FH26" s="4058"/>
      <c r="FI26" s="4058"/>
      <c r="FJ26" s="4058"/>
      <c r="FK26" s="4058"/>
      <c r="FL26" s="4058"/>
      <c r="FM26" s="4058"/>
      <c r="FN26" s="1341" t="s">
        <v>5</v>
      </c>
      <c r="FO26" s="3987">
        <f t="shared" si="9"/>
        <v>0</v>
      </c>
      <c r="FP26" s="3988"/>
      <c r="FS26" s="1249"/>
      <c r="FT26" s="1249"/>
      <c r="FU26" s="1336"/>
      <c r="FV26" s="4051" t="s">
        <v>7</v>
      </c>
      <c r="FW26" s="4051"/>
      <c r="FX26" s="4052"/>
      <c r="FY26" s="3989">
        <f>SUM(FY24+FY25)</f>
        <v>0</v>
      </c>
      <c r="FZ26" s="3989"/>
      <c r="GA26" s="1270"/>
      <c r="GB26" s="1270"/>
      <c r="GC26" s="3962"/>
      <c r="GD26" s="3961"/>
      <c r="GF26" s="3970" t="s">
        <v>1061</v>
      </c>
      <c r="GG26" s="3971"/>
      <c r="GH26" s="3971"/>
      <c r="GI26" s="3971"/>
      <c r="GJ26" s="3971"/>
      <c r="GK26" s="3971"/>
      <c r="GL26" s="3971"/>
      <c r="GM26" s="1533" t="s">
        <v>5</v>
      </c>
      <c r="GN26" s="3935">
        <f t="shared" si="10"/>
        <v>0</v>
      </c>
      <c r="GO26" s="3936"/>
      <c r="GR26" s="1296"/>
      <c r="GS26" s="1296"/>
      <c r="GT26" s="1546"/>
      <c r="GU26" s="3972" t="s">
        <v>7</v>
      </c>
      <c r="GV26" s="3972"/>
      <c r="GW26" s="3973"/>
      <c r="GX26" s="3934">
        <f>SUM(GX24+GX25)</f>
        <v>0</v>
      </c>
      <c r="GY26" s="3934"/>
      <c r="GZ26" s="1270"/>
      <c r="HA26" s="1270"/>
      <c r="HB26" s="831"/>
    </row>
    <row r="27" spans="1:210" ht="18" customHeight="1">
      <c r="A27" s="3979"/>
      <c r="B27" s="3980"/>
      <c r="E27" s="4021" t="s">
        <v>546</v>
      </c>
      <c r="F27" s="4022"/>
      <c r="G27" s="4022"/>
      <c r="H27" s="4022"/>
      <c r="I27" s="4022"/>
      <c r="J27" s="1344"/>
      <c r="K27" s="1345"/>
      <c r="L27" s="1339" t="s">
        <v>5</v>
      </c>
      <c r="M27" s="4023">
        <f>W28</f>
        <v>0</v>
      </c>
      <c r="N27" s="4024"/>
      <c r="Q27" s="4025" t="s">
        <v>777</v>
      </c>
      <c r="R27" s="4026"/>
      <c r="S27" s="4026"/>
      <c r="T27" s="4026"/>
      <c r="U27" s="4026"/>
      <c r="V27" s="4026"/>
      <c r="W27" s="4027">
        <v>0</v>
      </c>
      <c r="X27" s="4028"/>
      <c r="Z27" s="3981"/>
      <c r="AA27" s="4005"/>
      <c r="AC27" s="4029" t="s">
        <v>546</v>
      </c>
      <c r="AD27" s="4030"/>
      <c r="AE27" s="4030"/>
      <c r="AF27" s="4030"/>
      <c r="AG27" s="4030"/>
      <c r="AH27" s="1346"/>
      <c r="AI27" s="1343"/>
      <c r="AJ27" s="1341" t="s">
        <v>5</v>
      </c>
      <c r="AK27" s="4031">
        <f>AU28</f>
        <v>0</v>
      </c>
      <c r="AL27" s="4032"/>
      <c r="AO27" s="4025" t="s">
        <v>777</v>
      </c>
      <c r="AP27" s="4026"/>
      <c r="AQ27" s="4026"/>
      <c r="AR27" s="4026"/>
      <c r="AS27" s="4026"/>
      <c r="AT27" s="4026"/>
      <c r="AU27" s="4027">
        <v>0</v>
      </c>
      <c r="AV27" s="4028"/>
      <c r="BA27" s="3981"/>
      <c r="BB27" s="4005"/>
      <c r="BD27" s="4029" t="s">
        <v>546</v>
      </c>
      <c r="BE27" s="4030"/>
      <c r="BF27" s="4030"/>
      <c r="BG27" s="4030"/>
      <c r="BH27" s="4030"/>
      <c r="BI27" s="1346"/>
      <c r="BJ27" s="1347"/>
      <c r="BK27" s="1341" t="s">
        <v>5</v>
      </c>
      <c r="BL27" s="4031">
        <f>BV28</f>
        <v>0</v>
      </c>
      <c r="BM27" s="4032"/>
      <c r="BP27" s="4025" t="s">
        <v>777</v>
      </c>
      <c r="BQ27" s="4026"/>
      <c r="BR27" s="4026"/>
      <c r="BS27" s="4026"/>
      <c r="BT27" s="4026"/>
      <c r="BU27" s="4026"/>
      <c r="BV27" s="4027">
        <v>0</v>
      </c>
      <c r="BW27" s="4028"/>
      <c r="CB27" s="942"/>
      <c r="CC27" s="3981"/>
      <c r="CD27" s="4005"/>
      <c r="CF27" s="4029" t="s">
        <v>546</v>
      </c>
      <c r="CG27" s="4030"/>
      <c r="CH27" s="4030"/>
      <c r="CI27" s="4030"/>
      <c r="CJ27" s="4030"/>
      <c r="CK27" s="1346"/>
      <c r="CL27" s="1347"/>
      <c r="CM27" s="1341" t="s">
        <v>5</v>
      </c>
      <c r="CN27" s="4031">
        <f>CX28</f>
        <v>0</v>
      </c>
      <c r="CO27" s="4032"/>
      <c r="CR27" s="4025" t="s">
        <v>777</v>
      </c>
      <c r="CS27" s="4026"/>
      <c r="CT27" s="4026"/>
      <c r="CU27" s="4026"/>
      <c r="CV27" s="4026"/>
      <c r="CW27" s="4026"/>
      <c r="CX27" s="4027">
        <v>0</v>
      </c>
      <c r="CY27" s="4028"/>
      <c r="DE27" s="3981"/>
      <c r="DF27" s="4005"/>
      <c r="DH27" s="4034" t="s">
        <v>777</v>
      </c>
      <c r="DI27" s="4034"/>
      <c r="DJ27" s="4034"/>
      <c r="DK27" s="4034"/>
      <c r="DL27" s="4034"/>
      <c r="DM27" s="4034"/>
      <c r="DN27" s="4034"/>
      <c r="DO27" s="1341" t="s">
        <v>5</v>
      </c>
      <c r="DP27" s="4017">
        <v>0</v>
      </c>
      <c r="DQ27" s="4018"/>
      <c r="DT27" s="1249"/>
      <c r="DU27" s="1249"/>
      <c r="DV27" s="1342"/>
      <c r="DW27" s="4051" t="s">
        <v>7</v>
      </c>
      <c r="DX27" s="4051"/>
      <c r="DY27" s="4052"/>
      <c r="DZ27" s="3989">
        <f>IF(SUM(DZ24:EA26)&gt;0,SUM(DZ24:EA26),0)</f>
        <v>0</v>
      </c>
      <c r="EA27" s="3989"/>
      <c r="EE27" s="3981"/>
      <c r="EF27" s="4005"/>
      <c r="EH27" s="4000" t="s">
        <v>777</v>
      </c>
      <c r="EI27" s="4001"/>
      <c r="EJ27" s="4001"/>
      <c r="EK27" s="4001"/>
      <c r="EL27" s="4001"/>
      <c r="EM27" s="4001"/>
      <c r="EN27" s="1341"/>
      <c r="EO27" s="1341" t="s">
        <v>5</v>
      </c>
      <c r="EP27" s="3987">
        <v>0</v>
      </c>
      <c r="EQ27" s="3988"/>
      <c r="ET27" s="1249"/>
      <c r="EU27" s="1249"/>
      <c r="EV27" s="4026" t="s">
        <v>777</v>
      </c>
      <c r="EW27" s="4026"/>
      <c r="EX27" s="4026"/>
      <c r="EY27" s="4050"/>
      <c r="EZ27" s="3989">
        <v>0</v>
      </c>
      <c r="FA27" s="3989"/>
      <c r="FD27" s="3981"/>
      <c r="FE27" s="4005"/>
      <c r="FG27" s="4057" t="s">
        <v>777</v>
      </c>
      <c r="FH27" s="4058"/>
      <c r="FI27" s="4058"/>
      <c r="FJ27" s="4058"/>
      <c r="FK27" s="4058"/>
      <c r="FL27" s="4058"/>
      <c r="FM27" s="4058"/>
      <c r="FN27" s="1341" t="s">
        <v>5</v>
      </c>
      <c r="FO27" s="3987">
        <v>0</v>
      </c>
      <c r="FP27" s="3988"/>
      <c r="FS27" s="1249"/>
      <c r="FT27" s="1249"/>
      <c r="FU27" s="4026" t="s">
        <v>777</v>
      </c>
      <c r="FV27" s="4026"/>
      <c r="FW27" s="4026"/>
      <c r="FX27" s="4050"/>
      <c r="FY27" s="3989">
        <v>0</v>
      </c>
      <c r="FZ27" s="3989"/>
      <c r="GC27" s="3962"/>
      <c r="GD27" s="3961"/>
      <c r="GF27" s="3970" t="s">
        <v>777</v>
      </c>
      <c r="GG27" s="3971"/>
      <c r="GH27" s="3971"/>
      <c r="GI27" s="3971"/>
      <c r="GJ27" s="3971"/>
      <c r="GK27" s="3971"/>
      <c r="GL27" s="3971"/>
      <c r="GM27" s="1533" t="s">
        <v>5</v>
      </c>
      <c r="GN27" s="3935">
        <v>0</v>
      </c>
      <c r="GO27" s="3936"/>
      <c r="GR27" s="1296"/>
      <c r="GS27" s="1296"/>
      <c r="GT27" s="3967" t="s">
        <v>777</v>
      </c>
      <c r="GU27" s="3967"/>
      <c r="GV27" s="3967"/>
      <c r="GW27" s="3968"/>
      <c r="GX27" s="3934">
        <v>0</v>
      </c>
      <c r="GY27" s="3934"/>
      <c r="HB27" s="831"/>
    </row>
    <row r="28" spans="1:210" ht="18" customHeight="1">
      <c r="A28" s="3979"/>
      <c r="B28" s="3980"/>
      <c r="M28" s="3964"/>
      <c r="N28" s="3964"/>
      <c r="Q28" s="4039" t="s">
        <v>546</v>
      </c>
      <c r="R28" s="4040"/>
      <c r="S28" s="4040"/>
      <c r="T28" s="4040"/>
      <c r="U28" s="4040"/>
      <c r="V28" s="4040"/>
      <c r="W28" s="4027">
        <f>SUM(W26-W27)</f>
        <v>0</v>
      </c>
      <c r="X28" s="4028"/>
      <c r="Z28" s="3981"/>
      <c r="AA28" s="4005"/>
      <c r="AK28" s="3964"/>
      <c r="AL28" s="3964"/>
      <c r="AO28" s="4039" t="s">
        <v>546</v>
      </c>
      <c r="AP28" s="4040"/>
      <c r="AQ28" s="4040"/>
      <c r="AR28" s="4040"/>
      <c r="AS28" s="4040"/>
      <c r="AT28" s="4040"/>
      <c r="AU28" s="4027">
        <f>SUM(AU26-AU27)</f>
        <v>0</v>
      </c>
      <c r="AV28" s="4028"/>
      <c r="BA28" s="3981"/>
      <c r="BB28" s="4005"/>
      <c r="BL28" s="3964"/>
      <c r="BM28" s="3964"/>
      <c r="BP28" s="4039" t="s">
        <v>546</v>
      </c>
      <c r="BQ28" s="4040"/>
      <c r="BR28" s="4040"/>
      <c r="BS28" s="4040"/>
      <c r="BT28" s="4040"/>
      <c r="BU28" s="4040"/>
      <c r="BV28" s="4027">
        <f>SUM(BV26-BV27)</f>
        <v>0</v>
      </c>
      <c r="BW28" s="4028"/>
      <c r="CB28" s="942"/>
      <c r="CC28" s="3981"/>
      <c r="CD28" s="4005"/>
      <c r="CN28" s="3964"/>
      <c r="CO28" s="3964"/>
      <c r="CR28" s="4039" t="s">
        <v>546</v>
      </c>
      <c r="CS28" s="4040"/>
      <c r="CT28" s="4040"/>
      <c r="CU28" s="4040"/>
      <c r="CV28" s="4040"/>
      <c r="CW28" s="4040"/>
      <c r="CX28" s="4027">
        <f>SUM(CX26-CX27)</f>
        <v>0</v>
      </c>
      <c r="CY28" s="4028"/>
      <c r="DE28" s="3981"/>
      <c r="DF28" s="4005"/>
      <c r="DH28" s="4030" t="s">
        <v>546</v>
      </c>
      <c r="DI28" s="4030"/>
      <c r="DJ28" s="4030"/>
      <c r="DK28" s="4030"/>
      <c r="DL28" s="4030"/>
      <c r="DM28" s="4030"/>
      <c r="DN28" s="4030"/>
      <c r="DO28" s="1350" t="s">
        <v>5</v>
      </c>
      <c r="DP28" s="4048">
        <f>DZ29</f>
        <v>0</v>
      </c>
      <c r="DQ28" s="4049"/>
      <c r="DT28" s="1249"/>
      <c r="DU28" s="1249"/>
      <c r="DV28" s="4026" t="s">
        <v>777</v>
      </c>
      <c r="DW28" s="4026"/>
      <c r="DX28" s="4026"/>
      <c r="DY28" s="4050"/>
      <c r="DZ28" s="4027">
        <v>0</v>
      </c>
      <c r="EA28" s="4028"/>
      <c r="EE28" s="3981"/>
      <c r="EF28" s="4005"/>
      <c r="EH28" s="4030" t="s">
        <v>546</v>
      </c>
      <c r="EI28" s="4030"/>
      <c r="EJ28" s="4030"/>
      <c r="EK28" s="4030"/>
      <c r="EL28" s="4030"/>
      <c r="EM28" s="4030"/>
      <c r="EN28" s="4030"/>
      <c r="EO28" s="1350" t="s">
        <v>5</v>
      </c>
      <c r="EP28" s="3987">
        <f>EZ28</f>
        <v>0</v>
      </c>
      <c r="EQ28" s="3988"/>
      <c r="ET28" s="1249"/>
      <c r="EU28" s="1249"/>
      <c r="EV28" s="4026" t="s">
        <v>546</v>
      </c>
      <c r="EW28" s="4026"/>
      <c r="EX28" s="4026"/>
      <c r="EY28" s="4050"/>
      <c r="EZ28" s="4060">
        <f>SUM(EZ26-EZ27)</f>
        <v>0</v>
      </c>
      <c r="FA28" s="4061"/>
      <c r="FD28" s="3981"/>
      <c r="FE28" s="4005"/>
      <c r="FG28" s="4059" t="s">
        <v>546</v>
      </c>
      <c r="FH28" s="4059"/>
      <c r="FI28" s="4059"/>
      <c r="FJ28" s="4059"/>
      <c r="FK28" s="4059"/>
      <c r="FL28" s="4059"/>
      <c r="FM28" s="4059"/>
      <c r="FN28" s="1350" t="s">
        <v>5</v>
      </c>
      <c r="FO28" s="3987">
        <f t="shared" si="9"/>
        <v>0</v>
      </c>
      <c r="FP28" s="3988"/>
      <c r="FS28" s="1249"/>
      <c r="FT28" s="1249"/>
      <c r="FU28" s="4026" t="s">
        <v>546</v>
      </c>
      <c r="FV28" s="4026"/>
      <c r="FW28" s="4026"/>
      <c r="FX28" s="4050"/>
      <c r="FY28" s="4027">
        <f>SUM(FY26-FY27)</f>
        <v>0</v>
      </c>
      <c r="FZ28" s="4028"/>
      <c r="GC28" s="3962"/>
      <c r="GD28" s="3961"/>
      <c r="GF28" s="3969" t="s">
        <v>546</v>
      </c>
      <c r="GG28" s="3969"/>
      <c r="GH28" s="3969"/>
      <c r="GI28" s="3969"/>
      <c r="GJ28" s="3969"/>
      <c r="GK28" s="3969"/>
      <c r="GL28" s="3969"/>
      <c r="GM28" s="1534" t="s">
        <v>5</v>
      </c>
      <c r="GN28" s="3935">
        <f t="shared" si="10"/>
        <v>0</v>
      </c>
      <c r="GO28" s="3936"/>
      <c r="GR28" s="1296"/>
      <c r="GS28" s="1296"/>
      <c r="GT28" s="3967" t="s">
        <v>546</v>
      </c>
      <c r="GU28" s="3967"/>
      <c r="GV28" s="3967"/>
      <c r="GW28" s="3968"/>
      <c r="GX28" s="3965">
        <f>SUM(GX26-GX27)</f>
        <v>0</v>
      </c>
      <c r="GY28" s="3966"/>
      <c r="HB28" s="831"/>
    </row>
    <row r="29" spans="1:210" ht="18" customHeight="1">
      <c r="A29" s="3979"/>
      <c r="B29" s="3980"/>
      <c r="Z29" s="3981"/>
      <c r="AA29" s="4005"/>
      <c r="BA29" s="3981"/>
      <c r="BB29" s="4005"/>
      <c r="CB29" s="942"/>
      <c r="CC29" s="3981"/>
      <c r="CD29" s="4005"/>
      <c r="DE29" s="3981"/>
      <c r="DF29" s="4005"/>
      <c r="DP29" s="3964"/>
      <c r="DQ29" s="3964"/>
      <c r="DT29" s="1249"/>
      <c r="DU29" s="1249"/>
      <c r="DV29" s="4026" t="s">
        <v>546</v>
      </c>
      <c r="DW29" s="4026"/>
      <c r="DX29" s="4026"/>
      <c r="DY29" s="4050"/>
      <c r="DZ29" s="4027">
        <f>IF(DZ27&gt;0,SUM(DZ27-DZ28),0)</f>
        <v>0</v>
      </c>
      <c r="EA29" s="4028"/>
      <c r="EE29" s="3981"/>
      <c r="EF29" s="4005"/>
      <c r="EP29" s="3964"/>
      <c r="EQ29" s="3964"/>
      <c r="ET29" s="1422"/>
      <c r="EU29" s="1422"/>
      <c r="EV29" s="4062"/>
      <c r="EW29" s="4062"/>
      <c r="EX29" s="4062"/>
      <c r="EY29" s="4062"/>
      <c r="EZ29" s="3977"/>
      <c r="FA29" s="3977"/>
      <c r="FD29" s="3981"/>
      <c r="FE29" s="4005"/>
      <c r="FO29" s="3964"/>
      <c r="FP29" s="3964"/>
      <c r="FU29" s="1427"/>
      <c r="FV29" s="1427"/>
      <c r="FW29" s="1427"/>
      <c r="FX29" s="1427"/>
      <c r="FY29" s="3963"/>
      <c r="FZ29" s="3963"/>
      <c r="GC29" s="3962"/>
      <c r="GD29" s="3961"/>
      <c r="GN29" s="3964"/>
      <c r="GO29" s="3964"/>
      <c r="GT29" s="1427"/>
      <c r="GU29" s="1427"/>
      <c r="GV29" s="1427"/>
      <c r="GW29" s="1427"/>
      <c r="GX29" s="3963"/>
      <c r="GY29" s="3963"/>
      <c r="HB29" s="831"/>
    </row>
    <row r="30" spans="1:210" ht="18" customHeight="1">
      <c r="A30" s="3979"/>
      <c r="B30" s="3980"/>
      <c r="Z30" s="3981"/>
      <c r="AA30" s="4005"/>
      <c r="BA30" s="3981"/>
      <c r="BB30" s="4005"/>
      <c r="CB30" s="942"/>
      <c r="CC30" s="3981"/>
      <c r="CD30" s="4005"/>
      <c r="DE30" s="3981"/>
      <c r="DF30" s="4005"/>
      <c r="EE30" s="3981"/>
      <c r="EF30" s="4005"/>
      <c r="FD30" s="3981"/>
      <c r="FE30" s="4005"/>
      <c r="GC30" s="3962"/>
      <c r="GD30" s="3961"/>
      <c r="HB30" s="831"/>
    </row>
    <row r="31" spans="1:210" ht="18" customHeight="1">
      <c r="A31" s="3979"/>
      <c r="B31" s="3980"/>
      <c r="Z31" s="3981"/>
      <c r="AA31" s="4005"/>
      <c r="BA31" s="3981"/>
      <c r="BB31" s="4005"/>
      <c r="CB31" s="942"/>
      <c r="CC31" s="3981"/>
      <c r="CD31" s="4005"/>
      <c r="DE31" s="3981"/>
      <c r="DF31" s="4005"/>
      <c r="EE31" s="3981"/>
      <c r="EF31" s="4005"/>
      <c r="EH31" s="1426"/>
      <c r="EI31" s="1426"/>
      <c r="EJ31" s="1426"/>
      <c r="EK31" s="1426"/>
      <c r="EL31" s="1426"/>
      <c r="EM31" s="1426"/>
      <c r="EN31" s="1423"/>
      <c r="FD31" s="3981"/>
      <c r="FE31" s="4005"/>
      <c r="GC31" s="3962"/>
      <c r="GD31" s="3961"/>
      <c r="HB31" s="831"/>
    </row>
    <row r="32" spans="1:210" ht="18" customHeight="1">
      <c r="A32" s="3979"/>
      <c r="B32" s="3980"/>
      <c r="Z32" s="3981"/>
      <c r="AA32" s="4005"/>
      <c r="BA32" s="3981"/>
      <c r="BB32" s="4005"/>
      <c r="CB32" s="942"/>
      <c r="CC32" s="3981"/>
      <c r="CD32" s="4005"/>
      <c r="DE32" s="3981"/>
      <c r="DF32" s="4005"/>
      <c r="EE32" s="3981"/>
      <c r="EF32" s="4005"/>
      <c r="EH32" s="1424"/>
      <c r="EI32" s="1424"/>
      <c r="EJ32" s="1424"/>
      <c r="EK32" s="1424"/>
      <c r="EL32" s="1424"/>
      <c r="EM32" s="1424"/>
      <c r="EN32" s="1424"/>
      <c r="FD32" s="3981"/>
      <c r="FE32" s="4005"/>
      <c r="GC32" s="3962"/>
      <c r="GD32" s="3961"/>
      <c r="HB32" s="831"/>
    </row>
    <row r="33" spans="1:210" ht="18" customHeight="1">
      <c r="A33" s="1293"/>
      <c r="B33" s="831"/>
      <c r="Z33" s="1294"/>
      <c r="AA33" s="1297"/>
      <c r="BA33" s="1294"/>
      <c r="BB33" s="1297"/>
      <c r="CB33" s="942"/>
      <c r="CC33" s="1294"/>
      <c r="CD33" s="1297"/>
      <c r="DE33" s="3981"/>
      <c r="DF33" s="4005"/>
      <c r="EE33" s="3981"/>
      <c r="EF33" s="4005"/>
      <c r="EH33" s="1424"/>
      <c r="EI33" s="1424"/>
      <c r="EJ33" s="1424"/>
      <c r="EK33" s="1424"/>
      <c r="EL33" s="1424"/>
      <c r="EM33" s="1424"/>
      <c r="EN33" s="1425"/>
      <c r="FD33" s="3981"/>
      <c r="FE33" s="4005"/>
      <c r="GC33" s="3962"/>
      <c r="GD33" s="3961"/>
      <c r="HB33" s="831"/>
    </row>
    <row r="34" spans="1:210" ht="18" customHeight="1">
      <c r="A34" s="1293"/>
      <c r="B34" s="831"/>
      <c r="Z34" s="1294"/>
      <c r="AA34" s="1297"/>
      <c r="BA34" s="1294"/>
      <c r="BB34" s="1297"/>
      <c r="CB34" s="942"/>
      <c r="CC34" s="1294"/>
      <c r="CD34" s="1297"/>
      <c r="DE34" s="1294"/>
      <c r="DF34" s="1297"/>
      <c r="EE34" s="1294"/>
      <c r="EF34" s="1297"/>
      <c r="EH34" s="1427"/>
      <c r="EI34" s="1427"/>
      <c r="EJ34" s="1427"/>
      <c r="EK34" s="1427"/>
      <c r="EL34" s="1427"/>
      <c r="EM34" s="1427"/>
      <c r="EN34" s="1427"/>
      <c r="FD34" s="1294"/>
      <c r="FE34" s="1297"/>
      <c r="GC34" s="877"/>
      <c r="GD34" s="1523"/>
      <c r="HB34" s="831"/>
    </row>
    <row r="35" spans="1:210" ht="18" customHeight="1">
      <c r="A35" s="1293"/>
      <c r="B35" s="831"/>
      <c r="Z35" s="1294"/>
      <c r="AA35" s="1297"/>
      <c r="BA35" s="1294"/>
      <c r="BB35" s="1297"/>
      <c r="CB35" s="942"/>
      <c r="CC35" s="1294"/>
      <c r="CD35" s="1297"/>
      <c r="DE35" s="1294"/>
      <c r="DF35" s="1297"/>
      <c r="EE35" s="1294"/>
      <c r="EF35" s="1297"/>
      <c r="FD35" s="1294"/>
      <c r="FE35" s="1297"/>
      <c r="GC35" s="877"/>
      <c r="GD35" s="1523"/>
      <c r="HB35" s="831"/>
    </row>
    <row r="36" spans="1:210" ht="18" customHeight="1">
      <c r="A36" s="1293"/>
      <c r="B36" s="831"/>
      <c r="Z36" s="1294"/>
      <c r="AA36" s="1297"/>
      <c r="BA36" s="1294"/>
      <c r="BB36" s="1297"/>
      <c r="CB36" s="942"/>
      <c r="CC36" s="1294"/>
      <c r="CD36" s="1297"/>
      <c r="DE36" s="1294"/>
      <c r="DF36" s="1297"/>
      <c r="EE36" s="1294"/>
      <c r="EF36" s="1297"/>
      <c r="FD36" s="1294"/>
      <c r="FE36" s="1297"/>
      <c r="GC36" s="877"/>
      <c r="GD36" s="1523"/>
      <c r="HB36" s="831"/>
    </row>
    <row r="37" spans="1:210" ht="18" customHeight="1">
      <c r="A37" s="1293"/>
      <c r="B37" s="831"/>
      <c r="Z37" s="1294"/>
      <c r="AA37" s="1297"/>
      <c r="BA37" s="1294"/>
      <c r="BB37" s="1297"/>
      <c r="CB37" s="942"/>
      <c r="CC37" s="1294"/>
      <c r="CD37" s="1297"/>
      <c r="DE37" s="1294"/>
      <c r="DF37" s="1297"/>
      <c r="EE37" s="1294"/>
      <c r="EF37" s="1297"/>
      <c r="FD37" s="1294"/>
      <c r="FE37" s="1297"/>
      <c r="GC37" s="877"/>
      <c r="GD37" s="1523"/>
      <c r="HB37" s="831"/>
    </row>
    <row r="38" spans="1:210" ht="18" customHeight="1">
      <c r="A38" s="1293"/>
      <c r="B38" s="831"/>
      <c r="Z38" s="1294"/>
      <c r="AA38" s="1297"/>
      <c r="BA38" s="1294"/>
      <c r="BB38" s="1297"/>
      <c r="CB38" s="942"/>
      <c r="CC38" s="1294"/>
      <c r="CD38" s="1297"/>
      <c r="DE38" s="1294"/>
      <c r="DF38" s="1297"/>
      <c r="EE38" s="1294"/>
      <c r="EF38" s="1297"/>
      <c r="FD38" s="1294"/>
      <c r="FE38" s="1297"/>
      <c r="GC38" s="877"/>
      <c r="GD38" s="1523"/>
      <c r="HB38" s="831"/>
    </row>
    <row r="39" spans="1:210" ht="18" customHeight="1">
      <c r="A39" s="1293"/>
      <c r="B39" s="831"/>
      <c r="Z39" s="1294"/>
      <c r="AA39" s="1297"/>
      <c r="BA39" s="1294"/>
      <c r="BB39" s="1297"/>
      <c r="CB39" s="942"/>
      <c r="CC39" s="1294"/>
      <c r="CD39" s="1297"/>
      <c r="DE39" s="1294"/>
      <c r="DF39" s="1297"/>
      <c r="EE39" s="1294"/>
      <c r="EF39" s="1297"/>
      <c r="FD39" s="1294"/>
      <c r="FE39" s="1297"/>
      <c r="GC39" s="877"/>
      <c r="GD39" s="1523"/>
      <c r="HB39" s="831"/>
    </row>
    <row r="40" spans="1:210" ht="18" customHeight="1">
      <c r="A40" s="1293"/>
      <c r="B40" s="831"/>
      <c r="C40" s="942"/>
      <c r="D40" s="942"/>
      <c r="E40" s="942"/>
      <c r="F40" s="942"/>
      <c r="G40" s="942"/>
      <c r="H40" s="942"/>
      <c r="I40" s="942"/>
      <c r="J40" s="942"/>
      <c r="K40" s="942"/>
      <c r="L40" s="942"/>
      <c r="M40" s="942"/>
      <c r="N40" s="942"/>
      <c r="O40" s="942"/>
      <c r="P40" s="942"/>
      <c r="Q40" s="942"/>
      <c r="R40" s="942"/>
      <c r="S40" s="942"/>
      <c r="T40" s="942"/>
      <c r="U40" s="942"/>
      <c r="V40" s="942"/>
      <c r="W40" s="942"/>
      <c r="X40" s="942"/>
      <c r="Y40" s="942"/>
      <c r="Z40" s="942"/>
      <c r="AA40" s="942"/>
      <c r="AB40" s="942"/>
      <c r="AC40" s="942"/>
      <c r="AD40" s="942"/>
      <c r="AE40" s="942"/>
      <c r="AF40" s="942"/>
      <c r="AG40" s="942"/>
      <c r="AH40" s="942"/>
      <c r="AI40" s="942"/>
      <c r="AJ40" s="942"/>
      <c r="AK40" s="942"/>
      <c r="AL40" s="942"/>
      <c r="AM40" s="942"/>
      <c r="AN40" s="942"/>
      <c r="AO40" s="942"/>
      <c r="AP40" s="942"/>
      <c r="AQ40" s="942"/>
      <c r="AR40" s="942"/>
      <c r="AS40" s="942"/>
      <c r="AT40" s="942"/>
      <c r="AU40" s="942"/>
      <c r="AV40" s="942"/>
      <c r="AW40" s="942"/>
      <c r="AX40" s="942"/>
      <c r="AY40" s="942"/>
      <c r="AZ40" s="942"/>
      <c r="BA40" s="942"/>
      <c r="BB40" s="942"/>
      <c r="BC40" s="942"/>
      <c r="BD40" s="942"/>
      <c r="BE40" s="942"/>
      <c r="BF40" s="942"/>
      <c r="BG40" s="942"/>
      <c r="BH40" s="942"/>
      <c r="BI40" s="942"/>
      <c r="BJ40" s="942"/>
      <c r="BK40" s="942"/>
      <c r="BL40" s="942"/>
      <c r="BM40" s="942"/>
      <c r="BN40" s="942"/>
      <c r="BO40" s="942"/>
      <c r="BP40" s="942"/>
      <c r="BQ40" s="942"/>
      <c r="BR40" s="942"/>
      <c r="BS40" s="942"/>
      <c r="BT40" s="942"/>
      <c r="BU40" s="942"/>
      <c r="BV40" s="942"/>
      <c r="BW40" s="942"/>
      <c r="BX40" s="942"/>
      <c r="BY40" s="942"/>
      <c r="BZ40" s="942"/>
      <c r="CA40" s="942"/>
      <c r="CB40" s="942"/>
      <c r="CC40" s="942"/>
      <c r="CD40" s="942"/>
      <c r="CE40" s="942"/>
      <c r="CF40" s="942"/>
      <c r="CG40" s="942"/>
      <c r="CH40" s="942"/>
      <c r="CI40" s="942"/>
      <c r="CJ40" s="942"/>
      <c r="CK40" s="942"/>
      <c r="CL40" s="942"/>
      <c r="CM40" s="942"/>
      <c r="CN40" s="942"/>
      <c r="CO40" s="942"/>
      <c r="CP40" s="942"/>
      <c r="CQ40" s="942"/>
      <c r="CR40" s="942"/>
      <c r="CS40" s="942"/>
      <c r="CT40" s="942"/>
      <c r="CU40" s="942"/>
      <c r="CV40" s="942"/>
      <c r="CW40" s="942"/>
      <c r="CX40" s="942"/>
      <c r="CY40" s="942"/>
      <c r="CZ40" s="942"/>
      <c r="DA40" s="942"/>
      <c r="DB40" s="942"/>
      <c r="DC40" s="942"/>
      <c r="DD40" s="942"/>
      <c r="DE40" s="942"/>
      <c r="DF40" s="942"/>
      <c r="DG40" s="942"/>
      <c r="DH40" s="942"/>
      <c r="DI40" s="942"/>
      <c r="DJ40" s="942"/>
      <c r="DK40" s="942"/>
      <c r="DL40" s="942"/>
      <c r="DM40" s="942"/>
      <c r="DN40" s="942"/>
      <c r="DO40" s="942"/>
      <c r="DP40" s="942"/>
      <c r="DQ40" s="942"/>
      <c r="DR40" s="942"/>
      <c r="DS40" s="942"/>
      <c r="DT40" s="942"/>
      <c r="DU40" s="942"/>
      <c r="DV40" s="942"/>
      <c r="DW40" s="942"/>
      <c r="DX40" s="942"/>
      <c r="DY40" s="942"/>
      <c r="DZ40" s="942"/>
      <c r="EA40" s="942"/>
      <c r="EB40" s="942"/>
      <c r="EC40" s="942"/>
      <c r="ED40" s="942"/>
      <c r="EE40" s="942"/>
      <c r="EF40" s="942"/>
      <c r="EG40" s="942"/>
      <c r="EH40" s="942"/>
      <c r="EI40" s="942"/>
      <c r="EJ40" s="942"/>
      <c r="EK40" s="942"/>
      <c r="EL40" s="942"/>
      <c r="EM40" s="942"/>
      <c r="EN40" s="942"/>
      <c r="EO40" s="942"/>
      <c r="EP40" s="942"/>
      <c r="EQ40" s="942"/>
      <c r="ER40" s="942"/>
      <c r="ES40" s="942"/>
      <c r="ET40" s="942"/>
      <c r="EU40" s="942"/>
      <c r="EV40" s="942"/>
      <c r="EW40" s="942"/>
      <c r="EX40" s="942"/>
      <c r="EY40" s="942"/>
      <c r="EZ40" s="942"/>
      <c r="FA40" s="942"/>
      <c r="FB40" s="942"/>
      <c r="FC40" s="942"/>
      <c r="FD40" s="942"/>
      <c r="FE40" s="942"/>
      <c r="FF40" s="942"/>
      <c r="FG40" s="942"/>
      <c r="FH40" s="942"/>
      <c r="FI40" s="942"/>
      <c r="FJ40" s="942"/>
      <c r="FK40" s="942"/>
      <c r="FL40" s="942"/>
      <c r="FM40" s="942"/>
      <c r="FN40" s="942"/>
      <c r="FO40" s="942"/>
      <c r="FP40" s="942"/>
      <c r="FQ40" s="942"/>
      <c r="FR40" s="942"/>
      <c r="FS40" s="942"/>
      <c r="FT40" s="942"/>
      <c r="FU40" s="942"/>
      <c r="FV40" s="942"/>
      <c r="FW40" s="942"/>
      <c r="FX40" s="942"/>
      <c r="FY40" s="942"/>
      <c r="FZ40" s="942"/>
      <c r="GA40" s="942"/>
      <c r="GB40" s="942"/>
      <c r="GC40" s="942"/>
      <c r="GD40" s="942"/>
      <c r="GE40" s="942"/>
      <c r="GF40" s="942"/>
      <c r="GG40" s="942"/>
      <c r="GH40" s="942"/>
      <c r="GI40" s="942"/>
      <c r="GJ40" s="942"/>
      <c r="GK40" s="942"/>
      <c r="GL40" s="942"/>
      <c r="GM40" s="942"/>
      <c r="GN40" s="942"/>
      <c r="GO40" s="942"/>
      <c r="GP40" s="942"/>
      <c r="GQ40" s="942"/>
      <c r="GR40" s="942"/>
      <c r="GS40" s="942"/>
      <c r="GT40" s="942"/>
      <c r="GU40" s="942"/>
      <c r="GV40" s="942"/>
      <c r="GW40" s="942"/>
      <c r="GX40" s="942"/>
      <c r="GY40" s="942"/>
      <c r="GZ40" s="942"/>
      <c r="HA40" s="942"/>
      <c r="HB40" s="831"/>
    </row>
    <row r="41" spans="1:210">
      <c r="A41" s="1293"/>
      <c r="B41" s="1419"/>
      <c r="C41" s="1419"/>
      <c r="D41" s="1419"/>
      <c r="E41" s="1419"/>
      <c r="F41" s="1419"/>
      <c r="G41" s="1419"/>
      <c r="H41" s="1419"/>
      <c r="I41" s="1419"/>
      <c r="J41" s="1419"/>
      <c r="K41" s="1419"/>
      <c r="L41" s="1419"/>
      <c r="M41" s="1419"/>
      <c r="N41" s="1419"/>
      <c r="O41" s="1419"/>
      <c r="P41" s="1419"/>
      <c r="Q41" s="1419"/>
      <c r="R41" s="1419"/>
      <c r="S41" s="1419"/>
      <c r="T41" s="1419"/>
      <c r="U41" s="1419"/>
      <c r="V41" s="1419"/>
      <c r="W41" s="1419"/>
      <c r="X41" s="1419"/>
      <c r="Y41" s="1419"/>
      <c r="Z41" s="1419"/>
      <c r="AA41" s="1419"/>
      <c r="AB41" s="1419"/>
      <c r="AC41" s="1419"/>
      <c r="AD41" s="1419"/>
      <c r="AE41" s="1419"/>
      <c r="AF41" s="1419"/>
      <c r="AG41" s="1419"/>
      <c r="AH41" s="1419"/>
      <c r="AI41" s="1419"/>
      <c r="AJ41" s="1419"/>
      <c r="AK41" s="1419"/>
      <c r="AL41" s="1419"/>
      <c r="AM41" s="1419"/>
      <c r="AN41" s="1419"/>
      <c r="AO41" s="1419"/>
      <c r="AP41" s="1419"/>
      <c r="AQ41" s="1419"/>
      <c r="AR41" s="1419"/>
      <c r="AS41" s="1419"/>
      <c r="AT41" s="1419"/>
      <c r="AU41" s="1419"/>
      <c r="AV41" s="1419"/>
      <c r="AW41" s="1419"/>
      <c r="AX41" s="1419"/>
      <c r="AY41" s="1419"/>
      <c r="AZ41" s="1419"/>
      <c r="BA41" s="1419"/>
      <c r="BB41" s="1419"/>
      <c r="BC41" s="1419"/>
      <c r="BD41" s="1419"/>
      <c r="BE41" s="1419"/>
      <c r="BF41" s="1419"/>
      <c r="BG41" s="1419"/>
      <c r="BH41" s="1419"/>
      <c r="BI41" s="1419"/>
      <c r="BJ41" s="1419"/>
      <c r="BK41" s="1419"/>
      <c r="BL41" s="1419"/>
      <c r="BM41" s="1419"/>
      <c r="BN41" s="1419"/>
      <c r="BO41" s="1419"/>
      <c r="BP41" s="1419"/>
      <c r="BQ41" s="1419"/>
      <c r="BR41" s="1419"/>
      <c r="BS41" s="1419"/>
      <c r="BT41" s="1419"/>
      <c r="BU41" s="1419"/>
      <c r="BV41" s="1419"/>
      <c r="BW41" s="1419"/>
      <c r="BX41" s="1419"/>
      <c r="BY41" s="1419"/>
      <c r="BZ41" s="1419"/>
      <c r="CA41" s="1419"/>
      <c r="CB41" s="1419"/>
      <c r="CC41" s="1419"/>
      <c r="CD41" s="1419"/>
      <c r="CE41" s="1419"/>
      <c r="CF41" s="1419"/>
      <c r="CG41" s="1419"/>
      <c r="CH41" s="1419"/>
      <c r="CI41" s="1419"/>
      <c r="CJ41" s="1419"/>
      <c r="CK41" s="1419"/>
      <c r="CL41" s="1419"/>
      <c r="CM41" s="1419"/>
      <c r="CN41" s="1419"/>
      <c r="CO41" s="1419"/>
      <c r="CP41" s="1419"/>
      <c r="CQ41" s="1419"/>
      <c r="CR41" s="1419"/>
      <c r="CS41" s="1419"/>
      <c r="CT41" s="1419"/>
      <c r="CU41" s="1419"/>
      <c r="CV41" s="1419"/>
      <c r="CW41" s="1419"/>
      <c r="CX41" s="1419"/>
      <c r="CY41" s="1419"/>
      <c r="CZ41" s="1419"/>
      <c r="DA41" s="1419"/>
      <c r="DB41" s="1419"/>
      <c r="DC41" s="1419"/>
      <c r="DD41" s="1419"/>
      <c r="DE41" s="1419"/>
      <c r="DF41" s="1419"/>
      <c r="DG41" s="1419"/>
      <c r="DH41" s="1419"/>
      <c r="DI41" s="1419"/>
      <c r="DJ41" s="1419"/>
      <c r="DK41" s="1419"/>
      <c r="DL41" s="1419"/>
      <c r="DM41" s="1419"/>
      <c r="DN41" s="1419"/>
      <c r="DO41" s="1419"/>
      <c r="DP41" s="1419"/>
      <c r="DQ41" s="1419"/>
      <c r="DR41" s="1419"/>
      <c r="DS41" s="1419"/>
      <c r="DT41" s="1419"/>
      <c r="DU41" s="1419"/>
      <c r="DV41" s="1419"/>
      <c r="DW41" s="1419"/>
      <c r="DX41" s="1419"/>
      <c r="DY41" s="1419"/>
      <c r="DZ41" s="1419"/>
      <c r="EA41" s="1419"/>
      <c r="EB41" s="1419"/>
      <c r="EC41" s="1419"/>
      <c r="ED41" s="1419"/>
      <c r="EE41" s="1419"/>
      <c r="EF41" s="1419"/>
      <c r="EG41" s="1419"/>
      <c r="EH41" s="1419"/>
      <c r="EI41" s="1419"/>
      <c r="EJ41" s="1419"/>
      <c r="EK41" s="1419"/>
      <c r="EL41" s="1419"/>
      <c r="EM41" s="1419"/>
      <c r="EN41" s="1419"/>
      <c r="EO41" s="1419"/>
      <c r="EP41" s="1419"/>
      <c r="EQ41" s="1419"/>
      <c r="ER41" s="1419"/>
      <c r="ES41" s="1419"/>
      <c r="ET41" s="1419"/>
      <c r="EU41" s="1419"/>
      <c r="EV41" s="1419"/>
      <c r="EW41" s="1419"/>
      <c r="EX41" s="1419"/>
      <c r="EY41" s="1419"/>
      <c r="EZ41" s="1419"/>
      <c r="FA41" s="1419"/>
      <c r="FB41" s="1419"/>
      <c r="FC41" s="1419"/>
      <c r="FD41" s="1419"/>
      <c r="FE41" s="1419"/>
      <c r="FF41" s="1419"/>
      <c r="FG41" s="1419"/>
      <c r="FH41" s="1419"/>
      <c r="FI41" s="1419"/>
      <c r="FJ41" s="1419"/>
      <c r="FK41" s="1419"/>
      <c r="FL41" s="1419"/>
      <c r="FM41" s="1419"/>
      <c r="FN41" s="1419"/>
      <c r="FO41" s="1419"/>
      <c r="FP41" s="1419"/>
      <c r="FQ41" s="1419"/>
      <c r="FR41" s="1419"/>
      <c r="FS41" s="1419"/>
      <c r="FT41" s="1419"/>
      <c r="FU41" s="1419"/>
      <c r="FV41" s="1419"/>
      <c r="FW41" s="1419"/>
      <c r="FX41" s="1419"/>
      <c r="FY41" s="1419"/>
      <c r="FZ41" s="1419"/>
      <c r="GA41" s="1419"/>
      <c r="GB41" s="1419"/>
      <c r="GC41" s="1419"/>
      <c r="GD41" s="1419"/>
      <c r="GE41" s="1419"/>
      <c r="GF41" s="1419"/>
      <c r="GG41" s="1419"/>
      <c r="GH41" s="1419"/>
      <c r="GI41" s="1419"/>
      <c r="GJ41" s="1419"/>
      <c r="GK41" s="1419"/>
      <c r="GL41" s="1419"/>
      <c r="GM41" s="1419"/>
      <c r="GN41" s="1419"/>
      <c r="GO41" s="1419"/>
      <c r="GP41" s="1419"/>
      <c r="GQ41" s="1419"/>
      <c r="GR41" s="1419"/>
      <c r="GS41" s="1419"/>
      <c r="GT41" s="1419"/>
      <c r="GU41" s="1419"/>
      <c r="GV41" s="1419"/>
      <c r="GW41" s="1419"/>
      <c r="GX41" s="1419"/>
      <c r="GY41" s="1419"/>
      <c r="GZ41" s="1419"/>
      <c r="HA41" s="1419"/>
      <c r="HB41" s="831"/>
    </row>
    <row r="42" spans="1:210">
      <c r="A42" s="1293"/>
      <c r="B42" s="1419"/>
      <c r="C42" s="1419"/>
      <c r="D42" s="1419"/>
      <c r="E42" s="1419"/>
      <c r="F42" s="1419"/>
      <c r="G42" s="1419"/>
      <c r="H42" s="1419"/>
      <c r="I42" s="1419"/>
      <c r="J42" s="1419"/>
      <c r="K42" s="1419"/>
      <c r="L42" s="1419"/>
      <c r="M42" s="1419"/>
      <c r="N42" s="1419"/>
      <c r="O42" s="1419"/>
      <c r="P42" s="1419"/>
      <c r="Q42" s="1419"/>
      <c r="R42" s="1419"/>
      <c r="S42" s="1419"/>
      <c r="T42" s="1419"/>
      <c r="U42" s="1419"/>
      <c r="V42" s="1419"/>
      <c r="W42" s="1419"/>
      <c r="X42" s="1419"/>
      <c r="Y42" s="1419"/>
      <c r="Z42" s="1419"/>
      <c r="AA42" s="1419"/>
      <c r="AB42" s="1419"/>
      <c r="AC42" s="1419"/>
      <c r="AD42" s="1419"/>
      <c r="AE42" s="1419"/>
      <c r="AF42" s="1419"/>
      <c r="AG42" s="1419"/>
      <c r="AH42" s="1419"/>
      <c r="AI42" s="1419"/>
      <c r="AJ42" s="1419"/>
      <c r="AK42" s="1419"/>
      <c r="AL42" s="1419"/>
      <c r="AM42" s="1419"/>
      <c r="AN42" s="1419"/>
      <c r="AO42" s="1419"/>
      <c r="AP42" s="1419"/>
      <c r="AQ42" s="1419"/>
      <c r="AR42" s="1419"/>
      <c r="AS42" s="1419"/>
      <c r="AT42" s="1419"/>
      <c r="AU42" s="1419"/>
      <c r="AV42" s="1419"/>
      <c r="AW42" s="1419"/>
      <c r="AX42" s="1419"/>
      <c r="AY42" s="1419"/>
      <c r="AZ42" s="1419"/>
      <c r="BA42" s="1419"/>
      <c r="BB42" s="1419"/>
      <c r="BC42" s="1419"/>
      <c r="BD42" s="1419"/>
      <c r="BE42" s="1419"/>
      <c r="BF42" s="1419"/>
      <c r="BG42" s="1419"/>
      <c r="BH42" s="1419"/>
      <c r="BI42" s="1419"/>
      <c r="BJ42" s="1419"/>
      <c r="BK42" s="1419"/>
      <c r="BL42" s="1419"/>
      <c r="BM42" s="1419"/>
      <c r="BN42" s="1419"/>
      <c r="BO42" s="1419"/>
      <c r="BP42" s="1419"/>
      <c r="BQ42" s="1419"/>
      <c r="BR42" s="1419"/>
      <c r="BS42" s="1419"/>
      <c r="BT42" s="1419"/>
      <c r="BU42" s="1419"/>
      <c r="BV42" s="1419"/>
      <c r="BW42" s="1419"/>
      <c r="BX42" s="1419"/>
      <c r="BY42" s="1419"/>
      <c r="BZ42" s="1419"/>
      <c r="CA42" s="1419"/>
      <c r="CB42" s="1419"/>
      <c r="CC42" s="1419"/>
      <c r="CD42" s="1419"/>
      <c r="CE42" s="1419"/>
      <c r="CF42" s="1419"/>
      <c r="CG42" s="1419"/>
      <c r="CH42" s="1419"/>
      <c r="CI42" s="1419"/>
      <c r="CJ42" s="1419"/>
      <c r="CK42" s="1419"/>
      <c r="CL42" s="1419"/>
      <c r="CM42" s="1419"/>
      <c r="CN42" s="1419"/>
      <c r="CO42" s="1419"/>
      <c r="CP42" s="1419"/>
      <c r="CQ42" s="1419"/>
      <c r="CR42" s="1419"/>
      <c r="CS42" s="1419"/>
      <c r="CT42" s="1419"/>
      <c r="CU42" s="1419"/>
      <c r="CV42" s="1419"/>
      <c r="CW42" s="1419"/>
      <c r="CX42" s="1419"/>
      <c r="CY42" s="1419"/>
      <c r="CZ42" s="1419"/>
      <c r="DA42" s="1419"/>
      <c r="DB42" s="1419"/>
      <c r="DC42" s="1419"/>
      <c r="DD42" s="1419"/>
      <c r="DE42" s="1419"/>
      <c r="DF42" s="1419"/>
      <c r="DG42" s="1419"/>
      <c r="DH42" s="1419"/>
      <c r="DI42" s="1419"/>
      <c r="DJ42" s="1419"/>
      <c r="DK42" s="1419"/>
      <c r="DL42" s="1419"/>
      <c r="DM42" s="1419"/>
      <c r="DN42" s="1419"/>
      <c r="DO42" s="1419"/>
      <c r="DP42" s="1419"/>
      <c r="DQ42" s="1419"/>
      <c r="DR42" s="1419"/>
      <c r="DS42" s="1419"/>
      <c r="DT42" s="1419"/>
      <c r="DU42" s="1419"/>
      <c r="DV42" s="1419"/>
      <c r="DW42" s="1419"/>
      <c r="DX42" s="1419"/>
      <c r="DY42" s="1419"/>
      <c r="DZ42" s="1419"/>
      <c r="EA42" s="1419"/>
      <c r="EB42" s="1419"/>
      <c r="EC42" s="1419"/>
      <c r="ED42" s="1419"/>
      <c r="EE42" s="1419"/>
      <c r="EF42" s="1419"/>
      <c r="EG42" s="1419"/>
      <c r="EH42" s="1419"/>
      <c r="EI42" s="1419"/>
      <c r="EJ42" s="1419"/>
      <c r="EK42" s="1419"/>
      <c r="EL42" s="1419"/>
      <c r="EM42" s="1419"/>
      <c r="EN42" s="1419"/>
      <c r="EO42" s="1419"/>
      <c r="EP42" s="1419"/>
      <c r="EQ42" s="1419"/>
      <c r="ER42" s="1419"/>
      <c r="ES42" s="1419"/>
      <c r="ET42" s="1419"/>
      <c r="EU42" s="1419"/>
      <c r="EV42" s="1419"/>
      <c r="EW42" s="1419"/>
      <c r="EX42" s="1419"/>
      <c r="EY42" s="1419"/>
      <c r="EZ42" s="1419"/>
      <c r="FA42" s="1419"/>
      <c r="FB42" s="1419"/>
      <c r="FC42" s="1419"/>
      <c r="FD42" s="1419"/>
      <c r="FE42" s="1419"/>
      <c r="FF42" s="1419"/>
      <c r="FG42" s="1419"/>
      <c r="FH42" s="1419"/>
      <c r="FI42" s="1419"/>
      <c r="FJ42" s="1419"/>
      <c r="FK42" s="1419"/>
      <c r="FL42" s="1419"/>
      <c r="FM42" s="1419"/>
      <c r="FN42" s="1419"/>
      <c r="FO42" s="1419"/>
      <c r="FP42" s="1419"/>
      <c r="FQ42" s="1419"/>
      <c r="FR42" s="1419"/>
      <c r="FS42" s="1419"/>
      <c r="FT42" s="1419"/>
      <c r="FU42" s="1419"/>
      <c r="FV42" s="1419"/>
      <c r="FW42" s="1419"/>
      <c r="FX42" s="1419"/>
      <c r="FY42" s="1419"/>
      <c r="FZ42" s="1419"/>
      <c r="GA42" s="1419"/>
      <c r="GB42" s="1419"/>
      <c r="GC42" s="1419"/>
      <c r="GD42" s="1419"/>
      <c r="GE42" s="1419"/>
      <c r="GF42" s="1419"/>
      <c r="GG42" s="1419"/>
      <c r="GH42" s="1419"/>
      <c r="GI42" s="1419"/>
      <c r="GJ42" s="1419"/>
      <c r="GK42" s="1419"/>
      <c r="GL42" s="1419"/>
      <c r="GM42" s="1419"/>
      <c r="GN42" s="1419"/>
      <c r="GO42" s="1419"/>
      <c r="GP42" s="1419"/>
      <c r="GQ42" s="1419"/>
      <c r="GR42" s="1419"/>
      <c r="GS42" s="1419"/>
      <c r="GT42" s="1419"/>
      <c r="GU42" s="1419"/>
      <c r="GV42" s="1419"/>
      <c r="GW42" s="1419"/>
      <c r="GX42" s="1419"/>
      <c r="GY42" s="1419"/>
      <c r="GZ42" s="1419"/>
      <c r="HA42" s="1419"/>
      <c r="HB42" s="831"/>
    </row>
    <row r="43" spans="1:210">
      <c r="A43" s="1293"/>
      <c r="B43" s="1419"/>
      <c r="C43" s="1419"/>
      <c r="D43" s="1419"/>
      <c r="E43" s="1419"/>
      <c r="F43" s="1419"/>
      <c r="G43" s="1419"/>
      <c r="H43" s="1419"/>
      <c r="I43" s="1419"/>
      <c r="J43" s="1419"/>
      <c r="K43" s="1419"/>
      <c r="L43" s="1419"/>
      <c r="M43" s="1419"/>
      <c r="N43" s="1419"/>
      <c r="O43" s="1419"/>
      <c r="P43" s="1419"/>
      <c r="Q43" s="1419"/>
      <c r="R43" s="1419"/>
      <c r="S43" s="1419"/>
      <c r="T43" s="1419"/>
      <c r="U43" s="1419"/>
      <c r="V43" s="1419"/>
      <c r="W43" s="1419"/>
      <c r="X43" s="1419"/>
      <c r="Y43" s="1419"/>
      <c r="Z43" s="1419"/>
      <c r="AA43" s="1419"/>
      <c r="AB43" s="1419"/>
      <c r="AC43" s="1419"/>
      <c r="AD43" s="1419"/>
      <c r="AE43" s="1419"/>
      <c r="AF43" s="1419"/>
      <c r="AG43" s="1419"/>
      <c r="AH43" s="1419"/>
      <c r="AI43" s="1419"/>
      <c r="AJ43" s="1419"/>
      <c r="AK43" s="1419"/>
      <c r="AL43" s="1419"/>
      <c r="AM43" s="1419"/>
      <c r="AN43" s="1419"/>
      <c r="AO43" s="1419"/>
      <c r="AP43" s="1419"/>
      <c r="AQ43" s="1419"/>
      <c r="AR43" s="1419"/>
      <c r="AS43" s="1419"/>
      <c r="AT43" s="1419"/>
      <c r="AU43" s="1419"/>
      <c r="AV43" s="1419"/>
      <c r="AW43" s="1419"/>
      <c r="AX43" s="1419"/>
      <c r="AY43" s="1419"/>
      <c r="AZ43" s="1419"/>
      <c r="BA43" s="1419"/>
      <c r="BB43" s="1419"/>
      <c r="BC43" s="1419"/>
      <c r="BD43" s="1419"/>
      <c r="BE43" s="1419"/>
      <c r="BF43" s="1419"/>
      <c r="BG43" s="1419"/>
      <c r="BH43" s="1419"/>
      <c r="BI43" s="1419"/>
      <c r="BJ43" s="1419"/>
      <c r="BK43" s="1419"/>
      <c r="BL43" s="1419"/>
      <c r="BM43" s="1419"/>
      <c r="BN43" s="1419"/>
      <c r="BO43" s="1419"/>
      <c r="BP43" s="1419"/>
      <c r="BQ43" s="1419"/>
      <c r="BR43" s="1419"/>
      <c r="BS43" s="1419"/>
      <c r="BT43" s="1419"/>
      <c r="BU43" s="1419"/>
      <c r="BV43" s="1419"/>
      <c r="BW43" s="1419"/>
      <c r="BX43" s="1419"/>
      <c r="BY43" s="1419"/>
      <c r="BZ43" s="1419"/>
      <c r="CA43" s="1419"/>
      <c r="CB43" s="1419"/>
      <c r="CC43" s="1419"/>
      <c r="CD43" s="1419"/>
      <c r="CE43" s="1419"/>
      <c r="CF43" s="1419"/>
      <c r="CG43" s="1419"/>
      <c r="CH43" s="1419"/>
      <c r="CI43" s="1419"/>
      <c r="CJ43" s="1419"/>
      <c r="CK43" s="1419"/>
      <c r="CL43" s="1419"/>
      <c r="CM43" s="1419"/>
      <c r="CN43" s="1419"/>
      <c r="CO43" s="1419"/>
      <c r="CP43" s="1419"/>
      <c r="CQ43" s="1419"/>
      <c r="CR43" s="1419"/>
      <c r="CS43" s="1419"/>
      <c r="CT43" s="1419"/>
      <c r="CU43" s="1419"/>
      <c r="CV43" s="1419"/>
      <c r="CW43" s="1419"/>
      <c r="CX43" s="1419"/>
      <c r="CY43" s="1419"/>
      <c r="CZ43" s="1419"/>
      <c r="DA43" s="1419"/>
      <c r="DB43" s="1419"/>
      <c r="DC43" s="1419"/>
      <c r="DD43" s="1419"/>
      <c r="DE43" s="1419"/>
      <c r="DF43" s="1419"/>
      <c r="DG43" s="1419"/>
      <c r="DH43" s="1419"/>
      <c r="DI43" s="1419"/>
      <c r="DJ43" s="1419"/>
      <c r="DK43" s="1419"/>
      <c r="DL43" s="1419"/>
      <c r="DM43" s="1419"/>
      <c r="DN43" s="1419"/>
      <c r="DO43" s="1419"/>
      <c r="DP43" s="1419"/>
      <c r="DQ43" s="1419"/>
      <c r="DR43" s="1419"/>
      <c r="DS43" s="1419"/>
      <c r="DT43" s="1419"/>
      <c r="DU43" s="1419"/>
      <c r="DV43" s="1419"/>
      <c r="DW43" s="1419"/>
      <c r="DX43" s="1419"/>
      <c r="DY43" s="1419"/>
      <c r="DZ43" s="1419"/>
      <c r="EA43" s="1419"/>
      <c r="EB43" s="1419"/>
      <c r="EC43" s="1419"/>
      <c r="ED43" s="1419"/>
      <c r="EE43" s="1419"/>
      <c r="EF43" s="1419"/>
      <c r="EG43" s="1419"/>
      <c r="EH43" s="1419"/>
      <c r="EI43" s="1419"/>
      <c r="EJ43" s="1419"/>
      <c r="EK43" s="1419"/>
      <c r="EL43" s="1419"/>
      <c r="EM43" s="1419"/>
      <c r="EN43" s="1419"/>
      <c r="EO43" s="1419"/>
      <c r="EP43" s="1419"/>
      <c r="EQ43" s="1419"/>
      <c r="ER43" s="1419"/>
      <c r="ES43" s="1419"/>
      <c r="ET43" s="1419"/>
      <c r="EU43" s="1419"/>
      <c r="EV43" s="1419"/>
      <c r="EW43" s="1419"/>
      <c r="EX43" s="1419"/>
      <c r="EY43" s="1419"/>
      <c r="EZ43" s="1419"/>
      <c r="FA43" s="1419"/>
      <c r="FB43" s="1419"/>
      <c r="FC43" s="1419"/>
      <c r="FD43" s="1419"/>
      <c r="FE43" s="1419"/>
      <c r="FF43" s="1419"/>
      <c r="FG43" s="1419"/>
      <c r="FH43" s="1419"/>
      <c r="FI43" s="1419"/>
      <c r="FJ43" s="1419"/>
      <c r="FK43" s="1419"/>
      <c r="FL43" s="1419"/>
      <c r="FM43" s="1419"/>
      <c r="FN43" s="1419"/>
      <c r="FO43" s="1419"/>
      <c r="FP43" s="1419"/>
      <c r="FQ43" s="1419"/>
      <c r="FR43" s="1419"/>
      <c r="FS43" s="1419"/>
      <c r="FT43" s="1419"/>
      <c r="FU43" s="1419"/>
      <c r="FV43" s="1419"/>
      <c r="FW43" s="1419"/>
      <c r="FX43" s="1419"/>
      <c r="FY43" s="1419"/>
      <c r="FZ43" s="1419"/>
      <c r="GA43" s="1419"/>
      <c r="GB43" s="1419"/>
      <c r="GC43" s="1419"/>
      <c r="GD43" s="1419"/>
      <c r="GE43" s="1419"/>
      <c r="GF43" s="1419"/>
      <c r="GG43" s="1419"/>
      <c r="GH43" s="1419"/>
      <c r="GI43" s="1419"/>
      <c r="GJ43" s="1419"/>
      <c r="GK43" s="1419"/>
      <c r="GL43" s="1419"/>
      <c r="GM43" s="1419"/>
      <c r="GN43" s="1419"/>
      <c r="GO43" s="1419"/>
      <c r="GP43" s="1419"/>
      <c r="GQ43" s="1419"/>
      <c r="GR43" s="1419"/>
      <c r="GS43" s="1419"/>
      <c r="GT43" s="1419"/>
      <c r="GU43" s="1419"/>
      <c r="GV43" s="1419"/>
      <c r="GW43" s="1419"/>
      <c r="GX43" s="1419"/>
      <c r="GY43" s="1419"/>
      <c r="GZ43" s="1419"/>
      <c r="HA43" s="1419"/>
      <c r="HB43" s="831"/>
    </row>
    <row r="44" spans="1:210">
      <c r="A44" s="1293"/>
      <c r="B44" s="1419"/>
      <c r="C44" s="1419"/>
      <c r="D44" s="1419"/>
      <c r="E44" s="1419"/>
      <c r="F44" s="1419"/>
      <c r="G44" s="1419"/>
      <c r="H44" s="1419"/>
      <c r="I44" s="1419"/>
      <c r="J44" s="1419"/>
      <c r="K44" s="1419"/>
      <c r="L44" s="1419"/>
      <c r="M44" s="1419"/>
      <c r="N44" s="1419"/>
      <c r="O44" s="1419"/>
      <c r="P44" s="1419"/>
      <c r="Q44" s="1419"/>
      <c r="R44" s="1419"/>
      <c r="S44" s="1419"/>
      <c r="T44" s="1419"/>
      <c r="U44" s="1419"/>
      <c r="V44" s="1419"/>
      <c r="W44" s="1419"/>
      <c r="X44" s="1419"/>
      <c r="Y44" s="1419"/>
      <c r="Z44" s="1419"/>
      <c r="AA44" s="1419"/>
      <c r="AB44" s="1419"/>
      <c r="AC44" s="1419"/>
      <c r="AD44" s="1419"/>
      <c r="AE44" s="1419"/>
      <c r="AF44" s="1419"/>
      <c r="AG44" s="1419"/>
      <c r="AH44" s="1419"/>
      <c r="AI44" s="1419"/>
      <c r="AJ44" s="1419"/>
      <c r="AK44" s="1419"/>
      <c r="AL44" s="1419"/>
      <c r="AM44" s="1419"/>
      <c r="AN44" s="1419"/>
      <c r="AO44" s="1419"/>
      <c r="AP44" s="1419"/>
      <c r="AQ44" s="1419"/>
      <c r="AR44" s="1419"/>
      <c r="AS44" s="1419"/>
      <c r="AT44" s="1419"/>
      <c r="AU44" s="1419"/>
      <c r="AV44" s="1419"/>
      <c r="AW44" s="1419"/>
      <c r="AX44" s="1419"/>
      <c r="AY44" s="1419"/>
      <c r="AZ44" s="1419"/>
      <c r="BA44" s="1419"/>
      <c r="BB44" s="1419"/>
      <c r="BC44" s="1419"/>
      <c r="BD44" s="1419"/>
      <c r="BE44" s="1419"/>
      <c r="BF44" s="1419"/>
      <c r="BG44" s="1419"/>
      <c r="BH44" s="1419"/>
      <c r="BI44" s="1419"/>
      <c r="BJ44" s="1419"/>
      <c r="BK44" s="1419"/>
      <c r="BL44" s="1419"/>
      <c r="BM44" s="1419"/>
      <c r="BN44" s="1419"/>
      <c r="BO44" s="1419"/>
      <c r="BP44" s="1419"/>
      <c r="BQ44" s="1419"/>
      <c r="BR44" s="1419"/>
      <c r="BS44" s="1419"/>
      <c r="BT44" s="1419"/>
      <c r="BU44" s="1419"/>
      <c r="BV44" s="1419"/>
      <c r="BW44" s="1419"/>
      <c r="BX44" s="1419"/>
      <c r="BY44" s="1419"/>
      <c r="BZ44" s="1419"/>
      <c r="CA44" s="1419"/>
      <c r="CB44" s="1419"/>
      <c r="CC44" s="1419"/>
      <c r="CD44" s="1419"/>
      <c r="CE44" s="1419"/>
      <c r="CF44" s="1419"/>
      <c r="CG44" s="1419"/>
      <c r="CH44" s="1419"/>
      <c r="CI44" s="1419"/>
      <c r="CJ44" s="1419"/>
      <c r="CK44" s="1419"/>
      <c r="CL44" s="1419"/>
      <c r="CM44" s="1419"/>
      <c r="CN44" s="1419"/>
      <c r="CO44" s="1419"/>
      <c r="CP44" s="1419"/>
      <c r="CQ44" s="1419"/>
      <c r="CR44" s="1419"/>
      <c r="CS44" s="1419"/>
      <c r="CT44" s="1419"/>
      <c r="CU44" s="1419"/>
      <c r="CV44" s="1419"/>
      <c r="CW44" s="1419"/>
      <c r="CX44" s="1419"/>
      <c r="CY44" s="1419"/>
      <c r="CZ44" s="1419"/>
      <c r="DA44" s="1419"/>
      <c r="DB44" s="1419"/>
      <c r="DC44" s="1419"/>
      <c r="DD44" s="1419"/>
      <c r="DE44" s="1419"/>
      <c r="DF44" s="1419"/>
      <c r="DG44" s="1419"/>
      <c r="DH44" s="1419"/>
      <c r="DI44" s="1419"/>
      <c r="DJ44" s="1419"/>
      <c r="DK44" s="1419"/>
      <c r="DL44" s="1419"/>
      <c r="DM44" s="1419"/>
      <c r="DN44" s="1419"/>
      <c r="DO44" s="1419"/>
      <c r="DP44" s="1419"/>
      <c r="DQ44" s="1419"/>
      <c r="DR44" s="1419"/>
      <c r="DS44" s="1419"/>
      <c r="DT44" s="1419"/>
      <c r="DU44" s="1419"/>
      <c r="DV44" s="1419"/>
      <c r="DW44" s="1419"/>
      <c r="DX44" s="1419"/>
      <c r="DY44" s="1419"/>
      <c r="DZ44" s="1419"/>
      <c r="EA44" s="1419"/>
      <c r="EB44" s="1419"/>
      <c r="EC44" s="1419"/>
      <c r="ED44" s="1419"/>
      <c r="EE44" s="1419"/>
      <c r="EF44" s="1419"/>
      <c r="EG44" s="1419"/>
      <c r="EH44" s="1419"/>
      <c r="EI44" s="1419"/>
      <c r="EJ44" s="1419"/>
      <c r="EK44" s="1419"/>
      <c r="EL44" s="1419"/>
      <c r="EM44" s="1419"/>
      <c r="EN44" s="1419"/>
      <c r="EO44" s="1419"/>
      <c r="EP44" s="1419"/>
      <c r="EQ44" s="1419"/>
      <c r="ER44" s="1419"/>
      <c r="ES44" s="1419"/>
      <c r="ET44" s="1419"/>
      <c r="EU44" s="1419"/>
      <c r="EV44" s="1419"/>
      <c r="EW44" s="1419"/>
      <c r="EX44" s="1419"/>
      <c r="EY44" s="1419"/>
      <c r="EZ44" s="1419"/>
      <c r="FA44" s="1419"/>
      <c r="FB44" s="1419"/>
      <c r="FC44" s="1419"/>
      <c r="FD44" s="1419"/>
      <c r="FE44" s="1419"/>
      <c r="FF44" s="1419"/>
      <c r="FG44" s="1419"/>
      <c r="FH44" s="1419"/>
      <c r="FI44" s="1419"/>
      <c r="FJ44" s="1419"/>
      <c r="FK44" s="1419"/>
      <c r="FL44" s="1419"/>
      <c r="FM44" s="1419"/>
      <c r="FN44" s="1419"/>
      <c r="FO44" s="1419"/>
      <c r="FP44" s="1419"/>
      <c r="FQ44" s="1419"/>
      <c r="FR44" s="1419"/>
      <c r="FS44" s="1419"/>
      <c r="FT44" s="1419"/>
      <c r="FU44" s="1419"/>
      <c r="FV44" s="1419"/>
      <c r="FW44" s="1419"/>
      <c r="FX44" s="1419"/>
      <c r="FY44" s="1419"/>
      <c r="FZ44" s="1419"/>
      <c r="GA44" s="1419"/>
      <c r="GB44" s="1419"/>
      <c r="GC44" s="1419"/>
      <c r="GD44" s="1419"/>
      <c r="GE44" s="1419"/>
      <c r="GF44" s="1419"/>
      <c r="GG44" s="1419"/>
      <c r="GH44" s="1419"/>
      <c r="GI44" s="1419"/>
      <c r="GJ44" s="1419"/>
      <c r="GK44" s="1419"/>
      <c r="GL44" s="1419"/>
      <c r="GM44" s="1419"/>
      <c r="GN44" s="1419"/>
      <c r="GO44" s="1419"/>
      <c r="GP44" s="1419"/>
      <c r="GQ44" s="1419"/>
      <c r="GR44" s="1419"/>
      <c r="GS44" s="1419"/>
      <c r="GT44" s="1419"/>
      <c r="GU44" s="1419"/>
      <c r="GV44" s="1419"/>
      <c r="GW44" s="1419"/>
      <c r="GX44" s="1419"/>
      <c r="GY44" s="1419"/>
      <c r="GZ44" s="1419"/>
      <c r="HA44" s="1419"/>
      <c r="HB44" s="831"/>
    </row>
    <row r="45" spans="1:210">
      <c r="A45" s="1293"/>
      <c r="B45" s="1419"/>
      <c r="C45" s="1419"/>
      <c r="D45" s="1419"/>
      <c r="E45" s="1419"/>
      <c r="F45" s="1419"/>
      <c r="G45" s="1419"/>
      <c r="H45" s="1419"/>
      <c r="I45" s="1419"/>
      <c r="J45" s="1419"/>
      <c r="K45" s="1419"/>
      <c r="L45" s="1419"/>
      <c r="M45" s="1419"/>
      <c r="N45" s="1419"/>
      <c r="O45" s="1419"/>
      <c r="P45" s="1419"/>
      <c r="Q45" s="1419"/>
      <c r="R45" s="1419"/>
      <c r="S45" s="1419"/>
      <c r="T45" s="1419"/>
      <c r="U45" s="1419"/>
      <c r="V45" s="1419"/>
      <c r="W45" s="1419"/>
      <c r="X45" s="1419"/>
      <c r="Y45" s="1419"/>
      <c r="Z45" s="1419"/>
      <c r="AA45" s="1419"/>
      <c r="AB45" s="1419"/>
      <c r="AC45" s="1419"/>
      <c r="AD45" s="1419"/>
      <c r="AE45" s="1419"/>
      <c r="AF45" s="1419"/>
      <c r="AG45" s="1419"/>
      <c r="AH45" s="1419"/>
      <c r="AI45" s="1419"/>
      <c r="AJ45" s="1419"/>
      <c r="AK45" s="1419"/>
      <c r="AL45" s="1419"/>
      <c r="AM45" s="1419"/>
      <c r="AN45" s="1419"/>
      <c r="AO45" s="1419"/>
      <c r="AP45" s="1419"/>
      <c r="AQ45" s="1419"/>
      <c r="AR45" s="1419"/>
      <c r="AS45" s="1419"/>
      <c r="AT45" s="1419"/>
      <c r="AU45" s="1419"/>
      <c r="AV45" s="1419"/>
      <c r="AW45" s="1419"/>
      <c r="AX45" s="1419"/>
      <c r="AY45" s="1419"/>
      <c r="AZ45" s="1419"/>
      <c r="BA45" s="1419"/>
      <c r="BB45" s="1419"/>
      <c r="BC45" s="1419"/>
      <c r="BD45" s="1419"/>
      <c r="BE45" s="1419"/>
      <c r="BF45" s="1419"/>
      <c r="BG45" s="1419"/>
      <c r="BH45" s="1419"/>
      <c r="BI45" s="1419"/>
      <c r="BJ45" s="1419"/>
      <c r="BK45" s="1419"/>
      <c r="BL45" s="1419"/>
      <c r="BM45" s="1419"/>
      <c r="BN45" s="1419"/>
      <c r="BO45" s="1419"/>
      <c r="BP45" s="1419"/>
      <c r="BQ45" s="1419"/>
      <c r="BR45" s="1419"/>
      <c r="BS45" s="1419"/>
      <c r="BT45" s="1419"/>
      <c r="BU45" s="1419"/>
      <c r="BV45" s="1419"/>
      <c r="BW45" s="1419"/>
      <c r="BX45" s="1419"/>
      <c r="BY45" s="1419"/>
      <c r="BZ45" s="1419"/>
      <c r="CA45" s="1419"/>
      <c r="CB45" s="1419"/>
      <c r="CC45" s="1419"/>
      <c r="CD45" s="1419"/>
      <c r="CE45" s="1419"/>
      <c r="CF45" s="1419"/>
      <c r="CG45" s="1419"/>
      <c r="CH45" s="1419"/>
      <c r="CI45" s="1419"/>
      <c r="CJ45" s="1419"/>
      <c r="CK45" s="1419"/>
      <c r="CL45" s="1419"/>
      <c r="CM45" s="1419"/>
      <c r="CN45" s="1419"/>
      <c r="CO45" s="1419"/>
      <c r="CP45" s="1419"/>
      <c r="CQ45" s="1419"/>
      <c r="CR45" s="1419"/>
      <c r="CS45" s="1419"/>
      <c r="CT45" s="1419"/>
      <c r="CU45" s="1419"/>
      <c r="CV45" s="1419"/>
      <c r="CW45" s="1419"/>
      <c r="CX45" s="1419"/>
      <c r="CY45" s="1419"/>
      <c r="CZ45" s="1419"/>
      <c r="DA45" s="1419"/>
      <c r="DB45" s="1419"/>
      <c r="DC45" s="1419"/>
      <c r="DD45" s="1419"/>
      <c r="DE45" s="1419"/>
      <c r="DF45" s="1419"/>
      <c r="DG45" s="1419"/>
      <c r="DH45" s="1419"/>
      <c r="DI45" s="1419"/>
      <c r="DJ45" s="1419"/>
      <c r="DK45" s="1419"/>
      <c r="DL45" s="1419"/>
      <c r="DM45" s="1419"/>
      <c r="DN45" s="1419"/>
      <c r="DO45" s="1419"/>
      <c r="DP45" s="1419"/>
      <c r="DQ45" s="1419"/>
      <c r="DR45" s="1419"/>
      <c r="DS45" s="1419"/>
      <c r="DT45" s="1419"/>
      <c r="DU45" s="1419"/>
      <c r="DV45" s="1419"/>
      <c r="DW45" s="1419"/>
      <c r="DX45" s="1419"/>
      <c r="DY45" s="1419"/>
      <c r="DZ45" s="1419"/>
      <c r="EA45" s="1419"/>
      <c r="EB45" s="1419"/>
      <c r="EC45" s="1419"/>
      <c r="ED45" s="1419"/>
      <c r="EE45" s="1419"/>
      <c r="EF45" s="1419"/>
      <c r="EG45" s="1419"/>
      <c r="EH45" s="1419"/>
      <c r="EI45" s="1419"/>
      <c r="EJ45" s="1419"/>
      <c r="EK45" s="1419"/>
      <c r="EL45" s="1419"/>
      <c r="EM45" s="1419"/>
      <c r="EN45" s="1419"/>
      <c r="EO45" s="1419"/>
      <c r="EP45" s="1419"/>
      <c r="EQ45" s="1419"/>
      <c r="ER45" s="1419"/>
      <c r="ES45" s="1419"/>
      <c r="ET45" s="1419"/>
      <c r="EU45" s="1419"/>
      <c r="EV45" s="1419"/>
      <c r="EW45" s="1419"/>
      <c r="EX45" s="1419"/>
      <c r="EY45" s="1419"/>
      <c r="EZ45" s="1419"/>
      <c r="FA45" s="1419"/>
      <c r="FB45" s="1419"/>
      <c r="FC45" s="1419"/>
      <c r="FD45" s="1419"/>
      <c r="FE45" s="1419"/>
      <c r="FF45" s="1419"/>
      <c r="FG45" s="1419"/>
      <c r="FH45" s="1419"/>
      <c r="FI45" s="1419"/>
      <c r="FJ45" s="1419"/>
      <c r="FK45" s="1419"/>
      <c r="FL45" s="1419"/>
      <c r="FM45" s="1419"/>
      <c r="FN45" s="1419"/>
      <c r="FO45" s="1419"/>
      <c r="FP45" s="1419"/>
      <c r="FQ45" s="1419"/>
      <c r="FR45" s="1419"/>
      <c r="FS45" s="1419"/>
      <c r="FT45" s="1419"/>
      <c r="FU45" s="1419"/>
      <c r="FV45" s="1419"/>
      <c r="FW45" s="1419"/>
      <c r="FX45" s="1419"/>
      <c r="FY45" s="1419"/>
      <c r="FZ45" s="1419"/>
      <c r="GA45" s="1419"/>
      <c r="GB45" s="1419"/>
      <c r="GC45" s="1419"/>
      <c r="GD45" s="1419"/>
      <c r="GE45" s="1419"/>
      <c r="GF45" s="1419"/>
      <c r="GG45" s="1419"/>
      <c r="GH45" s="1419"/>
      <c r="GI45" s="1419"/>
      <c r="GJ45" s="1419"/>
      <c r="GK45" s="1419"/>
      <c r="GL45" s="1419"/>
      <c r="GM45" s="1419"/>
      <c r="GN45" s="1419"/>
      <c r="GO45" s="1419"/>
      <c r="GP45" s="1419"/>
      <c r="GQ45" s="1419"/>
      <c r="GR45" s="1419"/>
      <c r="GS45" s="1419"/>
      <c r="GT45" s="1419"/>
      <c r="GU45" s="1419"/>
      <c r="GV45" s="1419"/>
      <c r="GW45" s="1419"/>
      <c r="GX45" s="1419"/>
      <c r="GY45" s="1419"/>
      <c r="GZ45" s="1419"/>
      <c r="HA45" s="1419"/>
      <c r="HB45" s="831"/>
    </row>
    <row r="46" spans="1:210" ht="19.5" customHeight="1">
      <c r="A46" s="1293"/>
      <c r="B46" s="4087" t="s">
        <v>1155</v>
      </c>
      <c r="C46" s="4087"/>
      <c r="D46" s="4087"/>
      <c r="E46" s="4087"/>
      <c r="F46" s="4087"/>
      <c r="G46" s="4087"/>
      <c r="H46" s="4087"/>
      <c r="I46" s="1226"/>
      <c r="J46" s="1226"/>
      <c r="K46" s="1226"/>
      <c r="L46" s="1226"/>
      <c r="M46" s="1226"/>
      <c r="N46" s="1226"/>
      <c r="O46" s="1226"/>
      <c r="P46" s="1226"/>
      <c r="Q46" s="1226"/>
      <c r="R46" s="1226"/>
      <c r="S46" s="1226"/>
      <c r="T46" s="1226"/>
      <c r="U46" s="1226"/>
      <c r="V46" s="1226"/>
      <c r="W46" s="1226"/>
      <c r="X46" s="1226"/>
      <c r="Y46" s="1226"/>
      <c r="Z46" s="1294"/>
      <c r="AA46" s="1226"/>
      <c r="AB46" s="1226"/>
      <c r="AC46" s="1226"/>
      <c r="AD46" s="1226"/>
      <c r="AE46" s="1226"/>
      <c r="AF46" s="1226"/>
      <c r="AG46" s="1226"/>
      <c r="AH46" s="1226"/>
      <c r="AI46" s="1226"/>
      <c r="AJ46" s="1226"/>
      <c r="AK46" s="1226"/>
      <c r="AL46" s="1226"/>
      <c r="AM46" s="1226"/>
      <c r="AN46" s="1226"/>
      <c r="AO46" s="1226"/>
      <c r="AP46" s="1226"/>
      <c r="AQ46" s="1226"/>
      <c r="AR46" s="1226"/>
      <c r="AS46" s="1226"/>
      <c r="AT46" s="1226"/>
      <c r="AU46" s="1226"/>
      <c r="AV46" s="1226"/>
      <c r="AW46" s="1226"/>
      <c r="AX46" s="1226"/>
      <c r="AY46" s="1226"/>
      <c r="AZ46" s="1226"/>
      <c r="BA46" s="1294"/>
      <c r="BB46" s="1226"/>
      <c r="BC46" s="1226"/>
      <c r="BD46" s="1226"/>
      <c r="BE46" s="1226"/>
      <c r="BF46" s="1226"/>
      <c r="BG46" s="1226"/>
      <c r="BH46" s="1226"/>
      <c r="BI46" s="1226"/>
      <c r="BJ46" s="1226"/>
      <c r="BK46" s="1226"/>
      <c r="BL46" s="1226"/>
      <c r="BM46" s="1226"/>
      <c r="BN46" s="1226"/>
      <c r="BO46" s="1226"/>
      <c r="BP46" s="1226"/>
      <c r="BQ46" s="1226"/>
      <c r="BR46" s="1226"/>
      <c r="BS46" s="1226"/>
      <c r="BT46" s="1226"/>
      <c r="BU46" s="1226"/>
      <c r="BV46" s="1226"/>
      <c r="BW46" s="1226"/>
      <c r="BX46" s="1226"/>
      <c r="BY46" s="1226"/>
      <c r="BZ46" s="1226"/>
      <c r="CA46" s="1226"/>
      <c r="CB46" s="1226"/>
      <c r="CC46" s="1294"/>
      <c r="CD46" s="1226"/>
      <c r="CE46" s="1226"/>
      <c r="CF46" s="1226"/>
      <c r="CG46" s="1226"/>
      <c r="CH46" s="1226"/>
      <c r="CI46" s="1226"/>
      <c r="CJ46" s="1226"/>
      <c r="CK46" s="1226"/>
      <c r="CL46" s="1226"/>
      <c r="CM46" s="1226"/>
      <c r="CN46" s="1226"/>
      <c r="CO46" s="1226"/>
      <c r="CP46" s="1226"/>
      <c r="CQ46" s="1226"/>
      <c r="CR46" s="1226"/>
      <c r="CS46" s="1226"/>
      <c r="CT46" s="1226"/>
      <c r="CU46" s="1226"/>
      <c r="CV46" s="1226"/>
      <c r="CW46" s="1226"/>
      <c r="CX46" s="1226"/>
      <c r="CY46" s="1226"/>
      <c r="CZ46" s="1226"/>
      <c r="DA46" s="1226"/>
      <c r="DB46" s="1226"/>
      <c r="DC46" s="1226"/>
      <c r="DD46" s="1226"/>
      <c r="DE46" s="864"/>
      <c r="DF46" s="1348"/>
      <c r="DG46" s="864"/>
      <c r="DH46" s="864"/>
      <c r="DI46" s="864"/>
      <c r="DJ46" s="864"/>
      <c r="DK46" s="864"/>
      <c r="DL46" s="864"/>
      <c r="DM46" s="864"/>
      <c r="DN46" s="864"/>
      <c r="DO46" s="864"/>
      <c r="DP46" s="864"/>
      <c r="DQ46" s="864"/>
      <c r="DR46" s="864"/>
      <c r="DS46" s="864"/>
      <c r="DT46" s="864"/>
      <c r="DU46" s="864"/>
      <c r="DV46" s="864"/>
      <c r="DW46" s="864"/>
      <c r="DX46" s="864"/>
      <c r="DY46" s="864"/>
      <c r="DZ46" s="864"/>
      <c r="EA46" s="864"/>
      <c r="EB46" s="864"/>
      <c r="EC46" s="864"/>
      <c r="ED46" s="864"/>
      <c r="EE46" s="864"/>
      <c r="EF46" s="1348"/>
      <c r="EG46" s="864"/>
      <c r="EH46" s="864"/>
      <c r="EI46" s="864"/>
      <c r="EJ46" s="864"/>
      <c r="EK46" s="864"/>
      <c r="EL46" s="864"/>
      <c r="EM46" s="864"/>
      <c r="EN46" s="864"/>
      <c r="EO46" s="864"/>
      <c r="EP46" s="864"/>
      <c r="EQ46" s="864"/>
      <c r="ER46" s="864"/>
      <c r="ES46" s="864"/>
      <c r="ET46" s="864"/>
      <c r="EU46" s="864"/>
      <c r="EV46" s="864"/>
      <c r="EW46" s="864"/>
      <c r="EX46" s="864"/>
      <c r="EY46" s="864"/>
      <c r="EZ46" s="864"/>
      <c r="FA46" s="864"/>
      <c r="FB46" s="864"/>
      <c r="FC46" s="864"/>
      <c r="FD46" s="864"/>
      <c r="FE46" s="1348"/>
      <c r="FF46" s="864"/>
      <c r="FG46" s="864"/>
      <c r="FH46" s="864"/>
      <c r="FI46" s="864"/>
      <c r="FJ46" s="864"/>
      <c r="FK46" s="864"/>
      <c r="FL46" s="864"/>
      <c r="FM46" s="864"/>
      <c r="FN46" s="864"/>
      <c r="FO46" s="864"/>
      <c r="FP46" s="864"/>
      <c r="FQ46" s="864"/>
      <c r="FR46" s="864"/>
      <c r="FS46" s="864"/>
      <c r="FT46" s="864"/>
      <c r="FU46" s="864"/>
      <c r="FV46" s="864"/>
      <c r="FW46" s="864"/>
      <c r="FX46" s="864"/>
      <c r="FY46" s="864"/>
      <c r="FZ46" s="864"/>
      <c r="GA46" s="864"/>
      <c r="GB46" s="864"/>
      <c r="GC46" s="864"/>
      <c r="GD46" s="1348"/>
      <c r="GE46" s="864"/>
      <c r="GF46" s="864"/>
      <c r="GG46" s="864"/>
      <c r="GH46" s="864"/>
      <c r="GI46" s="864"/>
      <c r="GJ46" s="864"/>
      <c r="GK46" s="864"/>
      <c r="GL46" s="864"/>
      <c r="GM46" s="864"/>
      <c r="GN46" s="864"/>
      <c r="GO46" s="864"/>
      <c r="GP46" s="864"/>
      <c r="GQ46" s="864"/>
      <c r="GR46" s="864"/>
      <c r="GS46" s="864"/>
      <c r="GT46" s="864"/>
      <c r="GU46" s="864"/>
      <c r="GV46" s="864"/>
      <c r="GW46" s="864"/>
      <c r="GX46" s="864"/>
      <c r="GY46" s="864"/>
      <c r="GZ46" s="864"/>
      <c r="HA46" s="864"/>
      <c r="HB46" s="831"/>
    </row>
    <row r="47" spans="1:210">
      <c r="A47" s="1293"/>
      <c r="B47" s="831"/>
      <c r="C47" s="831"/>
      <c r="D47" s="831"/>
      <c r="E47" s="831"/>
      <c r="F47" s="831"/>
      <c r="G47" s="831"/>
      <c r="H47" s="831"/>
      <c r="I47" s="831"/>
      <c r="J47" s="831"/>
      <c r="K47" s="831"/>
      <c r="L47" s="831"/>
      <c r="M47" s="831"/>
      <c r="N47" s="831"/>
      <c r="O47" s="831"/>
      <c r="P47" s="831"/>
      <c r="Q47" s="831"/>
      <c r="R47" s="831"/>
      <c r="S47" s="831"/>
      <c r="T47" s="831"/>
      <c r="U47" s="831"/>
      <c r="V47" s="831"/>
      <c r="W47" s="831"/>
      <c r="X47" s="831"/>
      <c r="Y47" s="831"/>
      <c r="Z47" s="1294"/>
      <c r="AA47" s="831"/>
      <c r="AB47" s="831"/>
      <c r="AC47" s="831"/>
      <c r="AD47" s="831"/>
      <c r="AE47" s="831"/>
      <c r="AF47" s="831"/>
      <c r="AG47" s="831"/>
      <c r="AH47" s="831"/>
      <c r="AI47" s="831"/>
      <c r="AJ47" s="831"/>
      <c r="AK47" s="831"/>
      <c r="AL47" s="831"/>
      <c r="AM47" s="831"/>
      <c r="AN47" s="831"/>
      <c r="AO47" s="831"/>
      <c r="AP47" s="831"/>
      <c r="AQ47" s="831"/>
      <c r="AR47" s="831"/>
      <c r="AS47" s="831"/>
      <c r="AT47" s="831"/>
      <c r="AU47" s="831"/>
      <c r="AV47" s="831"/>
      <c r="AW47" s="831"/>
      <c r="AX47" s="831"/>
      <c r="AY47" s="831"/>
      <c r="AZ47" s="831"/>
      <c r="BA47" s="1294"/>
      <c r="BB47" s="831"/>
      <c r="BC47" s="831"/>
      <c r="BD47" s="831"/>
      <c r="BE47" s="831"/>
      <c r="BF47" s="831"/>
      <c r="BG47" s="831"/>
      <c r="BH47" s="831"/>
      <c r="BI47" s="831"/>
      <c r="BJ47" s="831"/>
      <c r="BK47" s="831"/>
      <c r="BL47" s="831"/>
      <c r="BM47" s="831"/>
      <c r="BN47" s="831"/>
      <c r="BO47" s="831"/>
      <c r="BP47" s="831"/>
      <c r="BQ47" s="831"/>
      <c r="BR47" s="831"/>
      <c r="BS47" s="831"/>
      <c r="BT47" s="831"/>
      <c r="BU47" s="831"/>
      <c r="BV47" s="831"/>
      <c r="BW47" s="831"/>
      <c r="BX47" s="831"/>
      <c r="BY47" s="831"/>
      <c r="BZ47" s="831"/>
      <c r="CA47" s="831"/>
      <c r="CB47" s="831"/>
      <c r="CC47" s="1294"/>
      <c r="CD47" s="831"/>
      <c r="CE47" s="831"/>
      <c r="CF47" s="831"/>
      <c r="CG47" s="831"/>
      <c r="CH47" s="831"/>
      <c r="CI47" s="831"/>
      <c r="CJ47" s="831"/>
      <c r="CK47" s="831"/>
      <c r="CL47" s="831"/>
      <c r="CM47" s="831"/>
      <c r="CN47" s="831"/>
      <c r="CO47" s="831"/>
      <c r="CP47" s="831"/>
      <c r="CQ47" s="831"/>
      <c r="CR47" s="831"/>
      <c r="CS47" s="831"/>
      <c r="CT47" s="831"/>
      <c r="CU47" s="831"/>
      <c r="CV47" s="831"/>
      <c r="CW47" s="831"/>
      <c r="CX47" s="831"/>
      <c r="CY47" s="831"/>
      <c r="CZ47" s="831"/>
      <c r="DA47" s="831"/>
      <c r="DB47" s="831"/>
      <c r="DC47" s="831"/>
      <c r="DD47" s="831"/>
      <c r="DE47" s="1294"/>
      <c r="DF47" s="1226"/>
      <c r="DG47" s="1226"/>
      <c r="DH47" s="1226"/>
      <c r="DI47" s="1226"/>
      <c r="DJ47" s="1226"/>
      <c r="DK47" s="1226"/>
      <c r="DL47" s="1226"/>
      <c r="DM47" s="1226"/>
      <c r="DN47" s="1226"/>
      <c r="DO47" s="1226"/>
      <c r="DP47" s="1226"/>
      <c r="DQ47" s="1226"/>
      <c r="DR47" s="1226"/>
      <c r="DS47" s="1226"/>
      <c r="DT47" s="1226"/>
      <c r="DU47" s="1226"/>
      <c r="DV47" s="1226"/>
      <c r="DW47" s="1226"/>
      <c r="DX47" s="1226"/>
      <c r="DY47" s="1226"/>
      <c r="DZ47" s="1226"/>
      <c r="EA47" s="1226"/>
      <c r="EB47" s="1226"/>
      <c r="EC47" s="1226"/>
      <c r="ED47" s="1226"/>
      <c r="EE47" s="1294"/>
      <c r="EF47" s="1226"/>
      <c r="EG47" s="1226"/>
      <c r="EH47" s="1226"/>
      <c r="EI47" s="1226"/>
      <c r="EJ47" s="1226"/>
      <c r="EK47" s="1226"/>
      <c r="EL47" s="1226"/>
      <c r="EM47" s="1226"/>
      <c r="EN47" s="1226"/>
      <c r="EO47" s="1226"/>
      <c r="EP47" s="1226"/>
      <c r="EQ47" s="1226"/>
      <c r="ER47" s="1226"/>
      <c r="ES47" s="1226"/>
      <c r="ET47" s="1226"/>
      <c r="EU47" s="1226"/>
      <c r="EV47" s="1226"/>
      <c r="EW47" s="1226"/>
      <c r="EX47" s="1226"/>
      <c r="EY47" s="1226"/>
      <c r="EZ47" s="1226"/>
      <c r="FA47" s="1226"/>
      <c r="FB47" s="1226"/>
      <c r="FC47" s="1226"/>
      <c r="FD47" s="1294"/>
      <c r="FE47" s="1226"/>
      <c r="FF47" s="1226"/>
      <c r="FG47" s="1226"/>
      <c r="FH47" s="1226"/>
      <c r="FI47" s="1226"/>
      <c r="FJ47" s="1226"/>
      <c r="FK47" s="1226"/>
      <c r="FL47" s="1226"/>
      <c r="FM47" s="1226"/>
      <c r="FN47" s="1226"/>
      <c r="FO47" s="1226"/>
      <c r="FP47" s="1226"/>
      <c r="FQ47" s="1226"/>
      <c r="FR47" s="1226"/>
      <c r="FS47" s="1226"/>
      <c r="FT47" s="1226"/>
      <c r="FU47" s="1226"/>
      <c r="FV47" s="1226"/>
      <c r="FW47" s="1226"/>
      <c r="FX47" s="1226"/>
      <c r="FY47" s="1226"/>
      <c r="FZ47" s="1226"/>
      <c r="GA47" s="1226"/>
      <c r="GB47" s="1226"/>
      <c r="GC47" s="1522"/>
      <c r="GD47" s="1226"/>
      <c r="GE47" s="1226"/>
      <c r="GF47" s="1226"/>
      <c r="GG47" s="1226"/>
      <c r="GH47" s="1226"/>
      <c r="GI47" s="1226"/>
      <c r="GJ47" s="1226"/>
      <c r="GK47" s="1226"/>
      <c r="GL47" s="1226"/>
      <c r="GM47" s="1226"/>
      <c r="GN47" s="1226"/>
      <c r="GO47" s="1226"/>
      <c r="GP47" s="1226"/>
      <c r="GQ47" s="1226"/>
      <c r="GR47" s="1226"/>
      <c r="GS47" s="1226"/>
      <c r="GT47" s="1226"/>
      <c r="GU47" s="1226"/>
      <c r="GV47" s="1226"/>
      <c r="GW47" s="1226"/>
      <c r="GX47" s="1226"/>
      <c r="GY47" s="1226"/>
      <c r="GZ47" s="1226"/>
      <c r="HA47" s="1226"/>
      <c r="HB47" s="831"/>
    </row>
    <row r="48" spans="1:210" ht="19.5">
      <c r="A48" s="1293"/>
      <c r="B48" s="1295"/>
      <c r="C48" s="1295"/>
      <c r="D48" s="1295"/>
      <c r="E48" s="3942" t="s">
        <v>1033</v>
      </c>
      <c r="F48" s="3942"/>
      <c r="G48" s="3942"/>
      <c r="H48" s="3942"/>
      <c r="I48" s="3942"/>
      <c r="J48" s="3942"/>
      <c r="K48" s="3942"/>
      <c r="L48" s="1295"/>
      <c r="M48" s="1295"/>
      <c r="N48" s="1295"/>
      <c r="O48" s="1295"/>
      <c r="P48" s="1295"/>
      <c r="Q48" s="1295"/>
      <c r="R48" s="1295"/>
      <c r="S48" s="1295"/>
      <c r="T48" s="1295"/>
      <c r="U48" s="1295"/>
      <c r="V48" s="1295"/>
      <c r="W48" s="1295"/>
      <c r="X48" s="1295"/>
      <c r="Y48" s="1295"/>
      <c r="Z48" s="1294"/>
      <c r="AA48" s="1295"/>
      <c r="AB48" s="1295"/>
      <c r="AC48" s="1295"/>
      <c r="AD48" s="3942" t="s">
        <v>1034</v>
      </c>
      <c r="AE48" s="3942"/>
      <c r="AF48" s="3942"/>
      <c r="AG48" s="3942"/>
      <c r="AH48" s="3942"/>
      <c r="AI48" s="3942"/>
      <c r="AJ48" s="3942"/>
      <c r="AK48" s="3942"/>
      <c r="AL48" s="1295"/>
      <c r="AM48" s="1295"/>
      <c r="AN48" s="1295"/>
      <c r="AO48" s="1295"/>
      <c r="AP48" s="1295"/>
      <c r="AQ48" s="1295"/>
      <c r="AR48" s="1295"/>
      <c r="AS48" s="1295"/>
      <c r="AT48" s="1295"/>
      <c r="AU48" s="1295"/>
      <c r="AV48" s="1295"/>
      <c r="AW48" s="1295"/>
      <c r="AX48" s="1295"/>
      <c r="AY48" s="1295"/>
      <c r="AZ48" s="1295"/>
      <c r="BA48" s="1294"/>
      <c r="BB48" s="1295"/>
      <c r="BC48" s="1295"/>
      <c r="BD48" s="1295"/>
      <c r="BE48" s="3942" t="s">
        <v>1035</v>
      </c>
      <c r="BF48" s="3942"/>
      <c r="BG48" s="3942"/>
      <c r="BH48" s="3942"/>
      <c r="BI48" s="3942"/>
      <c r="BJ48" s="3942"/>
      <c r="BK48" s="3942"/>
      <c r="BL48" s="3942"/>
      <c r="BM48" s="1295"/>
      <c r="BN48" s="1295"/>
      <c r="BO48" s="1295"/>
      <c r="BP48" s="1295"/>
      <c r="BQ48" s="1295"/>
      <c r="BR48" s="1295"/>
      <c r="BS48" s="1295"/>
      <c r="BT48" s="1295"/>
      <c r="BU48" s="1295"/>
      <c r="BV48" s="1295"/>
      <c r="BW48" s="1295"/>
      <c r="BX48" s="1295"/>
      <c r="BY48" s="1295"/>
      <c r="BZ48" s="1295"/>
      <c r="CA48" s="1295"/>
      <c r="CB48" s="1295"/>
      <c r="CC48" s="1294"/>
      <c r="CD48" s="1295"/>
      <c r="CE48" s="1295"/>
      <c r="CF48" s="1295"/>
      <c r="CG48" s="3942" t="s">
        <v>1036</v>
      </c>
      <c r="CH48" s="3942"/>
      <c r="CI48" s="3942"/>
      <c r="CJ48" s="3942"/>
      <c r="CK48" s="3942"/>
      <c r="CL48" s="3942"/>
      <c r="CM48" s="3942"/>
      <c r="CN48" s="3942"/>
      <c r="CO48" s="1295"/>
      <c r="CP48" s="1295"/>
      <c r="CQ48" s="1295"/>
      <c r="CR48" s="1295"/>
      <c r="CS48" s="1295"/>
      <c r="CT48" s="1295"/>
      <c r="CU48" s="1295"/>
      <c r="CV48" s="1295"/>
      <c r="CW48" s="1295"/>
      <c r="CX48" s="1295"/>
      <c r="CY48" s="1295"/>
      <c r="CZ48" s="1295"/>
      <c r="DA48" s="1295"/>
      <c r="DB48" s="1295"/>
      <c r="DC48" s="1295"/>
      <c r="DD48" s="1295"/>
      <c r="DE48" s="1294"/>
      <c r="DF48" s="831"/>
      <c r="DG48" s="831"/>
      <c r="DH48" s="831"/>
      <c r="DI48" s="831"/>
      <c r="DJ48" s="831"/>
      <c r="DK48" s="831"/>
      <c r="DL48" s="831"/>
      <c r="DM48" s="831"/>
      <c r="DN48" s="831"/>
      <c r="DO48" s="831"/>
      <c r="DP48" s="831"/>
      <c r="DQ48" s="831"/>
      <c r="DR48" s="831"/>
      <c r="DS48" s="831"/>
      <c r="DT48" s="831"/>
      <c r="DU48" s="831"/>
      <c r="DV48" s="831"/>
      <c r="DW48" s="831"/>
      <c r="DX48" s="831"/>
      <c r="DY48" s="831"/>
      <c r="DZ48" s="831"/>
      <c r="EA48" s="831"/>
      <c r="EB48" s="831"/>
      <c r="EC48" s="831"/>
      <c r="ED48" s="831"/>
      <c r="EE48" s="1294"/>
      <c r="EF48" s="831"/>
      <c r="EG48" s="831"/>
      <c r="EH48" s="831"/>
      <c r="EI48" s="831"/>
      <c r="EJ48" s="831"/>
      <c r="EK48" s="831"/>
      <c r="EL48" s="831"/>
      <c r="EM48" s="831"/>
      <c r="EN48" s="831"/>
      <c r="EO48" s="831"/>
      <c r="EP48" s="831"/>
      <c r="EQ48" s="831"/>
      <c r="ER48" s="831"/>
      <c r="ES48" s="831"/>
      <c r="ET48" s="831"/>
      <c r="EU48" s="831"/>
      <c r="EV48" s="831"/>
      <c r="EW48" s="831"/>
      <c r="EX48" s="831"/>
      <c r="EY48" s="831"/>
      <c r="EZ48" s="831"/>
      <c r="FA48" s="831"/>
      <c r="FB48" s="831"/>
      <c r="FC48" s="831"/>
      <c r="FD48" s="1294"/>
      <c r="FE48" s="831"/>
      <c r="FF48" s="831"/>
      <c r="FG48" s="831"/>
      <c r="FH48" s="831"/>
      <c r="FI48" s="831"/>
      <c r="FJ48" s="831"/>
      <c r="FK48" s="831"/>
      <c r="FL48" s="831"/>
      <c r="FM48" s="831"/>
      <c r="FN48" s="831"/>
      <c r="FO48" s="831"/>
      <c r="FP48" s="831"/>
      <c r="FQ48" s="831"/>
      <c r="FR48" s="831"/>
      <c r="FS48" s="831"/>
      <c r="FT48" s="831"/>
      <c r="FU48" s="831"/>
      <c r="FV48" s="831"/>
      <c r="FW48" s="831"/>
      <c r="FX48" s="831"/>
      <c r="FY48" s="831"/>
      <c r="FZ48" s="831"/>
      <c r="GA48" s="831"/>
      <c r="GB48" s="831"/>
      <c r="GC48" s="1522"/>
      <c r="GD48" s="831"/>
      <c r="GE48" s="831"/>
      <c r="GF48" s="831"/>
      <c r="GG48" s="831"/>
      <c r="GH48" s="831"/>
      <c r="GI48" s="831"/>
      <c r="GJ48" s="831"/>
      <c r="GK48" s="831"/>
      <c r="GL48" s="831"/>
      <c r="GM48" s="831"/>
      <c r="GN48" s="831"/>
      <c r="GO48" s="831"/>
      <c r="GP48" s="831"/>
      <c r="GQ48" s="831"/>
      <c r="GR48" s="831"/>
      <c r="GS48" s="831"/>
      <c r="GT48" s="831"/>
      <c r="GU48" s="831"/>
      <c r="GV48" s="831"/>
      <c r="GW48" s="831"/>
      <c r="GX48" s="831"/>
      <c r="GY48" s="831"/>
      <c r="GZ48" s="831"/>
      <c r="HA48" s="831"/>
      <c r="HB48" s="831"/>
    </row>
    <row r="49" spans="1:210" ht="19.5">
      <c r="A49" s="1293"/>
      <c r="B49" s="1296"/>
      <c r="C49" s="1296"/>
      <c r="D49" s="1296"/>
      <c r="E49" s="3982" t="s">
        <v>1037</v>
      </c>
      <c r="F49" s="3982"/>
      <c r="G49" s="3982"/>
      <c r="H49" s="3982"/>
      <c r="I49" s="3982"/>
      <c r="J49" s="3982"/>
      <c r="K49" s="3982"/>
      <c r="L49" s="1296"/>
      <c r="M49" s="1296"/>
      <c r="N49" s="1296"/>
      <c r="O49" s="1296"/>
      <c r="P49" s="1296"/>
      <c r="Q49" s="1296"/>
      <c r="R49" s="1296"/>
      <c r="S49" s="1296"/>
      <c r="T49" s="1296"/>
      <c r="U49" s="1296"/>
      <c r="V49" s="1296"/>
      <c r="W49" s="1296"/>
      <c r="X49" s="1296"/>
      <c r="Y49" s="1296"/>
      <c r="Z49" s="1294"/>
      <c r="AA49" s="1296"/>
      <c r="AB49" s="1296"/>
      <c r="AC49" s="1296"/>
      <c r="AD49" s="3982" t="s">
        <v>1038</v>
      </c>
      <c r="AE49" s="3982"/>
      <c r="AF49" s="3982"/>
      <c r="AG49" s="3982"/>
      <c r="AH49" s="3982"/>
      <c r="AI49" s="3982"/>
      <c r="AJ49" s="3982"/>
      <c r="AK49" s="1296"/>
      <c r="AL49" s="1296"/>
      <c r="AM49" s="1296"/>
      <c r="AN49" s="1296"/>
      <c r="AO49" s="1296"/>
      <c r="AP49" s="1296"/>
      <c r="AQ49" s="1296"/>
      <c r="AR49" s="1296"/>
      <c r="AS49" s="1296"/>
      <c r="AT49" s="1296"/>
      <c r="AU49" s="1296"/>
      <c r="AV49" s="1296"/>
      <c r="AW49" s="1296"/>
      <c r="AX49" s="1296"/>
      <c r="AY49" s="1296"/>
      <c r="AZ49" s="1296"/>
      <c r="BA49" s="1294"/>
      <c r="BB49" s="1296"/>
      <c r="BC49" s="1296"/>
      <c r="BD49" s="1296"/>
      <c r="BE49" s="3983" t="s">
        <v>1039</v>
      </c>
      <c r="BF49" s="3983"/>
      <c r="BG49" s="3983"/>
      <c r="BH49" s="3983"/>
      <c r="BI49" s="3983"/>
      <c r="BJ49" s="3983"/>
      <c r="BK49" s="3983"/>
      <c r="BL49" s="1296"/>
      <c r="BM49" s="1296"/>
      <c r="BN49" s="1296"/>
      <c r="BO49" s="1296"/>
      <c r="BP49" s="1296"/>
      <c r="BQ49" s="1296"/>
      <c r="BR49" s="1296"/>
      <c r="BS49" s="1296"/>
      <c r="BT49" s="1296"/>
      <c r="BU49" s="1296"/>
      <c r="BV49" s="1296"/>
      <c r="BW49" s="1296"/>
      <c r="BX49" s="1296"/>
      <c r="BY49" s="1296"/>
      <c r="BZ49" s="1296"/>
      <c r="CA49" s="1296"/>
      <c r="CB49" s="1296"/>
      <c r="CC49" s="1294"/>
      <c r="CD49" s="1296"/>
      <c r="CE49" s="1296"/>
      <c r="CF49" s="1296"/>
      <c r="CG49" s="3941" t="s">
        <v>1040</v>
      </c>
      <c r="CH49" s="3941"/>
      <c r="CI49" s="3941"/>
      <c r="CJ49" s="3941"/>
      <c r="CK49" s="3941"/>
      <c r="CL49" s="3941"/>
      <c r="CM49" s="3941"/>
      <c r="CN49" s="1296"/>
      <c r="CO49" s="1296"/>
      <c r="CP49" s="1296"/>
      <c r="CQ49" s="1296"/>
      <c r="CR49" s="1296"/>
      <c r="CS49" s="1296"/>
      <c r="CT49" s="1296"/>
      <c r="CU49" s="1296"/>
      <c r="CV49" s="1296"/>
      <c r="CW49" s="1296"/>
      <c r="CX49" s="1296"/>
      <c r="CY49" s="1296"/>
      <c r="CZ49" s="1296"/>
      <c r="DA49" s="1296"/>
      <c r="DB49" s="1296"/>
      <c r="DC49" s="1296"/>
      <c r="DD49" s="1296"/>
      <c r="DE49" s="1294"/>
      <c r="DF49" s="1295"/>
      <c r="DG49" s="1295"/>
      <c r="DH49" s="1295"/>
      <c r="DI49" s="3942" t="s">
        <v>1064</v>
      </c>
      <c r="DJ49" s="3942"/>
      <c r="DK49" s="3942"/>
      <c r="DL49" s="3942"/>
      <c r="DM49" s="3942"/>
      <c r="DN49" s="3942"/>
      <c r="DO49" s="3942"/>
      <c r="DP49" s="3942"/>
      <c r="DQ49" s="1295"/>
      <c r="DR49" s="1295"/>
      <c r="DS49" s="1295"/>
      <c r="DT49" s="1295"/>
      <c r="DU49" s="1295"/>
      <c r="DV49" s="1295"/>
      <c r="DW49" s="1295"/>
      <c r="DX49" s="1295"/>
      <c r="DY49" s="1295"/>
      <c r="DZ49" s="1295"/>
      <c r="EA49" s="1295"/>
      <c r="EB49" s="1295"/>
      <c r="EC49" s="1295"/>
      <c r="ED49" s="1295"/>
      <c r="EE49" s="1294"/>
      <c r="EF49" s="1295"/>
      <c r="EG49" s="1295"/>
      <c r="EH49" s="1295"/>
      <c r="EI49" s="3942" t="s">
        <v>1071</v>
      </c>
      <c r="EJ49" s="3942"/>
      <c r="EK49" s="3942"/>
      <c r="EL49" s="3942"/>
      <c r="EM49" s="3942"/>
      <c r="EN49" s="3942"/>
      <c r="EO49" s="3942"/>
      <c r="EP49" s="3942"/>
      <c r="EQ49" s="1295"/>
      <c r="ER49" s="1295"/>
      <c r="ES49" s="1295"/>
      <c r="ET49" s="1295"/>
      <c r="EU49" s="1295"/>
      <c r="EV49" s="1295"/>
      <c r="EW49" s="1295"/>
      <c r="EX49" s="1295"/>
      <c r="EY49" s="1295"/>
      <c r="EZ49" s="1295"/>
      <c r="FA49" s="1295"/>
      <c r="FB49" s="1295"/>
      <c r="FC49" s="1295"/>
      <c r="FD49" s="1294"/>
      <c r="FE49" s="1295"/>
      <c r="FF49" s="1295"/>
      <c r="FG49" s="1295"/>
      <c r="FH49" s="3942" t="s">
        <v>1152</v>
      </c>
      <c r="FI49" s="3942"/>
      <c r="FJ49" s="3942"/>
      <c r="FK49" s="3942"/>
      <c r="FL49" s="3942"/>
      <c r="FM49" s="3942"/>
      <c r="FN49" s="3942"/>
      <c r="FO49" s="3942"/>
      <c r="FP49" s="1295"/>
      <c r="FQ49" s="1295"/>
      <c r="FR49" s="1295"/>
      <c r="FS49" s="1295"/>
      <c r="FT49" s="1295"/>
      <c r="FU49" s="1295"/>
      <c r="FV49" s="1295"/>
      <c r="FW49" s="1295"/>
      <c r="FX49" s="1295"/>
      <c r="FY49" s="1295"/>
      <c r="FZ49" s="1295"/>
      <c r="GA49" s="1295"/>
      <c r="GB49" s="1295"/>
      <c r="GC49" s="1522"/>
      <c r="GD49" s="1295"/>
      <c r="GE49" s="1295"/>
      <c r="GF49" s="1295"/>
      <c r="GG49" s="3942" t="s">
        <v>1154</v>
      </c>
      <c r="GH49" s="3942"/>
      <c r="GI49" s="3942"/>
      <c r="GJ49" s="3942"/>
      <c r="GK49" s="3942"/>
      <c r="GL49" s="3942"/>
      <c r="GM49" s="3942"/>
      <c r="GN49" s="3942"/>
      <c r="GO49" s="1295"/>
      <c r="GP49" s="1295"/>
      <c r="GQ49" s="1295"/>
      <c r="GR49" s="1295"/>
      <c r="GS49" s="1295"/>
      <c r="GT49" s="1295"/>
      <c r="GU49" s="1295"/>
      <c r="GV49" s="1295"/>
      <c r="GW49" s="1295"/>
      <c r="GX49" s="1295"/>
      <c r="GY49" s="1295"/>
      <c r="GZ49" s="1295"/>
      <c r="HA49" s="1295"/>
      <c r="HB49" s="831"/>
    </row>
    <row r="50" spans="1:210" ht="19.5">
      <c r="A50" s="1293"/>
      <c r="B50" s="833"/>
      <c r="C50" s="833"/>
      <c r="D50" s="833"/>
      <c r="E50" s="833"/>
      <c r="F50" s="833"/>
      <c r="G50" s="833"/>
      <c r="H50" s="833"/>
      <c r="I50" s="833"/>
      <c r="J50" s="833"/>
      <c r="K50" s="833"/>
      <c r="L50" s="833"/>
      <c r="M50" s="833"/>
      <c r="N50" s="833"/>
      <c r="O50" s="833"/>
      <c r="P50" s="833"/>
      <c r="Q50" s="833"/>
      <c r="R50" s="833"/>
      <c r="S50" s="833"/>
      <c r="T50" s="833"/>
      <c r="U50" s="833"/>
      <c r="V50" s="833"/>
      <c r="W50" s="833"/>
      <c r="X50" s="833"/>
      <c r="Y50" s="833"/>
      <c r="Z50" s="1294"/>
      <c r="AA50" s="833"/>
      <c r="AB50" s="833"/>
      <c r="AC50" s="833"/>
      <c r="AD50" s="833"/>
      <c r="AE50" s="833"/>
      <c r="AF50" s="833"/>
      <c r="AG50" s="833"/>
      <c r="AH50" s="833"/>
      <c r="AI50" s="833"/>
      <c r="AJ50" s="833"/>
      <c r="AK50" s="833"/>
      <c r="AL50" s="833"/>
      <c r="AM50" s="833"/>
      <c r="AN50" s="833"/>
      <c r="AO50" s="833"/>
      <c r="AP50" s="833"/>
      <c r="AQ50" s="833"/>
      <c r="AR50" s="833"/>
      <c r="AS50" s="833"/>
      <c r="AT50" s="833"/>
      <c r="AU50" s="833"/>
      <c r="AV50" s="833"/>
      <c r="AW50" s="833"/>
      <c r="AX50" s="833"/>
      <c r="AY50" s="833"/>
      <c r="AZ50" s="833"/>
      <c r="BA50" s="1294"/>
      <c r="BB50" s="833"/>
      <c r="BC50" s="833"/>
      <c r="BD50" s="833"/>
      <c r="BE50" s="833"/>
      <c r="BF50" s="833"/>
      <c r="BG50" s="833"/>
      <c r="BH50" s="833"/>
      <c r="BI50" s="833"/>
      <c r="BJ50" s="833"/>
      <c r="BK50" s="833"/>
      <c r="BL50" s="833"/>
      <c r="BM50" s="833"/>
      <c r="BN50" s="833"/>
      <c r="BO50" s="833"/>
      <c r="BP50" s="833"/>
      <c r="BQ50" s="833"/>
      <c r="BR50" s="833"/>
      <c r="BS50" s="833"/>
      <c r="BT50" s="833"/>
      <c r="BU50" s="833"/>
      <c r="BV50" s="833"/>
      <c r="BW50" s="833"/>
      <c r="BX50" s="833"/>
      <c r="BY50" s="833"/>
      <c r="BZ50" s="833"/>
      <c r="CA50" s="833"/>
      <c r="CB50" s="833"/>
      <c r="CC50" s="1294"/>
      <c r="CD50" s="833"/>
      <c r="CE50" s="833"/>
      <c r="CF50" s="833"/>
      <c r="CG50" s="833"/>
      <c r="CH50" s="833"/>
      <c r="CI50" s="833"/>
      <c r="CJ50" s="833"/>
      <c r="CK50" s="833"/>
      <c r="CL50" s="833"/>
      <c r="CM50" s="833"/>
      <c r="CN50" s="833"/>
      <c r="CO50" s="833"/>
      <c r="CP50" s="833"/>
      <c r="CQ50" s="833"/>
      <c r="CR50" s="833"/>
      <c r="CS50" s="833"/>
      <c r="CT50" s="833"/>
      <c r="CU50" s="833"/>
      <c r="CV50" s="833"/>
      <c r="CW50" s="833"/>
      <c r="CX50" s="833"/>
      <c r="CY50" s="833"/>
      <c r="CZ50" s="833"/>
      <c r="DA50" s="833"/>
      <c r="DB50" s="833"/>
      <c r="DC50" s="833"/>
      <c r="DD50" s="833"/>
      <c r="DE50" s="1294"/>
      <c r="DF50" s="1296"/>
      <c r="DG50" s="1296"/>
      <c r="DH50" s="1296"/>
      <c r="DI50" s="3941" t="s">
        <v>1065</v>
      </c>
      <c r="DJ50" s="3941"/>
      <c r="DK50" s="3941"/>
      <c r="DL50" s="3941"/>
      <c r="DM50" s="3941"/>
      <c r="DN50" s="3941"/>
      <c r="DO50" s="3941"/>
      <c r="DP50" s="1296"/>
      <c r="DQ50" s="1296"/>
      <c r="DR50" s="1296"/>
      <c r="DS50" s="1296"/>
      <c r="DT50" s="1296"/>
      <c r="DU50" s="1296"/>
      <c r="DV50" s="1296"/>
      <c r="DW50" s="1296"/>
      <c r="DX50" s="1296"/>
      <c r="DY50" s="1296"/>
      <c r="DZ50" s="1296"/>
      <c r="EA50" s="1296"/>
      <c r="EB50" s="1296"/>
      <c r="EC50" s="1296"/>
      <c r="ED50" s="1296"/>
      <c r="EE50" s="1294"/>
      <c r="EF50" s="1296"/>
      <c r="EG50" s="1296"/>
      <c r="EH50" s="1296"/>
      <c r="EI50" s="3941" t="s">
        <v>1151</v>
      </c>
      <c r="EJ50" s="3941"/>
      <c r="EK50" s="3941"/>
      <c r="EL50" s="3941"/>
      <c r="EM50" s="3941"/>
      <c r="EN50" s="3941"/>
      <c r="EO50" s="3941"/>
      <c r="EP50" s="1296"/>
      <c r="EQ50" s="1296"/>
      <c r="ER50" s="1296"/>
      <c r="ES50" s="1296"/>
      <c r="ET50" s="1296"/>
      <c r="EU50" s="1296"/>
      <c r="EV50" s="1296"/>
      <c r="EW50" s="1296"/>
      <c r="EX50" s="1296"/>
      <c r="EY50" s="1296"/>
      <c r="EZ50" s="1296"/>
      <c r="FA50" s="1296"/>
      <c r="FB50" s="1296"/>
      <c r="FC50" s="1296"/>
      <c r="FD50" s="1294"/>
      <c r="FE50" s="1296"/>
      <c r="FF50" s="1296"/>
      <c r="FG50" s="1296"/>
      <c r="FH50" s="3941" t="s">
        <v>1153</v>
      </c>
      <c r="FI50" s="3941"/>
      <c r="FJ50" s="3941"/>
      <c r="FK50" s="3941"/>
      <c r="FL50" s="3941"/>
      <c r="FM50" s="3941"/>
      <c r="FN50" s="3941"/>
      <c r="FO50" s="1296"/>
      <c r="FP50" s="1296"/>
      <c r="FQ50" s="1296"/>
      <c r="FR50" s="1296"/>
      <c r="FS50" s="1296"/>
      <c r="FT50" s="1296"/>
      <c r="FU50" s="1296"/>
      <c r="FV50" s="1296"/>
      <c r="FW50" s="1296"/>
      <c r="FX50" s="1296"/>
      <c r="FY50" s="1296"/>
      <c r="FZ50" s="1296"/>
      <c r="GA50" s="1296"/>
      <c r="GB50" s="1296"/>
      <c r="GC50" s="1522"/>
      <c r="GD50" s="1296"/>
      <c r="GE50" s="1296"/>
      <c r="GF50" s="1296"/>
      <c r="GG50" s="3941" t="s">
        <v>1175</v>
      </c>
      <c r="GH50" s="3941"/>
      <c r="GI50" s="3941"/>
      <c r="GJ50" s="3941"/>
      <c r="GK50" s="3941"/>
      <c r="GL50" s="3941"/>
      <c r="GM50" s="3941"/>
      <c r="GN50" s="1296"/>
      <c r="GO50" s="1296"/>
      <c r="GP50" s="1296"/>
      <c r="GQ50" s="1296"/>
      <c r="GR50" s="1296"/>
      <c r="GS50" s="1296"/>
      <c r="GT50" s="1296"/>
      <c r="GU50" s="1296"/>
      <c r="GV50" s="1296"/>
      <c r="GW50" s="1296"/>
      <c r="GX50" s="1296"/>
      <c r="GY50" s="1296"/>
      <c r="GZ50" s="1296"/>
      <c r="HA50" s="1296"/>
      <c r="HB50" s="831"/>
    </row>
    <row r="51" spans="1:210">
      <c r="A51" s="1293"/>
      <c r="B51" s="831"/>
      <c r="Z51" s="1294"/>
      <c r="AA51" s="1297"/>
      <c r="BA51" s="1294"/>
      <c r="BB51" s="1297"/>
      <c r="CB51" s="942"/>
      <c r="CC51" s="1294"/>
      <c r="CD51" s="1297"/>
      <c r="DE51" s="1294"/>
      <c r="DF51" s="833"/>
      <c r="DG51" s="833"/>
      <c r="DH51" s="833"/>
      <c r="DI51" s="833"/>
      <c r="DJ51" s="833"/>
      <c r="DK51" s="833"/>
      <c r="DL51" s="833"/>
      <c r="DM51" s="833"/>
      <c r="DN51" s="833"/>
      <c r="DO51" s="833"/>
      <c r="DP51" s="833"/>
      <c r="DQ51" s="833"/>
      <c r="DR51" s="833"/>
      <c r="DS51" s="833"/>
      <c r="DT51" s="833"/>
      <c r="DU51" s="833"/>
      <c r="DV51" s="833"/>
      <c r="DW51" s="833"/>
      <c r="DX51" s="833"/>
      <c r="DY51" s="833"/>
      <c r="DZ51" s="833"/>
      <c r="EA51" s="833"/>
      <c r="EB51" s="833"/>
      <c r="EC51" s="833"/>
      <c r="ED51" s="833"/>
      <c r="EE51" s="1294"/>
      <c r="EF51" s="833"/>
      <c r="EG51" s="833"/>
      <c r="EH51" s="833"/>
      <c r="EI51" s="833"/>
      <c r="EJ51" s="833"/>
      <c r="EK51" s="833"/>
      <c r="EL51" s="833"/>
      <c r="EM51" s="833"/>
      <c r="EN51" s="833"/>
      <c r="EO51" s="833"/>
      <c r="EP51" s="833"/>
      <c r="EQ51" s="833"/>
      <c r="ER51" s="833"/>
      <c r="ES51" s="833"/>
      <c r="ET51" s="833"/>
      <c r="EU51" s="833"/>
      <c r="EV51" s="833"/>
      <c r="EW51" s="833"/>
      <c r="EX51" s="833"/>
      <c r="EY51" s="833"/>
      <c r="EZ51" s="833"/>
      <c r="FA51" s="833"/>
      <c r="FB51" s="833"/>
      <c r="FC51" s="833"/>
      <c r="FD51" s="1294"/>
      <c r="FE51" s="833"/>
      <c r="FF51" s="833"/>
      <c r="FG51" s="833"/>
      <c r="FH51" s="833"/>
      <c r="FI51" s="833"/>
      <c r="FJ51" s="833"/>
      <c r="FK51" s="833"/>
      <c r="FL51" s="833"/>
      <c r="FM51" s="833"/>
      <c r="FN51" s="833"/>
      <c r="FO51" s="833"/>
      <c r="FP51" s="833"/>
      <c r="FQ51" s="833"/>
      <c r="FR51" s="833"/>
      <c r="FS51" s="833"/>
      <c r="FT51" s="833"/>
      <c r="FU51" s="833"/>
      <c r="FV51" s="833"/>
      <c r="FW51" s="833"/>
      <c r="FX51" s="833"/>
      <c r="FY51" s="833"/>
      <c r="FZ51" s="833"/>
      <c r="GA51" s="833"/>
      <c r="GB51" s="833"/>
      <c r="GC51" s="1522"/>
      <c r="GD51" s="833"/>
      <c r="GE51" s="833"/>
      <c r="GF51" s="833"/>
      <c r="GG51" s="833"/>
      <c r="GH51" s="833"/>
      <c r="GI51" s="833"/>
      <c r="GJ51" s="833"/>
      <c r="GK51" s="833"/>
      <c r="GL51" s="833"/>
      <c r="GM51" s="833"/>
      <c r="GN51" s="833"/>
      <c r="GO51" s="833"/>
      <c r="GP51" s="833"/>
      <c r="GQ51" s="833"/>
      <c r="GR51" s="833"/>
      <c r="GS51" s="833"/>
      <c r="GT51" s="833"/>
      <c r="GU51" s="833"/>
      <c r="GV51" s="833"/>
      <c r="GW51" s="833"/>
      <c r="GX51" s="833"/>
      <c r="GY51" s="833"/>
      <c r="GZ51" s="833"/>
      <c r="HA51" s="833"/>
      <c r="HB51" s="831"/>
    </row>
    <row r="52" spans="1:210" ht="15" customHeight="1">
      <c r="A52" s="1293"/>
      <c r="B52" s="831"/>
      <c r="F52" s="3940" t="s">
        <v>1041</v>
      </c>
      <c r="G52" s="3940"/>
      <c r="H52" s="3940"/>
      <c r="I52" s="1298">
        <f>' Data Sheet-I'!J21</f>
        <v>0</v>
      </c>
      <c r="J52" s="1300"/>
      <c r="K52" s="1300"/>
      <c r="S52" s="1299"/>
      <c r="T52" s="1299"/>
      <c r="U52" s="1299"/>
      <c r="V52" s="1300"/>
      <c r="Z52" s="1294"/>
      <c r="AA52" s="1297"/>
      <c r="AD52" s="3940" t="s">
        <v>1041</v>
      </c>
      <c r="AE52" s="3940"/>
      <c r="AF52" s="3940"/>
      <c r="AG52" s="1298">
        <f>' Data Sheet-I'!J22</f>
        <v>0</v>
      </c>
      <c r="AH52" s="1300"/>
      <c r="AI52" s="1300"/>
      <c r="AQ52" s="1299"/>
      <c r="AR52" s="1299"/>
      <c r="AS52" s="1299"/>
      <c r="AT52" s="1300"/>
      <c r="BA52" s="1294"/>
      <c r="BB52" s="1297"/>
      <c r="BE52" s="3940" t="s">
        <v>1041</v>
      </c>
      <c r="BF52" s="3940"/>
      <c r="BG52" s="3940"/>
      <c r="BH52" s="1298">
        <f>' Data Sheet-I'!J23</f>
        <v>0</v>
      </c>
      <c r="BI52" s="1300"/>
      <c r="BJ52" s="1300"/>
      <c r="BR52" s="1299"/>
      <c r="BS52" s="1299"/>
      <c r="BT52" s="1299"/>
      <c r="BU52" s="1300"/>
      <c r="CB52" s="942"/>
      <c r="CC52" s="1294"/>
      <c r="CD52" s="1297"/>
      <c r="CG52" s="3940" t="s">
        <v>1041</v>
      </c>
      <c r="CH52" s="3940"/>
      <c r="CI52" s="3940"/>
      <c r="CJ52" s="1298">
        <f>' Data Sheet-I'!J24</f>
        <v>0</v>
      </c>
      <c r="CK52" s="1300"/>
      <c r="CL52" s="1300"/>
      <c r="CT52" s="1299"/>
      <c r="CU52" s="1299"/>
      <c r="CV52" s="1299"/>
      <c r="CW52" s="1300"/>
      <c r="DE52" s="1294"/>
      <c r="DF52" s="1297"/>
      <c r="EE52" s="1294"/>
      <c r="EF52" s="1297"/>
      <c r="FD52" s="1294"/>
      <c r="FE52" s="1297"/>
      <c r="GC52" s="1522"/>
      <c r="GD52" s="1523"/>
      <c r="HB52" s="831"/>
    </row>
    <row r="53" spans="1:210" ht="15.75">
      <c r="A53" s="1293"/>
      <c r="B53" s="831"/>
      <c r="Z53" s="1294"/>
      <c r="AA53" s="1297"/>
      <c r="BA53" s="1294"/>
      <c r="BB53" s="1297"/>
      <c r="CB53" s="942"/>
      <c r="CC53" s="1294"/>
      <c r="CD53" s="1297"/>
      <c r="DE53" s="1294"/>
      <c r="DF53" s="1297"/>
      <c r="DI53" s="3940" t="s">
        <v>1041</v>
      </c>
      <c r="DJ53" s="3940"/>
      <c r="DK53" s="3940"/>
      <c r="DL53" s="1298">
        <f>' Data Sheet-I'!J25</f>
        <v>0</v>
      </c>
      <c r="DM53" s="1300"/>
      <c r="DN53" s="1300"/>
      <c r="DV53" s="1299"/>
      <c r="DW53" s="1299"/>
      <c r="DX53" s="1299"/>
      <c r="DY53" s="1300"/>
      <c r="EE53" s="1294"/>
      <c r="EF53" s="1297"/>
      <c r="EI53" s="3940" t="s">
        <v>1041</v>
      </c>
      <c r="EJ53" s="3940"/>
      <c r="EK53" s="3940"/>
      <c r="EL53" s="1298">
        <f>' Data Sheet-I'!J26</f>
        <v>0</v>
      </c>
      <c r="EM53" s="1300"/>
      <c r="EN53" s="1300"/>
      <c r="EV53" s="1299"/>
      <c r="EW53" s="1299"/>
      <c r="EX53" s="1299"/>
      <c r="EY53" s="1300"/>
      <c r="FD53" s="1294"/>
      <c r="FE53" s="1297"/>
      <c r="FH53" s="3940" t="s">
        <v>1041</v>
      </c>
      <c r="FI53" s="3940"/>
      <c r="FJ53" s="3940"/>
      <c r="FK53" s="1298">
        <f>' Data Sheet-I'!J27</f>
        <v>0</v>
      </c>
      <c r="FL53" s="1300"/>
      <c r="FM53" s="1300"/>
      <c r="FU53" s="1299"/>
      <c r="FV53" s="1299"/>
      <c r="FW53" s="1299"/>
      <c r="FX53" s="1300"/>
      <c r="GC53" s="1522"/>
      <c r="GD53" s="1523"/>
      <c r="GG53" s="3940" t="s">
        <v>1041</v>
      </c>
      <c r="GH53" s="3940"/>
      <c r="GI53" s="3940"/>
      <c r="GJ53" s="1298">
        <f>' Data Sheet-I'!J28</f>
        <v>0</v>
      </c>
      <c r="GK53" s="1300"/>
      <c r="GL53" s="1300"/>
      <c r="GT53" s="1299"/>
      <c r="GU53" s="1299"/>
      <c r="GV53" s="1299"/>
      <c r="GW53" s="1300"/>
      <c r="HB53" s="831"/>
    </row>
    <row r="54" spans="1:210">
      <c r="A54" s="1293"/>
      <c r="B54" s="831"/>
      <c r="F54" s="3939" t="s">
        <v>777</v>
      </c>
      <c r="G54" s="3939"/>
      <c r="H54" s="3939"/>
      <c r="I54" s="1302">
        <f>' Data Sheet-I'!M21</f>
        <v>0</v>
      </c>
      <c r="Z54" s="1294"/>
      <c r="AA54" s="1297"/>
      <c r="AD54" s="3939" t="s">
        <v>777</v>
      </c>
      <c r="AE54" s="3939"/>
      <c r="AF54" s="3939"/>
      <c r="AG54" s="1302">
        <f>' Data Sheet-I'!M22</f>
        <v>0</v>
      </c>
      <c r="BA54" s="1294"/>
      <c r="BB54" s="1297"/>
      <c r="BE54" s="3939" t="s">
        <v>777</v>
      </c>
      <c r="BF54" s="3939"/>
      <c r="BG54" s="3939"/>
      <c r="BH54" s="1301">
        <f>' Data Sheet-I'!M23</f>
        <v>0</v>
      </c>
      <c r="CB54" s="942"/>
      <c r="CC54" s="1294"/>
      <c r="CD54" s="1297"/>
      <c r="CG54" s="3939" t="s">
        <v>777</v>
      </c>
      <c r="CH54" s="3939"/>
      <c r="CI54" s="3939"/>
      <c r="CJ54" s="1301">
        <f>' Data Sheet-I'!M24</f>
        <v>0</v>
      </c>
      <c r="DE54" s="1294"/>
      <c r="DF54" s="1297"/>
      <c r="EE54" s="1294"/>
      <c r="EF54" s="1297"/>
      <c r="FD54" s="1294"/>
      <c r="FE54" s="1297"/>
      <c r="GC54" s="1522"/>
      <c r="GD54" s="1523"/>
      <c r="HB54" s="831"/>
    </row>
    <row r="55" spans="1:210">
      <c r="A55" s="3979" t="s">
        <v>1033</v>
      </c>
      <c r="B55" s="3980" t="s">
        <v>1042</v>
      </c>
      <c r="Z55" s="3981" t="s">
        <v>1043</v>
      </c>
      <c r="AA55" s="4005" t="s">
        <v>1044</v>
      </c>
      <c r="BA55" s="3981" t="s">
        <v>1035</v>
      </c>
      <c r="BB55" s="4005" t="s">
        <v>1045</v>
      </c>
      <c r="CB55" s="942"/>
      <c r="CC55" s="3981" t="s">
        <v>1036</v>
      </c>
      <c r="CD55" s="4005" t="s">
        <v>1046</v>
      </c>
      <c r="DE55" s="1294"/>
      <c r="DF55" s="1297"/>
      <c r="DI55" s="3939" t="s">
        <v>777</v>
      </c>
      <c r="DJ55" s="3939"/>
      <c r="DK55" s="3939"/>
      <c r="DL55" s="1301">
        <f>' Data Sheet-I'!M25</f>
        <v>0</v>
      </c>
      <c r="EE55" s="1294"/>
      <c r="EF55" s="1297"/>
      <c r="EI55" s="3939" t="s">
        <v>777</v>
      </c>
      <c r="EJ55" s="3939"/>
      <c r="EK55" s="3939"/>
      <c r="EL55" s="1301">
        <f>' Data Sheet-I'!M26</f>
        <v>0</v>
      </c>
      <c r="FD55" s="1294"/>
      <c r="FE55" s="1297"/>
      <c r="FH55" s="3939" t="s">
        <v>777</v>
      </c>
      <c r="FI55" s="3939"/>
      <c r="FJ55" s="3939"/>
      <c r="FK55" s="1301">
        <f>' Data Sheet-I'!M27</f>
        <v>0</v>
      </c>
      <c r="GC55" s="1522"/>
      <c r="GD55" s="1523"/>
      <c r="GG55" s="3939" t="s">
        <v>777</v>
      </c>
      <c r="GH55" s="3939"/>
      <c r="GI55" s="3939"/>
      <c r="GJ55" s="1301">
        <f>' Data Sheet-I'!M28</f>
        <v>0</v>
      </c>
      <c r="HB55" s="831"/>
    </row>
    <row r="56" spans="1:210">
      <c r="A56" s="3979"/>
      <c r="B56" s="3980"/>
      <c r="Z56" s="3981"/>
      <c r="AA56" s="4005"/>
      <c r="BA56" s="3981"/>
      <c r="BB56" s="4005"/>
      <c r="CB56" s="942"/>
      <c r="CC56" s="3981"/>
      <c r="CD56" s="4005"/>
      <c r="DE56" s="3981" t="s">
        <v>1064</v>
      </c>
      <c r="DF56" s="4005" t="s">
        <v>1066</v>
      </c>
      <c r="EE56" s="3981" t="s">
        <v>1071</v>
      </c>
      <c r="EF56" s="4005" t="s">
        <v>1077</v>
      </c>
      <c r="FD56" s="3981" t="s">
        <v>1152</v>
      </c>
      <c r="FE56" s="4005" t="s">
        <v>1077</v>
      </c>
      <c r="GC56" s="3976" t="s">
        <v>1154</v>
      </c>
      <c r="GD56" s="3961" t="s">
        <v>1161</v>
      </c>
      <c r="HB56" s="831"/>
    </row>
    <row r="57" spans="1:210">
      <c r="A57" s="3979"/>
      <c r="B57" s="3980"/>
      <c r="Z57" s="3981"/>
      <c r="AA57" s="4005"/>
      <c r="BA57" s="3981"/>
      <c r="BB57" s="4005"/>
      <c r="CB57" s="942"/>
      <c r="CC57" s="3981"/>
      <c r="CD57" s="4005"/>
      <c r="DE57" s="3981"/>
      <c r="DF57" s="4005"/>
      <c r="EE57" s="3981"/>
      <c r="EF57" s="4005"/>
      <c r="FD57" s="3981"/>
      <c r="FE57" s="4005"/>
      <c r="GC57" s="3976"/>
      <c r="GD57" s="3961"/>
      <c r="HB57" s="831"/>
    </row>
    <row r="58" spans="1:210">
      <c r="A58" s="3979"/>
      <c r="B58" s="3980"/>
      <c r="Z58" s="3981"/>
      <c r="AA58" s="4005"/>
      <c r="BA58" s="3981"/>
      <c r="BB58" s="4005"/>
      <c r="CB58" s="942"/>
      <c r="CC58" s="3981"/>
      <c r="CD58" s="4005"/>
      <c r="DE58" s="3981"/>
      <c r="DF58" s="4005"/>
      <c r="EE58" s="3981"/>
      <c r="EF58" s="4005"/>
      <c r="FD58" s="3981"/>
      <c r="FE58" s="4005"/>
      <c r="GC58" s="3976"/>
      <c r="GD58" s="3961"/>
      <c r="HB58" s="831"/>
    </row>
    <row r="59" spans="1:210" ht="15.75">
      <c r="A59" s="3979"/>
      <c r="B59" s="3980"/>
      <c r="E59" s="4010" t="s">
        <v>1047</v>
      </c>
      <c r="F59" s="4010"/>
      <c r="G59" s="4010"/>
      <c r="H59" s="4010"/>
      <c r="I59" s="4010"/>
      <c r="J59" s="4010"/>
      <c r="K59" s="4010"/>
      <c r="L59" s="4010"/>
      <c r="M59" s="4010"/>
      <c r="N59" s="4010"/>
      <c r="Z59" s="3981"/>
      <c r="AA59" s="4005"/>
      <c r="AC59" s="3984" t="s">
        <v>1048</v>
      </c>
      <c r="AD59" s="3984"/>
      <c r="AE59" s="3984"/>
      <c r="AF59" s="3984"/>
      <c r="AG59" s="3984"/>
      <c r="AH59" s="3984"/>
      <c r="AI59" s="3984"/>
      <c r="AJ59" s="3984"/>
      <c r="AK59" s="3984"/>
      <c r="AL59" s="3984"/>
      <c r="BA59" s="3981"/>
      <c r="BB59" s="4005"/>
      <c r="BD59" s="3984" t="s">
        <v>1049</v>
      </c>
      <c r="BE59" s="3984"/>
      <c r="BF59" s="3984"/>
      <c r="BG59" s="3984"/>
      <c r="BH59" s="3984"/>
      <c r="BI59" s="3984"/>
      <c r="BJ59" s="3984"/>
      <c r="BK59" s="3984"/>
      <c r="BL59" s="3984"/>
      <c r="BM59" s="3984"/>
      <c r="CB59" s="942"/>
      <c r="CC59" s="3981"/>
      <c r="CD59" s="4005"/>
      <c r="CF59" s="3984" t="s">
        <v>1050</v>
      </c>
      <c r="CG59" s="3984"/>
      <c r="CH59" s="3984"/>
      <c r="CI59" s="3984"/>
      <c r="CJ59" s="3984"/>
      <c r="CK59" s="3984"/>
      <c r="CL59" s="3984"/>
      <c r="CM59" s="3984"/>
      <c r="CN59" s="3984"/>
      <c r="CO59" s="3984"/>
      <c r="DE59" s="3981"/>
      <c r="DF59" s="4005"/>
      <c r="EE59" s="3981"/>
      <c r="EF59" s="4005"/>
      <c r="FD59" s="3981"/>
      <c r="FE59" s="4005"/>
      <c r="GC59" s="3976"/>
      <c r="GD59" s="3961"/>
      <c r="HB59" s="831"/>
    </row>
    <row r="60" spans="1:210" ht="15.75">
      <c r="A60" s="3979"/>
      <c r="B60" s="3980"/>
      <c r="E60" s="3985"/>
      <c r="F60" s="3985"/>
      <c r="G60" s="3985"/>
      <c r="H60" s="3985"/>
      <c r="I60" s="3985"/>
      <c r="J60" s="3985"/>
      <c r="K60" s="3985"/>
      <c r="L60" s="3985"/>
      <c r="M60" s="3985"/>
      <c r="N60" s="3985"/>
      <c r="Z60" s="3981"/>
      <c r="AA60" s="4005"/>
      <c r="AC60" s="3986"/>
      <c r="AD60" s="3986"/>
      <c r="AE60" s="3986"/>
      <c r="AF60" s="3986"/>
      <c r="AG60" s="3986"/>
      <c r="AH60" s="3986"/>
      <c r="AI60" s="3986"/>
      <c r="AJ60" s="3986"/>
      <c r="AK60" s="3986"/>
      <c r="AL60" s="3986"/>
      <c r="BA60" s="3981"/>
      <c r="BB60" s="4005"/>
      <c r="BD60" s="3986"/>
      <c r="BE60" s="3986"/>
      <c r="BF60" s="3986"/>
      <c r="BG60" s="3986"/>
      <c r="BH60" s="3986"/>
      <c r="BI60" s="3986"/>
      <c r="BJ60" s="3986"/>
      <c r="BK60" s="3986"/>
      <c r="BL60" s="3986"/>
      <c r="BM60" s="3986"/>
      <c r="CB60" s="942"/>
      <c r="CC60" s="3981"/>
      <c r="CD60" s="4005"/>
      <c r="CF60" s="3986"/>
      <c r="CG60" s="3986"/>
      <c r="CH60" s="3986"/>
      <c r="CI60" s="3986"/>
      <c r="CJ60" s="3986"/>
      <c r="CK60" s="3986"/>
      <c r="CL60" s="3986"/>
      <c r="CM60" s="3986"/>
      <c r="CN60" s="3986"/>
      <c r="CO60" s="3986"/>
      <c r="DE60" s="3981"/>
      <c r="DF60" s="4005"/>
      <c r="DH60" s="3984" t="s">
        <v>1067</v>
      </c>
      <c r="DI60" s="3984"/>
      <c r="DJ60" s="3984"/>
      <c r="DK60" s="3984"/>
      <c r="DL60" s="3984"/>
      <c r="DM60" s="3984"/>
      <c r="DN60" s="3984"/>
      <c r="DO60" s="3984"/>
      <c r="DP60" s="3984"/>
      <c r="DQ60" s="3984"/>
      <c r="EE60" s="3981"/>
      <c r="EF60" s="4005"/>
      <c r="EH60" s="3984" t="s">
        <v>1087</v>
      </c>
      <c r="EI60" s="3984"/>
      <c r="EJ60" s="3984"/>
      <c r="EK60" s="3984"/>
      <c r="EL60" s="3984"/>
      <c r="EM60" s="3984"/>
      <c r="EN60" s="3984"/>
      <c r="EO60" s="3984"/>
      <c r="EP60" s="3984"/>
      <c r="EQ60" s="3984"/>
      <c r="FD60" s="3981"/>
      <c r="FE60" s="4005"/>
      <c r="FG60" s="3984" t="s">
        <v>1158</v>
      </c>
      <c r="FH60" s="3984"/>
      <c r="FI60" s="3984"/>
      <c r="FJ60" s="3984"/>
      <c r="FK60" s="3984"/>
      <c r="FL60" s="3984"/>
      <c r="FM60" s="3984"/>
      <c r="FN60" s="3984"/>
      <c r="FO60" s="3984"/>
      <c r="FP60" s="3984"/>
      <c r="GC60" s="3976"/>
      <c r="GD60" s="3961"/>
      <c r="GF60" s="3938" t="s">
        <v>1162</v>
      </c>
      <c r="GG60" s="3938"/>
      <c r="GH60" s="3938"/>
      <c r="GI60" s="3938"/>
      <c r="GJ60" s="3938"/>
      <c r="GK60" s="3938"/>
      <c r="GL60" s="3938"/>
      <c r="GM60" s="3938"/>
      <c r="GN60" s="3938"/>
      <c r="GO60" s="3938"/>
      <c r="HB60" s="831"/>
    </row>
    <row r="61" spans="1:210" ht="15.75">
      <c r="A61" s="3979"/>
      <c r="B61" s="3980"/>
      <c r="E61" s="1303"/>
      <c r="F61" s="1304"/>
      <c r="G61" s="1304"/>
      <c r="H61" s="1304"/>
      <c r="I61" s="1304"/>
      <c r="J61" s="1304"/>
      <c r="K61" s="1304"/>
      <c r="L61" s="1304"/>
      <c r="M61" s="1305"/>
      <c r="N61" s="1306"/>
      <c r="Q61" s="1216"/>
      <c r="R61" s="1216"/>
      <c r="S61" s="1216"/>
      <c r="T61" s="1216"/>
      <c r="U61" s="1216"/>
      <c r="V61" s="1216"/>
      <c r="W61" s="1215"/>
      <c r="Y61" s="1270"/>
      <c r="Z61" s="3981"/>
      <c r="AA61" s="4005"/>
      <c r="AC61" s="1307"/>
      <c r="AD61" s="1308"/>
      <c r="AE61" s="1308"/>
      <c r="AF61" s="1308"/>
      <c r="AG61" s="1308"/>
      <c r="AH61" s="1308"/>
      <c r="AI61" s="1308"/>
      <c r="AJ61" s="1308"/>
      <c r="AK61" s="1309"/>
      <c r="AL61" s="1310"/>
      <c r="AO61" s="1216"/>
      <c r="AP61" s="1216"/>
      <c r="AQ61" s="1216"/>
      <c r="AR61" s="1216"/>
      <c r="AS61" s="1216"/>
      <c r="AT61" s="1216"/>
      <c r="AU61" s="1215"/>
      <c r="AW61" s="1270"/>
      <c r="AX61" s="1270"/>
      <c r="BA61" s="3981"/>
      <c r="BB61" s="4005"/>
      <c r="BD61" s="1307"/>
      <c r="BE61" s="1308"/>
      <c r="BF61" s="1308"/>
      <c r="BG61" s="1308"/>
      <c r="BH61" s="1308"/>
      <c r="BI61" s="1308"/>
      <c r="BJ61" s="1308"/>
      <c r="BK61" s="1308"/>
      <c r="BL61" s="1309"/>
      <c r="BM61" s="1310"/>
      <c r="BP61" s="1216"/>
      <c r="BQ61" s="1216"/>
      <c r="BR61" s="1216"/>
      <c r="BS61" s="1216"/>
      <c r="BT61" s="1216"/>
      <c r="BU61" s="1216"/>
      <c r="BV61" s="1215"/>
      <c r="BX61" s="1270"/>
      <c r="BY61" s="1270"/>
      <c r="CB61" s="942"/>
      <c r="CC61" s="3981"/>
      <c r="CD61" s="4005"/>
      <c r="CF61" s="1307"/>
      <c r="CG61" s="1308"/>
      <c r="CH61" s="1308"/>
      <c r="CI61" s="1308"/>
      <c r="CJ61" s="1308"/>
      <c r="CK61" s="1308"/>
      <c r="CL61" s="1308"/>
      <c r="CM61" s="1308"/>
      <c r="CN61" s="1309"/>
      <c r="CO61" s="1310"/>
      <c r="CR61" s="1216"/>
      <c r="CS61" s="1216"/>
      <c r="CT61" s="1216"/>
      <c r="CU61" s="1216"/>
      <c r="CV61" s="1216"/>
      <c r="CW61" s="1216"/>
      <c r="CX61" s="1215"/>
      <c r="CZ61" s="1270"/>
      <c r="DA61" s="1270"/>
      <c r="DE61" s="3981"/>
      <c r="DF61" s="4005"/>
      <c r="DH61" s="3986"/>
      <c r="DI61" s="3986"/>
      <c r="DJ61" s="3986"/>
      <c r="DK61" s="3986"/>
      <c r="DL61" s="3986"/>
      <c r="DM61" s="3986"/>
      <c r="DN61" s="3986"/>
      <c r="DO61" s="3986"/>
      <c r="DP61" s="3986"/>
      <c r="DQ61" s="3986"/>
      <c r="EE61" s="3981"/>
      <c r="EF61" s="4005"/>
      <c r="EH61" s="3986"/>
      <c r="EI61" s="3986"/>
      <c r="EJ61" s="3986"/>
      <c r="EK61" s="3986"/>
      <c r="EL61" s="3986"/>
      <c r="EM61" s="3986"/>
      <c r="EN61" s="3986"/>
      <c r="EO61" s="3986"/>
      <c r="EP61" s="3986"/>
      <c r="EQ61" s="3986"/>
      <c r="FD61" s="3981"/>
      <c r="FE61" s="4005"/>
      <c r="FG61" s="3986"/>
      <c r="FH61" s="3986"/>
      <c r="FI61" s="3986"/>
      <c r="FJ61" s="3986"/>
      <c r="FK61" s="3986"/>
      <c r="FL61" s="3986"/>
      <c r="FM61" s="3986"/>
      <c r="FN61" s="3986"/>
      <c r="FO61" s="3986"/>
      <c r="FP61" s="3986"/>
      <c r="GC61" s="3976"/>
      <c r="GD61" s="3961"/>
      <c r="GF61" s="3937"/>
      <c r="GG61" s="3937"/>
      <c r="GH61" s="3937"/>
      <c r="GI61" s="3937"/>
      <c r="GJ61" s="3937"/>
      <c r="GK61" s="3937"/>
      <c r="GL61" s="3937"/>
      <c r="GM61" s="3937"/>
      <c r="GN61" s="3937"/>
      <c r="GO61" s="3937"/>
      <c r="HB61" s="831"/>
    </row>
    <row r="62" spans="1:210">
      <c r="A62" s="3979"/>
      <c r="B62" s="3980"/>
      <c r="E62" s="1314" t="s">
        <v>1</v>
      </c>
      <c r="F62" s="1315" t="s">
        <v>1051</v>
      </c>
      <c r="G62" s="1315"/>
      <c r="H62" s="1315"/>
      <c r="I62" s="1315"/>
      <c r="J62" s="1315"/>
      <c r="K62" s="1315"/>
      <c r="L62" s="1315" t="s">
        <v>5</v>
      </c>
      <c r="M62" s="3992" t="str">
        <f t="shared" ref="M62:M67" si="11">W62</f>
        <v/>
      </c>
      <c r="N62" s="3993"/>
      <c r="O62" s="1214"/>
      <c r="P62" s="1214"/>
      <c r="Q62" s="1316"/>
      <c r="R62" s="1311" t="s">
        <v>1051</v>
      </c>
      <c r="S62" s="1311"/>
      <c r="T62" s="1311"/>
      <c r="U62" s="1311"/>
      <c r="V62" s="1312" t="str">
        <f>IF(I52&lt;=200000," ",0)</f>
        <v xml:space="preserve"> </v>
      </c>
      <c r="W62" s="3999" t="str">
        <f>IF(V62=0,"NIL","")</f>
        <v/>
      </c>
      <c r="X62" s="3999"/>
      <c r="Y62" s="1313"/>
      <c r="Z62" s="3981"/>
      <c r="AA62" s="4005"/>
      <c r="AC62" s="1317" t="s">
        <v>1</v>
      </c>
      <c r="AD62" s="1318" t="s">
        <v>9</v>
      </c>
      <c r="AE62" s="1318"/>
      <c r="AF62" s="1318"/>
      <c r="AG62" s="1318"/>
      <c r="AH62" s="1318"/>
      <c r="AI62" s="1318"/>
      <c r="AJ62" s="1318" t="s">
        <v>5</v>
      </c>
      <c r="AK62" s="3987" t="str">
        <f t="shared" ref="AK62:AK67" si="12">AU62</f>
        <v/>
      </c>
      <c r="AL62" s="3988"/>
      <c r="AM62" s="1214"/>
      <c r="AN62" s="1214"/>
      <c r="AO62" s="1316"/>
      <c r="AP62" s="1311" t="s">
        <v>9</v>
      </c>
      <c r="AQ62" s="1311"/>
      <c r="AR62" s="1311"/>
      <c r="AS62" s="1311"/>
      <c r="AT62" s="1312" t="str">
        <f>IF(AG52&lt;=250000," ",0)</f>
        <v xml:space="preserve"> </v>
      </c>
      <c r="AU62" s="3989" t="str">
        <f>IF(AT62=0,"NIL","")</f>
        <v/>
      </c>
      <c r="AV62" s="3989"/>
      <c r="AW62" s="1313"/>
      <c r="AX62" s="1313"/>
      <c r="BA62" s="3981"/>
      <c r="BB62" s="4005"/>
      <c r="BD62" s="1317" t="s">
        <v>1</v>
      </c>
      <c r="BE62" s="1318" t="s">
        <v>9</v>
      </c>
      <c r="BF62" s="1318"/>
      <c r="BG62" s="1318"/>
      <c r="BH62" s="1318"/>
      <c r="BI62" s="1318"/>
      <c r="BJ62" s="1318"/>
      <c r="BK62" s="1318" t="s">
        <v>5</v>
      </c>
      <c r="BL62" s="3987" t="str">
        <f t="shared" ref="BL62:BL67" si="13">BV62</f>
        <v/>
      </c>
      <c r="BM62" s="3988"/>
      <c r="BN62" s="1214"/>
      <c r="BO62" s="1214"/>
      <c r="BP62" s="1316"/>
      <c r="BQ62" s="1311" t="s">
        <v>9</v>
      </c>
      <c r="BR62" s="1311"/>
      <c r="BS62" s="1311"/>
      <c r="BT62" s="1311"/>
      <c r="BU62" s="1312" t="str">
        <f>IF(BH52&lt;=250000," ",0)</f>
        <v xml:space="preserve"> </v>
      </c>
      <c r="BV62" s="3989" t="str">
        <f>IF(BU62=0,"NIL","")</f>
        <v/>
      </c>
      <c r="BW62" s="3989"/>
      <c r="BX62" s="1313"/>
      <c r="BY62" s="1313"/>
      <c r="CB62" s="942"/>
      <c r="CC62" s="3981"/>
      <c r="CD62" s="4005"/>
      <c r="CF62" s="1317" t="s">
        <v>1</v>
      </c>
      <c r="CG62" s="1318" t="s">
        <v>9</v>
      </c>
      <c r="CH62" s="1318"/>
      <c r="CI62" s="1318"/>
      <c r="CJ62" s="1318"/>
      <c r="CK62" s="1318"/>
      <c r="CL62" s="1318"/>
      <c r="CM62" s="1318" t="s">
        <v>5</v>
      </c>
      <c r="CN62" s="3987" t="str">
        <f t="shared" ref="CN62:CN67" si="14">CX62</f>
        <v/>
      </c>
      <c r="CO62" s="3988"/>
      <c r="CP62" s="1214"/>
      <c r="CQ62" s="1214"/>
      <c r="CR62" s="1316"/>
      <c r="CS62" s="1311" t="s">
        <v>9</v>
      </c>
      <c r="CT62" s="1311"/>
      <c r="CU62" s="1311"/>
      <c r="CV62" s="1311"/>
      <c r="CW62" s="1312" t="str">
        <f>IF(CJ52&lt;=250000," ",0)</f>
        <v xml:space="preserve"> </v>
      </c>
      <c r="CX62" s="3989" t="str">
        <f>IF(CW62=0,"NIL","")</f>
        <v/>
      </c>
      <c r="CY62" s="3989"/>
      <c r="CZ62" s="1313"/>
      <c r="DA62" s="1313"/>
      <c r="DE62" s="3981"/>
      <c r="DF62" s="4005"/>
      <c r="DH62" s="1307"/>
      <c r="DI62" s="1308"/>
      <c r="DJ62" s="1308"/>
      <c r="DK62" s="1308"/>
      <c r="DL62" s="1308"/>
      <c r="DM62" s="1308"/>
      <c r="DN62" s="1308"/>
      <c r="DO62" s="1308"/>
      <c r="DP62" s="1309"/>
      <c r="DQ62" s="1310"/>
      <c r="DT62" s="1216"/>
      <c r="DU62" s="1216"/>
      <c r="DV62" s="1216"/>
      <c r="DW62" s="1216"/>
      <c r="DX62" s="1216"/>
      <c r="DY62" s="1216"/>
      <c r="DZ62" s="1215"/>
      <c r="EB62" s="1270"/>
      <c r="EC62" s="1270"/>
      <c r="EE62" s="3981"/>
      <c r="EF62" s="4005"/>
      <c r="EH62" s="1307"/>
      <c r="EI62" s="1308"/>
      <c r="EJ62" s="1308"/>
      <c r="EK62" s="1308"/>
      <c r="EL62" s="1308"/>
      <c r="EM62" s="1308"/>
      <c r="EN62" s="1308"/>
      <c r="EO62" s="1308"/>
      <c r="EP62" s="1309"/>
      <c r="EQ62" s="1310"/>
      <c r="ET62" s="1216"/>
      <c r="EU62" s="1216"/>
      <c r="EV62" s="1216"/>
      <c r="EW62" s="1216"/>
      <c r="EX62" s="1216"/>
      <c r="EY62" s="1216"/>
      <c r="EZ62" s="1215"/>
      <c r="FB62" s="1270"/>
      <c r="FC62" s="1270"/>
      <c r="FD62" s="3981"/>
      <c r="FE62" s="4005"/>
      <c r="FG62" s="1307"/>
      <c r="FH62" s="1308"/>
      <c r="FI62" s="1308"/>
      <c r="FJ62" s="1308"/>
      <c r="FK62" s="1308"/>
      <c r="FL62" s="1308"/>
      <c r="FM62" s="1308"/>
      <c r="FN62" s="1308"/>
      <c r="FO62" s="1309"/>
      <c r="FP62" s="1310"/>
      <c r="FS62" s="1216"/>
      <c r="FT62" s="1216"/>
      <c r="FU62" s="1216"/>
      <c r="FV62" s="1216"/>
      <c r="FW62" s="1216"/>
      <c r="FX62" s="1216"/>
      <c r="FY62" s="1215"/>
      <c r="GA62" s="1270"/>
      <c r="GB62" s="1270"/>
      <c r="GC62" s="3976"/>
      <c r="GD62" s="3961"/>
      <c r="GF62" s="1524"/>
      <c r="GG62" s="1525"/>
      <c r="GH62" s="1525"/>
      <c r="GI62" s="1525"/>
      <c r="GJ62" s="1525"/>
      <c r="GK62" s="1525"/>
      <c r="GL62" s="1525"/>
      <c r="GM62" s="1525"/>
      <c r="GN62" s="1526"/>
      <c r="GO62" s="1527"/>
      <c r="GR62" s="1216"/>
      <c r="GS62" s="1216"/>
      <c r="GT62" s="1216"/>
      <c r="GU62" s="1216"/>
      <c r="GV62" s="1216"/>
      <c r="GW62" s="1216"/>
      <c r="GX62" s="1215"/>
      <c r="GZ62" s="1270"/>
      <c r="HA62" s="1270"/>
      <c r="HB62" s="831"/>
    </row>
    <row r="63" spans="1:210" ht="20.100000000000001" customHeight="1">
      <c r="A63" s="3979"/>
      <c r="B63" s="3980"/>
      <c r="E63" s="1314" t="s">
        <v>2</v>
      </c>
      <c r="F63" s="1315" t="s">
        <v>1052</v>
      </c>
      <c r="G63" s="1315"/>
      <c r="H63" s="1315"/>
      <c r="I63" s="1321"/>
      <c r="J63" s="1321"/>
      <c r="K63" s="1321"/>
      <c r="L63" s="1321" t="s">
        <v>5</v>
      </c>
      <c r="M63" s="3992">
        <f t="shared" si="11"/>
        <v>0</v>
      </c>
      <c r="N63" s="3993"/>
      <c r="O63" s="1214"/>
      <c r="P63" s="1214"/>
      <c r="Q63" s="1316"/>
      <c r="R63" s="1311" t="s">
        <v>1053</v>
      </c>
      <c r="S63" s="1311"/>
      <c r="T63" s="1311"/>
      <c r="U63" s="1319"/>
      <c r="V63" s="1320">
        <f>IF(AND(I52&gt;500000),300000,IF(AND(I52&gt;200000,I52&lt;=500000),I52-200000,0))</f>
        <v>0</v>
      </c>
      <c r="W63" s="3999">
        <f>ROUND(V63*10%,0.1)</f>
        <v>0</v>
      </c>
      <c r="X63" s="3999"/>
      <c r="Y63" s="1313"/>
      <c r="Z63" s="3981"/>
      <c r="AA63" s="4005"/>
      <c r="AC63" s="1317" t="s">
        <v>2</v>
      </c>
      <c r="AD63" s="1318" t="s">
        <v>1054</v>
      </c>
      <c r="AE63" s="1318"/>
      <c r="AF63" s="1318"/>
      <c r="AG63" s="1322"/>
      <c r="AH63" s="1322"/>
      <c r="AI63" s="1322"/>
      <c r="AJ63" s="1322" t="s">
        <v>5</v>
      </c>
      <c r="AK63" s="3987">
        <f t="shared" si="12"/>
        <v>0</v>
      </c>
      <c r="AL63" s="3988"/>
      <c r="AM63" s="1214"/>
      <c r="AN63" s="1214"/>
      <c r="AO63" s="1316"/>
      <c r="AP63" s="1311" t="s">
        <v>1054</v>
      </c>
      <c r="AQ63" s="1311"/>
      <c r="AR63" s="1311"/>
      <c r="AS63" s="1319"/>
      <c r="AT63" s="1320">
        <f>IF(AND(AG52&gt;500000),250000,IF(AND(AG52&gt;250000,AG52&lt;=500000),AG52-250000,0))</f>
        <v>0</v>
      </c>
      <c r="AU63" s="3989">
        <f>ROUND(AT63*10%,0.1)</f>
        <v>0</v>
      </c>
      <c r="AV63" s="3989"/>
      <c r="AW63" s="1313"/>
      <c r="AX63" s="1313"/>
      <c r="BA63" s="3981"/>
      <c r="BB63" s="4005"/>
      <c r="BD63" s="1317" t="s">
        <v>2</v>
      </c>
      <c r="BE63" s="1318" t="s">
        <v>1054</v>
      </c>
      <c r="BF63" s="1318"/>
      <c r="BG63" s="1318"/>
      <c r="BH63" s="1322"/>
      <c r="BI63" s="1322"/>
      <c r="BJ63" s="1322"/>
      <c r="BK63" s="1322" t="s">
        <v>5</v>
      </c>
      <c r="BL63" s="3987">
        <f t="shared" si="13"/>
        <v>0</v>
      </c>
      <c r="BM63" s="3988"/>
      <c r="BN63" s="1214"/>
      <c r="BO63" s="1214"/>
      <c r="BP63" s="1316"/>
      <c r="BQ63" s="1311" t="s">
        <v>1054</v>
      </c>
      <c r="BR63" s="1311"/>
      <c r="BS63" s="1311"/>
      <c r="BT63" s="1319"/>
      <c r="BU63" s="1320">
        <f>IF(AND(BH52&gt;500000),250000,IF(AND(BH52&gt;250000,BH52&lt;=500000),BH52-250000,0))</f>
        <v>0</v>
      </c>
      <c r="BV63" s="3989">
        <f>ROUND(BU63*10%,0.1)</f>
        <v>0</v>
      </c>
      <c r="BW63" s="3989"/>
      <c r="BX63" s="1313"/>
      <c r="BY63" s="1313"/>
      <c r="CB63" s="942"/>
      <c r="CC63" s="3981"/>
      <c r="CD63" s="4005"/>
      <c r="CF63" s="1317" t="s">
        <v>2</v>
      </c>
      <c r="CG63" s="1318" t="s">
        <v>1054</v>
      </c>
      <c r="CH63" s="1318"/>
      <c r="CI63" s="1318"/>
      <c r="CJ63" s="1322"/>
      <c r="CK63" s="1322"/>
      <c r="CL63" s="1322"/>
      <c r="CM63" s="1322" t="s">
        <v>5</v>
      </c>
      <c r="CN63" s="3987">
        <f t="shared" si="14"/>
        <v>0</v>
      </c>
      <c r="CO63" s="3988"/>
      <c r="CP63" s="1214"/>
      <c r="CQ63" s="1214"/>
      <c r="CR63" s="1316"/>
      <c r="CS63" s="1311" t="s">
        <v>1054</v>
      </c>
      <c r="CT63" s="1311"/>
      <c r="CU63" s="1311"/>
      <c r="CV63" s="1319"/>
      <c r="CW63" s="1320">
        <f>IF(AND(CJ52&gt;500000),250000,IF(AND(CJ52&gt;250000,CJ52&lt;=500000),CJ52-250000,0))</f>
        <v>0</v>
      </c>
      <c r="CX63" s="3989">
        <f>ROUND(CW63*10%,0.1)</f>
        <v>0</v>
      </c>
      <c r="CY63" s="3989"/>
      <c r="CZ63" s="1313"/>
      <c r="DA63" s="1313"/>
      <c r="DE63" s="3981"/>
      <c r="DF63" s="4005"/>
      <c r="DH63" s="1317" t="s">
        <v>1</v>
      </c>
      <c r="DI63" s="1318" t="s">
        <v>9</v>
      </c>
      <c r="DJ63" s="1318"/>
      <c r="DK63" s="1318"/>
      <c r="DL63" s="1318"/>
      <c r="DM63" s="1318"/>
      <c r="DN63" s="1318"/>
      <c r="DO63" s="1318" t="s">
        <v>5</v>
      </c>
      <c r="DP63" s="3987" t="str">
        <f t="shared" ref="DP63:DP68" si="15">DZ63</f>
        <v/>
      </c>
      <c r="DQ63" s="3988"/>
      <c r="DR63" s="1214"/>
      <c r="DS63" s="1214"/>
      <c r="DT63" s="1316"/>
      <c r="DU63" s="1311" t="s">
        <v>9</v>
      </c>
      <c r="DV63" s="1311"/>
      <c r="DW63" s="1311"/>
      <c r="DX63" s="1311"/>
      <c r="DY63" s="1312" t="str">
        <f>IF(DL53&lt;=250000," ",0)</f>
        <v xml:space="preserve"> </v>
      </c>
      <c r="DZ63" s="3989" t="str">
        <f>IF(DY63=0,"NIL","")</f>
        <v/>
      </c>
      <c r="EA63" s="3989"/>
      <c r="EB63" s="1313"/>
      <c r="EC63" s="1313"/>
      <c r="EE63" s="3981"/>
      <c r="EF63" s="4005"/>
      <c r="EH63" s="1317" t="s">
        <v>1</v>
      </c>
      <c r="EI63" s="1318" t="s">
        <v>9</v>
      </c>
      <c r="EJ63" s="1318"/>
      <c r="EK63" s="1318"/>
      <c r="EL63" s="1318"/>
      <c r="EM63" s="1318"/>
      <c r="EN63" s="1318"/>
      <c r="EO63" s="1318" t="s">
        <v>5</v>
      </c>
      <c r="EP63" s="3987" t="str">
        <f t="shared" ref="EP63:EP68" si="16">EZ63</f>
        <v/>
      </c>
      <c r="EQ63" s="3988"/>
      <c r="ER63" s="1214"/>
      <c r="ES63" s="1214"/>
      <c r="ET63" s="1316"/>
      <c r="EU63" s="1311" t="s">
        <v>9</v>
      </c>
      <c r="EV63" s="1311"/>
      <c r="EW63" s="1311"/>
      <c r="EX63" s="1311"/>
      <c r="EY63" s="1312" t="str">
        <f>IF(EL53&lt;=250000," ",0)</f>
        <v xml:space="preserve"> </v>
      </c>
      <c r="EZ63" s="3989" t="str">
        <f>IF(EY63=0,"NIL","")</f>
        <v/>
      </c>
      <c r="FA63" s="3989"/>
      <c r="FB63" s="1313"/>
      <c r="FC63" s="1313"/>
      <c r="FD63" s="3981"/>
      <c r="FE63" s="4005"/>
      <c r="FG63" s="1317" t="s">
        <v>1</v>
      </c>
      <c r="FH63" s="1318" t="s">
        <v>9</v>
      </c>
      <c r="FI63" s="1318"/>
      <c r="FJ63" s="1318"/>
      <c r="FK63" s="1318"/>
      <c r="FL63" s="1318"/>
      <c r="FM63" s="1318"/>
      <c r="FN63" s="1318" t="s">
        <v>5</v>
      </c>
      <c r="FO63" s="3987" t="str">
        <f t="shared" ref="FO63:FO67" si="17">FY63</f>
        <v/>
      </c>
      <c r="FP63" s="3988"/>
      <c r="FQ63" s="1214"/>
      <c r="FR63" s="1214"/>
      <c r="FS63" s="1316"/>
      <c r="FT63" s="1311" t="s">
        <v>9</v>
      </c>
      <c r="FU63" s="1311"/>
      <c r="FV63" s="1311"/>
      <c r="FW63" s="1311"/>
      <c r="FX63" s="1312" t="str">
        <f>IF(FK53&lt;=250000," ",0)</f>
        <v xml:space="preserve"> </v>
      </c>
      <c r="FY63" s="3989" t="str">
        <f>IF(FX63=0,"NIL","")</f>
        <v/>
      </c>
      <c r="FZ63" s="3989"/>
      <c r="GA63" s="1313"/>
      <c r="GB63" s="1313"/>
      <c r="GC63" s="3976"/>
      <c r="GD63" s="3961"/>
      <c r="GF63" s="1528" t="s">
        <v>1</v>
      </c>
      <c r="GG63" s="1529" t="s">
        <v>9</v>
      </c>
      <c r="GH63" s="1529"/>
      <c r="GI63" s="1529"/>
      <c r="GJ63" s="1529"/>
      <c r="GK63" s="1529"/>
      <c r="GL63" s="1529"/>
      <c r="GM63" s="1529" t="s">
        <v>5</v>
      </c>
      <c r="GN63" s="3935" t="str">
        <f t="shared" ref="GN63:GN67" si="18">GX63</f>
        <v/>
      </c>
      <c r="GO63" s="3936"/>
      <c r="GP63" s="1214"/>
      <c r="GQ63" s="1214"/>
      <c r="GR63" s="1535"/>
      <c r="GS63" s="1536" t="s">
        <v>9</v>
      </c>
      <c r="GT63" s="1536"/>
      <c r="GU63" s="1536"/>
      <c r="GV63" s="1536"/>
      <c r="GW63" s="1537" t="str">
        <f>IF(GJ53&lt;=250000," ",0)</f>
        <v xml:space="preserve"> </v>
      </c>
      <c r="GX63" s="3934" t="str">
        <f>IF(GW63=0,"NIL","")</f>
        <v/>
      </c>
      <c r="GY63" s="3934"/>
      <c r="GZ63" s="1313"/>
      <c r="HA63" s="1313"/>
      <c r="HB63" s="831"/>
    </row>
    <row r="64" spans="1:210" ht="20.100000000000001" customHeight="1">
      <c r="A64" s="3979"/>
      <c r="B64" s="3980"/>
      <c r="E64" s="1314" t="s">
        <v>3</v>
      </c>
      <c r="F64" s="1315" t="s">
        <v>1055</v>
      </c>
      <c r="G64" s="1315"/>
      <c r="H64" s="1315"/>
      <c r="I64" s="1315"/>
      <c r="J64" s="1315"/>
      <c r="K64" s="1315"/>
      <c r="L64" s="1321" t="s">
        <v>5</v>
      </c>
      <c r="M64" s="3992">
        <f t="shared" si="11"/>
        <v>0</v>
      </c>
      <c r="N64" s="3993"/>
      <c r="O64" s="1214"/>
      <c r="P64" s="1214"/>
      <c r="Q64" s="1316"/>
      <c r="R64" s="1311" t="s">
        <v>1055</v>
      </c>
      <c r="S64" s="1311"/>
      <c r="T64" s="1311"/>
      <c r="U64" s="1311"/>
      <c r="V64" s="1320">
        <f>IF(AND(I52&gt;1000000),500000,IF(AND(I52&gt;500000,I52&lt;=1000000),I52-500000,0))</f>
        <v>0</v>
      </c>
      <c r="W64" s="3999">
        <f>ROUND(V64*20%,0.1)</f>
        <v>0</v>
      </c>
      <c r="X64" s="3999"/>
      <c r="Y64" s="1313"/>
      <c r="Z64" s="3981"/>
      <c r="AA64" s="4005"/>
      <c r="AC64" s="1317" t="s">
        <v>3</v>
      </c>
      <c r="AD64" s="1318" t="s">
        <v>1055</v>
      </c>
      <c r="AE64" s="1318"/>
      <c r="AF64" s="1318"/>
      <c r="AG64" s="1318"/>
      <c r="AH64" s="1318"/>
      <c r="AI64" s="1318"/>
      <c r="AJ64" s="1322" t="s">
        <v>5</v>
      </c>
      <c r="AK64" s="3987">
        <f t="shared" si="12"/>
        <v>0</v>
      </c>
      <c r="AL64" s="3988"/>
      <c r="AM64" s="1214"/>
      <c r="AN64" s="1214"/>
      <c r="AO64" s="1316"/>
      <c r="AP64" s="1311" t="s">
        <v>1055</v>
      </c>
      <c r="AQ64" s="1311"/>
      <c r="AR64" s="1311"/>
      <c r="AS64" s="1311"/>
      <c r="AT64" s="1320">
        <f>IF(AND(AG52&gt;1000000),500000,IF(AND(AG52&gt;500000,AG52&lt;=1000000),AG52-500000,0))</f>
        <v>0</v>
      </c>
      <c r="AU64" s="3989">
        <f>ROUND(AT64*20%,0.1)</f>
        <v>0</v>
      </c>
      <c r="AV64" s="3989"/>
      <c r="AW64" s="1313"/>
      <c r="AX64" s="1313"/>
      <c r="BA64" s="3981"/>
      <c r="BB64" s="4005"/>
      <c r="BD64" s="1317" t="s">
        <v>3</v>
      </c>
      <c r="BE64" s="1318" t="s">
        <v>1055</v>
      </c>
      <c r="BF64" s="1318"/>
      <c r="BG64" s="1318"/>
      <c r="BH64" s="1318"/>
      <c r="BI64" s="1318"/>
      <c r="BJ64" s="1318"/>
      <c r="BK64" s="1322" t="s">
        <v>5</v>
      </c>
      <c r="BL64" s="3987">
        <f t="shared" si="13"/>
        <v>0</v>
      </c>
      <c r="BM64" s="3988"/>
      <c r="BN64" s="1214"/>
      <c r="BO64" s="1214"/>
      <c r="BP64" s="1316"/>
      <c r="BQ64" s="1311" t="s">
        <v>1055</v>
      </c>
      <c r="BR64" s="1311"/>
      <c r="BS64" s="1311"/>
      <c r="BT64" s="1311"/>
      <c r="BU64" s="1320">
        <f>IF(AND(BH52&gt;1000000),500000,IF(AND(BH52&gt;500000,BH52&lt;=1000000),BH52-500000,0))</f>
        <v>0</v>
      </c>
      <c r="BV64" s="3989">
        <f>ROUND(BU64*20%,0.1)</f>
        <v>0</v>
      </c>
      <c r="BW64" s="3989"/>
      <c r="BX64" s="1313"/>
      <c r="BY64" s="1313"/>
      <c r="CB64" s="942"/>
      <c r="CC64" s="3981"/>
      <c r="CD64" s="4005"/>
      <c r="CF64" s="1317" t="s">
        <v>3</v>
      </c>
      <c r="CG64" s="1318" t="s">
        <v>1055</v>
      </c>
      <c r="CH64" s="1318"/>
      <c r="CI64" s="1318"/>
      <c r="CJ64" s="1318"/>
      <c r="CK64" s="1318"/>
      <c r="CL64" s="1318"/>
      <c r="CM64" s="1322" t="s">
        <v>5</v>
      </c>
      <c r="CN64" s="3987">
        <f t="shared" si="14"/>
        <v>0</v>
      </c>
      <c r="CO64" s="3988"/>
      <c r="CP64" s="1214"/>
      <c r="CQ64" s="1214"/>
      <c r="CR64" s="1316"/>
      <c r="CS64" s="1311" t="s">
        <v>1055</v>
      </c>
      <c r="CT64" s="1311"/>
      <c r="CU64" s="1311"/>
      <c r="CV64" s="1311"/>
      <c r="CW64" s="1320">
        <f>IF(AND(CJ52&gt;1000000),500000,IF(AND(CJ52&gt;500000,CJ52&lt;=1000000),CJ52-500000,0))</f>
        <v>0</v>
      </c>
      <c r="CX64" s="3989">
        <f>ROUND(CW64*20%,0.1)</f>
        <v>0</v>
      </c>
      <c r="CY64" s="3989"/>
      <c r="CZ64" s="1313"/>
      <c r="DA64" s="1313"/>
      <c r="DE64" s="3981"/>
      <c r="DF64" s="4005"/>
      <c r="DH64" s="1317" t="s">
        <v>2</v>
      </c>
      <c r="DI64" s="1318" t="s">
        <v>1068</v>
      </c>
      <c r="DJ64" s="1318"/>
      <c r="DK64" s="1318"/>
      <c r="DL64" s="1322"/>
      <c r="DM64" s="1322"/>
      <c r="DN64" s="1322"/>
      <c r="DO64" s="1322" t="s">
        <v>5</v>
      </c>
      <c r="DP64" s="3987">
        <f t="shared" si="15"/>
        <v>0</v>
      </c>
      <c r="DQ64" s="3988"/>
      <c r="DR64" s="1214"/>
      <c r="DS64" s="1214"/>
      <c r="DT64" s="1316"/>
      <c r="DU64" s="1311" t="s">
        <v>1068</v>
      </c>
      <c r="DV64" s="1311"/>
      <c r="DW64" s="1311"/>
      <c r="DX64" s="1319"/>
      <c r="DY64" s="1320">
        <f>IF(AND(DL53&gt;500000),250000,IF(AND(DL53&gt;250000,DL53&lt;=500000),DL53-250000,0))</f>
        <v>0</v>
      </c>
      <c r="DZ64" s="3989">
        <f>ROUND(DY64*5%,0.1)</f>
        <v>0</v>
      </c>
      <c r="EA64" s="3989"/>
      <c r="EB64" s="1313"/>
      <c r="EC64" s="1313"/>
      <c r="EE64" s="3981"/>
      <c r="EF64" s="4005"/>
      <c r="EH64" s="1317" t="s">
        <v>2</v>
      </c>
      <c r="EI64" s="1318" t="s">
        <v>1068</v>
      </c>
      <c r="EJ64" s="1318"/>
      <c r="EK64" s="1318"/>
      <c r="EL64" s="1322"/>
      <c r="EM64" s="1322"/>
      <c r="EN64" s="1322"/>
      <c r="EO64" s="1322" t="s">
        <v>5</v>
      </c>
      <c r="EP64" s="3987">
        <f t="shared" si="16"/>
        <v>0</v>
      </c>
      <c r="EQ64" s="3988"/>
      <c r="ER64" s="1214"/>
      <c r="ES64" s="1214"/>
      <c r="ET64" s="1316"/>
      <c r="EU64" s="1311" t="s">
        <v>1068</v>
      </c>
      <c r="EV64" s="1311"/>
      <c r="EW64" s="1311"/>
      <c r="EX64" s="1319"/>
      <c r="EY64" s="1320">
        <f>IF(AND(EL53&gt;500000),250000,IF(AND(EL53&gt;250000,EL53&lt;=500000),EL53-250000,0))</f>
        <v>0</v>
      </c>
      <c r="EZ64" s="3989">
        <f>ROUND(EY64*5%,0.1)</f>
        <v>0</v>
      </c>
      <c r="FA64" s="3989"/>
      <c r="FB64" s="1313"/>
      <c r="FC64" s="1313"/>
      <c r="FD64" s="3981"/>
      <c r="FE64" s="4005"/>
      <c r="FG64" s="1317" t="s">
        <v>2</v>
      </c>
      <c r="FH64" s="1318" t="s">
        <v>1068</v>
      </c>
      <c r="FI64" s="1318"/>
      <c r="FJ64" s="1318"/>
      <c r="FK64" s="1322"/>
      <c r="FL64" s="1322"/>
      <c r="FM64" s="1322"/>
      <c r="FN64" s="1322" t="s">
        <v>5</v>
      </c>
      <c r="FO64" s="3987">
        <f t="shared" si="17"/>
        <v>0</v>
      </c>
      <c r="FP64" s="3988"/>
      <c r="FQ64" s="1214"/>
      <c r="FR64" s="1214"/>
      <c r="FS64" s="1316"/>
      <c r="FT64" s="1311" t="s">
        <v>1068</v>
      </c>
      <c r="FU64" s="1311"/>
      <c r="FV64" s="1311"/>
      <c r="FW64" s="1319"/>
      <c r="FX64" s="1320">
        <f>IF(AND(FK53&gt;500000),250000,IF(AND(FK53&gt;250000,FK53&lt;=500000),FK53-250000,0))</f>
        <v>0</v>
      </c>
      <c r="FY64" s="3989">
        <f>ROUND(FX64*5%,0.1)</f>
        <v>0</v>
      </c>
      <c r="FZ64" s="3989"/>
      <c r="GA64" s="1313"/>
      <c r="GB64" s="1313"/>
      <c r="GC64" s="3976"/>
      <c r="GD64" s="3961"/>
      <c r="GF64" s="1528" t="s">
        <v>2</v>
      </c>
      <c r="GG64" s="1529" t="s">
        <v>1068</v>
      </c>
      <c r="GH64" s="1529"/>
      <c r="GI64" s="1529"/>
      <c r="GJ64" s="1530"/>
      <c r="GK64" s="1530"/>
      <c r="GL64" s="1530"/>
      <c r="GM64" s="1530" t="s">
        <v>5</v>
      </c>
      <c r="GN64" s="3935">
        <f t="shared" si="18"/>
        <v>0</v>
      </c>
      <c r="GO64" s="3936"/>
      <c r="GP64" s="1214"/>
      <c r="GQ64" s="1214"/>
      <c r="GR64" s="1535"/>
      <c r="GS64" s="1536" t="s">
        <v>1068</v>
      </c>
      <c r="GT64" s="1536"/>
      <c r="GU64" s="1536"/>
      <c r="GV64" s="1538"/>
      <c r="GW64" s="1539">
        <f>IF(AND(GJ53&gt;500000),250000,IF(AND(GJ53&gt;250000,GJ53&lt;=500000),GJ53-250000,0))</f>
        <v>0</v>
      </c>
      <c r="GX64" s="3934">
        <f>ROUND(GW64*5%,0.1)</f>
        <v>0</v>
      </c>
      <c r="GY64" s="3934"/>
      <c r="GZ64" s="1313"/>
      <c r="HA64" s="1313"/>
      <c r="HB64" s="831"/>
    </row>
    <row r="65" spans="1:210" ht="20.100000000000001" customHeight="1">
      <c r="A65" s="3979"/>
      <c r="B65" s="3980"/>
      <c r="E65" s="1314" t="s">
        <v>4</v>
      </c>
      <c r="F65" s="1315" t="s">
        <v>1056</v>
      </c>
      <c r="G65" s="1315"/>
      <c r="H65" s="1315"/>
      <c r="I65" s="1315"/>
      <c r="J65" s="1315"/>
      <c r="K65" s="1315"/>
      <c r="L65" s="1321" t="s">
        <v>5</v>
      </c>
      <c r="M65" s="3992">
        <f t="shared" si="11"/>
        <v>0</v>
      </c>
      <c r="N65" s="3993"/>
      <c r="O65" s="1214"/>
      <c r="P65" s="1214"/>
      <c r="Q65" s="1316"/>
      <c r="R65" s="1311" t="s">
        <v>1056</v>
      </c>
      <c r="S65" s="1311"/>
      <c r="T65" s="1311"/>
      <c r="U65" s="1311"/>
      <c r="V65" s="1320">
        <f>IF(AND(I52&gt;1000000),I52-1000000,0)</f>
        <v>0</v>
      </c>
      <c r="W65" s="3999">
        <f>ROUND(V65*30%,0.1)</f>
        <v>0</v>
      </c>
      <c r="X65" s="3999"/>
      <c r="Y65" s="1313"/>
      <c r="Z65" s="3981"/>
      <c r="AA65" s="4005"/>
      <c r="AC65" s="1317" t="s">
        <v>4</v>
      </c>
      <c r="AD65" s="1318" t="s">
        <v>1056</v>
      </c>
      <c r="AE65" s="1318"/>
      <c r="AF65" s="1318"/>
      <c r="AG65" s="1318"/>
      <c r="AH65" s="1318"/>
      <c r="AI65" s="1318"/>
      <c r="AJ65" s="1322" t="s">
        <v>5</v>
      </c>
      <c r="AK65" s="3987">
        <f t="shared" si="12"/>
        <v>0</v>
      </c>
      <c r="AL65" s="3988"/>
      <c r="AM65" s="1214"/>
      <c r="AN65" s="1214"/>
      <c r="AO65" s="1316"/>
      <c r="AP65" s="1311" t="s">
        <v>1056</v>
      </c>
      <c r="AQ65" s="1311"/>
      <c r="AR65" s="1311"/>
      <c r="AS65" s="1311"/>
      <c r="AT65" s="1320">
        <f>IF(AND(AG52&gt;1000000),AG52-1000000,0)</f>
        <v>0</v>
      </c>
      <c r="AU65" s="3989">
        <f>ROUND(AT65*30%,0.1)</f>
        <v>0</v>
      </c>
      <c r="AV65" s="3989"/>
      <c r="AW65" s="1313"/>
      <c r="AX65" s="1313"/>
      <c r="BA65" s="3981"/>
      <c r="BB65" s="4005"/>
      <c r="BD65" s="1317" t="s">
        <v>4</v>
      </c>
      <c r="BE65" s="1318" t="s">
        <v>1056</v>
      </c>
      <c r="BF65" s="1318"/>
      <c r="BG65" s="1318"/>
      <c r="BH65" s="1318"/>
      <c r="BI65" s="1318"/>
      <c r="BJ65" s="1318"/>
      <c r="BK65" s="1322" t="s">
        <v>5</v>
      </c>
      <c r="BL65" s="3987">
        <f t="shared" si="13"/>
        <v>0</v>
      </c>
      <c r="BM65" s="3988"/>
      <c r="BN65" s="1214"/>
      <c r="BO65" s="1214"/>
      <c r="BP65" s="1316"/>
      <c r="BQ65" s="1311" t="s">
        <v>1056</v>
      </c>
      <c r="BR65" s="1311"/>
      <c r="BS65" s="1311"/>
      <c r="BT65" s="1311"/>
      <c r="BU65" s="1320">
        <f>IF(AND(BH52&gt;1000000),BH52-1000000,0)</f>
        <v>0</v>
      </c>
      <c r="BV65" s="3989">
        <f>ROUND(BU65*30%,0.1)</f>
        <v>0</v>
      </c>
      <c r="BW65" s="3989"/>
      <c r="BX65" s="1313"/>
      <c r="BY65" s="1313"/>
      <c r="CB65" s="942"/>
      <c r="CC65" s="3981"/>
      <c r="CD65" s="4005"/>
      <c r="CF65" s="1317" t="s">
        <v>4</v>
      </c>
      <c r="CG65" s="1318" t="s">
        <v>1056</v>
      </c>
      <c r="CH65" s="1318"/>
      <c r="CI65" s="1318"/>
      <c r="CJ65" s="1318"/>
      <c r="CK65" s="1318"/>
      <c r="CL65" s="1318"/>
      <c r="CM65" s="1322" t="s">
        <v>5</v>
      </c>
      <c r="CN65" s="3987">
        <f t="shared" si="14"/>
        <v>0</v>
      </c>
      <c r="CO65" s="3988"/>
      <c r="CP65" s="1214"/>
      <c r="CQ65" s="1214"/>
      <c r="CR65" s="1316"/>
      <c r="CS65" s="1311" t="s">
        <v>1056</v>
      </c>
      <c r="CT65" s="1311"/>
      <c r="CU65" s="1311"/>
      <c r="CV65" s="1311"/>
      <c r="CW65" s="1320">
        <f>IF(AND(CJ52&gt;1000000),CJ52-1000000,0)</f>
        <v>0</v>
      </c>
      <c r="CX65" s="3989">
        <f>ROUND(CW65*30%,0.1)</f>
        <v>0</v>
      </c>
      <c r="CY65" s="3989"/>
      <c r="CZ65" s="1313"/>
      <c r="DA65" s="1313"/>
      <c r="DE65" s="3981"/>
      <c r="DF65" s="4005"/>
      <c r="DH65" s="1317" t="s">
        <v>3</v>
      </c>
      <c r="DI65" s="1318" t="s">
        <v>1055</v>
      </c>
      <c r="DJ65" s="1318"/>
      <c r="DK65" s="1318"/>
      <c r="DL65" s="1318"/>
      <c r="DM65" s="1318"/>
      <c r="DN65" s="1318"/>
      <c r="DO65" s="1322" t="s">
        <v>5</v>
      </c>
      <c r="DP65" s="3987">
        <f t="shared" si="15"/>
        <v>0</v>
      </c>
      <c r="DQ65" s="3988"/>
      <c r="DR65" s="1214"/>
      <c r="DS65" s="1214"/>
      <c r="DT65" s="1316"/>
      <c r="DU65" s="1311" t="s">
        <v>1055</v>
      </c>
      <c r="DV65" s="1311"/>
      <c r="DW65" s="1311"/>
      <c r="DX65" s="1311"/>
      <c r="DY65" s="1320">
        <f>IF(AND(DL53&gt;1000000),500000,IF(AND(DL53&gt;500000,DL53&lt;=1000000),DL53-500000,0))</f>
        <v>0</v>
      </c>
      <c r="DZ65" s="3989">
        <f>ROUND(DY65*20%,0.1)</f>
        <v>0</v>
      </c>
      <c r="EA65" s="3989"/>
      <c r="EB65" s="1313"/>
      <c r="EC65" s="1313"/>
      <c r="EE65" s="3981"/>
      <c r="EF65" s="4005"/>
      <c r="EH65" s="1317" t="s">
        <v>3</v>
      </c>
      <c r="EI65" s="1318" t="s">
        <v>1055</v>
      </c>
      <c r="EJ65" s="1318"/>
      <c r="EK65" s="1318"/>
      <c r="EL65" s="1318"/>
      <c r="EM65" s="1318"/>
      <c r="EN65" s="1318"/>
      <c r="EO65" s="1322" t="s">
        <v>5</v>
      </c>
      <c r="EP65" s="3987">
        <f t="shared" si="16"/>
        <v>0</v>
      </c>
      <c r="EQ65" s="3988"/>
      <c r="ER65" s="1214"/>
      <c r="ES65" s="1214"/>
      <c r="ET65" s="1316"/>
      <c r="EU65" s="1311" t="s">
        <v>1055</v>
      </c>
      <c r="EV65" s="1311"/>
      <c r="EW65" s="1311"/>
      <c r="EX65" s="1311"/>
      <c r="EY65" s="1320">
        <f>IF(AND(EL53&gt;1000000),500000,IF(AND(EL53&gt;500000,EL53&lt;=1000000),EL53-500000,0))</f>
        <v>0</v>
      </c>
      <c r="EZ65" s="3989">
        <f>ROUND(EY65*20%,0.1)</f>
        <v>0</v>
      </c>
      <c r="FA65" s="3989"/>
      <c r="FB65" s="1313"/>
      <c r="FC65" s="1313"/>
      <c r="FD65" s="3981"/>
      <c r="FE65" s="4005"/>
      <c r="FG65" s="1317" t="s">
        <v>3</v>
      </c>
      <c r="FH65" s="1318" t="s">
        <v>1055</v>
      </c>
      <c r="FI65" s="1318"/>
      <c r="FJ65" s="1318"/>
      <c r="FK65" s="1318"/>
      <c r="FL65" s="1318"/>
      <c r="FM65" s="1318"/>
      <c r="FN65" s="1322" t="s">
        <v>5</v>
      </c>
      <c r="FO65" s="3987">
        <f t="shared" si="17"/>
        <v>0</v>
      </c>
      <c r="FP65" s="3988"/>
      <c r="FQ65" s="1214"/>
      <c r="FR65" s="1214"/>
      <c r="FS65" s="1316"/>
      <c r="FT65" s="1311" t="s">
        <v>1055</v>
      </c>
      <c r="FU65" s="1311"/>
      <c r="FV65" s="1311"/>
      <c r="FW65" s="1311"/>
      <c r="FX65" s="1320">
        <f>IF(AND(FK53&gt;1000000),500000,IF(AND(FK53&gt;500000,FK53&lt;=1000000),FK53-500000,0))</f>
        <v>0</v>
      </c>
      <c r="FY65" s="3989">
        <f>ROUND(FX65*20%,0.1)</f>
        <v>0</v>
      </c>
      <c r="FZ65" s="3989"/>
      <c r="GA65" s="1313"/>
      <c r="GB65" s="1313"/>
      <c r="GC65" s="3976"/>
      <c r="GD65" s="3961"/>
      <c r="GF65" s="1528" t="s">
        <v>3</v>
      </c>
      <c r="GG65" s="1529" t="s">
        <v>1055</v>
      </c>
      <c r="GH65" s="1529"/>
      <c r="GI65" s="1529"/>
      <c r="GJ65" s="1529"/>
      <c r="GK65" s="1529"/>
      <c r="GL65" s="1529"/>
      <c r="GM65" s="1530" t="s">
        <v>5</v>
      </c>
      <c r="GN65" s="3935">
        <f t="shared" si="18"/>
        <v>0</v>
      </c>
      <c r="GO65" s="3936"/>
      <c r="GP65" s="1214"/>
      <c r="GQ65" s="1214"/>
      <c r="GR65" s="1535"/>
      <c r="GS65" s="1536" t="s">
        <v>1055</v>
      </c>
      <c r="GT65" s="1536"/>
      <c r="GU65" s="1536"/>
      <c r="GV65" s="1536"/>
      <c r="GW65" s="1539">
        <f>IF(AND(GJ53&gt;1000000),500000,IF(AND(GJ53&gt;500000,GJ53&lt;=1000000),GJ53-500000,0))</f>
        <v>0</v>
      </c>
      <c r="GX65" s="3934">
        <f>ROUND(GW65*20%,0.1)</f>
        <v>0</v>
      </c>
      <c r="GY65" s="3934"/>
      <c r="GZ65" s="1313"/>
      <c r="HA65" s="1313"/>
      <c r="HB65" s="831"/>
    </row>
    <row r="66" spans="1:210" ht="20.100000000000001" customHeight="1">
      <c r="A66" s="3979"/>
      <c r="B66" s="3980"/>
      <c r="E66" s="3990" t="s">
        <v>0</v>
      </c>
      <c r="F66" s="3991"/>
      <c r="G66" s="3991"/>
      <c r="H66" s="1315"/>
      <c r="I66" s="1315"/>
      <c r="J66" s="1315"/>
      <c r="K66" s="1315"/>
      <c r="L66" s="1315" t="s">
        <v>5</v>
      </c>
      <c r="M66" s="3992">
        <f t="shared" si="11"/>
        <v>0</v>
      </c>
      <c r="N66" s="3993"/>
      <c r="O66" s="1214"/>
      <c r="P66" s="1214"/>
      <c r="Q66" s="1249"/>
      <c r="R66" s="1323"/>
      <c r="S66" s="1311"/>
      <c r="T66" s="1311"/>
      <c r="U66" s="1311"/>
      <c r="V66" s="1324" t="s">
        <v>0</v>
      </c>
      <c r="W66" s="4009">
        <f>SUM(W63:X65)</f>
        <v>0</v>
      </c>
      <c r="X66" s="4009"/>
      <c r="Y66" s="1313"/>
      <c r="Z66" s="3981"/>
      <c r="AA66" s="4005"/>
      <c r="AC66" s="4007" t="s">
        <v>0</v>
      </c>
      <c r="AD66" s="4008"/>
      <c r="AE66" s="4008"/>
      <c r="AF66" s="1318"/>
      <c r="AG66" s="1318"/>
      <c r="AH66" s="1318"/>
      <c r="AI66" s="1318"/>
      <c r="AJ66" s="1318" t="s">
        <v>5</v>
      </c>
      <c r="AK66" s="3987">
        <f t="shared" si="12"/>
        <v>0</v>
      </c>
      <c r="AL66" s="3988"/>
      <c r="AM66" s="1214"/>
      <c r="AN66" s="1214"/>
      <c r="AO66" s="1249"/>
      <c r="AP66" s="1323"/>
      <c r="AQ66" s="1311"/>
      <c r="AR66" s="1311"/>
      <c r="AS66" s="1311"/>
      <c r="AT66" s="1324" t="s">
        <v>0</v>
      </c>
      <c r="AU66" s="4006">
        <f>SUM(AU63:AV65)</f>
        <v>0</v>
      </c>
      <c r="AV66" s="4006"/>
      <c r="AW66" s="1313"/>
      <c r="AX66" s="1313"/>
      <c r="BA66" s="3981"/>
      <c r="BB66" s="4005"/>
      <c r="BD66" s="4007" t="s">
        <v>0</v>
      </c>
      <c r="BE66" s="4008"/>
      <c r="BF66" s="4008"/>
      <c r="BG66" s="1318"/>
      <c r="BH66" s="1318"/>
      <c r="BI66" s="1318"/>
      <c r="BJ66" s="1318"/>
      <c r="BK66" s="1318" t="s">
        <v>5</v>
      </c>
      <c r="BL66" s="3987">
        <f t="shared" si="13"/>
        <v>0</v>
      </c>
      <c r="BM66" s="3988"/>
      <c r="BN66" s="1214"/>
      <c r="BO66" s="1214"/>
      <c r="BP66" s="1249"/>
      <c r="BQ66" s="1323"/>
      <c r="BR66" s="1311"/>
      <c r="BS66" s="1311"/>
      <c r="BT66" s="1311"/>
      <c r="BU66" s="1324" t="s">
        <v>0</v>
      </c>
      <c r="BV66" s="4006">
        <f>SUM(BV63:BW65)</f>
        <v>0</v>
      </c>
      <c r="BW66" s="4006"/>
      <c r="BX66" s="1313"/>
      <c r="BY66" s="1313"/>
      <c r="CB66" s="942"/>
      <c r="CC66" s="3981"/>
      <c r="CD66" s="4005"/>
      <c r="CF66" s="4007" t="s">
        <v>0</v>
      </c>
      <c r="CG66" s="4008"/>
      <c r="CH66" s="4008"/>
      <c r="CI66" s="1318"/>
      <c r="CJ66" s="1318"/>
      <c r="CK66" s="1318"/>
      <c r="CL66" s="1318"/>
      <c r="CM66" s="1318" t="s">
        <v>5</v>
      </c>
      <c r="CN66" s="3987">
        <f t="shared" si="14"/>
        <v>0</v>
      </c>
      <c r="CO66" s="3988"/>
      <c r="CP66" s="1214"/>
      <c r="CQ66" s="1214"/>
      <c r="CR66" s="1249"/>
      <c r="CS66" s="1323"/>
      <c r="CT66" s="1311"/>
      <c r="CU66" s="1311"/>
      <c r="CV66" s="1311"/>
      <c r="CW66" s="1324" t="s">
        <v>0</v>
      </c>
      <c r="CX66" s="4006">
        <f>SUM(CX63:CY65)</f>
        <v>0</v>
      </c>
      <c r="CY66" s="4006"/>
      <c r="CZ66" s="1313"/>
      <c r="DA66" s="1313"/>
      <c r="DE66" s="3981"/>
      <c r="DF66" s="4005"/>
      <c r="DH66" s="1317" t="s">
        <v>4</v>
      </c>
      <c r="DI66" s="1318" t="s">
        <v>1056</v>
      </c>
      <c r="DJ66" s="1318"/>
      <c r="DK66" s="1318"/>
      <c r="DL66" s="1318"/>
      <c r="DM66" s="1318"/>
      <c r="DN66" s="1318"/>
      <c r="DO66" s="1322" t="s">
        <v>5</v>
      </c>
      <c r="DP66" s="3987">
        <f t="shared" si="15"/>
        <v>0</v>
      </c>
      <c r="DQ66" s="3988"/>
      <c r="DR66" s="1214"/>
      <c r="DS66" s="1214"/>
      <c r="DT66" s="1316"/>
      <c r="DU66" s="1311" t="s">
        <v>1056</v>
      </c>
      <c r="DV66" s="1311"/>
      <c r="DW66" s="1311"/>
      <c r="DX66" s="1311"/>
      <c r="DY66" s="1320">
        <f>IF(AND(DL53&gt;1000000),DL53-1000000,0)</f>
        <v>0</v>
      </c>
      <c r="DZ66" s="3989">
        <f>ROUND(DY66*30%,0.1)</f>
        <v>0</v>
      </c>
      <c r="EA66" s="3989"/>
      <c r="EB66" s="1313"/>
      <c r="EC66" s="1313"/>
      <c r="EE66" s="3981"/>
      <c r="EF66" s="4005"/>
      <c r="EH66" s="1317" t="s">
        <v>4</v>
      </c>
      <c r="EI66" s="1318" t="s">
        <v>1056</v>
      </c>
      <c r="EJ66" s="1318"/>
      <c r="EK66" s="1318"/>
      <c r="EL66" s="1318"/>
      <c r="EM66" s="1318"/>
      <c r="EN66" s="1318"/>
      <c r="EO66" s="1322" t="s">
        <v>5</v>
      </c>
      <c r="EP66" s="3987">
        <f t="shared" si="16"/>
        <v>0</v>
      </c>
      <c r="EQ66" s="3988"/>
      <c r="ER66" s="1214"/>
      <c r="ES66" s="1214"/>
      <c r="ET66" s="1316"/>
      <c r="EU66" s="1311" t="s">
        <v>1056</v>
      </c>
      <c r="EV66" s="1311"/>
      <c r="EW66" s="1311"/>
      <c r="EX66" s="1311"/>
      <c r="EY66" s="1320">
        <f>IF(AND(EL53&gt;1000000),EL53-1000000,0)</f>
        <v>0</v>
      </c>
      <c r="EZ66" s="3989">
        <f>ROUND(EY66*30%,0.1)</f>
        <v>0</v>
      </c>
      <c r="FA66" s="3989"/>
      <c r="FB66" s="1313"/>
      <c r="FC66" s="1313"/>
      <c r="FD66" s="3981"/>
      <c r="FE66" s="4005"/>
      <c r="FG66" s="1317" t="s">
        <v>4</v>
      </c>
      <c r="FH66" s="1318" t="s">
        <v>1056</v>
      </c>
      <c r="FI66" s="1318"/>
      <c r="FJ66" s="1318"/>
      <c r="FK66" s="1318"/>
      <c r="FL66" s="1318"/>
      <c r="FM66" s="1318"/>
      <c r="FN66" s="1322" t="s">
        <v>5</v>
      </c>
      <c r="FO66" s="3987">
        <f t="shared" si="17"/>
        <v>0</v>
      </c>
      <c r="FP66" s="3988"/>
      <c r="FQ66" s="1214"/>
      <c r="FR66" s="1214"/>
      <c r="FS66" s="1316"/>
      <c r="FT66" s="1311" t="s">
        <v>1056</v>
      </c>
      <c r="FU66" s="1311"/>
      <c r="FV66" s="1311"/>
      <c r="FW66" s="1311"/>
      <c r="FX66" s="1320">
        <f>IF(AND(FK53&gt;1000000),FK53-1000000,0)</f>
        <v>0</v>
      </c>
      <c r="FY66" s="3989">
        <f>ROUND(FX66*30%,0.1)</f>
        <v>0</v>
      </c>
      <c r="FZ66" s="3989"/>
      <c r="GA66" s="1313"/>
      <c r="GB66" s="1313"/>
      <c r="GC66" s="3976"/>
      <c r="GD66" s="3961"/>
      <c r="GF66" s="1528" t="s">
        <v>4</v>
      </c>
      <c r="GG66" s="1529" t="s">
        <v>1056</v>
      </c>
      <c r="GH66" s="1529"/>
      <c r="GI66" s="1529"/>
      <c r="GJ66" s="1529"/>
      <c r="GK66" s="1529"/>
      <c r="GL66" s="1529"/>
      <c r="GM66" s="1530" t="s">
        <v>5</v>
      </c>
      <c r="GN66" s="3935">
        <f t="shared" si="18"/>
        <v>0</v>
      </c>
      <c r="GO66" s="3936"/>
      <c r="GP66" s="1214"/>
      <c r="GQ66" s="1214"/>
      <c r="GR66" s="1535"/>
      <c r="GS66" s="1536" t="s">
        <v>1056</v>
      </c>
      <c r="GT66" s="1536"/>
      <c r="GU66" s="1536"/>
      <c r="GV66" s="1536"/>
      <c r="GW66" s="1539">
        <f>IF(AND(GJ53&gt;1000000),GJ53-1000000,0)</f>
        <v>0</v>
      </c>
      <c r="GX66" s="3934">
        <f>ROUND(GW66*30%,0.1)</f>
        <v>0</v>
      </c>
      <c r="GY66" s="3934"/>
      <c r="GZ66" s="1313"/>
      <c r="HA66" s="1313"/>
      <c r="HB66" s="831"/>
    </row>
    <row r="67" spans="1:210" ht="20.100000000000001" customHeight="1">
      <c r="A67" s="3979"/>
      <c r="B67" s="3980"/>
      <c r="E67" s="4003" t="s">
        <v>8</v>
      </c>
      <c r="F67" s="4004"/>
      <c r="G67" s="4004"/>
      <c r="H67" s="3995" t="s">
        <v>1058</v>
      </c>
      <c r="I67" s="3995"/>
      <c r="J67" s="3995"/>
      <c r="K67" s="3995"/>
      <c r="L67" s="1315" t="s">
        <v>5</v>
      </c>
      <c r="M67" s="3992">
        <f t="shared" si="11"/>
        <v>0</v>
      </c>
      <c r="N67" s="3993"/>
      <c r="O67" s="1214"/>
      <c r="P67" s="1214"/>
      <c r="Q67" s="3998" t="s">
        <v>1058</v>
      </c>
      <c r="R67" s="3998"/>
      <c r="S67" s="3998"/>
      <c r="T67" s="3998"/>
      <c r="U67" s="3998"/>
      <c r="V67" s="1325"/>
      <c r="W67" s="3999">
        <f>IF(I52&lt;=500000,IF(W66&gt;2000,2000,W66),0)</f>
        <v>0</v>
      </c>
      <c r="X67" s="3999"/>
      <c r="Y67" s="1313"/>
      <c r="Z67" s="3981"/>
      <c r="AA67" s="4005"/>
      <c r="AC67" s="4000" t="s">
        <v>8</v>
      </c>
      <c r="AD67" s="4001"/>
      <c r="AE67" s="4001"/>
      <c r="AF67" s="4002" t="s">
        <v>1058</v>
      </c>
      <c r="AG67" s="4002"/>
      <c r="AH67" s="4002"/>
      <c r="AI67" s="4002"/>
      <c r="AJ67" s="1318" t="s">
        <v>5</v>
      </c>
      <c r="AK67" s="3987">
        <f t="shared" si="12"/>
        <v>0</v>
      </c>
      <c r="AL67" s="3988"/>
      <c r="AM67" s="1214"/>
      <c r="AN67" s="1214"/>
      <c r="AO67" s="3998" t="s">
        <v>1058</v>
      </c>
      <c r="AP67" s="3998"/>
      <c r="AQ67" s="3998"/>
      <c r="AR67" s="3998"/>
      <c r="AS67" s="3998"/>
      <c r="AT67" s="1325"/>
      <c r="AU67" s="3989">
        <f>IF(AG52&lt;=500000,IF(AU66&gt;2000,2000,AU66),0)</f>
        <v>0</v>
      </c>
      <c r="AV67" s="3989"/>
      <c r="AW67" s="1313"/>
      <c r="AX67" s="1313"/>
      <c r="BA67" s="3981"/>
      <c r="BB67" s="4005"/>
      <c r="BD67" s="4000" t="s">
        <v>8</v>
      </c>
      <c r="BE67" s="4001"/>
      <c r="BF67" s="4001"/>
      <c r="BG67" s="4011" t="s">
        <v>1058</v>
      </c>
      <c r="BH67" s="4011"/>
      <c r="BI67" s="4011"/>
      <c r="BJ67" s="4011"/>
      <c r="BK67" s="1318" t="s">
        <v>5</v>
      </c>
      <c r="BL67" s="3987">
        <f t="shared" si="13"/>
        <v>0</v>
      </c>
      <c r="BM67" s="3988"/>
      <c r="BN67" s="1214"/>
      <c r="BO67" s="1214"/>
      <c r="BP67" s="3998" t="s">
        <v>1058</v>
      </c>
      <c r="BQ67" s="3998"/>
      <c r="BR67" s="3998"/>
      <c r="BS67" s="3998"/>
      <c r="BT67" s="3998"/>
      <c r="BU67" s="1325"/>
      <c r="BV67" s="3989">
        <f>IF(BH52&lt;=500000,IF(BV66&gt;2000,2000,BV66),0)</f>
        <v>0</v>
      </c>
      <c r="BW67" s="3989"/>
      <c r="BX67" s="1313"/>
      <c r="BY67" s="1313"/>
      <c r="CB67" s="942"/>
      <c r="CC67" s="3981"/>
      <c r="CD67" s="4005"/>
      <c r="CF67" s="4000" t="s">
        <v>8</v>
      </c>
      <c r="CG67" s="4001"/>
      <c r="CH67" s="4001"/>
      <c r="CI67" s="4011" t="s">
        <v>1059</v>
      </c>
      <c r="CJ67" s="4011"/>
      <c r="CK67" s="4011"/>
      <c r="CL67" s="4011"/>
      <c r="CM67" s="1318" t="s">
        <v>5</v>
      </c>
      <c r="CN67" s="3987">
        <f t="shared" si="14"/>
        <v>0</v>
      </c>
      <c r="CO67" s="3988"/>
      <c r="CP67" s="1214"/>
      <c r="CQ67" s="1214"/>
      <c r="CR67" s="3998" t="s">
        <v>1059</v>
      </c>
      <c r="CS67" s="3998"/>
      <c r="CT67" s="3998"/>
      <c r="CU67" s="3998"/>
      <c r="CV67" s="3998"/>
      <c r="CW67" s="1325"/>
      <c r="CX67" s="3989">
        <f>IF(CJ52&lt;=500000,IF(CX66&gt;5000,5000,CX66),0)</f>
        <v>0</v>
      </c>
      <c r="CY67" s="3989"/>
      <c r="CZ67" s="1313"/>
      <c r="DA67" s="1313"/>
      <c r="DE67" s="3981"/>
      <c r="DF67" s="4005"/>
      <c r="DH67" s="4007" t="s">
        <v>0</v>
      </c>
      <c r="DI67" s="4008"/>
      <c r="DJ67" s="4008"/>
      <c r="DK67" s="1318"/>
      <c r="DL67" s="1318"/>
      <c r="DM67" s="1318"/>
      <c r="DN67" s="1318"/>
      <c r="DO67" s="1318" t="s">
        <v>5</v>
      </c>
      <c r="DP67" s="3987">
        <f t="shared" si="15"/>
        <v>0</v>
      </c>
      <c r="DQ67" s="3988"/>
      <c r="DR67" s="1214"/>
      <c r="DS67" s="1214"/>
      <c r="DT67" s="1249"/>
      <c r="DU67" s="1323"/>
      <c r="DV67" s="1311"/>
      <c r="DW67" s="1311"/>
      <c r="DX67" s="4046" t="s">
        <v>0</v>
      </c>
      <c r="DY67" s="4047"/>
      <c r="DZ67" s="3989">
        <f>SUM(DZ64:EA66)</f>
        <v>0</v>
      </c>
      <c r="EA67" s="3989"/>
      <c r="EB67" s="1313"/>
      <c r="EC67" s="1313"/>
      <c r="EE67" s="3981"/>
      <c r="EF67" s="4005"/>
      <c r="EH67" s="4007" t="s">
        <v>0</v>
      </c>
      <c r="EI67" s="4008"/>
      <c r="EJ67" s="4008"/>
      <c r="EK67" s="1318"/>
      <c r="EL67" s="1318"/>
      <c r="EM67" s="1318"/>
      <c r="EN67" s="1318"/>
      <c r="EO67" s="1318" t="s">
        <v>5</v>
      </c>
      <c r="EP67" s="3987">
        <f t="shared" si="16"/>
        <v>0</v>
      </c>
      <c r="EQ67" s="3988"/>
      <c r="ER67" s="1214"/>
      <c r="ES67" s="1214"/>
      <c r="ET67" s="1249"/>
      <c r="EU67" s="1323"/>
      <c r="EV67" s="1311"/>
      <c r="EW67" s="1311"/>
      <c r="EX67" s="4046" t="s">
        <v>0</v>
      </c>
      <c r="EY67" s="4047"/>
      <c r="EZ67" s="3989">
        <f>SUM(EZ64:FA66)</f>
        <v>0</v>
      </c>
      <c r="FA67" s="3989"/>
      <c r="FB67" s="1313"/>
      <c r="FC67" s="1313"/>
      <c r="FD67" s="3981"/>
      <c r="FE67" s="4005"/>
      <c r="FG67" s="4007" t="s">
        <v>0</v>
      </c>
      <c r="FH67" s="4008"/>
      <c r="FI67" s="4008"/>
      <c r="FJ67" s="1318"/>
      <c r="FK67" s="1318"/>
      <c r="FL67" s="1318"/>
      <c r="FM67" s="1318"/>
      <c r="FN67" s="1318" t="s">
        <v>5</v>
      </c>
      <c r="FO67" s="3987">
        <f t="shared" si="17"/>
        <v>0</v>
      </c>
      <c r="FP67" s="3988"/>
      <c r="FQ67" s="1214"/>
      <c r="FR67" s="1214"/>
      <c r="FS67" s="1249"/>
      <c r="FT67" s="1323"/>
      <c r="FU67" s="1311"/>
      <c r="FV67" s="1311"/>
      <c r="FW67" s="4046" t="s">
        <v>0</v>
      </c>
      <c r="FX67" s="4047"/>
      <c r="FY67" s="3989">
        <f>SUM(FY64:FZ66)</f>
        <v>0</v>
      </c>
      <c r="FZ67" s="3989"/>
      <c r="GA67" s="1313"/>
      <c r="GB67" s="1313"/>
      <c r="GC67" s="3976"/>
      <c r="GD67" s="3961"/>
      <c r="GF67" s="3949" t="s">
        <v>0</v>
      </c>
      <c r="GG67" s="3950"/>
      <c r="GH67" s="3950"/>
      <c r="GI67" s="1529"/>
      <c r="GJ67" s="1529"/>
      <c r="GK67" s="1529"/>
      <c r="GL67" s="1529"/>
      <c r="GM67" s="1529" t="s">
        <v>5</v>
      </c>
      <c r="GN67" s="3935">
        <f t="shared" si="18"/>
        <v>0</v>
      </c>
      <c r="GO67" s="3936"/>
      <c r="GP67" s="1214"/>
      <c r="GQ67" s="1214"/>
      <c r="GR67" s="1296"/>
      <c r="GS67" s="1540"/>
      <c r="GT67" s="1536"/>
      <c r="GU67" s="1536"/>
      <c r="GV67" s="3947" t="s">
        <v>0</v>
      </c>
      <c r="GW67" s="3948"/>
      <c r="GX67" s="3934">
        <f>SUM(GX64:GY66)</f>
        <v>0</v>
      </c>
      <c r="GY67" s="3934"/>
      <c r="GZ67" s="1313"/>
      <c r="HA67" s="1313"/>
      <c r="HB67" s="831"/>
    </row>
    <row r="68" spans="1:210" ht="20.100000000000001" customHeight="1">
      <c r="A68" s="3979"/>
      <c r="B68" s="3980"/>
      <c r="E68" s="3994" t="s">
        <v>1057</v>
      </c>
      <c r="F68" s="3995"/>
      <c r="G68" s="3995"/>
      <c r="H68" s="3995"/>
      <c r="I68" s="3995"/>
      <c r="J68" s="3995"/>
      <c r="K68" s="1326"/>
      <c r="L68" s="1327" t="s">
        <v>5</v>
      </c>
      <c r="M68" s="3992">
        <f>W69</f>
        <v>0</v>
      </c>
      <c r="N68" s="3993"/>
      <c r="O68" s="1214"/>
      <c r="P68" s="1214"/>
      <c r="Q68" s="1249"/>
      <c r="R68" s="1311"/>
      <c r="S68" s="1328"/>
      <c r="T68" s="1329"/>
      <c r="U68" s="3996" t="s">
        <v>6</v>
      </c>
      <c r="V68" s="3997"/>
      <c r="W68" s="3999">
        <f>SUM(W66-W67)</f>
        <v>0</v>
      </c>
      <c r="X68" s="3999"/>
      <c r="Y68" s="1313"/>
      <c r="Z68" s="3981"/>
      <c r="AA68" s="4005"/>
      <c r="AC68" s="4012" t="s">
        <v>1057</v>
      </c>
      <c r="AD68" s="4002"/>
      <c r="AE68" s="4002"/>
      <c r="AF68" s="4002"/>
      <c r="AG68" s="4002"/>
      <c r="AH68" s="4002"/>
      <c r="AI68" s="1330"/>
      <c r="AJ68" s="1331" t="s">
        <v>5</v>
      </c>
      <c r="AK68" s="3987">
        <f>AU69</f>
        <v>0</v>
      </c>
      <c r="AL68" s="3988"/>
      <c r="AM68" s="1214"/>
      <c r="AN68" s="1214"/>
      <c r="AO68" s="1249"/>
      <c r="AP68" s="1311"/>
      <c r="AQ68" s="1328"/>
      <c r="AR68" s="1329"/>
      <c r="AS68" s="3996" t="s">
        <v>6</v>
      </c>
      <c r="AT68" s="3997"/>
      <c r="AU68" s="3989">
        <f>SUM(AU66-AU67)</f>
        <v>0</v>
      </c>
      <c r="AV68" s="3989"/>
      <c r="AW68" s="1313"/>
      <c r="AX68" s="1313"/>
      <c r="BA68" s="3981"/>
      <c r="BB68" s="4005"/>
      <c r="BD68" s="4012" t="s">
        <v>1057</v>
      </c>
      <c r="BE68" s="4002"/>
      <c r="BF68" s="4002"/>
      <c r="BG68" s="4002"/>
      <c r="BH68" s="4002"/>
      <c r="BI68" s="4002"/>
      <c r="BJ68" s="1330"/>
      <c r="BK68" s="1331" t="s">
        <v>5</v>
      </c>
      <c r="BL68" s="3987">
        <f>BV69</f>
        <v>0</v>
      </c>
      <c r="BM68" s="3988"/>
      <c r="BN68" s="1214"/>
      <c r="BO68" s="1214"/>
      <c r="BP68" s="1249"/>
      <c r="BQ68" s="1311"/>
      <c r="BR68" s="1328"/>
      <c r="BS68" s="1329"/>
      <c r="BT68" s="3996" t="s">
        <v>6</v>
      </c>
      <c r="BU68" s="3997"/>
      <c r="BV68" s="3989">
        <f>SUM(BV66-BV67)</f>
        <v>0</v>
      </c>
      <c r="BW68" s="3989"/>
      <c r="BX68" s="1313"/>
      <c r="BY68" s="1313"/>
      <c r="CB68" s="942"/>
      <c r="CC68" s="3981"/>
      <c r="CD68" s="4005"/>
      <c r="CF68" s="4012" t="s">
        <v>1057</v>
      </c>
      <c r="CG68" s="4002"/>
      <c r="CH68" s="4002"/>
      <c r="CI68" s="4002"/>
      <c r="CJ68" s="4002"/>
      <c r="CK68" s="4002"/>
      <c r="CL68" s="1330"/>
      <c r="CM68" s="1331" t="s">
        <v>5</v>
      </c>
      <c r="CN68" s="3987">
        <f>CX69</f>
        <v>0</v>
      </c>
      <c r="CO68" s="3988"/>
      <c r="CP68" s="1214"/>
      <c r="CQ68" s="1214"/>
      <c r="CR68" s="1249"/>
      <c r="CS68" s="1311"/>
      <c r="CT68" s="1328"/>
      <c r="CU68" s="1329"/>
      <c r="CV68" s="3996" t="s">
        <v>6</v>
      </c>
      <c r="CW68" s="3997"/>
      <c r="CX68" s="3989">
        <f>SUM(CX66-CX67)</f>
        <v>0</v>
      </c>
      <c r="CY68" s="3989"/>
      <c r="CZ68" s="1313"/>
      <c r="DA68" s="1313"/>
      <c r="DE68" s="3981"/>
      <c r="DF68" s="4005"/>
      <c r="DH68" s="4000" t="s">
        <v>8</v>
      </c>
      <c r="DI68" s="4001"/>
      <c r="DJ68" s="4001"/>
      <c r="DK68" s="4011" t="s">
        <v>1069</v>
      </c>
      <c r="DL68" s="4011"/>
      <c r="DM68" s="4011"/>
      <c r="DN68" s="4011"/>
      <c r="DO68" s="1318" t="s">
        <v>5</v>
      </c>
      <c r="DP68" s="3987">
        <f t="shared" si="15"/>
        <v>0</v>
      </c>
      <c r="DQ68" s="3988"/>
      <c r="DR68" s="1214"/>
      <c r="DS68" s="1214"/>
      <c r="DT68" s="3998" t="s">
        <v>1069</v>
      </c>
      <c r="DU68" s="3998"/>
      <c r="DV68" s="3998"/>
      <c r="DW68" s="3998"/>
      <c r="DX68" s="3998"/>
      <c r="DY68" s="1325"/>
      <c r="DZ68" s="3989">
        <f>IF(DL53&lt;=350000,IF(DZ67&gt;2500,2500,DZ67),0)</f>
        <v>0</v>
      </c>
      <c r="EA68" s="3989"/>
      <c r="EB68" s="1313"/>
      <c r="EC68" s="1313"/>
      <c r="EE68" s="3981"/>
      <c r="EF68" s="4005"/>
      <c r="EH68" s="4000" t="s">
        <v>8</v>
      </c>
      <c r="EI68" s="4001"/>
      <c r="EJ68" s="4001"/>
      <c r="EK68" s="4011" t="s">
        <v>1069</v>
      </c>
      <c r="EL68" s="4011"/>
      <c r="EM68" s="4011"/>
      <c r="EN68" s="4011"/>
      <c r="EO68" s="1318" t="s">
        <v>5</v>
      </c>
      <c r="EP68" s="3987">
        <f t="shared" si="16"/>
        <v>0</v>
      </c>
      <c r="EQ68" s="3988"/>
      <c r="ER68" s="1214"/>
      <c r="ES68" s="1214"/>
      <c r="ET68" s="3998" t="s">
        <v>1069</v>
      </c>
      <c r="EU68" s="3998"/>
      <c r="EV68" s="3998"/>
      <c r="EW68" s="3998"/>
      <c r="EX68" s="3998"/>
      <c r="EY68" s="1325"/>
      <c r="EZ68" s="3989">
        <f>IF(EL53&lt;=350000,IF(EZ67&gt;2500,2500,EZ67),0)</f>
        <v>0</v>
      </c>
      <c r="FA68" s="3989"/>
      <c r="FB68" s="1313"/>
      <c r="FC68" s="1313"/>
      <c r="FD68" s="3981"/>
      <c r="FE68" s="4005"/>
      <c r="FG68" s="4000" t="s">
        <v>8</v>
      </c>
      <c r="FH68" s="4001"/>
      <c r="FI68" s="4001"/>
      <c r="FJ68" s="4011" t="s">
        <v>1160</v>
      </c>
      <c r="FK68" s="4011"/>
      <c r="FL68" s="4011"/>
      <c r="FM68" s="4011"/>
      <c r="FN68" s="1318" t="s">
        <v>5</v>
      </c>
      <c r="FO68" s="3987">
        <f>FY68</f>
        <v>0</v>
      </c>
      <c r="FP68" s="3988"/>
      <c r="FQ68" s="1214"/>
      <c r="FR68" s="1214"/>
      <c r="FS68" s="3998" t="s">
        <v>1160</v>
      </c>
      <c r="FT68" s="3998"/>
      <c r="FU68" s="3998"/>
      <c r="FV68" s="3998"/>
      <c r="FW68" s="3998"/>
      <c r="FX68" s="1325"/>
      <c r="FY68" s="3989">
        <f>IF(FK53&lt;=500000,IF(FY67&gt;12500,12500,FY67),0)</f>
        <v>0</v>
      </c>
      <c r="FZ68" s="3989"/>
      <c r="GA68" s="1313"/>
      <c r="GB68" s="1313"/>
      <c r="GC68" s="3976"/>
      <c r="GD68" s="3961"/>
      <c r="GF68" s="3959" t="s">
        <v>8</v>
      </c>
      <c r="GG68" s="3960"/>
      <c r="GH68" s="3960"/>
      <c r="GI68" s="3958" t="s">
        <v>1160</v>
      </c>
      <c r="GJ68" s="3958"/>
      <c r="GK68" s="3958"/>
      <c r="GL68" s="3958"/>
      <c r="GM68" s="1529" t="s">
        <v>5</v>
      </c>
      <c r="GN68" s="3935">
        <f>GX68</f>
        <v>0</v>
      </c>
      <c r="GO68" s="3936"/>
      <c r="GP68" s="1214"/>
      <c r="GQ68" s="1214"/>
      <c r="GR68" s="3957" t="s">
        <v>1160</v>
      </c>
      <c r="GS68" s="3957"/>
      <c r="GT68" s="3957"/>
      <c r="GU68" s="3957"/>
      <c r="GV68" s="3957"/>
      <c r="GW68" s="1541"/>
      <c r="GX68" s="3934">
        <f>IF(GJ53&lt;=500000,IF(GX67&gt;12500,12500,GX67),0)</f>
        <v>0</v>
      </c>
      <c r="GY68" s="3934"/>
      <c r="GZ68" s="1313"/>
      <c r="HA68" s="1313"/>
      <c r="HB68" s="831"/>
    </row>
    <row r="69" spans="1:210" ht="20.100000000000001" customHeight="1">
      <c r="A69" s="3979"/>
      <c r="B69" s="3980"/>
      <c r="E69" s="1333" t="s">
        <v>1060</v>
      </c>
      <c r="F69" s="1327"/>
      <c r="G69" s="1327"/>
      <c r="H69" s="1327"/>
      <c r="I69" s="1327"/>
      <c r="J69" s="1327"/>
      <c r="K69" s="1334"/>
      <c r="L69" s="1334" t="s">
        <v>5</v>
      </c>
      <c r="M69" s="3992">
        <f>W70</f>
        <v>0</v>
      </c>
      <c r="N69" s="3993"/>
      <c r="O69" s="1214"/>
      <c r="P69" s="1214"/>
      <c r="Q69" s="1249"/>
      <c r="R69" s="1332"/>
      <c r="S69" s="1335"/>
      <c r="T69" s="1336"/>
      <c r="U69" s="1336"/>
      <c r="V69" s="1336" t="s">
        <v>1062</v>
      </c>
      <c r="W69" s="3999">
        <f>ROUND(W68*2%,0.1)</f>
        <v>0</v>
      </c>
      <c r="X69" s="3999"/>
      <c r="Y69" s="1313"/>
      <c r="Z69" s="3981"/>
      <c r="AA69" s="4005"/>
      <c r="AC69" s="1337" t="s">
        <v>1060</v>
      </c>
      <c r="AD69" s="1331"/>
      <c r="AE69" s="1331"/>
      <c r="AF69" s="1331"/>
      <c r="AG69" s="1331"/>
      <c r="AH69" s="1331"/>
      <c r="AI69" s="1338"/>
      <c r="AJ69" s="1338" t="s">
        <v>5</v>
      </c>
      <c r="AK69" s="3987">
        <f>AU70</f>
        <v>0</v>
      </c>
      <c r="AL69" s="3988"/>
      <c r="AM69" s="1214"/>
      <c r="AN69" s="1214"/>
      <c r="AO69" s="1249"/>
      <c r="AP69" s="1332"/>
      <c r="AQ69" s="1335"/>
      <c r="AR69" s="1336"/>
      <c r="AS69" s="1336"/>
      <c r="AT69" s="1336" t="s">
        <v>1062</v>
      </c>
      <c r="AU69" s="3989">
        <f>ROUND(AU68*2%,0.1)</f>
        <v>0</v>
      </c>
      <c r="AV69" s="3989"/>
      <c r="AW69" s="1313"/>
      <c r="AX69" s="1313"/>
      <c r="BA69" s="3981"/>
      <c r="BB69" s="4005"/>
      <c r="BD69" s="1337" t="s">
        <v>1060</v>
      </c>
      <c r="BE69" s="1331"/>
      <c r="BF69" s="1331"/>
      <c r="BG69" s="1331"/>
      <c r="BH69" s="1331"/>
      <c r="BI69" s="1331"/>
      <c r="BJ69" s="1338"/>
      <c r="BK69" s="1338" t="s">
        <v>5</v>
      </c>
      <c r="BL69" s="3987">
        <f>BV70</f>
        <v>0</v>
      </c>
      <c r="BM69" s="3988"/>
      <c r="BN69" s="1214"/>
      <c r="BO69" s="1214"/>
      <c r="BP69" s="1249"/>
      <c r="BQ69" s="1332"/>
      <c r="BR69" s="1335"/>
      <c r="BS69" s="1336"/>
      <c r="BT69" s="1336"/>
      <c r="BU69" s="1336" t="s">
        <v>1062</v>
      </c>
      <c r="BV69" s="3989">
        <f>ROUND(BV68*2%,0.1)</f>
        <v>0</v>
      </c>
      <c r="BW69" s="3989"/>
      <c r="BX69" s="1313"/>
      <c r="BY69" s="1313"/>
      <c r="CB69" s="942"/>
      <c r="CC69" s="3981"/>
      <c r="CD69" s="4005"/>
      <c r="CF69" s="1337" t="s">
        <v>1060</v>
      </c>
      <c r="CG69" s="1331"/>
      <c r="CH69" s="1331"/>
      <c r="CI69" s="1331"/>
      <c r="CJ69" s="1331"/>
      <c r="CK69" s="1331"/>
      <c r="CL69" s="1338"/>
      <c r="CM69" s="1338" t="s">
        <v>5</v>
      </c>
      <c r="CN69" s="3987">
        <f>CX70</f>
        <v>0</v>
      </c>
      <c r="CO69" s="3988"/>
      <c r="CP69" s="1214"/>
      <c r="CQ69" s="1214"/>
      <c r="CR69" s="1249"/>
      <c r="CS69" s="1332"/>
      <c r="CT69" s="1335"/>
      <c r="CU69" s="1336"/>
      <c r="CV69" s="1336"/>
      <c r="CW69" s="1336" t="s">
        <v>1062</v>
      </c>
      <c r="CX69" s="3989">
        <f>ROUND(CX68*2%,0.1)</f>
        <v>0</v>
      </c>
      <c r="CY69" s="3989"/>
      <c r="CZ69" s="1313"/>
      <c r="DA69" s="1313"/>
      <c r="DE69" s="3981"/>
      <c r="DF69" s="4005"/>
      <c r="DH69" s="4012" t="s">
        <v>1057</v>
      </c>
      <c r="DI69" s="4002"/>
      <c r="DJ69" s="4002"/>
      <c r="DK69" s="4002"/>
      <c r="DL69" s="4002"/>
      <c r="DM69" s="4002"/>
      <c r="DN69" s="1330"/>
      <c r="DO69" s="1331" t="s">
        <v>5</v>
      </c>
      <c r="DP69" s="3987">
        <f>DZ70</f>
        <v>0</v>
      </c>
      <c r="DQ69" s="3988"/>
      <c r="DR69" s="1214"/>
      <c r="DS69" s="1214"/>
      <c r="DT69" s="1249"/>
      <c r="DU69" s="1311"/>
      <c r="DV69" s="1328"/>
      <c r="DW69" s="1329"/>
      <c r="DX69" s="3996" t="s">
        <v>6</v>
      </c>
      <c r="DY69" s="3997"/>
      <c r="DZ69" s="3989">
        <f>SUM(DZ67-DZ68)</f>
        <v>0</v>
      </c>
      <c r="EA69" s="3989"/>
      <c r="EB69" s="1313"/>
      <c r="EC69" s="1313"/>
      <c r="EE69" s="3981"/>
      <c r="EF69" s="4005"/>
      <c r="EH69" s="4053" t="s">
        <v>1157</v>
      </c>
      <c r="EI69" s="4054"/>
      <c r="EJ69" s="4054"/>
      <c r="EK69" s="4054"/>
      <c r="EL69" s="4054"/>
      <c r="EM69" s="4054"/>
      <c r="EN69" s="4054"/>
      <c r="EO69" s="1331" t="s">
        <v>5</v>
      </c>
      <c r="EP69" s="3987">
        <f>EZ69</f>
        <v>0</v>
      </c>
      <c r="EQ69" s="3988"/>
      <c r="ER69" s="1214"/>
      <c r="ES69" s="1214"/>
      <c r="ET69" s="1249"/>
      <c r="EU69" s="1311"/>
      <c r="EV69" s="1328"/>
      <c r="EW69" s="1329"/>
      <c r="EX69" s="3996" t="s">
        <v>6</v>
      </c>
      <c r="EY69" s="3997"/>
      <c r="EZ69" s="3989">
        <f>SUM(EZ67-EZ68)</f>
        <v>0</v>
      </c>
      <c r="FA69" s="3989"/>
      <c r="FB69" s="1313"/>
      <c r="FC69" s="1313"/>
      <c r="FD69" s="3981"/>
      <c r="FE69" s="4005"/>
      <c r="FG69" s="4053" t="s">
        <v>1157</v>
      </c>
      <c r="FH69" s="4054"/>
      <c r="FI69" s="4054"/>
      <c r="FJ69" s="4054"/>
      <c r="FK69" s="4054"/>
      <c r="FL69" s="4054"/>
      <c r="FM69" s="4054"/>
      <c r="FN69" s="1331" t="s">
        <v>5</v>
      </c>
      <c r="FO69" s="3987">
        <f>FY69</f>
        <v>0</v>
      </c>
      <c r="FP69" s="3988"/>
      <c r="FQ69" s="1214"/>
      <c r="FR69" s="1214"/>
      <c r="FS69" s="1249"/>
      <c r="FT69" s="1311"/>
      <c r="FU69" s="1328"/>
      <c r="FV69" s="1329"/>
      <c r="FW69" s="3996" t="s">
        <v>6</v>
      </c>
      <c r="FX69" s="3997"/>
      <c r="FY69" s="3989">
        <f>SUM(FY67-FY68)</f>
        <v>0</v>
      </c>
      <c r="FZ69" s="3989"/>
      <c r="GA69" s="1313"/>
      <c r="GB69" s="1313"/>
      <c r="GC69" s="3976"/>
      <c r="GD69" s="3961"/>
      <c r="GF69" s="3955" t="s">
        <v>1157</v>
      </c>
      <c r="GG69" s="3956"/>
      <c r="GH69" s="3956"/>
      <c r="GI69" s="3956"/>
      <c r="GJ69" s="3956"/>
      <c r="GK69" s="3956"/>
      <c r="GL69" s="3956"/>
      <c r="GM69" s="1531" t="s">
        <v>5</v>
      </c>
      <c r="GN69" s="3935">
        <f>GX69</f>
        <v>0</v>
      </c>
      <c r="GO69" s="3936"/>
      <c r="GP69" s="1214"/>
      <c r="GQ69" s="1214"/>
      <c r="GR69" s="1296"/>
      <c r="GS69" s="1536"/>
      <c r="GT69" s="1542"/>
      <c r="GU69" s="1543"/>
      <c r="GV69" s="3953" t="s">
        <v>6</v>
      </c>
      <c r="GW69" s="3954"/>
      <c r="GX69" s="3934">
        <f>SUM(GX67-GX68)</f>
        <v>0</v>
      </c>
      <c r="GY69" s="3934"/>
      <c r="GZ69" s="1313"/>
      <c r="HA69" s="1313"/>
      <c r="HB69" s="831"/>
    </row>
    <row r="70" spans="1:210" ht="20.100000000000001" customHeight="1">
      <c r="A70" s="3979"/>
      <c r="B70" s="3980"/>
      <c r="E70" s="4003" t="s">
        <v>1061</v>
      </c>
      <c r="F70" s="4004"/>
      <c r="G70" s="4004"/>
      <c r="H70" s="4004"/>
      <c r="I70" s="4004"/>
      <c r="J70" s="4004"/>
      <c r="K70" s="1339"/>
      <c r="L70" s="1339" t="s">
        <v>5</v>
      </c>
      <c r="M70" s="4013">
        <f>W71</f>
        <v>0</v>
      </c>
      <c r="N70" s="4014"/>
      <c r="Q70" s="1249"/>
      <c r="R70" s="1249"/>
      <c r="S70" s="1336"/>
      <c r="T70" s="4015" t="s">
        <v>1063</v>
      </c>
      <c r="U70" s="4015"/>
      <c r="V70" s="4016"/>
      <c r="W70" s="3999">
        <f>ROUND(W68*1%,0.1)</f>
        <v>0</v>
      </c>
      <c r="X70" s="3999"/>
      <c r="Y70" s="1270"/>
      <c r="Z70" s="3981"/>
      <c r="AA70" s="4005"/>
      <c r="AC70" s="4000" t="s">
        <v>1061</v>
      </c>
      <c r="AD70" s="4001"/>
      <c r="AE70" s="4001"/>
      <c r="AF70" s="4001"/>
      <c r="AG70" s="4001"/>
      <c r="AH70" s="4001"/>
      <c r="AI70" s="1341"/>
      <c r="AJ70" s="1341" t="s">
        <v>5</v>
      </c>
      <c r="AK70" s="4017">
        <f>AU71</f>
        <v>0</v>
      </c>
      <c r="AL70" s="4018"/>
      <c r="AO70" s="1249"/>
      <c r="AP70" s="1249"/>
      <c r="AQ70" s="1336"/>
      <c r="AR70" s="4015" t="s">
        <v>1063</v>
      </c>
      <c r="AS70" s="4015"/>
      <c r="AT70" s="4016"/>
      <c r="AU70" s="3989">
        <f>ROUND(AU68*1%,0.1)</f>
        <v>0</v>
      </c>
      <c r="AV70" s="3989"/>
      <c r="AW70" s="1270"/>
      <c r="AX70" s="1270"/>
      <c r="BA70" s="3981"/>
      <c r="BB70" s="4005"/>
      <c r="BD70" s="4000" t="s">
        <v>1061</v>
      </c>
      <c r="BE70" s="4001"/>
      <c r="BF70" s="4001"/>
      <c r="BG70" s="4001"/>
      <c r="BH70" s="4001"/>
      <c r="BI70" s="4001"/>
      <c r="BJ70" s="1341"/>
      <c r="BK70" s="1341" t="s">
        <v>5</v>
      </c>
      <c r="BL70" s="4019">
        <f>BV71</f>
        <v>0</v>
      </c>
      <c r="BM70" s="4020"/>
      <c r="BP70" s="1249"/>
      <c r="BQ70" s="1249"/>
      <c r="BR70" s="1336"/>
      <c r="BS70" s="4015" t="s">
        <v>1063</v>
      </c>
      <c r="BT70" s="4015"/>
      <c r="BU70" s="4016"/>
      <c r="BV70" s="3989">
        <f>ROUND(BV68*1%,0.1)</f>
        <v>0</v>
      </c>
      <c r="BW70" s="3989"/>
      <c r="BX70" s="1270"/>
      <c r="BY70" s="1270"/>
      <c r="CB70" s="942"/>
      <c r="CC70" s="3981"/>
      <c r="CD70" s="4005"/>
      <c r="CF70" s="4000" t="s">
        <v>1061</v>
      </c>
      <c r="CG70" s="4001"/>
      <c r="CH70" s="4001"/>
      <c r="CI70" s="4001"/>
      <c r="CJ70" s="4001"/>
      <c r="CK70" s="4001"/>
      <c r="CL70" s="1341"/>
      <c r="CM70" s="1341" t="s">
        <v>5</v>
      </c>
      <c r="CN70" s="4017">
        <f>CX71</f>
        <v>0</v>
      </c>
      <c r="CO70" s="4018"/>
      <c r="CR70" s="1249"/>
      <c r="CS70" s="1249"/>
      <c r="CT70" s="1336"/>
      <c r="CU70" s="4015" t="s">
        <v>1063</v>
      </c>
      <c r="CV70" s="4015"/>
      <c r="CW70" s="4016"/>
      <c r="CX70" s="3989">
        <f>ROUND(CX68*1%,0.1)</f>
        <v>0</v>
      </c>
      <c r="CY70" s="3989"/>
      <c r="CZ70" s="1270"/>
      <c r="DA70" s="1270"/>
      <c r="DE70" s="3981"/>
      <c r="DF70" s="4005"/>
      <c r="DH70" s="1337" t="s">
        <v>1060</v>
      </c>
      <c r="DI70" s="1331"/>
      <c r="DJ70" s="1331"/>
      <c r="DK70" s="1331"/>
      <c r="DL70" s="1331"/>
      <c r="DM70" s="1331"/>
      <c r="DN70" s="1338"/>
      <c r="DO70" s="1338" t="s">
        <v>5</v>
      </c>
      <c r="DP70" s="3987">
        <f>DZ71</f>
        <v>0</v>
      </c>
      <c r="DQ70" s="3988"/>
      <c r="DR70" s="1214"/>
      <c r="DS70" s="1214"/>
      <c r="DT70" s="1249"/>
      <c r="DU70" s="1332"/>
      <c r="DV70" s="1335"/>
      <c r="DW70" s="4015" t="s">
        <v>1062</v>
      </c>
      <c r="DX70" s="4015"/>
      <c r="DY70" s="4016"/>
      <c r="DZ70" s="3989">
        <f>ROUND(DZ69*2%,0.1)</f>
        <v>0</v>
      </c>
      <c r="EA70" s="3989"/>
      <c r="EB70" s="1313"/>
      <c r="EC70" s="1313"/>
      <c r="EE70" s="3981"/>
      <c r="EF70" s="4005"/>
      <c r="EH70" s="4055" t="s">
        <v>1099</v>
      </c>
      <c r="EI70" s="4056"/>
      <c r="EJ70" s="4056"/>
      <c r="EK70" s="4056"/>
      <c r="EL70" s="4056"/>
      <c r="EM70" s="4056"/>
      <c r="EN70" s="4056"/>
      <c r="EO70" s="1338" t="s">
        <v>5</v>
      </c>
      <c r="EP70" s="3987">
        <f>EZ70</f>
        <v>0</v>
      </c>
      <c r="EQ70" s="3988"/>
      <c r="ER70" s="1214"/>
      <c r="ES70" s="1214"/>
      <c r="ET70" s="1249"/>
      <c r="EU70" s="1428"/>
      <c r="EV70" s="4015" t="s">
        <v>1156</v>
      </c>
      <c r="EW70" s="4015"/>
      <c r="EX70" s="4015"/>
      <c r="EY70" s="4016"/>
      <c r="EZ70" s="3989">
        <f>ROUND(EZ69*4%,0.1)</f>
        <v>0</v>
      </c>
      <c r="FA70" s="3989"/>
      <c r="FB70" s="1313"/>
      <c r="FC70" s="1313"/>
      <c r="FD70" s="3981"/>
      <c r="FE70" s="4005"/>
      <c r="FG70" s="4055" t="s">
        <v>1099</v>
      </c>
      <c r="FH70" s="4056"/>
      <c r="FI70" s="4056"/>
      <c r="FJ70" s="4056"/>
      <c r="FK70" s="4056"/>
      <c r="FL70" s="4056"/>
      <c r="FM70" s="4056"/>
      <c r="FN70" s="1338" t="s">
        <v>5</v>
      </c>
      <c r="FO70" s="3987">
        <f t="shared" ref="FO70:FO73" si="19">FY70</f>
        <v>0</v>
      </c>
      <c r="FP70" s="3988"/>
      <c r="FQ70" s="1214"/>
      <c r="FR70" s="1214"/>
      <c r="FS70" s="1249"/>
      <c r="FT70" s="1332"/>
      <c r="FU70" s="1335"/>
      <c r="FV70" s="4015" t="s">
        <v>1156</v>
      </c>
      <c r="FW70" s="4015"/>
      <c r="FX70" s="4016"/>
      <c r="FY70" s="3989">
        <f>ROUND(FY69*4%,0.1)</f>
        <v>0</v>
      </c>
      <c r="FZ70" s="3989"/>
      <c r="GA70" s="1313"/>
      <c r="GB70" s="1313"/>
      <c r="GC70" s="3976"/>
      <c r="GD70" s="3961"/>
      <c r="GF70" s="3951" t="s">
        <v>1099</v>
      </c>
      <c r="GG70" s="3952"/>
      <c r="GH70" s="3952"/>
      <c r="GI70" s="3952"/>
      <c r="GJ70" s="3952"/>
      <c r="GK70" s="3952"/>
      <c r="GL70" s="3952"/>
      <c r="GM70" s="1532" t="s">
        <v>5</v>
      </c>
      <c r="GN70" s="3935">
        <f t="shared" ref="GN70:GN73" si="20">GX70</f>
        <v>0</v>
      </c>
      <c r="GO70" s="3936"/>
      <c r="GP70" s="1214"/>
      <c r="GQ70" s="1214"/>
      <c r="GR70" s="1296"/>
      <c r="GS70" s="1544"/>
      <c r="GT70" s="1545"/>
      <c r="GU70" s="3974" t="s">
        <v>1156</v>
      </c>
      <c r="GV70" s="3974"/>
      <c r="GW70" s="3975"/>
      <c r="GX70" s="3934">
        <f>ROUND(GX69*4%,0.1)</f>
        <v>0</v>
      </c>
      <c r="GY70" s="3934"/>
      <c r="GZ70" s="1313"/>
      <c r="HA70" s="1313"/>
      <c r="HB70" s="831"/>
    </row>
    <row r="71" spans="1:210" ht="20.100000000000001" customHeight="1">
      <c r="A71" s="3979"/>
      <c r="B71" s="3980"/>
      <c r="E71" s="4035" t="s">
        <v>777</v>
      </c>
      <c r="F71" s="4036"/>
      <c r="G71" s="4036"/>
      <c r="H71" s="4036"/>
      <c r="I71" s="4036"/>
      <c r="J71" s="4036"/>
      <c r="K71" s="1339"/>
      <c r="L71" s="1339" t="s">
        <v>5</v>
      </c>
      <c r="M71" s="4037">
        <v>0</v>
      </c>
      <c r="N71" s="4038"/>
      <c r="Q71" s="1249"/>
      <c r="R71" s="1249"/>
      <c r="S71" s="1342"/>
      <c r="T71" s="1342"/>
      <c r="U71" s="1349"/>
      <c r="V71" s="1349" t="s">
        <v>7</v>
      </c>
      <c r="W71" s="3999">
        <f>IF(SUM(W68:X70)&gt;0,SUM(W68:X70),0)</f>
        <v>0</v>
      </c>
      <c r="X71" s="3999"/>
      <c r="Z71" s="3981"/>
      <c r="AA71" s="4005"/>
      <c r="AC71" s="4033" t="s">
        <v>777</v>
      </c>
      <c r="AD71" s="4034"/>
      <c r="AE71" s="4034"/>
      <c r="AF71" s="4034"/>
      <c r="AG71" s="4034"/>
      <c r="AH71" s="4034"/>
      <c r="AI71" s="1343"/>
      <c r="AJ71" s="1341" t="s">
        <v>5</v>
      </c>
      <c r="AK71" s="4017">
        <v>0</v>
      </c>
      <c r="AL71" s="4018"/>
      <c r="AO71" s="1249"/>
      <c r="AP71" s="1249"/>
      <c r="AQ71" s="1342"/>
      <c r="AR71" s="1342"/>
      <c r="AS71" s="1349"/>
      <c r="AT71" s="1349" t="s">
        <v>7</v>
      </c>
      <c r="AU71" s="3989">
        <f>IF(SUM(AU68:AV70)&gt;0,SUM(AU68:AV70),0)</f>
        <v>0</v>
      </c>
      <c r="AV71" s="3989"/>
      <c r="BA71" s="3981"/>
      <c r="BB71" s="4005"/>
      <c r="BD71" s="4033" t="s">
        <v>777</v>
      </c>
      <c r="BE71" s="4034"/>
      <c r="BF71" s="4034"/>
      <c r="BG71" s="4034"/>
      <c r="BH71" s="4034"/>
      <c r="BI71" s="4034"/>
      <c r="BJ71" s="1343"/>
      <c r="BK71" s="1341" t="s">
        <v>5</v>
      </c>
      <c r="BL71" s="4019">
        <v>0</v>
      </c>
      <c r="BM71" s="4020"/>
      <c r="BP71" s="1249"/>
      <c r="BQ71" s="1249"/>
      <c r="BR71" s="1342"/>
      <c r="BS71" s="1342"/>
      <c r="BT71" s="1349"/>
      <c r="BU71" s="1349" t="s">
        <v>7</v>
      </c>
      <c r="BV71" s="3989">
        <f>IF(SUM(BV68:BW70)&gt;0,SUM(BV68:BW70),0)</f>
        <v>0</v>
      </c>
      <c r="BW71" s="3989"/>
      <c r="CB71" s="942"/>
      <c r="CC71" s="3981"/>
      <c r="CD71" s="4005"/>
      <c r="CF71" s="4033" t="s">
        <v>777</v>
      </c>
      <c r="CG71" s="4034"/>
      <c r="CH71" s="4034"/>
      <c r="CI71" s="4034"/>
      <c r="CJ71" s="4034"/>
      <c r="CK71" s="4034"/>
      <c r="CL71" s="1343"/>
      <c r="CM71" s="1341" t="s">
        <v>5</v>
      </c>
      <c r="CN71" s="4017">
        <v>0</v>
      </c>
      <c r="CO71" s="4018"/>
      <c r="CR71" s="1249"/>
      <c r="CS71" s="1249"/>
      <c r="CT71" s="1342"/>
      <c r="CU71" s="1342"/>
      <c r="CV71" s="1349"/>
      <c r="CW71" s="1349" t="s">
        <v>7</v>
      </c>
      <c r="CX71" s="3989">
        <f>IF(SUM(CX68:CY70)&gt;0,SUM(CX68:CY70),0)</f>
        <v>0</v>
      </c>
      <c r="CY71" s="3989"/>
      <c r="DE71" s="3981"/>
      <c r="DF71" s="4005"/>
      <c r="DH71" s="4000" t="s">
        <v>1061</v>
      </c>
      <c r="DI71" s="4001"/>
      <c r="DJ71" s="4001"/>
      <c r="DK71" s="4001"/>
      <c r="DL71" s="4001"/>
      <c r="DM71" s="4001"/>
      <c r="DN71" s="1341"/>
      <c r="DO71" s="1341" t="s">
        <v>5</v>
      </c>
      <c r="DP71" s="4017">
        <f>DZ72</f>
        <v>0</v>
      </c>
      <c r="DQ71" s="4018"/>
      <c r="DT71" s="1249"/>
      <c r="DU71" s="1249"/>
      <c r="DV71" s="1336"/>
      <c r="DW71" s="4015" t="s">
        <v>1063</v>
      </c>
      <c r="DX71" s="4015"/>
      <c r="DY71" s="4016"/>
      <c r="DZ71" s="3989">
        <f>ROUND(DZ69*1%,0.1)</f>
        <v>0</v>
      </c>
      <c r="EA71" s="3989"/>
      <c r="EB71" s="1270"/>
      <c r="EC71" s="1270"/>
      <c r="EE71" s="3981"/>
      <c r="EF71" s="4005"/>
      <c r="EH71" s="4057" t="s">
        <v>1061</v>
      </c>
      <c r="EI71" s="4058"/>
      <c r="EJ71" s="4058"/>
      <c r="EK71" s="4058"/>
      <c r="EL71" s="4058"/>
      <c r="EM71" s="4058"/>
      <c r="EN71" s="4058"/>
      <c r="EO71" s="1341" t="s">
        <v>5</v>
      </c>
      <c r="EP71" s="3987">
        <f t="shared" ref="EP71:EP73" si="21">EZ71</f>
        <v>0</v>
      </c>
      <c r="EQ71" s="3988"/>
      <c r="ET71" s="1249"/>
      <c r="EU71" s="1340"/>
      <c r="EV71" s="4051" t="s">
        <v>7</v>
      </c>
      <c r="EW71" s="4051"/>
      <c r="EX71" s="4051"/>
      <c r="EY71" s="4052"/>
      <c r="EZ71" s="3989">
        <f>SUM(EZ69:FA70)</f>
        <v>0</v>
      </c>
      <c r="FA71" s="3989"/>
      <c r="FB71" s="1270"/>
      <c r="FC71" s="1270"/>
      <c r="FD71" s="3981"/>
      <c r="FE71" s="4005"/>
      <c r="FG71" s="4057" t="s">
        <v>1061</v>
      </c>
      <c r="FH71" s="4058"/>
      <c r="FI71" s="4058"/>
      <c r="FJ71" s="4058"/>
      <c r="FK71" s="4058"/>
      <c r="FL71" s="4058"/>
      <c r="FM71" s="4058"/>
      <c r="FN71" s="1341" t="s">
        <v>5</v>
      </c>
      <c r="FO71" s="3987">
        <f t="shared" si="19"/>
        <v>0</v>
      </c>
      <c r="FP71" s="3988"/>
      <c r="FS71" s="1249"/>
      <c r="FT71" s="1249"/>
      <c r="FU71" s="1336"/>
      <c r="FV71" s="4051" t="s">
        <v>7</v>
      </c>
      <c r="FW71" s="4051"/>
      <c r="FX71" s="4052"/>
      <c r="FY71" s="3989">
        <f>SUM(FY69+FY70)</f>
        <v>0</v>
      </c>
      <c r="FZ71" s="3989"/>
      <c r="GA71" s="1270"/>
      <c r="GB71" s="1270"/>
      <c r="GC71" s="3976"/>
      <c r="GD71" s="3961"/>
      <c r="GF71" s="3970" t="s">
        <v>1061</v>
      </c>
      <c r="GG71" s="3971"/>
      <c r="GH71" s="3971"/>
      <c r="GI71" s="3971"/>
      <c r="GJ71" s="3971"/>
      <c r="GK71" s="3971"/>
      <c r="GL71" s="3971"/>
      <c r="GM71" s="1533" t="s">
        <v>5</v>
      </c>
      <c r="GN71" s="3935">
        <f t="shared" si="20"/>
        <v>0</v>
      </c>
      <c r="GO71" s="3936"/>
      <c r="GR71" s="1296"/>
      <c r="GS71" s="1296"/>
      <c r="GT71" s="1546"/>
      <c r="GU71" s="3972" t="s">
        <v>7</v>
      </c>
      <c r="GV71" s="3972"/>
      <c r="GW71" s="3973"/>
      <c r="GX71" s="3934">
        <f>SUM(GX69+GX70)</f>
        <v>0</v>
      </c>
      <c r="GY71" s="3934"/>
      <c r="GZ71" s="1270"/>
      <c r="HA71" s="1270"/>
      <c r="HB71" s="831"/>
    </row>
    <row r="72" spans="1:210" ht="20.100000000000001" customHeight="1">
      <c r="A72" s="3979"/>
      <c r="B72" s="3980"/>
      <c r="E72" s="4021" t="s">
        <v>546</v>
      </c>
      <c r="F72" s="4022"/>
      <c r="G72" s="4022"/>
      <c r="H72" s="4022"/>
      <c r="I72" s="4022"/>
      <c r="J72" s="1344"/>
      <c r="K72" s="1345"/>
      <c r="L72" s="1339" t="s">
        <v>5</v>
      </c>
      <c r="M72" s="4023">
        <f>W73</f>
        <v>0</v>
      </c>
      <c r="N72" s="4024"/>
      <c r="Q72" s="4025" t="s">
        <v>777</v>
      </c>
      <c r="R72" s="4026"/>
      <c r="S72" s="4026"/>
      <c r="T72" s="4026"/>
      <c r="U72" s="4026"/>
      <c r="V72" s="4026"/>
      <c r="W72" s="4027">
        <v>0</v>
      </c>
      <c r="X72" s="4028"/>
      <c r="Z72" s="3981"/>
      <c r="AA72" s="4005"/>
      <c r="AC72" s="4029" t="s">
        <v>546</v>
      </c>
      <c r="AD72" s="4030"/>
      <c r="AE72" s="4030"/>
      <c r="AF72" s="4030"/>
      <c r="AG72" s="4030"/>
      <c r="AH72" s="1346"/>
      <c r="AI72" s="1343"/>
      <c r="AJ72" s="1341" t="s">
        <v>5</v>
      </c>
      <c r="AK72" s="4031">
        <f>AU73</f>
        <v>0</v>
      </c>
      <c r="AL72" s="4032"/>
      <c r="AO72" s="4025" t="s">
        <v>777</v>
      </c>
      <c r="AP72" s="4026"/>
      <c r="AQ72" s="4026"/>
      <c r="AR72" s="4026"/>
      <c r="AS72" s="4026"/>
      <c r="AT72" s="4026"/>
      <c r="AU72" s="4027">
        <v>0</v>
      </c>
      <c r="AV72" s="4028"/>
      <c r="BA72" s="3981"/>
      <c r="BB72" s="4005"/>
      <c r="BD72" s="4029" t="s">
        <v>546</v>
      </c>
      <c r="BE72" s="4030"/>
      <c r="BF72" s="4030"/>
      <c r="BG72" s="4030"/>
      <c r="BH72" s="4030"/>
      <c r="BI72" s="1346"/>
      <c r="BJ72" s="1347"/>
      <c r="BK72" s="1341" t="s">
        <v>5</v>
      </c>
      <c r="BL72" s="4031">
        <f>BV73</f>
        <v>0</v>
      </c>
      <c r="BM72" s="4032"/>
      <c r="BP72" s="4025" t="s">
        <v>777</v>
      </c>
      <c r="BQ72" s="4026"/>
      <c r="BR72" s="4026"/>
      <c r="BS72" s="4026"/>
      <c r="BT72" s="4026"/>
      <c r="BU72" s="4026"/>
      <c r="BV72" s="4027">
        <v>0</v>
      </c>
      <c r="BW72" s="4028"/>
      <c r="CB72" s="942"/>
      <c r="CC72" s="3981"/>
      <c r="CD72" s="4005"/>
      <c r="CF72" s="4029" t="s">
        <v>546</v>
      </c>
      <c r="CG72" s="4030"/>
      <c r="CH72" s="4030"/>
      <c r="CI72" s="4030"/>
      <c r="CJ72" s="4030"/>
      <c r="CK72" s="1346"/>
      <c r="CL72" s="1347"/>
      <c r="CM72" s="1341" t="s">
        <v>5</v>
      </c>
      <c r="CN72" s="4031">
        <f>CX73</f>
        <v>0</v>
      </c>
      <c r="CO72" s="4032"/>
      <c r="CR72" s="4025" t="s">
        <v>777</v>
      </c>
      <c r="CS72" s="4026"/>
      <c r="CT72" s="4026"/>
      <c r="CU72" s="4026"/>
      <c r="CV72" s="4026"/>
      <c r="CW72" s="4026"/>
      <c r="CX72" s="4027">
        <v>0</v>
      </c>
      <c r="CY72" s="4028"/>
      <c r="DE72" s="3981"/>
      <c r="DF72" s="4005"/>
      <c r="DH72" s="4034" t="s">
        <v>777</v>
      </c>
      <c r="DI72" s="4034"/>
      <c r="DJ72" s="4034"/>
      <c r="DK72" s="4034"/>
      <c r="DL72" s="4034"/>
      <c r="DM72" s="4034"/>
      <c r="DN72" s="4034"/>
      <c r="DO72" s="1341" t="s">
        <v>5</v>
      </c>
      <c r="DP72" s="4017">
        <v>0</v>
      </c>
      <c r="DQ72" s="4018"/>
      <c r="DT72" s="1249"/>
      <c r="DU72" s="1249"/>
      <c r="DV72" s="1342"/>
      <c r="DW72" s="4051" t="s">
        <v>7</v>
      </c>
      <c r="DX72" s="4051"/>
      <c r="DY72" s="4052"/>
      <c r="DZ72" s="3989">
        <f>IF(SUM(DZ69:EA71)&gt;0,SUM(DZ69:EA71),0)</f>
        <v>0</v>
      </c>
      <c r="EA72" s="3989"/>
      <c r="EE72" s="3981"/>
      <c r="EF72" s="4005"/>
      <c r="EH72" s="4057" t="s">
        <v>777</v>
      </c>
      <c r="EI72" s="4058"/>
      <c r="EJ72" s="4058"/>
      <c r="EK72" s="4058"/>
      <c r="EL72" s="4058"/>
      <c r="EM72" s="4058"/>
      <c r="EN72" s="4058"/>
      <c r="EO72" s="1341" t="s">
        <v>5</v>
      </c>
      <c r="EP72" s="3987">
        <v>0</v>
      </c>
      <c r="EQ72" s="3988"/>
      <c r="ET72" s="1249"/>
      <c r="EU72" s="4026" t="s">
        <v>777</v>
      </c>
      <c r="EV72" s="4026"/>
      <c r="EW72" s="4026"/>
      <c r="EX72" s="4026"/>
      <c r="EY72" s="4050"/>
      <c r="EZ72" s="3989">
        <v>0</v>
      </c>
      <c r="FA72" s="3989"/>
      <c r="FD72" s="3981"/>
      <c r="FE72" s="4005"/>
      <c r="FG72" s="4057" t="s">
        <v>777</v>
      </c>
      <c r="FH72" s="4058"/>
      <c r="FI72" s="4058"/>
      <c r="FJ72" s="4058"/>
      <c r="FK72" s="4058"/>
      <c r="FL72" s="4058"/>
      <c r="FM72" s="4058"/>
      <c r="FN72" s="1341" t="s">
        <v>5</v>
      </c>
      <c r="FO72" s="3987">
        <v>0</v>
      </c>
      <c r="FP72" s="3988"/>
      <c r="FS72" s="1249"/>
      <c r="FT72" s="1249"/>
      <c r="FU72" s="4026" t="s">
        <v>777</v>
      </c>
      <c r="FV72" s="4026"/>
      <c r="FW72" s="4026"/>
      <c r="FX72" s="4050"/>
      <c r="FY72" s="3989">
        <v>0</v>
      </c>
      <c r="FZ72" s="3989"/>
      <c r="GC72" s="3976"/>
      <c r="GD72" s="3961"/>
      <c r="GF72" s="3970" t="s">
        <v>777</v>
      </c>
      <c r="GG72" s="3971"/>
      <c r="GH72" s="3971"/>
      <c r="GI72" s="3971"/>
      <c r="GJ72" s="3971"/>
      <c r="GK72" s="3971"/>
      <c r="GL72" s="3971"/>
      <c r="GM72" s="1533" t="s">
        <v>5</v>
      </c>
      <c r="GN72" s="3935">
        <v>0</v>
      </c>
      <c r="GO72" s="3936"/>
      <c r="GR72" s="1296"/>
      <c r="GS72" s="1296"/>
      <c r="GT72" s="3967" t="s">
        <v>777</v>
      </c>
      <c r="GU72" s="3967"/>
      <c r="GV72" s="3967"/>
      <c r="GW72" s="3968"/>
      <c r="GX72" s="3934">
        <v>0</v>
      </c>
      <c r="GY72" s="3934"/>
      <c r="HB72" s="831"/>
    </row>
    <row r="73" spans="1:210" ht="20.100000000000001" customHeight="1">
      <c r="A73" s="3979"/>
      <c r="B73" s="3980"/>
      <c r="M73" s="3964"/>
      <c r="N73" s="3964"/>
      <c r="Q73" s="4039" t="s">
        <v>546</v>
      </c>
      <c r="R73" s="4040"/>
      <c r="S73" s="4040"/>
      <c r="T73" s="4040"/>
      <c r="U73" s="4040"/>
      <c r="V73" s="4040"/>
      <c r="W73" s="4027">
        <f>SUM(W71-W72)</f>
        <v>0</v>
      </c>
      <c r="X73" s="4028"/>
      <c r="Z73" s="3981"/>
      <c r="AA73" s="4005"/>
      <c r="AK73" s="3964"/>
      <c r="AL73" s="3964"/>
      <c r="AO73" s="4039" t="s">
        <v>546</v>
      </c>
      <c r="AP73" s="4040"/>
      <c r="AQ73" s="4040"/>
      <c r="AR73" s="4040"/>
      <c r="AS73" s="4040"/>
      <c r="AT73" s="4040"/>
      <c r="AU73" s="4027">
        <f>SUM(AU71-AU72)</f>
        <v>0</v>
      </c>
      <c r="AV73" s="4028"/>
      <c r="BA73" s="3981"/>
      <c r="BB73" s="4005"/>
      <c r="BL73" s="3964"/>
      <c r="BM73" s="3964"/>
      <c r="BP73" s="4039" t="s">
        <v>546</v>
      </c>
      <c r="BQ73" s="4040"/>
      <c r="BR73" s="4040"/>
      <c r="BS73" s="4040"/>
      <c r="BT73" s="4040"/>
      <c r="BU73" s="4040"/>
      <c r="BV73" s="4027">
        <f>SUM(BV71-BV72)</f>
        <v>0</v>
      </c>
      <c r="BW73" s="4028"/>
      <c r="CB73" s="942"/>
      <c r="CC73" s="3981"/>
      <c r="CD73" s="4005"/>
      <c r="CN73" s="3964"/>
      <c r="CO73" s="3964"/>
      <c r="CR73" s="4039" t="s">
        <v>546</v>
      </c>
      <c r="CS73" s="4040"/>
      <c r="CT73" s="4040"/>
      <c r="CU73" s="4040"/>
      <c r="CV73" s="4040"/>
      <c r="CW73" s="4040"/>
      <c r="CX73" s="4027">
        <f>SUM(CX71-CX72)</f>
        <v>0</v>
      </c>
      <c r="CY73" s="4028"/>
      <c r="DE73" s="3981"/>
      <c r="DF73" s="4005"/>
      <c r="DH73" s="4030" t="s">
        <v>546</v>
      </c>
      <c r="DI73" s="4030"/>
      <c r="DJ73" s="4030"/>
      <c r="DK73" s="4030"/>
      <c r="DL73" s="4030"/>
      <c r="DM73" s="4030"/>
      <c r="DN73" s="4030"/>
      <c r="DO73" s="1350" t="s">
        <v>5</v>
      </c>
      <c r="DP73" s="4048">
        <f>DZ74</f>
        <v>0</v>
      </c>
      <c r="DQ73" s="4049"/>
      <c r="DT73" s="1249"/>
      <c r="DU73" s="1249"/>
      <c r="DV73" s="4026" t="s">
        <v>777</v>
      </c>
      <c r="DW73" s="4026"/>
      <c r="DX73" s="4026"/>
      <c r="DY73" s="4050"/>
      <c r="DZ73" s="4027">
        <v>0</v>
      </c>
      <c r="EA73" s="4028"/>
      <c r="EE73" s="3981"/>
      <c r="EF73" s="4005"/>
      <c r="EH73" s="4059" t="s">
        <v>546</v>
      </c>
      <c r="EI73" s="4059"/>
      <c r="EJ73" s="4059"/>
      <c r="EK73" s="4059"/>
      <c r="EL73" s="4059"/>
      <c r="EM73" s="4059"/>
      <c r="EN73" s="4059"/>
      <c r="EO73" s="1341" t="s">
        <v>5</v>
      </c>
      <c r="EP73" s="3987">
        <f t="shared" si="21"/>
        <v>0</v>
      </c>
      <c r="EQ73" s="3988"/>
      <c r="ET73" s="1249"/>
      <c r="EU73" s="4026" t="s">
        <v>546</v>
      </c>
      <c r="EV73" s="4026"/>
      <c r="EW73" s="4026"/>
      <c r="EX73" s="4026"/>
      <c r="EY73" s="4050"/>
      <c r="EZ73" s="4060">
        <f>SUM(EZ71-EZ72)</f>
        <v>0</v>
      </c>
      <c r="FA73" s="4061"/>
      <c r="FD73" s="3981"/>
      <c r="FE73" s="4005"/>
      <c r="FG73" s="4059" t="s">
        <v>546</v>
      </c>
      <c r="FH73" s="4059"/>
      <c r="FI73" s="4059"/>
      <c r="FJ73" s="4059"/>
      <c r="FK73" s="4059"/>
      <c r="FL73" s="4059"/>
      <c r="FM73" s="4059"/>
      <c r="FN73" s="1350" t="s">
        <v>5</v>
      </c>
      <c r="FO73" s="3987">
        <f t="shared" si="19"/>
        <v>0</v>
      </c>
      <c r="FP73" s="3988"/>
      <c r="FS73" s="1249"/>
      <c r="FT73" s="1249"/>
      <c r="FU73" s="4026" t="s">
        <v>546</v>
      </c>
      <c r="FV73" s="4026"/>
      <c r="FW73" s="4026"/>
      <c r="FX73" s="4050"/>
      <c r="FY73" s="4027">
        <f>SUM(FY71-FY72)</f>
        <v>0</v>
      </c>
      <c r="FZ73" s="4028"/>
      <c r="GC73" s="3976"/>
      <c r="GD73" s="3961"/>
      <c r="GF73" s="3969" t="s">
        <v>546</v>
      </c>
      <c r="GG73" s="3969"/>
      <c r="GH73" s="3969"/>
      <c r="GI73" s="3969"/>
      <c r="GJ73" s="3969"/>
      <c r="GK73" s="3969"/>
      <c r="GL73" s="3969"/>
      <c r="GM73" s="1534" t="s">
        <v>5</v>
      </c>
      <c r="GN73" s="3935">
        <f t="shared" si="20"/>
        <v>0</v>
      </c>
      <c r="GO73" s="3936"/>
      <c r="GR73" s="1296"/>
      <c r="GS73" s="1296"/>
      <c r="GT73" s="3967" t="s">
        <v>546</v>
      </c>
      <c r="GU73" s="3967"/>
      <c r="GV73" s="3967"/>
      <c r="GW73" s="3968"/>
      <c r="GX73" s="3965">
        <f>SUM(GX71-GX72)</f>
        <v>0</v>
      </c>
      <c r="GY73" s="3966"/>
      <c r="HB73" s="831"/>
    </row>
    <row r="74" spans="1:210" ht="20.100000000000001" customHeight="1">
      <c r="A74" s="3979"/>
      <c r="B74" s="3980"/>
      <c r="Z74" s="3981"/>
      <c r="AA74" s="4005"/>
      <c r="BA74" s="3981"/>
      <c r="BB74" s="4005"/>
      <c r="CB74" s="942"/>
      <c r="CC74" s="3981"/>
      <c r="CD74" s="4005"/>
      <c r="DE74" s="3981"/>
      <c r="DF74" s="4005"/>
      <c r="DP74" s="3964"/>
      <c r="DQ74" s="3964"/>
      <c r="DT74" s="1249"/>
      <c r="DU74" s="1249"/>
      <c r="DV74" s="4026" t="s">
        <v>546</v>
      </c>
      <c r="DW74" s="4026"/>
      <c r="DX74" s="4026"/>
      <c r="DY74" s="4050"/>
      <c r="DZ74" s="4027">
        <f>IF(DZ72&gt;0,SUM(DZ72-DZ73),0)</f>
        <v>0</v>
      </c>
      <c r="EA74" s="4028"/>
      <c r="EE74" s="3981"/>
      <c r="EF74" s="4005"/>
      <c r="EP74" s="3964"/>
      <c r="EQ74" s="3964"/>
      <c r="EV74" s="1427"/>
      <c r="EW74" s="1427"/>
      <c r="EX74" s="1427"/>
      <c r="EY74" s="1427"/>
      <c r="EZ74" s="3963"/>
      <c r="FA74" s="3963"/>
      <c r="FD74" s="3981"/>
      <c r="FE74" s="4005"/>
      <c r="FO74" s="3964"/>
      <c r="FP74" s="3964"/>
      <c r="FU74" s="3978"/>
      <c r="FV74" s="3978"/>
      <c r="FW74" s="3978"/>
      <c r="FX74" s="3978"/>
      <c r="FY74" s="3977"/>
      <c r="FZ74" s="3977"/>
      <c r="GC74" s="3976"/>
      <c r="GD74" s="3961"/>
      <c r="GN74" s="3964"/>
      <c r="GO74" s="3964"/>
      <c r="GT74" s="3978"/>
      <c r="GU74" s="3978"/>
      <c r="GV74" s="3978"/>
      <c r="GW74" s="3978"/>
      <c r="GX74" s="3977"/>
      <c r="GY74" s="3977"/>
      <c r="HB74" s="831"/>
    </row>
    <row r="75" spans="1:210">
      <c r="A75" s="3979"/>
      <c r="B75" s="3980"/>
      <c r="Z75" s="3981"/>
      <c r="AA75" s="4005"/>
      <c r="BA75" s="3981"/>
      <c r="BB75" s="4005"/>
      <c r="CB75" s="942"/>
      <c r="CC75" s="3981"/>
      <c r="CD75" s="4005"/>
      <c r="DE75" s="3981"/>
      <c r="DF75" s="4005"/>
      <c r="EE75" s="3981"/>
      <c r="EF75" s="4005"/>
      <c r="FD75" s="3981"/>
      <c r="FE75" s="4005"/>
      <c r="GC75" s="3976"/>
      <c r="GD75" s="3961"/>
      <c r="HB75" s="831"/>
    </row>
    <row r="76" spans="1:210">
      <c r="A76" s="3979"/>
      <c r="B76" s="3980"/>
      <c r="Z76" s="3981"/>
      <c r="AA76" s="4005"/>
      <c r="BA76" s="3981"/>
      <c r="BB76" s="4005"/>
      <c r="CB76" s="942"/>
      <c r="CC76" s="3981"/>
      <c r="CD76" s="4005"/>
      <c r="DE76" s="3981"/>
      <c r="DF76" s="4005"/>
      <c r="EE76" s="3981"/>
      <c r="EF76" s="4005"/>
      <c r="FD76" s="3981"/>
      <c r="FE76" s="4005"/>
      <c r="GC76" s="3976"/>
      <c r="GD76" s="3961"/>
      <c r="HB76" s="831"/>
    </row>
    <row r="77" spans="1:210">
      <c r="A77" s="3979"/>
      <c r="B77" s="3980"/>
      <c r="Z77" s="3981"/>
      <c r="AA77" s="4005"/>
      <c r="BA77" s="3981"/>
      <c r="BB77" s="4005"/>
      <c r="CB77" s="942"/>
      <c r="CC77" s="3981"/>
      <c r="CD77" s="4005"/>
      <c r="DE77" s="3981"/>
      <c r="DF77" s="4005"/>
      <c r="EE77" s="3981"/>
      <c r="EF77" s="4005"/>
      <c r="FD77" s="3981"/>
      <c r="FE77" s="4005"/>
      <c r="GC77" s="3976"/>
      <c r="GD77" s="3961"/>
      <c r="HB77" s="831"/>
    </row>
    <row r="78" spans="1:210">
      <c r="A78" s="1293"/>
      <c r="B78" s="831"/>
      <c r="Z78" s="1294"/>
      <c r="AA78" s="1297"/>
      <c r="BA78" s="1294"/>
      <c r="BB78" s="1297"/>
      <c r="CB78" s="942"/>
      <c r="CC78" s="1294"/>
      <c r="CD78" s="1297"/>
      <c r="DE78" s="3981"/>
      <c r="DF78" s="4005"/>
      <c r="EE78" s="3981"/>
      <c r="EF78" s="4005"/>
      <c r="FD78" s="3981"/>
      <c r="FE78" s="4005"/>
      <c r="GC78" s="3976"/>
      <c r="GD78" s="3961"/>
      <c r="HB78" s="831"/>
    </row>
    <row r="79" spans="1:210">
      <c r="A79" s="1293"/>
      <c r="B79" s="831"/>
      <c r="Z79" s="1294"/>
      <c r="AA79" s="1297"/>
      <c r="BA79" s="1294"/>
      <c r="BB79" s="1297"/>
      <c r="CB79" s="942"/>
      <c r="CC79" s="1294"/>
      <c r="CD79" s="1297"/>
      <c r="DE79" s="1294"/>
      <c r="DF79" s="1297"/>
      <c r="EE79" s="1294"/>
      <c r="EF79" s="1297"/>
      <c r="FD79" s="1294"/>
      <c r="FE79" s="1297"/>
      <c r="GC79" s="1522"/>
      <c r="GD79" s="1523"/>
      <c r="HB79" s="831"/>
    </row>
    <row r="80" spans="1:210">
      <c r="A80" s="1293"/>
      <c r="B80" s="831"/>
      <c r="Z80" s="1294"/>
      <c r="AA80" s="1297"/>
      <c r="BA80" s="1294"/>
      <c r="BB80" s="1297"/>
      <c r="CB80" s="942"/>
      <c r="CC80" s="1294"/>
      <c r="CD80" s="1297"/>
      <c r="DE80" s="1294"/>
      <c r="DF80" s="1297"/>
      <c r="EE80" s="1294"/>
      <c r="EF80" s="1297"/>
      <c r="FD80" s="1294"/>
      <c r="FE80" s="1297"/>
      <c r="GC80" s="1522"/>
      <c r="GD80" s="1523"/>
      <c r="HB80" s="831"/>
    </row>
    <row r="81" spans="1:210">
      <c r="A81" s="1293"/>
      <c r="B81" s="831"/>
      <c r="Z81" s="1294"/>
      <c r="AA81" s="1297"/>
      <c r="BA81" s="1294"/>
      <c r="BB81" s="1297"/>
      <c r="CB81" s="942"/>
      <c r="CC81" s="1294"/>
      <c r="CD81" s="1297"/>
      <c r="DE81" s="1294"/>
      <c r="DF81" s="1297"/>
      <c r="EE81" s="1294"/>
      <c r="EF81" s="1297"/>
      <c r="FD81" s="1294"/>
      <c r="FE81" s="1297"/>
      <c r="GC81" s="1522"/>
      <c r="GD81" s="1523"/>
      <c r="HB81" s="831"/>
    </row>
    <row r="82" spans="1:210">
      <c r="A82" s="1293"/>
      <c r="B82" s="831"/>
      <c r="Z82" s="1294"/>
      <c r="AA82" s="1297"/>
      <c r="BA82" s="1294"/>
      <c r="BB82" s="1297"/>
      <c r="CB82" s="942"/>
      <c r="CC82" s="1294"/>
      <c r="CD82" s="1297"/>
      <c r="DE82" s="1294"/>
      <c r="DF82" s="1297"/>
      <c r="EE82" s="1294"/>
      <c r="EF82" s="1297"/>
      <c r="FD82" s="1294"/>
      <c r="FE82" s="1297"/>
      <c r="GC82" s="1522"/>
      <c r="GD82" s="1523"/>
      <c r="HB82" s="831"/>
    </row>
    <row r="83" spans="1:210">
      <c r="A83" s="1293"/>
      <c r="B83" s="831"/>
      <c r="Z83" s="1294"/>
      <c r="AA83" s="1297"/>
      <c r="BA83" s="1294"/>
      <c r="BB83" s="1297"/>
      <c r="CB83" s="942"/>
      <c r="CC83" s="1294"/>
      <c r="CD83" s="1297"/>
      <c r="DE83" s="1294"/>
      <c r="DF83" s="1297"/>
      <c r="EE83" s="1294"/>
      <c r="EF83" s="1297"/>
      <c r="FD83" s="1294"/>
      <c r="FE83" s="1297"/>
      <c r="GC83" s="1522"/>
      <c r="GD83" s="1523"/>
      <c r="HB83" s="831"/>
    </row>
    <row r="84" spans="1:210">
      <c r="A84" s="1293"/>
      <c r="B84" s="831"/>
      <c r="Z84" s="1294"/>
      <c r="AA84" s="1297"/>
      <c r="BA84" s="1294"/>
      <c r="BB84" s="1297"/>
      <c r="CB84" s="942"/>
      <c r="CC84" s="1294"/>
      <c r="CD84" s="1297"/>
      <c r="DE84" s="1294"/>
      <c r="DF84" s="1297"/>
      <c r="EE84" s="1294"/>
      <c r="EF84" s="1297"/>
      <c r="FD84" s="1294"/>
      <c r="FE84" s="1297"/>
      <c r="GC84" s="1522"/>
      <c r="GD84" s="1523"/>
      <c r="HB84" s="831"/>
    </row>
    <row r="85" spans="1:210">
      <c r="A85" s="1293"/>
      <c r="B85" s="831"/>
      <c r="C85" s="942"/>
      <c r="D85" s="942"/>
      <c r="E85" s="942"/>
      <c r="F85" s="942"/>
      <c r="G85" s="942"/>
      <c r="H85" s="942"/>
      <c r="I85" s="942"/>
      <c r="J85" s="942"/>
      <c r="K85" s="942"/>
      <c r="L85" s="942"/>
      <c r="M85" s="942"/>
      <c r="N85" s="942"/>
      <c r="O85" s="942"/>
      <c r="P85" s="942"/>
      <c r="Q85" s="942"/>
      <c r="R85" s="942"/>
      <c r="S85" s="942"/>
      <c r="T85" s="942"/>
      <c r="U85" s="942"/>
      <c r="V85" s="942"/>
      <c r="W85" s="942"/>
      <c r="X85" s="942"/>
      <c r="Y85" s="942"/>
      <c r="Z85" s="942"/>
      <c r="AA85" s="942"/>
      <c r="AB85" s="942"/>
      <c r="AC85" s="942"/>
      <c r="AD85" s="942"/>
      <c r="AE85" s="942"/>
      <c r="AF85" s="942"/>
      <c r="AG85" s="942"/>
      <c r="AH85" s="942"/>
      <c r="AI85" s="942"/>
      <c r="AJ85" s="942"/>
      <c r="AK85" s="942"/>
      <c r="AL85" s="942"/>
      <c r="AM85" s="942"/>
      <c r="AN85" s="942"/>
      <c r="AO85" s="942"/>
      <c r="AP85" s="942"/>
      <c r="AQ85" s="942"/>
      <c r="AR85" s="942"/>
      <c r="AS85" s="942"/>
      <c r="AT85" s="942"/>
      <c r="AU85" s="942"/>
      <c r="AV85" s="942"/>
      <c r="AW85" s="942"/>
      <c r="AX85" s="942"/>
      <c r="AY85" s="942"/>
      <c r="AZ85" s="942"/>
      <c r="BA85" s="942"/>
      <c r="BB85" s="942"/>
      <c r="BC85" s="942"/>
      <c r="BD85" s="942"/>
      <c r="BE85" s="942"/>
      <c r="BF85" s="942"/>
      <c r="BG85" s="942"/>
      <c r="BH85" s="942"/>
      <c r="BI85" s="942"/>
      <c r="BJ85" s="942"/>
      <c r="BK85" s="942"/>
      <c r="BL85" s="942"/>
      <c r="BM85" s="942"/>
      <c r="BN85" s="942"/>
      <c r="BO85" s="942"/>
      <c r="BP85" s="942"/>
      <c r="BQ85" s="942"/>
      <c r="BR85" s="942"/>
      <c r="BS85" s="942"/>
      <c r="BT85" s="942"/>
      <c r="BU85" s="942"/>
      <c r="BV85" s="942"/>
      <c r="BW85" s="942"/>
      <c r="BX85" s="942"/>
      <c r="BY85" s="942"/>
      <c r="BZ85" s="942"/>
      <c r="CA85" s="942"/>
      <c r="CB85" s="942"/>
      <c r="CC85" s="942"/>
      <c r="CD85" s="942"/>
      <c r="CE85" s="942"/>
      <c r="CF85" s="942"/>
      <c r="CG85" s="942"/>
      <c r="CH85" s="942"/>
      <c r="CI85" s="942"/>
      <c r="CJ85" s="942"/>
      <c r="CK85" s="942"/>
      <c r="CL85" s="942"/>
      <c r="CM85" s="942"/>
      <c r="CN85" s="942"/>
      <c r="CO85" s="942"/>
      <c r="CP85" s="942"/>
      <c r="CQ85" s="942"/>
      <c r="CR85" s="942"/>
      <c r="CS85" s="942"/>
      <c r="CT85" s="942"/>
      <c r="CU85" s="942"/>
      <c r="CV85" s="942"/>
      <c r="CW85" s="942"/>
      <c r="CX85" s="942"/>
      <c r="CY85" s="942"/>
      <c r="CZ85" s="942"/>
      <c r="DA85" s="942"/>
      <c r="DB85" s="942"/>
      <c r="DC85" s="942"/>
      <c r="DD85" s="942"/>
      <c r="DE85" s="942"/>
      <c r="DF85" s="942"/>
      <c r="DG85" s="942"/>
      <c r="DH85" s="942"/>
      <c r="DI85" s="942"/>
      <c r="DJ85" s="942"/>
      <c r="DK85" s="942"/>
      <c r="DL85" s="942"/>
      <c r="DM85" s="942"/>
      <c r="DN85" s="942"/>
      <c r="DO85" s="942"/>
      <c r="DP85" s="942"/>
      <c r="DQ85" s="942"/>
      <c r="DR85" s="942"/>
      <c r="DS85" s="942"/>
      <c r="DT85" s="942"/>
      <c r="DU85" s="942"/>
      <c r="DV85" s="942"/>
      <c r="DW85" s="942"/>
      <c r="DX85" s="942"/>
      <c r="DY85" s="942"/>
      <c r="DZ85" s="942"/>
      <c r="EA85" s="942"/>
      <c r="EB85" s="942"/>
      <c r="EC85" s="942"/>
      <c r="ED85" s="942"/>
      <c r="EE85" s="942"/>
      <c r="EF85" s="942"/>
      <c r="EG85" s="942"/>
      <c r="EH85" s="942"/>
      <c r="EI85" s="942"/>
      <c r="EJ85" s="942"/>
      <c r="EK85" s="942"/>
      <c r="EL85" s="942"/>
      <c r="EM85" s="942"/>
      <c r="EN85" s="942"/>
      <c r="EO85" s="942"/>
      <c r="EP85" s="942"/>
      <c r="EQ85" s="942"/>
      <c r="ER85" s="942"/>
      <c r="ES85" s="942"/>
      <c r="ET85" s="942"/>
      <c r="EU85" s="942"/>
      <c r="EV85" s="942"/>
      <c r="EW85" s="942"/>
      <c r="EX85" s="942"/>
      <c r="EY85" s="942"/>
      <c r="EZ85" s="942"/>
      <c r="FA85" s="942"/>
      <c r="FB85" s="942"/>
      <c r="FC85" s="942"/>
      <c r="FD85" s="942"/>
      <c r="FE85" s="942"/>
      <c r="FF85" s="942"/>
      <c r="FG85" s="942"/>
      <c r="FH85" s="942"/>
      <c r="FI85" s="942"/>
      <c r="FJ85" s="942"/>
      <c r="FK85" s="942"/>
      <c r="FL85" s="942"/>
      <c r="FM85" s="942"/>
      <c r="FN85" s="942"/>
      <c r="FO85" s="942"/>
      <c r="FP85" s="942"/>
      <c r="FQ85" s="942"/>
      <c r="FR85" s="942"/>
      <c r="FS85" s="942"/>
      <c r="FT85" s="942"/>
      <c r="FU85" s="942"/>
      <c r="FV85" s="942"/>
      <c r="FW85" s="942"/>
      <c r="FX85" s="942"/>
      <c r="FY85" s="942"/>
      <c r="FZ85" s="942"/>
      <c r="GA85" s="942"/>
      <c r="GB85" s="942"/>
      <c r="GC85" s="942"/>
      <c r="GD85" s="942"/>
      <c r="GE85" s="942"/>
      <c r="GF85" s="942"/>
      <c r="GG85" s="942"/>
      <c r="GH85" s="942"/>
      <c r="GI85" s="942"/>
      <c r="GJ85" s="942"/>
      <c r="GK85" s="942"/>
      <c r="GL85" s="942"/>
      <c r="GM85" s="942"/>
      <c r="GN85" s="942"/>
      <c r="GO85" s="942"/>
      <c r="GP85" s="942"/>
      <c r="GQ85" s="942"/>
      <c r="GR85" s="942"/>
      <c r="GS85" s="942"/>
      <c r="GT85" s="942"/>
      <c r="GU85" s="942"/>
      <c r="GV85" s="942"/>
      <c r="GW85" s="942"/>
      <c r="GX85" s="942"/>
      <c r="GY85" s="942"/>
      <c r="GZ85" s="942"/>
      <c r="HA85" s="942"/>
      <c r="HB85" s="831"/>
    </row>
    <row r="91" spans="1:210">
      <c r="A91" s="1294"/>
      <c r="B91" s="1226"/>
      <c r="C91" s="1226"/>
      <c r="D91" s="1226"/>
      <c r="E91" s="1226"/>
      <c r="F91" s="1226"/>
      <c r="G91" s="1226"/>
      <c r="H91" s="1226"/>
      <c r="I91" s="1226"/>
      <c r="J91" s="1226"/>
      <c r="K91" s="1226"/>
      <c r="L91" s="1226"/>
      <c r="M91" s="1226"/>
      <c r="N91" s="1226"/>
      <c r="O91" s="1226"/>
      <c r="P91" s="1226"/>
      <c r="Q91" s="1226"/>
      <c r="R91" s="1226"/>
      <c r="S91" s="1226"/>
      <c r="T91" s="1226"/>
      <c r="U91" s="1226"/>
      <c r="V91" s="1226"/>
      <c r="W91" s="1226"/>
      <c r="X91" s="1226"/>
      <c r="Y91" s="1226"/>
      <c r="Z91" s="1226"/>
      <c r="AA91" s="1226"/>
      <c r="AB91" s="1226"/>
      <c r="AC91" s="1226"/>
      <c r="AD91" s="1226"/>
      <c r="AE91" s="1226"/>
      <c r="AF91" s="1226"/>
      <c r="AG91" s="1226"/>
      <c r="AH91" s="1226"/>
      <c r="AI91" s="1226"/>
      <c r="AJ91" s="1226"/>
      <c r="AK91" s="1226"/>
      <c r="AL91" s="1226"/>
      <c r="AM91" s="1226"/>
      <c r="AN91" s="1226"/>
      <c r="AO91" s="1226"/>
      <c r="AP91" s="1226"/>
      <c r="AQ91" s="1226"/>
      <c r="AR91" s="1226"/>
      <c r="AS91" s="1226"/>
      <c r="AT91" s="1226"/>
      <c r="AU91" s="1226"/>
      <c r="AV91" s="1226"/>
      <c r="AW91" s="1226"/>
      <c r="AX91" s="1226"/>
      <c r="AY91" s="1226"/>
      <c r="AZ91" s="1226"/>
      <c r="BA91" s="1226"/>
      <c r="BB91" s="1226"/>
      <c r="BC91" s="1226"/>
      <c r="BD91" s="1226"/>
      <c r="BE91" s="1226"/>
      <c r="BF91" s="1226"/>
      <c r="BG91" s="1226"/>
      <c r="BH91" s="1226"/>
      <c r="BI91" s="1226"/>
      <c r="BJ91" s="1226"/>
      <c r="BK91" s="1226"/>
      <c r="BL91" s="1226"/>
      <c r="BM91" s="1226"/>
      <c r="BN91" s="1226"/>
      <c r="BO91" s="1226"/>
      <c r="BP91" s="1226"/>
      <c r="BQ91" s="1226"/>
      <c r="BR91" s="1226"/>
      <c r="BS91" s="1226"/>
      <c r="BT91" s="1226"/>
      <c r="BU91" s="1226"/>
      <c r="BV91" s="1226"/>
      <c r="BW91" s="1226"/>
      <c r="BX91" s="1226"/>
      <c r="BY91" s="1226"/>
      <c r="BZ91" s="1226"/>
      <c r="CA91" s="1226"/>
      <c r="CB91" s="1226"/>
      <c r="CC91" s="1226"/>
      <c r="CD91" s="1226"/>
      <c r="CE91" s="1226"/>
      <c r="CF91" s="1226"/>
      <c r="CG91" s="1226"/>
      <c r="CH91" s="1226"/>
      <c r="CI91" s="1226"/>
      <c r="CJ91" s="1226"/>
      <c r="CK91" s="1226"/>
      <c r="CL91" s="1226"/>
      <c r="CM91" s="1226"/>
      <c r="CN91" s="1226"/>
      <c r="CO91" s="1226"/>
      <c r="CP91" s="1226"/>
      <c r="CQ91" s="1226"/>
      <c r="CR91" s="1226"/>
      <c r="CS91" s="1226"/>
      <c r="CT91" s="1226"/>
      <c r="CU91" s="1226"/>
      <c r="CV91" s="1226"/>
      <c r="CW91" s="1226"/>
      <c r="CX91" s="1226"/>
      <c r="CY91" s="1226"/>
      <c r="CZ91" s="1226"/>
    </row>
    <row r="92" spans="1:210">
      <c r="A92" s="1294"/>
      <c r="B92" s="831"/>
      <c r="C92" s="831"/>
      <c r="D92" s="831"/>
      <c r="E92" s="831"/>
      <c r="F92" s="831"/>
      <c r="G92" s="831"/>
      <c r="H92" s="831"/>
      <c r="I92" s="831"/>
      <c r="J92" s="831"/>
      <c r="K92" s="831"/>
      <c r="L92" s="831"/>
      <c r="M92" s="831"/>
      <c r="N92" s="831"/>
      <c r="O92" s="831"/>
      <c r="P92" s="831"/>
      <c r="Q92" s="831"/>
      <c r="R92" s="831"/>
      <c r="S92" s="831"/>
      <c r="T92" s="831"/>
      <c r="U92" s="831"/>
      <c r="V92" s="831"/>
      <c r="W92" s="831"/>
      <c r="X92" s="831"/>
      <c r="Y92" s="831"/>
      <c r="Z92" s="831"/>
      <c r="AA92" s="831"/>
      <c r="AB92" s="831"/>
      <c r="AC92" s="831"/>
      <c r="AD92" s="831"/>
      <c r="AE92" s="831"/>
      <c r="AF92" s="831"/>
      <c r="AG92" s="831"/>
      <c r="AH92" s="831"/>
      <c r="AI92" s="831"/>
      <c r="AJ92" s="831"/>
      <c r="AK92" s="831"/>
      <c r="AL92" s="831"/>
      <c r="AM92" s="831"/>
      <c r="AN92" s="831"/>
      <c r="AO92" s="831"/>
      <c r="AP92" s="831"/>
      <c r="AQ92" s="831"/>
      <c r="AR92" s="831"/>
      <c r="AS92" s="831"/>
      <c r="AT92" s="831"/>
      <c r="AU92" s="831"/>
      <c r="AV92" s="831"/>
      <c r="AW92" s="831"/>
      <c r="AX92" s="831"/>
      <c r="AY92" s="831"/>
      <c r="AZ92" s="831"/>
      <c r="BA92" s="831"/>
      <c r="BB92" s="831"/>
      <c r="BC92" s="831"/>
      <c r="BD92" s="831"/>
      <c r="BE92" s="831"/>
      <c r="BF92" s="831"/>
      <c r="BG92" s="831"/>
      <c r="BH92" s="831"/>
      <c r="BI92" s="831"/>
      <c r="BJ92" s="831"/>
      <c r="BK92" s="831"/>
      <c r="BL92" s="831"/>
      <c r="BM92" s="831"/>
      <c r="BN92" s="831"/>
      <c r="BO92" s="831"/>
      <c r="BP92" s="831"/>
      <c r="BQ92" s="831"/>
      <c r="BR92" s="831"/>
      <c r="BS92" s="831"/>
      <c r="BT92" s="831"/>
      <c r="BU92" s="831"/>
      <c r="BV92" s="831"/>
      <c r="BW92" s="831"/>
      <c r="BX92" s="831"/>
      <c r="BY92" s="831"/>
      <c r="BZ92" s="831"/>
      <c r="CA92" s="831"/>
      <c r="CB92" s="831"/>
      <c r="CC92" s="831"/>
      <c r="CD92" s="831"/>
      <c r="CE92" s="831"/>
      <c r="CF92" s="831"/>
      <c r="CG92" s="831"/>
      <c r="CH92" s="831"/>
      <c r="CI92" s="831"/>
      <c r="CJ92" s="831"/>
      <c r="CK92" s="831"/>
      <c r="CL92" s="831"/>
      <c r="CM92" s="831"/>
      <c r="CN92" s="831"/>
      <c r="CO92" s="831"/>
      <c r="CP92" s="831"/>
      <c r="CQ92" s="831"/>
      <c r="CR92" s="831"/>
      <c r="CS92" s="831"/>
      <c r="CT92" s="831"/>
      <c r="CU92" s="831"/>
      <c r="CV92" s="831"/>
      <c r="CW92" s="831"/>
      <c r="CX92" s="831"/>
      <c r="CY92" s="831"/>
      <c r="CZ92" s="831"/>
    </row>
    <row r="93" spans="1:210" ht="19.5">
      <c r="A93" s="1294"/>
      <c r="B93" s="1295"/>
      <c r="C93" s="1295"/>
      <c r="D93" s="1295"/>
      <c r="E93" s="3942" t="s">
        <v>1176</v>
      </c>
      <c r="F93" s="3942"/>
      <c r="G93" s="3942"/>
      <c r="H93" s="3942"/>
      <c r="I93" s="3942"/>
      <c r="J93" s="3942"/>
      <c r="K93" s="3942"/>
      <c r="L93" s="3942"/>
      <c r="M93" s="1295"/>
      <c r="N93" s="1295"/>
      <c r="O93" s="1295"/>
      <c r="P93" s="1295"/>
      <c r="Q93" s="1295"/>
      <c r="R93" s="1295"/>
      <c r="S93" s="1295"/>
      <c r="T93" s="1295"/>
      <c r="U93" s="1295"/>
      <c r="V93" s="1295"/>
      <c r="W93" s="1295"/>
      <c r="X93" s="1295"/>
      <c r="Y93" s="1295"/>
      <c r="Z93" s="1295"/>
      <c r="AA93" s="1295"/>
      <c r="AB93" s="1295"/>
      <c r="AC93" s="1295"/>
      <c r="AD93" s="1295"/>
      <c r="AE93" s="1295"/>
      <c r="AF93" s="1295"/>
      <c r="AG93" s="1295"/>
      <c r="AH93" s="1295"/>
      <c r="AI93" s="1295"/>
      <c r="AJ93" s="1295"/>
      <c r="AK93" s="1295"/>
      <c r="AL93" s="1295"/>
      <c r="AM93" s="1295"/>
      <c r="AN93" s="1295"/>
      <c r="AO93" s="1295"/>
      <c r="AP93" s="1295"/>
      <c r="AQ93" s="1295"/>
      <c r="AR93" s="1295"/>
      <c r="AS93" s="1295"/>
      <c r="AT93" s="1295"/>
      <c r="AU93" s="1295"/>
      <c r="AV93" s="1295"/>
      <c r="AW93" s="1295"/>
      <c r="AX93" s="1295"/>
      <c r="AY93" s="1295"/>
      <c r="AZ93" s="1295"/>
      <c r="BA93" s="1295"/>
      <c r="BB93" s="1295"/>
      <c r="BC93" s="1295"/>
      <c r="BD93" s="1295"/>
      <c r="BE93" s="1295"/>
      <c r="BF93" s="1295"/>
      <c r="BG93" s="1295"/>
      <c r="BH93" s="1295"/>
      <c r="BI93" s="1295"/>
      <c r="BJ93" s="1295"/>
      <c r="BK93" s="1295"/>
      <c r="BL93" s="1295"/>
      <c r="BM93" s="1295"/>
      <c r="BN93" s="1295"/>
      <c r="BO93" s="1295"/>
      <c r="BP93" s="1295"/>
      <c r="BQ93" s="1295"/>
      <c r="BR93" s="1295"/>
      <c r="BS93" s="1295"/>
      <c r="BT93" s="1295"/>
      <c r="BU93" s="1295"/>
      <c r="BV93" s="1295"/>
      <c r="BW93" s="1295"/>
      <c r="BX93" s="1295"/>
      <c r="BY93" s="1295"/>
      <c r="BZ93" s="1295"/>
      <c r="CA93" s="1295"/>
      <c r="CB93" s="1295"/>
      <c r="CC93" s="1295"/>
      <c r="CD93" s="1295"/>
      <c r="CE93" s="1295"/>
      <c r="CF93" s="1295"/>
      <c r="CG93" s="1295"/>
      <c r="CH93" s="1295"/>
      <c r="CI93" s="1295"/>
      <c r="CJ93" s="1295"/>
      <c r="CK93" s="1295"/>
      <c r="CL93" s="1295"/>
      <c r="CM93" s="1295"/>
      <c r="CN93" s="1295"/>
      <c r="CO93" s="1295"/>
      <c r="CP93" s="1295"/>
      <c r="CQ93" s="1295"/>
      <c r="CR93" s="1295"/>
      <c r="CS93" s="1295"/>
      <c r="CT93" s="1295"/>
      <c r="CU93" s="1434" t="str">
        <f>LOOKUP(CV93,$CU$99:$CU$102,$CV$99:$CV$102)</f>
        <v>Sri.</v>
      </c>
      <c r="CV93" s="1432">
        <v>1</v>
      </c>
      <c r="CW93" s="1295"/>
      <c r="CX93" s="1295"/>
      <c r="CY93" s="1295"/>
      <c r="CZ93" s="1295"/>
    </row>
    <row r="94" spans="1:210" ht="19.5">
      <c r="A94" s="1294"/>
      <c r="B94" s="1296"/>
      <c r="C94" s="1296"/>
      <c r="D94" s="1296"/>
      <c r="E94" s="4063" t="s">
        <v>1177</v>
      </c>
      <c r="F94" s="4063"/>
      <c r="G94" s="4063"/>
      <c r="H94" s="4063"/>
      <c r="I94" s="4063"/>
      <c r="J94" s="4063"/>
      <c r="K94" s="4063"/>
      <c r="L94" s="1296"/>
      <c r="M94" s="1296"/>
      <c r="N94" s="1296"/>
      <c r="O94" s="1296"/>
      <c r="P94" s="1296"/>
      <c r="Q94" s="1296"/>
      <c r="R94" s="1296"/>
      <c r="S94" s="1296"/>
      <c r="T94" s="1296"/>
      <c r="U94" s="1296"/>
      <c r="V94" s="1296"/>
      <c r="W94" s="1296"/>
      <c r="X94" s="1296"/>
      <c r="Y94" s="1296"/>
      <c r="Z94" s="1296"/>
      <c r="AA94" s="1296"/>
      <c r="AB94" s="1296"/>
      <c r="AC94" s="1296"/>
      <c r="AD94" s="1296"/>
      <c r="AE94" s="1296"/>
      <c r="AF94" s="1296"/>
      <c r="AG94" s="1296"/>
      <c r="AH94" s="1296"/>
      <c r="AI94" s="1351"/>
      <c r="AJ94" s="1296"/>
      <c r="AK94" s="1351"/>
      <c r="AL94" s="1296"/>
      <c r="AM94" s="1296"/>
      <c r="AN94" s="1296"/>
      <c r="AO94" s="1296"/>
      <c r="AP94" s="1296"/>
      <c r="AQ94" s="1296"/>
      <c r="AR94" s="1296"/>
      <c r="AS94" s="1296"/>
      <c r="AT94" s="1296"/>
      <c r="AU94" s="1296"/>
      <c r="AV94" s="1296"/>
      <c r="AW94" s="1296"/>
      <c r="AX94" s="1296"/>
      <c r="AY94" s="1296"/>
      <c r="AZ94" s="1296"/>
      <c r="BA94" s="1296"/>
      <c r="BB94" s="1296"/>
      <c r="BC94" s="1296"/>
      <c r="BD94" s="1296"/>
      <c r="BE94" s="1296"/>
      <c r="BF94" s="1296"/>
      <c r="BG94" s="1296"/>
      <c r="BH94" s="1296"/>
      <c r="BI94" s="1296"/>
      <c r="BJ94" s="1296"/>
      <c r="BK94" s="1296"/>
      <c r="BL94" s="1296"/>
      <c r="BM94" s="1296"/>
      <c r="BN94" s="1296"/>
      <c r="BO94" s="1296"/>
      <c r="BP94" s="1296"/>
      <c r="BQ94" s="1296"/>
      <c r="BR94" s="1296"/>
      <c r="BS94" s="1296"/>
      <c r="BT94" s="1296"/>
      <c r="BU94" s="1296"/>
      <c r="BV94" s="1296"/>
      <c r="BW94" s="1296"/>
      <c r="BX94" s="1296"/>
      <c r="BY94" s="1296"/>
      <c r="BZ94" s="1296"/>
      <c r="CA94" s="1296"/>
      <c r="CB94" s="1296"/>
      <c r="CC94" s="4064" t="s">
        <v>1072</v>
      </c>
      <c r="CD94" s="4064"/>
      <c r="CE94" s="4065">
        <f ca="1">TODAY()</f>
        <v>46059</v>
      </c>
      <c r="CF94" s="4064"/>
      <c r="CG94" s="1296"/>
      <c r="CH94" s="1296"/>
      <c r="CI94" s="1296"/>
      <c r="CJ94" s="1296"/>
      <c r="CK94" s="1296"/>
      <c r="CL94" s="1296"/>
      <c r="CM94" s="1296"/>
      <c r="CN94" s="1296"/>
      <c r="CO94" s="1296"/>
      <c r="CP94" s="1296"/>
      <c r="CQ94" s="1296"/>
      <c r="CR94" s="1296"/>
      <c r="CS94" s="1296"/>
      <c r="CT94" s="1296"/>
      <c r="CU94" s="1433" t="str">
        <f>LOOKUP(CV94,$CU$99:$CU$102,$CV$99:$CV$102)</f>
        <v>Sri.</v>
      </c>
      <c r="CV94" s="1433">
        <f>CV93</f>
        <v>1</v>
      </c>
      <c r="CW94" s="1296"/>
      <c r="CX94" s="1296"/>
      <c r="CY94" s="1296"/>
      <c r="CZ94" s="1296"/>
    </row>
    <row r="95" spans="1:210">
      <c r="A95" s="1294"/>
      <c r="B95" s="833"/>
      <c r="C95" s="833"/>
      <c r="D95" s="833"/>
      <c r="E95" s="833"/>
      <c r="F95" s="833"/>
      <c r="G95" s="833"/>
      <c r="H95" s="833"/>
      <c r="I95" s="833"/>
      <c r="J95" s="833"/>
      <c r="K95" s="833"/>
      <c r="L95" s="833"/>
      <c r="M95" s="833"/>
      <c r="N95" s="833"/>
      <c r="O95" s="833"/>
      <c r="P95" s="833"/>
      <c r="Q95" s="833"/>
      <c r="R95" s="833"/>
      <c r="S95" s="833"/>
      <c r="T95" s="833"/>
      <c r="U95" s="833"/>
      <c r="V95" s="833"/>
      <c r="W95" s="833"/>
      <c r="X95" s="833"/>
      <c r="Y95" s="833"/>
      <c r="Z95" s="833"/>
      <c r="AA95" s="833"/>
      <c r="AB95" s="833"/>
      <c r="AC95" s="833"/>
      <c r="AD95" s="833"/>
      <c r="AE95" s="833"/>
      <c r="AF95" s="833"/>
      <c r="AG95" s="833"/>
      <c r="AH95" s="833"/>
      <c r="AI95" s="1353"/>
      <c r="AJ95" s="833"/>
      <c r="AK95" s="1353"/>
      <c r="AL95" s="833"/>
      <c r="AM95" s="833"/>
      <c r="AN95" s="833"/>
      <c r="AO95" s="833"/>
      <c r="AP95" s="833"/>
      <c r="AQ95" s="833"/>
      <c r="AR95" s="833"/>
      <c r="AS95" s="833"/>
      <c r="AT95" s="833"/>
      <c r="AU95" s="833"/>
      <c r="AV95" s="833"/>
      <c r="AW95" s="833"/>
      <c r="AX95" s="833"/>
      <c r="AY95" s="833"/>
      <c r="AZ95" s="833"/>
      <c r="BA95" s="833"/>
      <c r="BB95" s="833"/>
      <c r="BC95" s="833"/>
      <c r="BD95" s="833"/>
      <c r="BE95" s="833"/>
      <c r="BF95" s="833"/>
      <c r="BG95" s="833"/>
      <c r="BH95" s="833"/>
      <c r="BI95" s="833"/>
      <c r="BJ95" s="833"/>
      <c r="BK95" s="833"/>
      <c r="BL95" s="833"/>
      <c r="BM95" s="833"/>
      <c r="BN95" s="833"/>
      <c r="BO95" s="833"/>
      <c r="BP95" s="833"/>
      <c r="BQ95" s="833"/>
      <c r="BR95" s="833"/>
      <c r="BS95" s="833"/>
      <c r="BT95" s="833"/>
      <c r="BU95" s="833"/>
      <c r="BV95" s="833"/>
      <c r="BW95" s="833"/>
      <c r="BX95" s="833"/>
      <c r="BY95" s="833"/>
      <c r="BZ95" s="833"/>
      <c r="CA95" s="833"/>
      <c r="CB95" s="833"/>
      <c r="CC95" s="833"/>
      <c r="CD95" s="833"/>
      <c r="CE95" s="833"/>
      <c r="CF95" s="833"/>
      <c r="CG95" s="833"/>
      <c r="CH95" s="833"/>
      <c r="CI95" s="833"/>
      <c r="CJ95" s="833"/>
      <c r="CK95" s="833"/>
      <c r="CL95" s="833"/>
      <c r="CM95" s="833"/>
      <c r="CN95" s="833"/>
      <c r="CO95" s="833"/>
      <c r="CP95" s="833"/>
      <c r="CQ95" s="833"/>
      <c r="CR95" s="833"/>
      <c r="CS95" s="833"/>
      <c r="CT95" s="833"/>
      <c r="CU95" s="833"/>
      <c r="CV95" s="833"/>
      <c r="CW95" s="833"/>
      <c r="CX95" s="833"/>
      <c r="CY95" s="833"/>
      <c r="CZ95" s="833"/>
    </row>
    <row r="96" spans="1:210" ht="21.95" customHeight="1">
      <c r="A96" s="1294"/>
      <c r="B96" s="1297"/>
      <c r="AB96" s="834"/>
      <c r="AC96" s="1295"/>
      <c r="AD96" s="1292"/>
      <c r="BD96" s="834"/>
      <c r="BE96" s="1295"/>
      <c r="BF96" s="1292"/>
      <c r="BY96" s="942"/>
      <c r="BZ96" s="1354"/>
    </row>
    <row r="97" spans="1:100" ht="21.95" customHeight="1">
      <c r="A97" s="1294"/>
      <c r="B97" s="1297"/>
      <c r="E97" s="4066" t="s">
        <v>1041</v>
      </c>
      <c r="F97" s="4066"/>
      <c r="G97" s="4066"/>
      <c r="H97" s="1351">
        <f>BO105</f>
        <v>1486210</v>
      </c>
      <c r="I97" s="1300"/>
      <c r="J97" s="1300"/>
      <c r="R97" s="1299"/>
      <c r="S97" s="1299"/>
      <c r="T97" s="1299"/>
      <c r="U97" s="1300"/>
      <c r="AB97" s="834"/>
      <c r="AC97" s="1295"/>
      <c r="AD97" s="1292"/>
      <c r="AG97" s="4066" t="s">
        <v>1041</v>
      </c>
      <c r="AH97" s="4066"/>
      <c r="AI97" s="4066"/>
      <c r="AJ97" s="1351">
        <f>BO101</f>
        <v>1486210</v>
      </c>
      <c r="AK97" s="1300"/>
      <c r="AL97" s="1300"/>
      <c r="AT97" s="1299"/>
      <c r="AU97" s="1299"/>
      <c r="AV97" s="1299"/>
      <c r="AW97" s="1300"/>
      <c r="BD97" s="834"/>
      <c r="BE97" s="1295"/>
      <c r="BF97" s="1292"/>
      <c r="BY97" s="942"/>
      <c r="BZ97" s="1354"/>
    </row>
    <row r="98" spans="1:100" ht="21.95" customHeight="1">
      <c r="A98" s="1294"/>
      <c r="B98" s="1297"/>
      <c r="AB98" s="834"/>
      <c r="AC98" s="1295"/>
      <c r="AD98" s="1292"/>
      <c r="BD98" s="834"/>
      <c r="BE98" s="1295"/>
      <c r="BF98" s="1292"/>
      <c r="BI98" s="4067" t="s">
        <v>1073</v>
      </c>
      <c r="BJ98" s="4068"/>
      <c r="BK98" s="4068"/>
      <c r="BL98" s="4068"/>
      <c r="BM98" s="4068"/>
      <c r="BN98" s="4068"/>
      <c r="BO98" s="4068"/>
      <c r="BP98" s="4069"/>
      <c r="BY98" s="942"/>
      <c r="BZ98" s="1354"/>
    </row>
    <row r="99" spans="1:100" ht="21.95" customHeight="1">
      <c r="A99" s="1294"/>
      <c r="B99" s="1297"/>
      <c r="AB99" s="834"/>
      <c r="AC99" s="1295"/>
      <c r="AD99" s="1292"/>
      <c r="BD99" s="834"/>
      <c r="BE99" s="1295"/>
      <c r="BF99" s="1292"/>
      <c r="BI99" s="1355"/>
      <c r="BJ99" s="1356"/>
      <c r="BK99" s="1356"/>
      <c r="BL99" s="4070" t="s">
        <v>1074</v>
      </c>
      <c r="BM99" s="4070"/>
      <c r="BN99" s="4070"/>
      <c r="BO99" s="1356"/>
      <c r="BP99" s="1357"/>
      <c r="BY99" s="942"/>
      <c r="BZ99" s="1354"/>
      <c r="CC99" s="1358">
        <v>1</v>
      </c>
      <c r="CD99" s="1359" t="s">
        <v>1075</v>
      </c>
      <c r="CE99" s="1360" t="str">
        <f>CONCATENATE(CC99,"",CD99)</f>
        <v>1st</v>
      </c>
      <c r="CG99" s="1361">
        <v>1</v>
      </c>
      <c r="CH99" s="1360" t="s">
        <v>1076</v>
      </c>
      <c r="CL99" s="1361" t="s">
        <v>848</v>
      </c>
      <c r="CM99" s="1362">
        <f ca="1">DAY(CE94)</f>
        <v>6</v>
      </c>
      <c r="CN99" s="9" t="str">
        <f ca="1">VLOOKUP(CM99,CC99:CE129,3)</f>
        <v>6th</v>
      </c>
      <c r="CU99" s="295">
        <v>1</v>
      </c>
      <c r="CV99" s="295" t="s">
        <v>10</v>
      </c>
    </row>
    <row r="100" spans="1:100" ht="21.95" customHeight="1">
      <c r="A100" s="3981" t="s">
        <v>1176</v>
      </c>
      <c r="B100" s="4005" t="s">
        <v>1179</v>
      </c>
      <c r="AB100" s="834"/>
      <c r="AC100" s="1295"/>
      <c r="AD100" s="1292"/>
      <c r="BD100" s="834"/>
      <c r="BE100" s="1295"/>
      <c r="BF100" s="1292"/>
      <c r="BI100" s="1363"/>
      <c r="BJ100" s="1364"/>
      <c r="BK100" s="1364"/>
      <c r="BL100" s="1364"/>
      <c r="BM100" s="1364"/>
      <c r="BN100" s="1364"/>
      <c r="BO100" s="1364"/>
      <c r="BP100" s="1365"/>
      <c r="BY100" s="942"/>
      <c r="BZ100" s="1354"/>
      <c r="CC100" s="1366">
        <v>2</v>
      </c>
      <c r="CD100" s="1367" t="s">
        <v>1078</v>
      </c>
      <c r="CE100" s="1368" t="str">
        <f t="shared" ref="CE100:CE129" si="22">CONCATENATE(CC100,"",CD100)</f>
        <v>2nd</v>
      </c>
      <c r="CG100" s="1369">
        <v>2</v>
      </c>
      <c r="CH100" s="1368" t="s">
        <v>1079</v>
      </c>
      <c r="CL100" s="1369"/>
      <c r="CM100" s="1370"/>
      <c r="CU100" s="295">
        <v>2</v>
      </c>
      <c r="CV100" s="295" t="s">
        <v>11</v>
      </c>
    </row>
    <row r="101" spans="1:100" ht="21.95" customHeight="1">
      <c r="A101" s="3981"/>
      <c r="B101" s="4005"/>
      <c r="AB101" s="834"/>
      <c r="AC101" s="1295"/>
      <c r="AD101" s="1292"/>
      <c r="BD101" s="834"/>
      <c r="BE101" s="1295"/>
      <c r="BF101" s="1292"/>
      <c r="BI101" s="1371">
        <v>1</v>
      </c>
      <c r="BJ101" s="4071" t="s">
        <v>1080</v>
      </c>
      <c r="BK101" s="4071"/>
      <c r="BL101" s="4071"/>
      <c r="BM101" s="4071"/>
      <c r="BN101" s="4072"/>
      <c r="BO101" s="4073">
        <f>BO125</f>
        <v>1486210</v>
      </c>
      <c r="BP101" s="4074"/>
      <c r="BY101" s="942"/>
      <c r="BZ101" s="1354"/>
      <c r="CC101" s="1366">
        <v>3</v>
      </c>
      <c r="CD101" s="1367" t="s">
        <v>1081</v>
      </c>
      <c r="CE101" s="1368" t="str">
        <f t="shared" si="22"/>
        <v>3rd</v>
      </c>
      <c r="CG101" s="1369">
        <v>3</v>
      </c>
      <c r="CH101" s="1368" t="s">
        <v>1082</v>
      </c>
      <c r="CL101" s="1366" t="s">
        <v>849</v>
      </c>
      <c r="CM101" s="1372">
        <f ca="1">MONTH(CE94)</f>
        <v>2</v>
      </c>
      <c r="CN101" s="9" t="str">
        <f ca="1">VLOOKUP(CM101,CG99:CH110,2)</f>
        <v>February</v>
      </c>
      <c r="CU101" s="295">
        <v>3</v>
      </c>
      <c r="CV101" s="295" t="s">
        <v>12</v>
      </c>
    </row>
    <row r="102" spans="1:100" ht="21.95" customHeight="1">
      <c r="A102" s="3981"/>
      <c r="B102" s="4005"/>
      <c r="AB102" s="834"/>
      <c r="AC102" s="1295"/>
      <c r="AD102" s="1292"/>
      <c r="BD102" s="834"/>
      <c r="BE102" s="1295"/>
      <c r="BF102" s="1292"/>
      <c r="BI102" s="1373"/>
      <c r="BJ102" s="4075" t="s">
        <v>1083</v>
      </c>
      <c r="BK102" s="4075"/>
      <c r="BL102" s="4075"/>
      <c r="BM102" s="4075"/>
      <c r="BN102" s="4076"/>
      <c r="BO102" s="4077"/>
      <c r="BP102" s="4078"/>
      <c r="BY102" s="942"/>
      <c r="BZ102" s="1354"/>
      <c r="CC102" s="1366">
        <v>4</v>
      </c>
      <c r="CD102" s="1367" t="s">
        <v>1084</v>
      </c>
      <c r="CE102" s="1368" t="str">
        <f t="shared" si="22"/>
        <v>4th</v>
      </c>
      <c r="CG102" s="1369">
        <v>4</v>
      </c>
      <c r="CH102" s="1368" t="s">
        <v>1085</v>
      </c>
      <c r="CL102" s="1369"/>
      <c r="CM102" s="1370"/>
      <c r="CU102" s="295">
        <v>4</v>
      </c>
      <c r="CV102" s="295" t="s">
        <v>13</v>
      </c>
    </row>
    <row r="103" spans="1:100" ht="21.95" customHeight="1">
      <c r="A103" s="3981"/>
      <c r="B103" s="4005"/>
      <c r="AB103" s="834"/>
      <c r="AC103" s="1295"/>
      <c r="AD103" s="1292"/>
      <c r="BD103" s="834"/>
      <c r="BE103" s="1295"/>
      <c r="BF103" s="1292"/>
      <c r="BI103" s="1373">
        <v>2</v>
      </c>
      <c r="BJ103" s="4075" t="s">
        <v>1086</v>
      </c>
      <c r="BK103" s="4075"/>
      <c r="BL103" s="4075"/>
      <c r="BM103" s="4075"/>
      <c r="BN103" s="4076"/>
      <c r="BO103" s="4077">
        <f>K212</f>
        <v>0</v>
      </c>
      <c r="BP103" s="4078"/>
      <c r="BY103" s="942"/>
      <c r="BZ103" s="1354"/>
      <c r="CC103" s="1366">
        <v>5</v>
      </c>
      <c r="CD103" s="1367" t="s">
        <v>1084</v>
      </c>
      <c r="CE103" s="1368" t="str">
        <f t="shared" si="22"/>
        <v>5th</v>
      </c>
      <c r="CG103" s="1369">
        <v>5</v>
      </c>
      <c r="CH103" s="1368" t="s">
        <v>181</v>
      </c>
      <c r="CL103" s="1374" t="s">
        <v>850</v>
      </c>
      <c r="CM103" s="1375">
        <f ca="1">YEAR(CE94)</f>
        <v>2026</v>
      </c>
      <c r="CN103" s="9">
        <f ca="1">CM103</f>
        <v>2026</v>
      </c>
    </row>
    <row r="104" spans="1:100" ht="21.95" customHeight="1">
      <c r="A104" s="3981"/>
      <c r="B104" s="4005"/>
      <c r="D104" s="3984" t="s">
        <v>1178</v>
      </c>
      <c r="E104" s="3984"/>
      <c r="F104" s="3984"/>
      <c r="G104" s="3984"/>
      <c r="H104" s="3984"/>
      <c r="I104" s="3984"/>
      <c r="J104" s="3984"/>
      <c r="K104" s="3984"/>
      <c r="L104" s="3984"/>
      <c r="M104" s="3984"/>
      <c r="AB104" s="834"/>
      <c r="AC104" s="1295"/>
      <c r="AD104" s="1292"/>
      <c r="AF104" s="3984" t="s">
        <v>1178</v>
      </c>
      <c r="AG104" s="3984"/>
      <c r="AH104" s="3984"/>
      <c r="AI104" s="3984"/>
      <c r="AJ104" s="3984"/>
      <c r="AK104" s="3984"/>
      <c r="AL104" s="3984"/>
      <c r="AM104" s="3984"/>
      <c r="AN104" s="3984"/>
      <c r="AO104" s="3984"/>
      <c r="BD104" s="834"/>
      <c r="BE104" s="1295"/>
      <c r="BF104" s="1292"/>
      <c r="BI104" s="1373"/>
      <c r="BJ104" s="4075"/>
      <c r="BK104" s="4075"/>
      <c r="BL104" s="4075"/>
      <c r="BM104" s="4075"/>
      <c r="BN104" s="4076"/>
      <c r="BO104" s="4077"/>
      <c r="BP104" s="4078"/>
      <c r="BY104" s="942"/>
      <c r="BZ104" s="1354"/>
      <c r="CC104" s="1366">
        <v>6</v>
      </c>
      <c r="CD104" s="1367" t="s">
        <v>1084</v>
      </c>
      <c r="CE104" s="1368" t="str">
        <f t="shared" si="22"/>
        <v>6th</v>
      </c>
      <c r="CG104" s="1369">
        <v>6</v>
      </c>
      <c r="CH104" s="1368" t="s">
        <v>1088</v>
      </c>
    </row>
    <row r="105" spans="1:100" ht="21.95" customHeight="1">
      <c r="A105" s="3981"/>
      <c r="B105" s="4005"/>
      <c r="D105" s="3986"/>
      <c r="E105" s="3986"/>
      <c r="F105" s="3986"/>
      <c r="G105" s="3986"/>
      <c r="H105" s="3986"/>
      <c r="I105" s="3986"/>
      <c r="J105" s="3986"/>
      <c r="K105" s="3986"/>
      <c r="L105" s="3986"/>
      <c r="M105" s="3986"/>
      <c r="AB105" s="834"/>
      <c r="AC105" s="1295"/>
      <c r="AD105" s="1292"/>
      <c r="AF105" s="3986"/>
      <c r="AG105" s="3986"/>
      <c r="AH105" s="3986"/>
      <c r="AI105" s="3986"/>
      <c r="AJ105" s="3986"/>
      <c r="AK105" s="3986"/>
      <c r="AL105" s="3986"/>
      <c r="AM105" s="3986"/>
      <c r="AN105" s="3986"/>
      <c r="AO105" s="3986"/>
      <c r="BD105" s="834"/>
      <c r="BE105" s="1295"/>
      <c r="BF105" s="1292"/>
      <c r="BI105" s="1373">
        <v>3</v>
      </c>
      <c r="BJ105" s="4075" t="s">
        <v>1080</v>
      </c>
      <c r="BK105" s="4075"/>
      <c r="BL105" s="4075"/>
      <c r="BM105" s="4075"/>
      <c r="BN105" s="4076"/>
      <c r="BO105" s="4077">
        <f>SUM(BO101,BO103)</f>
        <v>1486210</v>
      </c>
      <c r="BP105" s="4078"/>
      <c r="BY105" s="942"/>
      <c r="BZ105" s="1354"/>
      <c r="CC105" s="1366">
        <v>7</v>
      </c>
      <c r="CD105" s="1367" t="s">
        <v>1084</v>
      </c>
      <c r="CE105" s="1368" t="str">
        <f t="shared" si="22"/>
        <v>7th</v>
      </c>
      <c r="CG105" s="1369">
        <v>7</v>
      </c>
      <c r="CH105" s="1368" t="s">
        <v>1089</v>
      </c>
    </row>
    <row r="106" spans="1:100" ht="21.95" customHeight="1">
      <c r="A106" s="3981"/>
      <c r="B106" s="4005"/>
      <c r="D106" s="1307"/>
      <c r="E106" s="1308"/>
      <c r="F106" s="1308"/>
      <c r="G106" s="1308"/>
      <c r="H106" s="1308"/>
      <c r="I106" s="1308"/>
      <c r="J106" s="1308"/>
      <c r="K106" s="1308"/>
      <c r="L106" s="1309"/>
      <c r="M106" s="1310"/>
      <c r="P106" s="1216"/>
      <c r="Q106" s="1216"/>
      <c r="R106" s="1216"/>
      <c r="S106" s="1216"/>
      <c r="T106" s="1216"/>
      <c r="U106" s="1216"/>
      <c r="V106" s="1215"/>
      <c r="X106" s="1270"/>
      <c r="Y106" s="1270"/>
      <c r="AB106" s="834"/>
      <c r="AC106" s="1295"/>
      <c r="AD106" s="1292"/>
      <c r="AF106" s="1307"/>
      <c r="AG106" s="1308"/>
      <c r="AH106" s="1308"/>
      <c r="AI106" s="1308"/>
      <c r="AJ106" s="1308"/>
      <c r="AK106" s="1308"/>
      <c r="AL106" s="1308"/>
      <c r="AM106" s="1308"/>
      <c r="AN106" s="1309"/>
      <c r="AO106" s="1310"/>
      <c r="AR106" s="1216"/>
      <c r="AS106" s="1216"/>
      <c r="AT106" s="1216"/>
      <c r="AU106" s="1216"/>
      <c r="AV106" s="1216"/>
      <c r="AW106" s="1216"/>
      <c r="AX106" s="1215"/>
      <c r="AZ106" s="1270"/>
      <c r="BA106" s="1270"/>
      <c r="BD106" s="834"/>
      <c r="BE106" s="1295"/>
      <c r="BF106" s="1292"/>
      <c r="BI106" s="1373"/>
      <c r="BJ106" s="4075" t="s">
        <v>1090</v>
      </c>
      <c r="BK106" s="4075"/>
      <c r="BL106" s="4075"/>
      <c r="BM106" s="4075"/>
      <c r="BN106" s="4076"/>
      <c r="BO106" s="4077"/>
      <c r="BP106" s="4078"/>
      <c r="BY106" s="942"/>
      <c r="BZ106" s="1354"/>
      <c r="CC106" s="1366">
        <v>8</v>
      </c>
      <c r="CD106" s="1367" t="s">
        <v>1084</v>
      </c>
      <c r="CE106" s="1368" t="str">
        <f t="shared" si="22"/>
        <v>8th</v>
      </c>
      <c r="CG106" s="1369">
        <v>8</v>
      </c>
      <c r="CH106" s="1368" t="s">
        <v>1091</v>
      </c>
      <c r="CL106" s="4079" t="s">
        <v>1072</v>
      </c>
      <c r="CM106" s="4079"/>
      <c r="CN106" s="4080" t="str">
        <f ca="1">CONCATENATE("The",   " ",                    CN99,"   ","day of",   " ",   " ",    CN101,"","-",CN103)</f>
        <v>The 6th   day of  February-2026</v>
      </c>
      <c r="CO106" s="4080"/>
      <c r="CP106" s="4080"/>
      <c r="CQ106" s="4080"/>
    </row>
    <row r="107" spans="1:100" ht="21.95" customHeight="1">
      <c r="A107" s="3981"/>
      <c r="B107" s="4005"/>
      <c r="D107" s="1317" t="s">
        <v>1</v>
      </c>
      <c r="E107" s="1318" t="s">
        <v>9</v>
      </c>
      <c r="F107" s="1318"/>
      <c r="G107" s="1318"/>
      <c r="H107" s="1318"/>
      <c r="I107" s="1318"/>
      <c r="J107" s="1318"/>
      <c r="K107" s="1318" t="s">
        <v>5</v>
      </c>
      <c r="L107" s="3987" t="str">
        <f t="shared" ref="L107:L110" si="23">V107</f>
        <v>NIL</v>
      </c>
      <c r="M107" s="3988"/>
      <c r="N107" s="1214"/>
      <c r="O107" s="1214"/>
      <c r="P107" s="1316"/>
      <c r="Q107" s="1311" t="s">
        <v>9</v>
      </c>
      <c r="R107" s="1311"/>
      <c r="S107" s="1311"/>
      <c r="T107" s="1311"/>
      <c r="U107" s="1312">
        <f>IF(H97&lt;=250000," ",0)</f>
        <v>0</v>
      </c>
      <c r="V107" s="3999" t="str">
        <f>IF(U107=0,"NIL","")</f>
        <v>NIL</v>
      </c>
      <c r="W107" s="3999"/>
      <c r="X107" s="1313"/>
      <c r="Y107" s="1313"/>
      <c r="AB107" s="834"/>
      <c r="AC107" s="1295"/>
      <c r="AD107" s="1292"/>
      <c r="AF107" s="1317" t="s">
        <v>1</v>
      </c>
      <c r="AG107" s="1318" t="s">
        <v>9</v>
      </c>
      <c r="AH107" s="1318"/>
      <c r="AI107" s="1318"/>
      <c r="AJ107" s="1318"/>
      <c r="AK107" s="1318"/>
      <c r="AL107" s="1318"/>
      <c r="AM107" s="1318" t="s">
        <v>5</v>
      </c>
      <c r="AN107" s="3987" t="str">
        <f t="shared" ref="AN107:AN110" si="24">AX107</f>
        <v>NIL</v>
      </c>
      <c r="AO107" s="3988"/>
      <c r="AP107" s="1214"/>
      <c r="AQ107" s="1214"/>
      <c r="AR107" s="1316"/>
      <c r="AS107" s="1311" t="s">
        <v>9</v>
      </c>
      <c r="AT107" s="1311"/>
      <c r="AU107" s="1311"/>
      <c r="AV107" s="1311"/>
      <c r="AW107" s="1312">
        <f>IF(AJ97&lt;=250000," ",0)</f>
        <v>0</v>
      </c>
      <c r="AX107" s="3999" t="str">
        <f>IF(AW107=0,"NIL","")</f>
        <v>NIL</v>
      </c>
      <c r="AY107" s="3999"/>
      <c r="AZ107" s="1313"/>
      <c r="BA107" s="1313"/>
      <c r="BD107" s="834"/>
      <c r="BE107" s="1295"/>
      <c r="BF107" s="1292"/>
      <c r="BI107" s="1373"/>
      <c r="BJ107" s="4075"/>
      <c r="BK107" s="4075"/>
      <c r="BL107" s="4075"/>
      <c r="BM107" s="4075"/>
      <c r="BN107" s="4076"/>
      <c r="BO107" s="4077"/>
      <c r="BP107" s="4078"/>
      <c r="BY107" s="942"/>
      <c r="BZ107" s="1354"/>
      <c r="CC107" s="1366">
        <v>9</v>
      </c>
      <c r="CD107" s="1367" t="s">
        <v>1084</v>
      </c>
      <c r="CE107" s="1368" t="str">
        <f t="shared" si="22"/>
        <v>9th</v>
      </c>
      <c r="CG107" s="1369">
        <v>9</v>
      </c>
      <c r="CH107" s="1368" t="s">
        <v>1092</v>
      </c>
    </row>
    <row r="108" spans="1:100" ht="21.95" customHeight="1">
      <c r="A108" s="3981"/>
      <c r="B108" s="4005"/>
      <c r="D108" s="1317" t="s">
        <v>2</v>
      </c>
      <c r="E108" s="1318" t="s">
        <v>1068</v>
      </c>
      <c r="F108" s="1318"/>
      <c r="G108" s="1318"/>
      <c r="H108" s="1322"/>
      <c r="I108" s="1322"/>
      <c r="J108" s="1322"/>
      <c r="K108" s="1322" t="s">
        <v>5</v>
      </c>
      <c r="L108" s="3987">
        <f t="shared" si="23"/>
        <v>12500</v>
      </c>
      <c r="M108" s="3988"/>
      <c r="N108" s="1214"/>
      <c r="O108" s="1214"/>
      <c r="P108" s="1316"/>
      <c r="Q108" s="1311" t="s">
        <v>1068</v>
      </c>
      <c r="R108" s="1311"/>
      <c r="S108" s="1311"/>
      <c r="T108" s="1319"/>
      <c r="U108" s="1320">
        <f>IF(AND(H97&gt;500000),250000,IF(AND(H97&gt;250000,H97&lt;=500000),H97-250000,0))</f>
        <v>250000</v>
      </c>
      <c r="V108" s="3999">
        <f>ROUND(U108*5%,0.1)</f>
        <v>12500</v>
      </c>
      <c r="W108" s="3999"/>
      <c r="X108" s="1313"/>
      <c r="Y108" s="1313"/>
      <c r="AB108" s="834"/>
      <c r="AC108" s="1295"/>
      <c r="AD108" s="1292"/>
      <c r="AF108" s="1317" t="s">
        <v>2</v>
      </c>
      <c r="AG108" s="1318" t="s">
        <v>1068</v>
      </c>
      <c r="AH108" s="1318"/>
      <c r="AI108" s="1318"/>
      <c r="AJ108" s="1322"/>
      <c r="AK108" s="1322"/>
      <c r="AL108" s="1322"/>
      <c r="AM108" s="1322" t="s">
        <v>5</v>
      </c>
      <c r="AN108" s="3987">
        <f t="shared" si="24"/>
        <v>12500</v>
      </c>
      <c r="AO108" s="3988"/>
      <c r="AP108" s="1214"/>
      <c r="AQ108" s="1214"/>
      <c r="AR108" s="1316"/>
      <c r="AS108" s="1311" t="s">
        <v>1068</v>
      </c>
      <c r="AT108" s="1311"/>
      <c r="AU108" s="1311"/>
      <c r="AV108" s="1319"/>
      <c r="AW108" s="1320">
        <f>IF(AND(AJ97&gt;500000),250000,IF(AND(AJ97&gt;250000,AJ97&lt;=500000),AJ97-250000,0))</f>
        <v>250000</v>
      </c>
      <c r="AX108" s="3999">
        <f>ROUND(AW108*5%,0.1)</f>
        <v>12500</v>
      </c>
      <c r="AY108" s="3999"/>
      <c r="AZ108" s="1313"/>
      <c r="BA108" s="1313"/>
      <c r="BD108" s="834"/>
      <c r="BE108" s="1295"/>
      <c r="BF108" s="1292"/>
      <c r="BI108" s="1373">
        <v>4</v>
      </c>
      <c r="BJ108" s="4075" t="s">
        <v>1093</v>
      </c>
      <c r="BK108" s="4075"/>
      <c r="BL108" s="4075"/>
      <c r="BM108" s="4075"/>
      <c r="BN108" s="4076"/>
      <c r="BO108" s="4077">
        <f>L115</f>
        <v>268698</v>
      </c>
      <c r="BP108" s="4078"/>
      <c r="BY108" s="942"/>
      <c r="BZ108" s="1354"/>
      <c r="CC108" s="1366">
        <v>10</v>
      </c>
      <c r="CD108" s="1367" t="s">
        <v>1084</v>
      </c>
      <c r="CE108" s="1368" t="str">
        <f t="shared" si="22"/>
        <v>10th</v>
      </c>
      <c r="CG108" s="1369">
        <v>10</v>
      </c>
      <c r="CH108" s="1368" t="s">
        <v>1094</v>
      </c>
    </row>
    <row r="109" spans="1:100" ht="21.95" customHeight="1">
      <c r="A109" s="3981"/>
      <c r="B109" s="4005"/>
      <c r="D109" s="1317" t="s">
        <v>3</v>
      </c>
      <c r="E109" s="1318" t="s">
        <v>1055</v>
      </c>
      <c r="F109" s="1318"/>
      <c r="G109" s="1318"/>
      <c r="H109" s="1318"/>
      <c r="I109" s="1318"/>
      <c r="J109" s="1318"/>
      <c r="K109" s="1322" t="s">
        <v>5</v>
      </c>
      <c r="L109" s="3987">
        <f t="shared" si="23"/>
        <v>100000</v>
      </c>
      <c r="M109" s="3988"/>
      <c r="N109" s="1214"/>
      <c r="O109" s="1214"/>
      <c r="P109" s="1316"/>
      <c r="Q109" s="1311" t="s">
        <v>1055</v>
      </c>
      <c r="R109" s="1311"/>
      <c r="S109" s="1311"/>
      <c r="T109" s="1311"/>
      <c r="U109" s="1320">
        <f>IF(AND(H97&gt;1000000),500000,IF(AND(H97&gt;500000,H97&lt;=1000000),H97-500000,0))</f>
        <v>500000</v>
      </c>
      <c r="V109" s="3999">
        <f>ROUND(U109*20%,0.1)</f>
        <v>100000</v>
      </c>
      <c r="W109" s="3999"/>
      <c r="X109" s="1313"/>
      <c r="Y109" s="1313"/>
      <c r="AB109" s="834"/>
      <c r="AC109" s="1295"/>
      <c r="AD109" s="1292"/>
      <c r="AF109" s="1317" t="s">
        <v>3</v>
      </c>
      <c r="AG109" s="1318" t="s">
        <v>1055</v>
      </c>
      <c r="AH109" s="1318"/>
      <c r="AI109" s="1318"/>
      <c r="AJ109" s="1318"/>
      <c r="AK109" s="1318"/>
      <c r="AL109" s="1318"/>
      <c r="AM109" s="1322" t="s">
        <v>5</v>
      </c>
      <c r="AN109" s="3987">
        <f t="shared" si="24"/>
        <v>100000</v>
      </c>
      <c r="AO109" s="3988"/>
      <c r="AP109" s="1214"/>
      <c r="AQ109" s="1214"/>
      <c r="AR109" s="1316"/>
      <c r="AS109" s="1311" t="s">
        <v>1055</v>
      </c>
      <c r="AT109" s="1311"/>
      <c r="AU109" s="1311"/>
      <c r="AV109" s="1311"/>
      <c r="AW109" s="1320">
        <f>IF(AND(AJ97&gt;1000000),500000,IF(AND(AJ97&gt;500000,AJ97&lt;=1000000),AJ97-500000,0))</f>
        <v>500000</v>
      </c>
      <c r="AX109" s="3999">
        <f>ROUND(AW109*20%,0.1)</f>
        <v>100000</v>
      </c>
      <c r="AY109" s="3999"/>
      <c r="AZ109" s="1313"/>
      <c r="BA109" s="1313"/>
      <c r="BD109" s="834"/>
      <c r="BE109" s="1295"/>
      <c r="BF109" s="1292"/>
      <c r="BI109" s="1373"/>
      <c r="BJ109" s="4075"/>
      <c r="BK109" s="4075"/>
      <c r="BL109" s="4075"/>
      <c r="BM109" s="4075"/>
      <c r="BN109" s="4076"/>
      <c r="BO109" s="4077"/>
      <c r="BP109" s="4078"/>
      <c r="BY109" s="942"/>
      <c r="BZ109" s="1354"/>
      <c r="CC109" s="1366">
        <v>11</v>
      </c>
      <c r="CD109" s="1367" t="s">
        <v>1084</v>
      </c>
      <c r="CE109" s="1368" t="str">
        <f t="shared" si="22"/>
        <v>11th</v>
      </c>
      <c r="CG109" s="1369">
        <v>11</v>
      </c>
      <c r="CH109" s="1368" t="s">
        <v>1095</v>
      </c>
    </row>
    <row r="110" spans="1:100" ht="21.95" customHeight="1">
      <c r="A110" s="3981"/>
      <c r="B110" s="4005"/>
      <c r="D110" s="1317" t="s">
        <v>4</v>
      </c>
      <c r="E110" s="1318" t="s">
        <v>1056</v>
      </c>
      <c r="F110" s="1318"/>
      <c r="G110" s="1318"/>
      <c r="H110" s="1318"/>
      <c r="I110" s="1318"/>
      <c r="J110" s="1318"/>
      <c r="K110" s="1322" t="s">
        <v>5</v>
      </c>
      <c r="L110" s="3987">
        <f t="shared" si="23"/>
        <v>145863</v>
      </c>
      <c r="M110" s="3988"/>
      <c r="N110" s="1214"/>
      <c r="O110" s="1214"/>
      <c r="P110" s="1316"/>
      <c r="Q110" s="1311" t="s">
        <v>1056</v>
      </c>
      <c r="R110" s="1311"/>
      <c r="S110" s="1311"/>
      <c r="T110" s="1311"/>
      <c r="U110" s="1320">
        <f>IF(AND(H97&gt;1000000),H97-1000000,0)</f>
        <v>486210</v>
      </c>
      <c r="V110" s="3999">
        <f>ROUND(U110*30%,0.1)</f>
        <v>145863</v>
      </c>
      <c r="W110" s="3999"/>
      <c r="X110" s="1313"/>
      <c r="Y110" s="1313"/>
      <c r="AB110" s="834"/>
      <c r="AC110" s="1295"/>
      <c r="AD110" s="1292"/>
      <c r="AF110" s="1317" t="s">
        <v>4</v>
      </c>
      <c r="AG110" s="1318" t="s">
        <v>1056</v>
      </c>
      <c r="AH110" s="1318"/>
      <c r="AI110" s="1318"/>
      <c r="AJ110" s="1318"/>
      <c r="AK110" s="1318"/>
      <c r="AL110" s="1318"/>
      <c r="AM110" s="1322" t="s">
        <v>5</v>
      </c>
      <c r="AN110" s="3987">
        <f t="shared" si="24"/>
        <v>145863</v>
      </c>
      <c r="AO110" s="3988"/>
      <c r="AP110" s="1214"/>
      <c r="AQ110" s="1214"/>
      <c r="AR110" s="1316"/>
      <c r="AS110" s="1311" t="s">
        <v>1056</v>
      </c>
      <c r="AT110" s="1311"/>
      <c r="AU110" s="1311"/>
      <c r="AV110" s="1311"/>
      <c r="AW110" s="1320">
        <f>IF(AND(AJ97&gt;1000000),AJ97-1000000,0)</f>
        <v>486210</v>
      </c>
      <c r="AX110" s="3999">
        <f>ROUND(AW110*30%,0.1)</f>
        <v>145863</v>
      </c>
      <c r="AY110" s="3999"/>
      <c r="AZ110" s="1313"/>
      <c r="BA110" s="1313"/>
      <c r="BD110" s="834"/>
      <c r="BE110" s="1295"/>
      <c r="BF110" s="1292"/>
      <c r="BI110" s="1373">
        <v>5</v>
      </c>
      <c r="BJ110" s="4075" t="s">
        <v>1096</v>
      </c>
      <c r="BK110" s="4075"/>
      <c r="BL110" s="4075"/>
      <c r="BM110" s="4075"/>
      <c r="BN110" s="4076"/>
      <c r="BO110" s="4077">
        <f>AN115</f>
        <v>268698</v>
      </c>
      <c r="BP110" s="4078"/>
      <c r="BY110" s="942"/>
      <c r="BZ110" s="1354"/>
      <c r="CC110" s="1366">
        <v>12</v>
      </c>
      <c r="CD110" s="1367" t="s">
        <v>1084</v>
      </c>
      <c r="CE110" s="1368" t="str">
        <f t="shared" si="22"/>
        <v>12th</v>
      </c>
      <c r="CG110" s="1374">
        <v>12</v>
      </c>
      <c r="CH110" s="1376" t="s">
        <v>1097</v>
      </c>
    </row>
    <row r="111" spans="1:100" ht="21.95" customHeight="1">
      <c r="A111" s="3981"/>
      <c r="B111" s="4005"/>
      <c r="D111" s="4091" t="s">
        <v>0</v>
      </c>
      <c r="E111" s="4092"/>
      <c r="F111" s="4092"/>
      <c r="G111" s="4092"/>
      <c r="H111" s="4092"/>
      <c r="I111" s="4092"/>
      <c r="J111" s="4092"/>
      <c r="K111" s="1318" t="s">
        <v>5</v>
      </c>
      <c r="L111" s="3987">
        <f>V111</f>
        <v>258363</v>
      </c>
      <c r="M111" s="3988"/>
      <c r="N111" s="1214"/>
      <c r="O111" s="1214"/>
      <c r="P111" s="1249"/>
      <c r="Q111" s="1323"/>
      <c r="R111" s="1311"/>
      <c r="S111" s="1311"/>
      <c r="T111" s="1311"/>
      <c r="U111" s="1324" t="s">
        <v>0</v>
      </c>
      <c r="V111" s="4009">
        <f>SUM(V108:W110)</f>
        <v>258363</v>
      </c>
      <c r="W111" s="4009"/>
      <c r="X111" s="1313"/>
      <c r="Y111" s="1313"/>
      <c r="AB111" s="834"/>
      <c r="AC111" s="1295"/>
      <c r="AD111" s="1292"/>
      <c r="AF111" s="4109" t="s">
        <v>0</v>
      </c>
      <c r="AG111" s="4110"/>
      <c r="AH111" s="4110"/>
      <c r="AI111" s="4110"/>
      <c r="AJ111" s="4110"/>
      <c r="AK111" s="4110"/>
      <c r="AL111" s="4110"/>
      <c r="AM111" s="1318" t="s">
        <v>5</v>
      </c>
      <c r="AN111" s="3987">
        <f>AX111</f>
        <v>258363</v>
      </c>
      <c r="AO111" s="3988"/>
      <c r="AP111" s="1214"/>
      <c r="AQ111" s="1214"/>
      <c r="AR111" s="1249"/>
      <c r="AS111" s="1323"/>
      <c r="AT111" s="1311"/>
      <c r="AU111" s="1311"/>
      <c r="AV111" s="1311"/>
      <c r="AW111" s="1324" t="s">
        <v>0</v>
      </c>
      <c r="AX111" s="4009">
        <f>SUM(AX108:AY110)</f>
        <v>258363</v>
      </c>
      <c r="AY111" s="4009"/>
      <c r="AZ111" s="1313"/>
      <c r="BA111" s="1313"/>
      <c r="BD111" s="834"/>
      <c r="BE111" s="1295"/>
      <c r="BF111" s="1292"/>
      <c r="BI111" s="1373"/>
      <c r="BJ111" s="4075"/>
      <c r="BK111" s="4075"/>
      <c r="BL111" s="4075"/>
      <c r="BM111" s="4075"/>
      <c r="BN111" s="4076"/>
      <c r="BO111" s="4077"/>
      <c r="BP111" s="4078"/>
      <c r="BY111" s="942"/>
      <c r="BZ111" s="1354"/>
      <c r="CC111" s="1366">
        <v>13</v>
      </c>
      <c r="CD111" s="1367" t="s">
        <v>1084</v>
      </c>
      <c r="CE111" s="1368" t="str">
        <f t="shared" si="22"/>
        <v>13th</v>
      </c>
    </row>
    <row r="112" spans="1:100" ht="21.95" customHeight="1">
      <c r="A112" s="3981"/>
      <c r="B112" s="4005"/>
      <c r="D112" s="4057" t="s">
        <v>8</v>
      </c>
      <c r="E112" s="4058"/>
      <c r="F112" s="4058"/>
      <c r="G112" s="4058"/>
      <c r="H112" s="4058"/>
      <c r="I112" s="4058"/>
      <c r="J112" s="4058"/>
      <c r="K112" s="1318" t="s">
        <v>5</v>
      </c>
      <c r="L112" s="3987">
        <f>V112</f>
        <v>0</v>
      </c>
      <c r="M112" s="3988"/>
      <c r="N112" s="1214"/>
      <c r="O112" s="1214"/>
      <c r="P112" s="3998" t="s">
        <v>1163</v>
      </c>
      <c r="Q112" s="3998"/>
      <c r="R112" s="3998"/>
      <c r="S112" s="3998"/>
      <c r="T112" s="3998"/>
      <c r="U112" s="1325"/>
      <c r="V112" s="3999">
        <f>IF(H97&lt;=500000,IF(V111&gt;12500,12500,V111),0)</f>
        <v>0</v>
      </c>
      <c r="W112" s="3999"/>
      <c r="X112" s="1313"/>
      <c r="Y112" s="1313"/>
      <c r="AB112" s="834"/>
      <c r="AC112" s="1295"/>
      <c r="AD112" s="1292"/>
      <c r="AF112" s="4053" t="s">
        <v>8</v>
      </c>
      <c r="AG112" s="4054"/>
      <c r="AH112" s="4054"/>
      <c r="AI112" s="4054"/>
      <c r="AJ112" s="4054"/>
      <c r="AK112" s="4054"/>
      <c r="AL112" s="4054"/>
      <c r="AM112" s="1318" t="s">
        <v>5</v>
      </c>
      <c r="AN112" s="3987">
        <f t="shared" ref="AN112:AN114" si="25">AX112</f>
        <v>0</v>
      </c>
      <c r="AO112" s="3988"/>
      <c r="AP112" s="1214"/>
      <c r="AQ112" s="1214"/>
      <c r="AR112" s="3998" t="s">
        <v>1160</v>
      </c>
      <c r="AS112" s="3998"/>
      <c r="AT112" s="3998"/>
      <c r="AU112" s="3998"/>
      <c r="AV112" s="3998"/>
      <c r="AW112" s="1325"/>
      <c r="AX112" s="3999">
        <f>IF(AJ97&lt;=500000,IF(AX111&gt;12500,12500,AX111),0)</f>
        <v>0</v>
      </c>
      <c r="AY112" s="3999"/>
      <c r="AZ112" s="1313"/>
      <c r="BA112" s="1313"/>
      <c r="BD112" s="834"/>
      <c r="BE112" s="1295"/>
      <c r="BF112" s="1292"/>
      <c r="BI112" s="1373">
        <v>6</v>
      </c>
      <c r="BJ112" s="4075" t="s">
        <v>1098</v>
      </c>
      <c r="BK112" s="4075"/>
      <c r="BL112" s="4075"/>
      <c r="BM112" s="4075"/>
      <c r="BN112" s="4076"/>
      <c r="BO112" s="4077">
        <f>SUM(BO108-BO110)</f>
        <v>0</v>
      </c>
      <c r="BP112" s="4078"/>
      <c r="BY112" s="942"/>
      <c r="BZ112" s="1354"/>
      <c r="CC112" s="1366">
        <v>14</v>
      </c>
      <c r="CD112" s="1367" t="s">
        <v>1084</v>
      </c>
      <c r="CE112" s="1368" t="str">
        <f t="shared" si="22"/>
        <v>14th</v>
      </c>
    </row>
    <row r="113" spans="1:83" ht="21.95" customHeight="1">
      <c r="A113" s="3981"/>
      <c r="B113" s="4005"/>
      <c r="D113" s="4089" t="s">
        <v>1164</v>
      </c>
      <c r="E113" s="4090"/>
      <c r="F113" s="4090"/>
      <c r="G113" s="4090"/>
      <c r="H113" s="4090"/>
      <c r="I113" s="4090"/>
      <c r="J113" s="4090"/>
      <c r="K113" s="1331" t="s">
        <v>5</v>
      </c>
      <c r="L113" s="3987">
        <f t="shared" ref="L113:L115" si="26">V113</f>
        <v>258363</v>
      </c>
      <c r="M113" s="3988"/>
      <c r="N113" s="1214"/>
      <c r="O113" s="1214"/>
      <c r="P113" s="1249"/>
      <c r="Q113" s="1311"/>
      <c r="R113" s="1328"/>
      <c r="S113" s="1329"/>
      <c r="T113" s="3996" t="s">
        <v>6</v>
      </c>
      <c r="U113" s="3997"/>
      <c r="V113" s="3999">
        <f>SUM(V111-V112)</f>
        <v>258363</v>
      </c>
      <c r="W113" s="3999"/>
      <c r="X113" s="1313"/>
      <c r="Y113" s="1313"/>
      <c r="AB113" s="834"/>
      <c r="AC113" s="1295"/>
      <c r="AD113" s="1292"/>
      <c r="AF113" s="4109" t="s">
        <v>1164</v>
      </c>
      <c r="AG113" s="4110"/>
      <c r="AH113" s="4110"/>
      <c r="AI113" s="4110"/>
      <c r="AJ113" s="4110"/>
      <c r="AK113" s="4110"/>
      <c r="AL113" s="4110"/>
      <c r="AM113" s="1331" t="s">
        <v>5</v>
      </c>
      <c r="AN113" s="3987">
        <f t="shared" si="25"/>
        <v>258363</v>
      </c>
      <c r="AO113" s="3988"/>
      <c r="AP113" s="1214"/>
      <c r="AQ113" s="1214"/>
      <c r="AR113" s="1249"/>
      <c r="AS113" s="1311"/>
      <c r="AT113" s="1328"/>
      <c r="AU113" s="1329"/>
      <c r="AV113" s="3996" t="s">
        <v>6</v>
      </c>
      <c r="AW113" s="3997"/>
      <c r="AX113" s="3999">
        <f>SUM(AX111-AX112)</f>
        <v>258363</v>
      </c>
      <c r="AY113" s="3999"/>
      <c r="AZ113" s="1313"/>
      <c r="BA113" s="1313"/>
      <c r="BD113" s="834"/>
      <c r="BE113" s="1295"/>
      <c r="BF113" s="1292"/>
      <c r="BI113" s="1373"/>
      <c r="BJ113" s="4075" t="s">
        <v>1100</v>
      </c>
      <c r="BK113" s="4075"/>
      <c r="BL113" s="4075"/>
      <c r="BM113" s="4075"/>
      <c r="BN113" s="4076"/>
      <c r="BO113" s="4116"/>
      <c r="BP113" s="4117"/>
      <c r="BY113" s="942"/>
      <c r="BZ113" s="1354"/>
      <c r="CC113" s="1366">
        <v>15</v>
      </c>
      <c r="CD113" s="1367" t="s">
        <v>1084</v>
      </c>
      <c r="CE113" s="1368" t="str">
        <f t="shared" si="22"/>
        <v>15th</v>
      </c>
    </row>
    <row r="114" spans="1:83" ht="21.95" customHeight="1">
      <c r="A114" s="3981"/>
      <c r="B114" s="4005"/>
      <c r="D114" s="4055" t="s">
        <v>1099</v>
      </c>
      <c r="E114" s="4056"/>
      <c r="F114" s="4056"/>
      <c r="G114" s="4056"/>
      <c r="H114" s="4056"/>
      <c r="I114" s="4056"/>
      <c r="J114" s="4056"/>
      <c r="K114" s="1338" t="s">
        <v>5</v>
      </c>
      <c r="L114" s="3987">
        <f t="shared" si="26"/>
        <v>10335</v>
      </c>
      <c r="M114" s="3988"/>
      <c r="N114" s="1214"/>
      <c r="O114" s="1214"/>
      <c r="P114" s="1249"/>
      <c r="Q114" s="1332"/>
      <c r="R114" s="1335"/>
      <c r="S114" s="4015" t="s">
        <v>767</v>
      </c>
      <c r="T114" s="4015"/>
      <c r="U114" s="4016"/>
      <c r="V114" s="3999">
        <f>ROUND(V113*4%,0.1)</f>
        <v>10335</v>
      </c>
      <c r="W114" s="3999"/>
      <c r="X114" s="1313"/>
      <c r="Y114" s="1313"/>
      <c r="AB114" s="834"/>
      <c r="AC114" s="1295"/>
      <c r="AD114" s="1292"/>
      <c r="AF114" s="4111" t="s">
        <v>1099</v>
      </c>
      <c r="AG114" s="4111"/>
      <c r="AH114" s="4111"/>
      <c r="AI114" s="4111"/>
      <c r="AJ114" s="4111"/>
      <c r="AK114" s="4111"/>
      <c r="AL114" s="4111"/>
      <c r="AM114" s="1338" t="s">
        <v>5</v>
      </c>
      <c r="AN114" s="3987">
        <f t="shared" si="25"/>
        <v>10335</v>
      </c>
      <c r="AO114" s="3988"/>
      <c r="AP114" s="1214"/>
      <c r="AQ114" s="1214"/>
      <c r="AR114" s="1249"/>
      <c r="AS114" s="1332"/>
      <c r="AT114" s="1335"/>
      <c r="AU114" s="1336"/>
      <c r="AV114" s="1336"/>
      <c r="AW114" s="1340" t="s">
        <v>767</v>
      </c>
      <c r="AX114" s="3999">
        <f>ROUND(AX113*4%,0.1)</f>
        <v>10335</v>
      </c>
      <c r="AY114" s="3999"/>
      <c r="AZ114" s="1313"/>
      <c r="BA114" s="1313"/>
      <c r="BD114" s="834"/>
      <c r="BE114" s="1295"/>
      <c r="BF114" s="1292"/>
      <c r="BI114" s="1373"/>
      <c r="BJ114" s="4114"/>
      <c r="BK114" s="4115"/>
      <c r="BL114" s="4115"/>
      <c r="BM114" s="4115"/>
      <c r="BN114" s="4115"/>
      <c r="BO114" s="4116"/>
      <c r="BP114" s="4117"/>
      <c r="BY114" s="942"/>
      <c r="BZ114" s="1354"/>
      <c r="CC114" s="1366">
        <v>16</v>
      </c>
      <c r="CD114" s="1367" t="s">
        <v>1084</v>
      </c>
      <c r="CE114" s="1368" t="str">
        <f t="shared" si="22"/>
        <v>16th</v>
      </c>
    </row>
    <row r="115" spans="1:83" ht="21.95" customHeight="1">
      <c r="A115" s="3981"/>
      <c r="B115" s="4005"/>
      <c r="D115" s="4057" t="s">
        <v>1070</v>
      </c>
      <c r="E115" s="4058"/>
      <c r="F115" s="4058"/>
      <c r="G115" s="4058"/>
      <c r="H115" s="4058"/>
      <c r="I115" s="4058"/>
      <c r="J115" s="4058"/>
      <c r="K115" s="1338" t="s">
        <v>5</v>
      </c>
      <c r="L115" s="3987">
        <f t="shared" si="26"/>
        <v>268698</v>
      </c>
      <c r="M115" s="3988"/>
      <c r="P115" s="1249"/>
      <c r="Q115" s="1249"/>
      <c r="R115" s="1336"/>
      <c r="S115" s="4015" t="s">
        <v>7</v>
      </c>
      <c r="T115" s="4015"/>
      <c r="U115" s="4016"/>
      <c r="V115" s="3999">
        <f>SUM(V113:W114)</f>
        <v>268698</v>
      </c>
      <c r="W115" s="3999"/>
      <c r="X115" s="1270"/>
      <c r="Y115" s="1270"/>
      <c r="AB115" s="834"/>
      <c r="AC115" s="1295"/>
      <c r="AD115" s="1292"/>
      <c r="AF115" s="4109" t="s">
        <v>1070</v>
      </c>
      <c r="AG115" s="4110"/>
      <c r="AH115" s="4110"/>
      <c r="AI115" s="4110"/>
      <c r="AJ115" s="4110"/>
      <c r="AK115" s="4110"/>
      <c r="AL115" s="4110"/>
      <c r="AM115" s="1338" t="s">
        <v>5</v>
      </c>
      <c r="AN115" s="3987">
        <f>AX115</f>
        <v>268698</v>
      </c>
      <c r="AO115" s="3988"/>
      <c r="AR115" s="1249"/>
      <c r="AS115" s="1249"/>
      <c r="AT115" s="1336"/>
      <c r="AU115" s="4015" t="s">
        <v>7</v>
      </c>
      <c r="AV115" s="4015"/>
      <c r="AW115" s="4016"/>
      <c r="AX115" s="3999">
        <f>SUM(AX113:AY114)</f>
        <v>268698</v>
      </c>
      <c r="AY115" s="3999"/>
      <c r="AZ115" s="1270"/>
      <c r="BA115" s="1270"/>
      <c r="BD115" s="834"/>
      <c r="BE115" s="1295"/>
      <c r="BF115" s="1292"/>
      <c r="BI115" s="1373">
        <v>7</v>
      </c>
      <c r="BJ115" s="4075" t="s">
        <v>1101</v>
      </c>
      <c r="BK115" s="4075"/>
      <c r="BL115" s="4075"/>
      <c r="BM115" s="4075"/>
      <c r="BN115" s="4076"/>
      <c r="BO115" s="4112">
        <f>T212</f>
        <v>0</v>
      </c>
      <c r="BP115" s="4113"/>
      <c r="BY115" s="942"/>
      <c r="BZ115" s="1354"/>
      <c r="CC115" s="1366">
        <v>17</v>
      </c>
      <c r="CD115" s="1367" t="s">
        <v>1084</v>
      </c>
      <c r="CE115" s="1368" t="str">
        <f t="shared" si="22"/>
        <v>17th</v>
      </c>
    </row>
    <row r="116" spans="1:83" ht="21.95" customHeight="1">
      <c r="A116" s="3981"/>
      <c r="B116" s="4005"/>
      <c r="D116" s="4088"/>
      <c r="E116" s="4088"/>
      <c r="F116" s="4088"/>
      <c r="G116" s="4088"/>
      <c r="H116" s="4088"/>
      <c r="I116" s="4088"/>
      <c r="L116" s="3964"/>
      <c r="M116" s="3964"/>
      <c r="P116" s="1270"/>
      <c r="Q116" s="1270"/>
      <c r="R116" s="1352"/>
      <c r="S116" s="1352"/>
      <c r="T116" s="1377"/>
      <c r="U116" s="1377"/>
      <c r="V116" s="4125"/>
      <c r="W116" s="4125"/>
      <c r="AB116" s="834"/>
      <c r="AC116" s="1295"/>
      <c r="AD116" s="1292"/>
      <c r="AN116" s="3964"/>
      <c r="AO116" s="3964"/>
      <c r="AR116" s="1270"/>
      <c r="AS116" s="1270"/>
      <c r="AT116" s="1352"/>
      <c r="AU116" s="1352"/>
      <c r="AV116" s="1377"/>
      <c r="AW116" s="1377"/>
      <c r="AX116" s="1378"/>
      <c r="AY116" s="1378"/>
      <c r="BD116" s="834"/>
      <c r="BE116" s="1295"/>
      <c r="BF116" s="1292"/>
      <c r="BI116" s="1373"/>
      <c r="BJ116" s="4114"/>
      <c r="BK116" s="4115"/>
      <c r="BL116" s="4115"/>
      <c r="BM116" s="4115"/>
      <c r="BN116" s="4115"/>
      <c r="BO116" s="4116"/>
      <c r="BP116" s="4117"/>
      <c r="BY116" s="942"/>
      <c r="BZ116" s="1354"/>
      <c r="CC116" s="1366">
        <v>18</v>
      </c>
      <c r="CD116" s="1367" t="s">
        <v>1084</v>
      </c>
      <c r="CE116" s="1368" t="str">
        <f t="shared" si="22"/>
        <v>18th</v>
      </c>
    </row>
    <row r="117" spans="1:83" ht="21.95" customHeight="1">
      <c r="A117" s="3981"/>
      <c r="B117" s="4005"/>
      <c r="L117" s="3964"/>
      <c r="M117" s="3964"/>
      <c r="AB117" s="834"/>
      <c r="AC117" s="1295"/>
      <c r="AD117" s="1292"/>
      <c r="AN117" s="3964"/>
      <c r="AO117" s="3964"/>
      <c r="BD117" s="834"/>
      <c r="BE117" s="1295"/>
      <c r="BF117" s="1292"/>
      <c r="BI117" s="1373">
        <v>8</v>
      </c>
      <c r="BJ117" s="4075" t="s">
        <v>777</v>
      </c>
      <c r="BK117" s="4075"/>
      <c r="BL117" s="4075"/>
      <c r="BM117" s="4075"/>
      <c r="BN117" s="4076"/>
      <c r="BO117" s="4112">
        <f>SUM(BO112-BO115)</f>
        <v>0</v>
      </c>
      <c r="BP117" s="4113"/>
      <c r="BY117" s="942"/>
      <c r="BZ117" s="1354"/>
      <c r="CC117" s="1366">
        <v>19</v>
      </c>
      <c r="CD117" s="1367" t="s">
        <v>1084</v>
      </c>
      <c r="CE117" s="1368" t="str">
        <f t="shared" si="22"/>
        <v>19th</v>
      </c>
    </row>
    <row r="118" spans="1:83" ht="21.95" customHeight="1">
      <c r="A118" s="3981"/>
      <c r="B118" s="4005"/>
      <c r="L118" s="3964"/>
      <c r="M118" s="3964"/>
      <c r="AB118" s="834"/>
      <c r="AC118" s="1295"/>
      <c r="AD118" s="1292"/>
      <c r="AN118" s="3964"/>
      <c r="AO118" s="3964"/>
      <c r="BD118" s="834"/>
      <c r="BE118" s="1295"/>
      <c r="BF118" s="1292"/>
      <c r="BI118" s="1373"/>
      <c r="BJ118" s="4123" t="s">
        <v>1102</v>
      </c>
      <c r="BK118" s="4123"/>
      <c r="BL118" s="4123"/>
      <c r="BM118" s="4123"/>
      <c r="BN118" s="4124"/>
      <c r="BO118" s="4116"/>
      <c r="BP118" s="4117"/>
      <c r="BY118" s="942"/>
      <c r="BZ118" s="1354"/>
      <c r="CC118" s="1366">
        <v>20</v>
      </c>
      <c r="CD118" s="1367" t="s">
        <v>1084</v>
      </c>
      <c r="CE118" s="1368" t="str">
        <f t="shared" si="22"/>
        <v>20th</v>
      </c>
    </row>
    <row r="119" spans="1:83" ht="21.95" customHeight="1">
      <c r="A119" s="3981"/>
      <c r="B119" s="4005"/>
      <c r="AB119" s="834"/>
      <c r="AC119" s="1295"/>
      <c r="AD119" s="1292"/>
      <c r="BD119" s="834"/>
      <c r="BE119" s="1295"/>
      <c r="BF119" s="1292"/>
      <c r="BI119" s="1373"/>
      <c r="BJ119" s="4123"/>
      <c r="BK119" s="4123"/>
      <c r="BL119" s="4123"/>
      <c r="BM119" s="4123"/>
      <c r="BN119" s="4124"/>
      <c r="BO119" s="4116"/>
      <c r="BP119" s="4117"/>
      <c r="BY119" s="942"/>
      <c r="BZ119" s="1354"/>
      <c r="CC119" s="1366">
        <v>21</v>
      </c>
      <c r="CD119" s="1367" t="s">
        <v>1075</v>
      </c>
      <c r="CE119" s="1368" t="str">
        <f t="shared" si="22"/>
        <v>21st</v>
      </c>
    </row>
    <row r="120" spans="1:83" ht="21.95" customHeight="1">
      <c r="A120" s="3981"/>
      <c r="B120" s="4005"/>
      <c r="AB120" s="834"/>
      <c r="AC120" s="1295"/>
      <c r="AD120" s="1292"/>
      <c r="BD120" s="834"/>
      <c r="BE120" s="1295"/>
      <c r="BF120" s="1292"/>
      <c r="BY120" s="942"/>
      <c r="BZ120" s="1354"/>
      <c r="CC120" s="1366">
        <v>22</v>
      </c>
      <c r="CD120" s="1367" t="s">
        <v>1078</v>
      </c>
      <c r="CE120" s="1368" t="str">
        <f t="shared" si="22"/>
        <v>22nd</v>
      </c>
    </row>
    <row r="121" spans="1:83" ht="21.95" customHeight="1">
      <c r="A121" s="3981"/>
      <c r="B121" s="4005"/>
      <c r="AB121" s="834"/>
      <c r="AC121" s="1295"/>
      <c r="AD121" s="1292"/>
      <c r="BD121" s="834"/>
      <c r="BE121" s="1295"/>
      <c r="BF121" s="1292"/>
      <c r="BY121" s="942"/>
      <c r="BZ121" s="1354"/>
      <c r="CC121" s="1366">
        <v>23</v>
      </c>
      <c r="CD121" s="1367" t="s">
        <v>1081</v>
      </c>
      <c r="CE121" s="1368" t="str">
        <f t="shared" si="22"/>
        <v>23rd</v>
      </c>
    </row>
    <row r="122" spans="1:83" ht="21.95" customHeight="1">
      <c r="A122" s="3981"/>
      <c r="B122" s="4005"/>
      <c r="AB122" s="834"/>
      <c r="AC122" s="1295"/>
      <c r="AD122" s="1292"/>
      <c r="BD122" s="834"/>
      <c r="BE122" s="1295"/>
      <c r="BF122" s="1292"/>
      <c r="BY122" s="942"/>
      <c r="BZ122" s="1354"/>
      <c r="CC122" s="1366">
        <v>24</v>
      </c>
      <c r="CD122" s="1367" t="s">
        <v>1084</v>
      </c>
      <c r="CE122" s="1368" t="str">
        <f t="shared" si="22"/>
        <v>24th</v>
      </c>
    </row>
    <row r="123" spans="1:83" ht="21.95" customHeight="1">
      <c r="A123" s="1294"/>
      <c r="B123" s="1297"/>
      <c r="AB123" s="834"/>
      <c r="AC123" s="1295"/>
      <c r="AD123" s="1292"/>
      <c r="BD123" s="834"/>
      <c r="BE123" s="1295"/>
      <c r="BF123" s="1292"/>
      <c r="BJ123" s="4118" t="s">
        <v>777</v>
      </c>
      <c r="BK123" s="4118"/>
      <c r="BL123" s="4118"/>
      <c r="BM123" s="4118"/>
      <c r="BN123" s="4118"/>
      <c r="BO123" s="4119">
        <f>IF(BO117&lt;0,0,BO117)</f>
        <v>0</v>
      </c>
      <c r="BP123" s="4119"/>
      <c r="BY123" s="942"/>
      <c r="BZ123" s="1354"/>
      <c r="CC123" s="1366">
        <v>25</v>
      </c>
      <c r="CD123" s="1367" t="s">
        <v>1084</v>
      </c>
      <c r="CE123" s="1368" t="str">
        <f t="shared" si="22"/>
        <v>25th</v>
      </c>
    </row>
    <row r="124" spans="1:83" ht="21.95" customHeight="1">
      <c r="A124" s="1294"/>
      <c r="B124" s="1297"/>
      <c r="AB124" s="834"/>
      <c r="AC124" s="1295"/>
      <c r="AD124" s="1292"/>
      <c r="BD124" s="834"/>
      <c r="BE124" s="1295"/>
      <c r="BF124" s="1292"/>
      <c r="BY124" s="942"/>
      <c r="BZ124" s="1354"/>
      <c r="CC124" s="1366">
        <v>26</v>
      </c>
      <c r="CD124" s="1367" t="s">
        <v>1084</v>
      </c>
      <c r="CE124" s="1368" t="str">
        <f t="shared" si="22"/>
        <v>26th</v>
      </c>
    </row>
    <row r="125" spans="1:83" ht="21.95" customHeight="1">
      <c r="A125" s="1294"/>
      <c r="B125" s="1297"/>
      <c r="AB125" s="834"/>
      <c r="AC125" s="1295"/>
      <c r="AD125" s="1292"/>
      <c r="BD125" s="834"/>
      <c r="BE125" s="1295"/>
      <c r="BF125" s="1292"/>
      <c r="BJ125" s="4120" t="s">
        <v>1166</v>
      </c>
      <c r="BK125" s="4122"/>
      <c r="BL125" s="4122"/>
      <c r="BM125" s="4122"/>
      <c r="BN125" s="4121"/>
      <c r="BO125" s="4120">
        <f>SUM(BO127-BO126)</f>
        <v>1486210</v>
      </c>
      <c r="BP125" s="4121"/>
      <c r="BY125" s="942"/>
      <c r="BZ125" s="1354"/>
      <c r="CC125" s="1366">
        <v>27</v>
      </c>
      <c r="CD125" s="1367" t="s">
        <v>1084</v>
      </c>
      <c r="CE125" s="1368" t="str">
        <f t="shared" si="22"/>
        <v>27th</v>
      </c>
    </row>
    <row r="126" spans="1:83" ht="21.95" customHeight="1">
      <c r="A126" s="1294"/>
      <c r="B126" s="1297"/>
      <c r="AB126" s="834"/>
      <c r="AC126" s="1295"/>
      <c r="AD126" s="1292"/>
      <c r="BD126" s="834"/>
      <c r="BE126" s="1295"/>
      <c r="BF126" s="1292"/>
      <c r="BJ126" s="4120" t="s">
        <v>1165</v>
      </c>
      <c r="BK126" s="4122"/>
      <c r="BL126" s="4122"/>
      <c r="BM126" s="4122"/>
      <c r="BN126" s="4121"/>
      <c r="BO126" s="4120">
        <f>K212</f>
        <v>0</v>
      </c>
      <c r="BP126" s="4121"/>
      <c r="BY126" s="942"/>
      <c r="BZ126" s="1354"/>
      <c r="CC126" s="1366">
        <v>28</v>
      </c>
      <c r="CD126" s="1367" t="s">
        <v>1084</v>
      </c>
      <c r="CE126" s="1368" t="str">
        <f t="shared" si="22"/>
        <v>28th</v>
      </c>
    </row>
    <row r="127" spans="1:83" ht="21.95" customHeight="1">
      <c r="A127" s="1294"/>
      <c r="B127" s="1297"/>
      <c r="AB127" s="834"/>
      <c r="AC127" s="1295"/>
      <c r="AD127" s="1292"/>
      <c r="BD127" s="834"/>
      <c r="BE127" s="1295"/>
      <c r="BF127" s="1292"/>
      <c r="BJ127" s="4120" t="s">
        <v>1180</v>
      </c>
      <c r="BK127" s="4122"/>
      <c r="BL127" s="4122"/>
      <c r="BM127" s="4122"/>
      <c r="BN127" s="4121"/>
      <c r="BO127" s="4120">
        <f>'Old Tax Regime'!L59</f>
        <v>1486210</v>
      </c>
      <c r="BP127" s="4121"/>
      <c r="BY127" s="942"/>
      <c r="BZ127" s="1354"/>
      <c r="CC127" s="1366">
        <v>29</v>
      </c>
      <c r="CD127" s="1367" t="s">
        <v>1084</v>
      </c>
      <c r="CE127" s="1368" t="str">
        <f t="shared" si="22"/>
        <v>29th</v>
      </c>
    </row>
    <row r="128" spans="1:83" ht="21.95" customHeight="1">
      <c r="A128" s="1294"/>
      <c r="B128" s="1297"/>
      <c r="AB128" s="834"/>
      <c r="AC128" s="1295"/>
      <c r="AD128" s="1292"/>
      <c r="BD128" s="834"/>
      <c r="BE128" s="1295"/>
      <c r="BF128" s="1292"/>
      <c r="BY128" s="942"/>
      <c r="BZ128" s="1354"/>
      <c r="CC128" s="1366">
        <v>30</v>
      </c>
      <c r="CD128" s="1367" t="s">
        <v>1084</v>
      </c>
      <c r="CE128" s="1368" t="str">
        <f t="shared" si="22"/>
        <v>30th</v>
      </c>
    </row>
    <row r="129" spans="1:83" ht="21.95" customHeight="1">
      <c r="A129" s="1294"/>
      <c r="B129" s="1297"/>
      <c r="AB129" s="834"/>
      <c r="AC129" s="1295"/>
      <c r="AD129" s="1292"/>
      <c r="BD129" s="834"/>
      <c r="BE129" s="1295"/>
      <c r="BF129" s="1292"/>
      <c r="BY129" s="942"/>
      <c r="BZ129" s="1354"/>
      <c r="CC129" s="1379">
        <v>31</v>
      </c>
      <c r="CD129" s="1380" t="s">
        <v>1075</v>
      </c>
      <c r="CE129" s="1376" t="str">
        <f t="shared" si="22"/>
        <v>31st</v>
      </c>
    </row>
    <row r="130" spans="1:83" ht="21.95" customHeight="1">
      <c r="A130" s="1294"/>
      <c r="B130" s="1297"/>
      <c r="AB130" s="834"/>
      <c r="AC130" s="1295"/>
      <c r="AD130" s="1292"/>
      <c r="BD130" s="834"/>
      <c r="BE130" s="1295"/>
      <c r="BF130" s="1292"/>
      <c r="BY130" s="942"/>
      <c r="BZ130" s="1354"/>
    </row>
    <row r="131" spans="1:83" ht="21.95" customHeight="1">
      <c r="A131" s="1294"/>
      <c r="B131" s="1297"/>
      <c r="AB131" s="834"/>
      <c r="AC131" s="1295"/>
      <c r="AD131" s="1292"/>
      <c r="BD131" s="834"/>
      <c r="BE131" s="1295"/>
      <c r="BF131" s="1292"/>
      <c r="BY131" s="942"/>
      <c r="BZ131" s="1354"/>
    </row>
    <row r="132" spans="1:83" ht="21.95" customHeight="1">
      <c r="A132" s="1294"/>
      <c r="B132" s="1297"/>
      <c r="AB132" s="834"/>
      <c r="AC132" s="1295"/>
      <c r="AD132" s="1292"/>
      <c r="BD132" s="834"/>
      <c r="BE132" s="1295"/>
      <c r="BF132" s="1292"/>
      <c r="BY132" s="942"/>
      <c r="BZ132" s="1354"/>
    </row>
    <row r="133" spans="1:83" ht="21.95" customHeight="1">
      <c r="A133" s="1294"/>
      <c r="B133" s="1297"/>
      <c r="AB133" s="834"/>
      <c r="AC133" s="1295"/>
      <c r="AD133" s="1292"/>
      <c r="BD133" s="834"/>
      <c r="BE133" s="1295"/>
      <c r="BF133" s="1292"/>
      <c r="BY133" s="942"/>
      <c r="BZ133" s="1354"/>
    </row>
    <row r="134" spans="1:83" ht="21.95" customHeight="1">
      <c r="A134" s="1294"/>
      <c r="B134" s="1297"/>
      <c r="AB134" s="834"/>
      <c r="AC134" s="1295"/>
      <c r="AD134" s="1292"/>
      <c r="BD134" s="834"/>
      <c r="BE134" s="1295"/>
      <c r="BF134" s="1292"/>
      <c r="BY134" s="942"/>
      <c r="BZ134" s="1354"/>
    </row>
    <row r="135" spans="1:83" ht="21.95" customHeight="1">
      <c r="A135" s="1294"/>
      <c r="B135" s="1297"/>
      <c r="AB135" s="834"/>
      <c r="AC135" s="1295"/>
      <c r="AD135" s="1292"/>
      <c r="BD135" s="834"/>
      <c r="BE135" s="1295"/>
      <c r="BF135" s="1292"/>
      <c r="BY135" s="942"/>
      <c r="BZ135" s="1354"/>
    </row>
    <row r="136" spans="1:83" ht="21.95" customHeight="1">
      <c r="A136" s="1294"/>
      <c r="B136" s="1297"/>
      <c r="AB136" s="834"/>
      <c r="AC136" s="1295"/>
      <c r="AD136" s="1292"/>
      <c r="BD136" s="834"/>
      <c r="BE136" s="1295"/>
      <c r="BF136" s="1292"/>
      <c r="BY136" s="942"/>
      <c r="BZ136" s="1354"/>
    </row>
    <row r="137" spans="1:83" ht="21.95" customHeight="1">
      <c r="A137" s="1294"/>
      <c r="B137" s="1297"/>
      <c r="AB137" s="834"/>
      <c r="AC137" s="1295"/>
      <c r="AD137" s="1292"/>
      <c r="BD137" s="834"/>
      <c r="BE137" s="1295"/>
      <c r="BF137" s="1292"/>
      <c r="BY137" s="942"/>
      <c r="BZ137" s="1354"/>
    </row>
    <row r="138" spans="1:83" ht="21.95" customHeight="1">
      <c r="A138" s="1294"/>
      <c r="B138" s="1297"/>
      <c r="AB138" s="834"/>
      <c r="AC138" s="1295"/>
      <c r="AD138" s="1292"/>
      <c r="BD138" s="834"/>
      <c r="BE138" s="1295"/>
      <c r="BF138" s="1292"/>
      <c r="BY138" s="942"/>
      <c r="BZ138" s="1354"/>
    </row>
    <row r="139" spans="1:83" ht="21.95" customHeight="1">
      <c r="A139" s="1294"/>
      <c r="B139" s="1297"/>
      <c r="AB139" s="834"/>
      <c r="AC139" s="1295"/>
      <c r="AD139" s="1292"/>
      <c r="BD139" s="834"/>
      <c r="BE139" s="1295"/>
      <c r="BF139" s="1292"/>
      <c r="BY139" s="942"/>
      <c r="BZ139" s="1354"/>
    </row>
    <row r="140" spans="1:83" ht="21.95" customHeight="1">
      <c r="A140" s="1294"/>
      <c r="B140" s="1297"/>
      <c r="AB140" s="834"/>
      <c r="AC140" s="1295"/>
      <c r="AD140" s="1292"/>
      <c r="BD140" s="834"/>
      <c r="BE140" s="1295"/>
      <c r="BF140" s="1292"/>
      <c r="BY140" s="942"/>
      <c r="BZ140" s="1354"/>
    </row>
    <row r="141" spans="1:83" ht="21.95" customHeight="1">
      <c r="A141" s="1294"/>
      <c r="B141" s="1297"/>
      <c r="AB141" s="834"/>
      <c r="AC141" s="1295"/>
      <c r="AD141" s="1292"/>
      <c r="BD141" s="834"/>
      <c r="BE141" s="1295"/>
      <c r="BF141" s="1292"/>
      <c r="BY141" s="942"/>
      <c r="BZ141" s="1354"/>
    </row>
    <row r="142" spans="1:83" ht="21.95" customHeight="1">
      <c r="A142" s="1294"/>
      <c r="B142" s="1297"/>
      <c r="AB142" s="834"/>
      <c r="AC142" s="1295"/>
      <c r="AD142" s="1292"/>
      <c r="BD142" s="834"/>
      <c r="BE142" s="1295"/>
      <c r="BF142" s="1292"/>
      <c r="BY142" s="942"/>
      <c r="BZ142" s="1354"/>
    </row>
    <row r="143" spans="1:83" ht="21.95" customHeight="1">
      <c r="A143" s="1294"/>
      <c r="B143" s="1297"/>
      <c r="AB143" s="834"/>
      <c r="AC143" s="1295"/>
      <c r="AD143" s="1292"/>
      <c r="BD143" s="834"/>
      <c r="BE143" s="1295"/>
      <c r="BF143" s="1292"/>
      <c r="BY143" s="942"/>
      <c r="BZ143" s="1354"/>
    </row>
    <row r="144" spans="1:83" ht="21.95" customHeight="1">
      <c r="A144" s="1294"/>
      <c r="B144" s="1297"/>
      <c r="AB144" s="834"/>
      <c r="AC144" s="1295"/>
      <c r="AD144" s="1292"/>
      <c r="BD144" s="834"/>
      <c r="BE144" s="1295"/>
      <c r="BF144" s="1292"/>
      <c r="BY144" s="942"/>
      <c r="BZ144" s="1354"/>
    </row>
    <row r="145" spans="1:78" ht="21.95" customHeight="1">
      <c r="A145" s="1294"/>
      <c r="B145" s="1297"/>
      <c r="AB145" s="834"/>
      <c r="AC145" s="1295"/>
      <c r="AD145" s="1292"/>
      <c r="BD145" s="834"/>
      <c r="BE145" s="1295"/>
      <c r="BF145" s="1292"/>
      <c r="BY145" s="942"/>
      <c r="BZ145" s="1354"/>
    </row>
    <row r="146" spans="1:78" ht="21.95" customHeight="1">
      <c r="A146" s="1294"/>
      <c r="B146" s="1297"/>
      <c r="AB146" s="834"/>
      <c r="AC146" s="1295"/>
      <c r="AD146" s="1292"/>
      <c r="BD146" s="834"/>
      <c r="BE146" s="1295"/>
      <c r="BF146" s="1292"/>
      <c r="BY146" s="942"/>
      <c r="BZ146" s="1354"/>
    </row>
    <row r="147" spans="1:78" ht="21.95" customHeight="1">
      <c r="A147" s="1294"/>
      <c r="B147" s="1297"/>
      <c r="AB147" s="834"/>
      <c r="AC147" s="1295"/>
      <c r="AD147" s="1292"/>
      <c r="BD147" s="834"/>
      <c r="BE147" s="1295"/>
      <c r="BF147" s="1292"/>
      <c r="BY147" s="942"/>
      <c r="BZ147" s="1354"/>
    </row>
    <row r="148" spans="1:78" ht="21.95" customHeight="1">
      <c r="A148" s="1294"/>
      <c r="B148" s="1297"/>
      <c r="AB148" s="834"/>
      <c r="AC148" s="1295"/>
      <c r="AD148" s="1292"/>
      <c r="BD148" s="834"/>
      <c r="BE148" s="1295"/>
      <c r="BF148" s="1292"/>
      <c r="BY148" s="942"/>
      <c r="BZ148" s="1354"/>
    </row>
    <row r="149" spans="1:78" ht="21.95" customHeight="1">
      <c r="A149" s="1294"/>
      <c r="B149" s="1297"/>
      <c r="AB149" s="834"/>
      <c r="AC149" s="1295"/>
      <c r="AD149" s="1292"/>
      <c r="BD149" s="834"/>
      <c r="BE149" s="1295"/>
      <c r="BF149" s="1292"/>
      <c r="BY149" s="942"/>
      <c r="BZ149" s="1354"/>
    </row>
    <row r="150" spans="1:78" ht="21.95" customHeight="1">
      <c r="A150" s="1294"/>
      <c r="B150" s="1297"/>
      <c r="AB150" s="834"/>
      <c r="AC150" s="1295"/>
      <c r="AD150" s="1292"/>
      <c r="BD150" s="834"/>
      <c r="BE150" s="1295"/>
      <c r="BF150" s="1292"/>
      <c r="BY150" s="942"/>
      <c r="BZ150" s="1354"/>
    </row>
    <row r="151" spans="1:78" ht="21.95" customHeight="1">
      <c r="A151" s="1294"/>
      <c r="B151" s="1297"/>
      <c r="AB151" s="834"/>
      <c r="AC151" s="1295"/>
      <c r="AD151" s="1292"/>
      <c r="BD151" s="834"/>
      <c r="BE151" s="1295"/>
      <c r="BF151" s="1292"/>
      <c r="BY151" s="942"/>
      <c r="BZ151" s="1354"/>
    </row>
    <row r="152" spans="1:78" ht="21.95" customHeight="1">
      <c r="A152" s="1294"/>
      <c r="B152" s="1297"/>
      <c r="AB152" s="834"/>
      <c r="AC152" s="1295"/>
      <c r="AD152" s="1292"/>
      <c r="BD152" s="834"/>
      <c r="BE152" s="1295"/>
      <c r="BF152" s="1292"/>
      <c r="BY152" s="942"/>
      <c r="BZ152" s="1354"/>
    </row>
    <row r="153" spans="1:78" ht="21.95" customHeight="1">
      <c r="A153" s="1294"/>
      <c r="B153" s="1297"/>
      <c r="AB153" s="834"/>
      <c r="AC153" s="1295"/>
      <c r="AD153" s="1292"/>
      <c r="BD153" s="834"/>
      <c r="BE153" s="1295"/>
      <c r="BF153" s="1292"/>
      <c r="BY153" s="942"/>
      <c r="BZ153" s="1354"/>
    </row>
    <row r="154" spans="1:78" ht="21.95" customHeight="1">
      <c r="A154" s="1294"/>
      <c r="B154" s="1297"/>
      <c r="AB154" s="834"/>
      <c r="AC154" s="1295"/>
      <c r="AD154" s="1292"/>
      <c r="BD154" s="834"/>
      <c r="BE154" s="1295"/>
      <c r="BF154" s="1292"/>
      <c r="BY154" s="942"/>
      <c r="BZ154" s="1354"/>
    </row>
    <row r="155" spans="1:78" ht="21.95" customHeight="1">
      <c r="A155" s="1294"/>
      <c r="B155" s="1297"/>
      <c r="AB155" s="834"/>
      <c r="AC155" s="1295"/>
      <c r="AD155" s="1292"/>
      <c r="BD155" s="834"/>
      <c r="BE155" s="1295"/>
      <c r="BF155" s="1292"/>
      <c r="BY155" s="942"/>
      <c r="BZ155" s="1354"/>
    </row>
    <row r="156" spans="1:78" ht="21.95" customHeight="1">
      <c r="A156" s="1294"/>
      <c r="B156" s="1297"/>
      <c r="AB156" s="834"/>
      <c r="AC156" s="1295"/>
      <c r="AD156" s="1292"/>
      <c r="BD156" s="834"/>
      <c r="BE156" s="1295"/>
      <c r="BF156" s="1292"/>
      <c r="BY156" s="942"/>
      <c r="BZ156" s="1354"/>
    </row>
    <row r="157" spans="1:78" ht="21.95" customHeight="1">
      <c r="A157" s="1294"/>
      <c r="B157" s="1297"/>
      <c r="AB157" s="834"/>
      <c r="AC157" s="1295"/>
      <c r="AD157" s="1292"/>
      <c r="BD157" s="834"/>
      <c r="BE157" s="1295"/>
      <c r="BF157" s="1292"/>
      <c r="BY157" s="942"/>
      <c r="BZ157" s="1354"/>
    </row>
    <row r="158" spans="1:78" ht="21.95" customHeight="1">
      <c r="A158" s="1294"/>
      <c r="B158" s="1297"/>
      <c r="AB158" s="834"/>
      <c r="AC158" s="1295"/>
      <c r="AD158" s="1292"/>
      <c r="BD158" s="834"/>
      <c r="BE158" s="1295"/>
      <c r="BF158" s="1292"/>
      <c r="BY158" s="942"/>
      <c r="BZ158" s="1354"/>
    </row>
    <row r="159" spans="1:78" ht="21.95" customHeight="1">
      <c r="A159" s="1294"/>
      <c r="B159" s="1297"/>
      <c r="AB159" s="834"/>
      <c r="AC159" s="1295"/>
      <c r="AD159" s="1292"/>
      <c r="BD159" s="834"/>
      <c r="BE159" s="1295"/>
      <c r="BF159" s="1292"/>
      <c r="BY159" s="942"/>
      <c r="BZ159" s="1354"/>
    </row>
    <row r="160" spans="1:78" ht="21.95" customHeight="1">
      <c r="A160" s="1294"/>
      <c r="B160" s="1297"/>
      <c r="AB160" s="834"/>
      <c r="AC160" s="1295"/>
      <c r="AD160" s="1292"/>
      <c r="BD160" s="834"/>
      <c r="BE160" s="1295"/>
      <c r="BF160" s="1292"/>
      <c r="BY160" s="942"/>
      <c r="BZ160" s="1354"/>
    </row>
    <row r="161" spans="1:78" ht="21.95" customHeight="1">
      <c r="A161" s="1294"/>
      <c r="B161" s="1297"/>
      <c r="AB161" s="834"/>
      <c r="AC161" s="1295"/>
      <c r="AD161" s="1292"/>
      <c r="BD161" s="834"/>
      <c r="BE161" s="1295"/>
      <c r="BF161" s="1292"/>
      <c r="BY161" s="942"/>
      <c r="BZ161" s="1354"/>
    </row>
    <row r="162" spans="1:78" ht="21.95" customHeight="1">
      <c r="A162" s="1294"/>
      <c r="B162" s="1297"/>
      <c r="AB162" s="834"/>
      <c r="AC162" s="1295"/>
      <c r="AD162" s="1292"/>
      <c r="BD162" s="834"/>
      <c r="BE162" s="1295"/>
      <c r="BF162" s="1292"/>
      <c r="BY162" s="942"/>
      <c r="BZ162" s="1354"/>
    </row>
    <row r="163" spans="1:78" ht="21.95" customHeight="1">
      <c r="A163" s="1294"/>
      <c r="B163" s="1297"/>
      <c r="AB163" s="834"/>
      <c r="AC163" s="1295"/>
      <c r="AD163" s="1292"/>
      <c r="BD163" s="834"/>
      <c r="BE163" s="1295"/>
      <c r="BF163" s="1292"/>
      <c r="BY163" s="942"/>
      <c r="BZ163" s="1354"/>
    </row>
    <row r="164" spans="1:78" ht="21.95" customHeight="1">
      <c r="A164" s="1294"/>
      <c r="B164" s="1297"/>
      <c r="AB164" s="834"/>
      <c r="AC164" s="1295"/>
      <c r="AD164" s="1292"/>
      <c r="BD164" s="834"/>
      <c r="BE164" s="1295"/>
      <c r="BF164" s="1292"/>
      <c r="BY164" s="942"/>
      <c r="BZ164" s="1354"/>
    </row>
    <row r="165" spans="1:78" ht="21.95" customHeight="1">
      <c r="A165" s="1294"/>
      <c r="B165" s="1297"/>
      <c r="AB165" s="834"/>
      <c r="AC165" s="1295"/>
      <c r="AD165" s="1292"/>
      <c r="BD165" s="834"/>
      <c r="BE165" s="1295"/>
      <c r="BF165" s="1292"/>
      <c r="BY165" s="942"/>
      <c r="BZ165" s="1354"/>
    </row>
    <row r="166" spans="1:78" ht="21.95" customHeight="1">
      <c r="A166" s="1294"/>
      <c r="B166" s="1297"/>
      <c r="AB166" s="834"/>
      <c r="AC166" s="1295"/>
      <c r="AD166" s="1292"/>
      <c r="BD166" s="834"/>
      <c r="BE166" s="1295"/>
      <c r="BF166" s="1292"/>
      <c r="BY166" s="942"/>
      <c r="BZ166" s="1354"/>
    </row>
    <row r="167" spans="1:78" ht="21.95" customHeight="1">
      <c r="A167" s="1294"/>
      <c r="B167" s="1297"/>
      <c r="AB167" s="834"/>
      <c r="AC167" s="1295"/>
      <c r="AD167" s="1292"/>
      <c r="BD167" s="834"/>
      <c r="BE167" s="1295"/>
      <c r="BF167" s="1292"/>
      <c r="BY167" s="942"/>
      <c r="BZ167" s="1354"/>
    </row>
    <row r="168" spans="1:78" ht="21.95" customHeight="1">
      <c r="A168" s="1294"/>
      <c r="B168" s="1297"/>
      <c r="AB168" s="834"/>
      <c r="AC168" s="1295"/>
      <c r="AD168" s="1292"/>
      <c r="BD168" s="834"/>
      <c r="BE168" s="1295"/>
      <c r="BF168" s="1292"/>
      <c r="BY168" s="942"/>
      <c r="BZ168" s="1354"/>
    </row>
    <row r="169" spans="1:78" ht="21.95" customHeight="1">
      <c r="A169" s="1294"/>
      <c r="B169" s="1297"/>
      <c r="AB169" s="834"/>
      <c r="AC169" s="1295"/>
      <c r="AD169" s="1292"/>
      <c r="BD169" s="834"/>
      <c r="BE169" s="1295"/>
      <c r="BF169" s="1292"/>
      <c r="BY169" s="942"/>
      <c r="BZ169" s="1354"/>
    </row>
    <row r="170" spans="1:78" ht="21.95" customHeight="1">
      <c r="A170" s="1294"/>
      <c r="B170" s="1297"/>
      <c r="AB170" s="834"/>
      <c r="AC170" s="1295"/>
      <c r="AD170" s="1292"/>
      <c r="BD170" s="834"/>
      <c r="BE170" s="1295"/>
      <c r="BF170" s="1292"/>
      <c r="BY170" s="942"/>
      <c r="BZ170" s="1354"/>
    </row>
    <row r="171" spans="1:78" ht="21.95" customHeight="1">
      <c r="A171" s="1294"/>
      <c r="B171" s="1297"/>
      <c r="AB171" s="834"/>
      <c r="AC171" s="1295"/>
      <c r="AD171" s="1292"/>
      <c r="BD171" s="834"/>
      <c r="BE171" s="1295"/>
      <c r="BF171" s="1292"/>
      <c r="BY171" s="942"/>
      <c r="BZ171" s="1354"/>
    </row>
    <row r="172" spans="1:78" ht="21.95" customHeight="1">
      <c r="A172" s="1294"/>
      <c r="B172" s="1297"/>
      <c r="AB172" s="834"/>
      <c r="AC172" s="1295"/>
      <c r="AD172" s="1292"/>
      <c r="BD172" s="834"/>
      <c r="BE172" s="1295"/>
      <c r="BF172" s="1292"/>
      <c r="BY172" s="942"/>
      <c r="BZ172" s="1354"/>
    </row>
    <row r="173" spans="1:78" ht="21.95" customHeight="1">
      <c r="A173" s="1294"/>
      <c r="B173" s="1297"/>
      <c r="AB173" s="834"/>
      <c r="AC173" s="1295"/>
      <c r="AD173" s="1292"/>
      <c r="BD173" s="834"/>
      <c r="BE173" s="1295"/>
      <c r="BF173" s="1292"/>
      <c r="BY173" s="942"/>
      <c r="BZ173" s="1354"/>
    </row>
    <row r="174" spans="1:78" ht="21.95" customHeight="1">
      <c r="A174" s="1294"/>
      <c r="B174" s="1297"/>
      <c r="AB174" s="834"/>
      <c r="AC174" s="1295"/>
      <c r="AD174" s="1292"/>
      <c r="BD174" s="834"/>
      <c r="BE174" s="1295"/>
      <c r="BF174" s="1292"/>
      <c r="BY174" s="942"/>
      <c r="BZ174" s="1354"/>
    </row>
    <row r="175" spans="1:78" ht="21.95" customHeight="1">
      <c r="A175" s="1294"/>
      <c r="B175" s="1297"/>
      <c r="AB175" s="834"/>
      <c r="AC175" s="1295"/>
      <c r="AD175" s="1292"/>
      <c r="BD175" s="834"/>
      <c r="BE175" s="1295"/>
      <c r="BF175" s="1292"/>
      <c r="BY175" s="942"/>
      <c r="BZ175" s="1354"/>
    </row>
    <row r="176" spans="1:78" ht="21.95" customHeight="1">
      <c r="A176" s="1294"/>
      <c r="B176" s="1297"/>
      <c r="AB176" s="834"/>
      <c r="AC176" s="1295"/>
      <c r="AD176" s="1292"/>
      <c r="BD176" s="834"/>
      <c r="BE176" s="1295"/>
      <c r="BF176" s="1292"/>
      <c r="BY176" s="942"/>
      <c r="BZ176" s="1354"/>
    </row>
    <row r="177" spans="1:78" ht="21.95" customHeight="1">
      <c r="A177" s="1294"/>
      <c r="B177" s="1297"/>
      <c r="AB177" s="834"/>
      <c r="AC177" s="1295"/>
      <c r="AD177" s="1292"/>
      <c r="BD177" s="834"/>
      <c r="BE177" s="1295"/>
      <c r="BF177" s="1292"/>
      <c r="BY177" s="942"/>
      <c r="BZ177" s="1354"/>
    </row>
    <row r="178" spans="1:78" ht="21.95" customHeight="1">
      <c r="A178" s="1294"/>
      <c r="B178" s="1297"/>
      <c r="AB178" s="834"/>
      <c r="AC178" s="1295"/>
      <c r="AD178" s="1292"/>
      <c r="BD178" s="834"/>
      <c r="BE178" s="1295"/>
      <c r="BF178" s="1292"/>
      <c r="BY178" s="942"/>
      <c r="BZ178" s="1354"/>
    </row>
    <row r="179" spans="1:78" ht="21.95" customHeight="1">
      <c r="A179" s="1294"/>
      <c r="B179" s="1297"/>
      <c r="AB179" s="834"/>
      <c r="AC179" s="1295"/>
      <c r="AD179" s="1292"/>
      <c r="BD179" s="834"/>
      <c r="BE179" s="1295"/>
      <c r="BF179" s="1292"/>
      <c r="BY179" s="942"/>
      <c r="BZ179" s="1354"/>
    </row>
    <row r="180" spans="1:78" ht="21.95" customHeight="1">
      <c r="A180" s="1294"/>
      <c r="B180" s="1297"/>
      <c r="AB180" s="834"/>
      <c r="AC180" s="1295"/>
      <c r="AD180" s="1292"/>
      <c r="BD180" s="834"/>
      <c r="BE180" s="1295"/>
      <c r="BF180" s="1292"/>
      <c r="BY180" s="942"/>
      <c r="BZ180" s="1354"/>
    </row>
    <row r="181" spans="1:78" ht="21.95" customHeight="1">
      <c r="A181" s="1294"/>
      <c r="B181" s="1297"/>
      <c r="AB181" s="834"/>
      <c r="AC181" s="1295"/>
      <c r="AD181" s="1292"/>
      <c r="BD181" s="834"/>
      <c r="BE181" s="1295"/>
      <c r="BF181" s="1292"/>
      <c r="BY181" s="942"/>
      <c r="BZ181" s="1354"/>
    </row>
    <row r="182" spans="1:78" ht="21.95" customHeight="1">
      <c r="A182" s="1294"/>
      <c r="B182" s="1297"/>
      <c r="AB182" s="834"/>
      <c r="AC182" s="1295"/>
      <c r="AD182" s="1292"/>
      <c r="BD182" s="834"/>
      <c r="BE182" s="1295"/>
      <c r="BF182" s="1292"/>
      <c r="BY182" s="942"/>
      <c r="BZ182" s="1354"/>
    </row>
    <row r="183" spans="1:78" ht="21.95" customHeight="1">
      <c r="A183" s="1294"/>
      <c r="B183" s="1297"/>
      <c r="AB183" s="834"/>
      <c r="AC183" s="1295"/>
      <c r="AD183" s="1292"/>
      <c r="BD183" s="834"/>
      <c r="BE183" s="1295"/>
      <c r="BF183" s="1292"/>
    </row>
    <row r="184" spans="1:78" ht="21.95" customHeight="1">
      <c r="A184" s="1294"/>
      <c r="B184" s="1297"/>
      <c r="AB184" s="834"/>
      <c r="AC184" s="1295"/>
      <c r="AD184" s="1292"/>
      <c r="BD184" s="834"/>
      <c r="BE184" s="1295"/>
      <c r="BF184" s="1292"/>
    </row>
    <row r="185" spans="1:78" ht="21.95" customHeight="1">
      <c r="A185" s="1294"/>
      <c r="B185" s="1297"/>
      <c r="AB185" s="834"/>
      <c r="AC185" s="1295"/>
      <c r="AD185" s="1292"/>
      <c r="BD185" s="834"/>
      <c r="BE185" s="1295"/>
      <c r="BF185" s="1292"/>
    </row>
    <row r="186" spans="1:78" ht="21.95" customHeight="1">
      <c r="A186" s="1294"/>
      <c r="B186" s="1297"/>
      <c r="AB186" s="834"/>
      <c r="AC186" s="1295"/>
      <c r="AD186" s="1292"/>
      <c r="BD186" s="834"/>
      <c r="BE186" s="1295"/>
      <c r="BF186" s="1292"/>
    </row>
    <row r="187" spans="1:78" ht="21.95" customHeight="1">
      <c r="A187" s="1294"/>
      <c r="B187" s="1297"/>
      <c r="AB187" s="834"/>
      <c r="AC187" s="1295"/>
      <c r="AD187" s="1292"/>
      <c r="BD187" s="834"/>
      <c r="BE187" s="1295"/>
      <c r="BF187" s="1292"/>
    </row>
    <row r="188" spans="1:78" ht="21.95" customHeight="1">
      <c r="A188" s="1294"/>
      <c r="B188" s="1297"/>
      <c r="AB188" s="834"/>
      <c r="AC188" s="1295"/>
      <c r="AD188" s="1292"/>
      <c r="BD188" s="834"/>
      <c r="BE188" s="1295"/>
      <c r="BF188" s="1292"/>
    </row>
    <row r="189" spans="1:78" ht="21.95" customHeight="1">
      <c r="A189" s="1294"/>
      <c r="B189" s="1297"/>
      <c r="AB189" s="834"/>
      <c r="AC189" s="1295"/>
      <c r="AD189" s="1292"/>
      <c r="BD189" s="834"/>
      <c r="BE189" s="1295"/>
      <c r="BF189" s="1292"/>
    </row>
    <row r="190" spans="1:78">
      <c r="A190" s="864"/>
      <c r="B190" s="864"/>
      <c r="C190" s="864"/>
      <c r="D190" s="864"/>
      <c r="E190" s="864"/>
      <c r="F190" s="864"/>
      <c r="G190" s="864"/>
      <c r="H190" s="864"/>
      <c r="I190" s="864"/>
      <c r="J190" s="864"/>
      <c r="K190" s="864"/>
      <c r="L190" s="864"/>
      <c r="M190" s="864"/>
      <c r="N190" s="864"/>
      <c r="O190" s="864"/>
      <c r="P190" s="864"/>
      <c r="Q190" s="864"/>
      <c r="R190" s="864"/>
      <c r="S190" s="864"/>
      <c r="T190" s="864"/>
      <c r="U190" s="864"/>
      <c r="V190" s="864"/>
      <c r="W190" s="864"/>
      <c r="X190" s="864"/>
      <c r="Y190" s="864"/>
      <c r="Z190" s="864"/>
      <c r="AA190" s="864"/>
      <c r="AB190" s="864"/>
      <c r="AC190" s="864"/>
      <c r="AD190" s="864"/>
    </row>
    <row r="191" spans="1:78">
      <c r="A191" s="831"/>
      <c r="B191" s="838"/>
    </row>
    <row r="192" spans="1:78">
      <c r="A192" s="831"/>
      <c r="B192" s="838"/>
    </row>
    <row r="193" spans="1:21">
      <c r="A193" s="831"/>
      <c r="B193" s="838"/>
    </row>
    <row r="194" spans="1:21">
      <c r="A194" s="831"/>
      <c r="B194" s="838"/>
    </row>
    <row r="195" spans="1:21" ht="15.75" thickBot="1">
      <c r="A195" s="831"/>
      <c r="B195" s="838"/>
    </row>
    <row r="196" spans="1:21" ht="15.75" thickTop="1">
      <c r="A196" s="831"/>
      <c r="B196" s="838"/>
      <c r="F196" s="4093" t="s">
        <v>1023</v>
      </c>
      <c r="G196" s="4094"/>
      <c r="H196" s="4094"/>
      <c r="I196" s="4094"/>
      <c r="J196" s="4094"/>
      <c r="K196" s="4094"/>
      <c r="L196" s="4094"/>
      <c r="M196" s="4094"/>
      <c r="N196" s="4094"/>
      <c r="O196" s="4094"/>
      <c r="P196" s="4094"/>
      <c r="Q196" s="4094"/>
      <c r="R196" s="4094"/>
      <c r="S196" s="4094"/>
      <c r="T196" s="4094"/>
      <c r="U196" s="4095"/>
    </row>
    <row r="197" spans="1:21">
      <c r="A197" s="831"/>
      <c r="B197" s="838"/>
      <c r="F197" s="4096"/>
      <c r="G197" s="4097"/>
      <c r="H197" s="4097"/>
      <c r="I197" s="4097"/>
      <c r="J197" s="4097"/>
      <c r="K197" s="4097"/>
      <c r="L197" s="4097"/>
      <c r="M197" s="4097"/>
      <c r="N197" s="4097"/>
      <c r="O197" s="4097"/>
      <c r="P197" s="4097"/>
      <c r="Q197" s="4097"/>
      <c r="R197" s="4097"/>
      <c r="S197" s="4097"/>
      <c r="T197" s="4097"/>
      <c r="U197" s="4098"/>
    </row>
    <row r="198" spans="1:21">
      <c r="A198" s="831"/>
      <c r="B198" s="838"/>
      <c r="F198" s="1382"/>
      <c r="G198" s="1383"/>
      <c r="H198" s="1383"/>
      <c r="I198" s="1383"/>
      <c r="J198" s="1383"/>
      <c r="K198" s="1383"/>
      <c r="L198" s="4042" t="s">
        <v>1103</v>
      </c>
      <c r="M198" s="4042"/>
      <c r="N198" s="4042"/>
      <c r="O198" s="4042"/>
      <c r="P198" s="1383"/>
      <c r="Q198" s="1383"/>
      <c r="R198" s="1383"/>
      <c r="S198" s="1383"/>
      <c r="T198" s="1383"/>
      <c r="U198" s="1384"/>
    </row>
    <row r="199" spans="1:21">
      <c r="A199" s="831"/>
      <c r="B199" s="838"/>
      <c r="F199" s="1385"/>
      <c r="G199" s="1270"/>
      <c r="H199" s="1270"/>
      <c r="I199" s="1270"/>
      <c r="J199" s="1270"/>
      <c r="K199" s="1270"/>
      <c r="L199" s="1270"/>
      <c r="M199" s="1270"/>
      <c r="N199" s="1270"/>
      <c r="O199" s="1270"/>
      <c r="P199" s="1270"/>
      <c r="Q199" s="1270"/>
      <c r="R199" s="1270"/>
      <c r="S199" s="1270"/>
      <c r="T199" s="1270"/>
      <c r="U199" s="1386"/>
    </row>
    <row r="200" spans="1:21">
      <c r="A200" s="831"/>
      <c r="B200" s="838"/>
      <c r="F200" s="4099" t="s">
        <v>176</v>
      </c>
      <c r="G200" s="4101" t="s">
        <v>1011</v>
      </c>
      <c r="H200" s="4102"/>
      <c r="I200" s="4105" t="s">
        <v>1012</v>
      </c>
      <c r="J200" s="4105"/>
      <c r="K200" s="4105" t="s">
        <v>1013</v>
      </c>
      <c r="L200" s="4105"/>
      <c r="M200" s="4105" t="s">
        <v>1031</v>
      </c>
      <c r="N200" s="4105"/>
      <c r="O200" s="4105"/>
      <c r="P200" s="4105" t="s">
        <v>1025</v>
      </c>
      <c r="Q200" s="4105"/>
      <c r="R200" s="4105" t="s">
        <v>1026</v>
      </c>
      <c r="S200" s="4105"/>
      <c r="T200" s="4105" t="s">
        <v>1027</v>
      </c>
      <c r="U200" s="4107"/>
    </row>
    <row r="201" spans="1:21">
      <c r="A201" s="831"/>
      <c r="B201" s="838"/>
      <c r="F201" s="4100"/>
      <c r="G201" s="4103"/>
      <c r="H201" s="4104"/>
      <c r="I201" s="4106"/>
      <c r="J201" s="4106"/>
      <c r="K201" s="4106"/>
      <c r="L201" s="4106"/>
      <c r="M201" s="4106"/>
      <c r="N201" s="4106"/>
      <c r="O201" s="4106"/>
      <c r="P201" s="4106"/>
      <c r="Q201" s="4106"/>
      <c r="R201" s="4106"/>
      <c r="S201" s="4106"/>
      <c r="T201" s="4106"/>
      <c r="U201" s="4108"/>
    </row>
    <row r="202" spans="1:21" ht="26.25" customHeight="1">
      <c r="A202" s="831"/>
      <c r="B202" s="838"/>
      <c r="F202" s="4100"/>
      <c r="G202" s="4103"/>
      <c r="H202" s="4104"/>
      <c r="I202" s="4106"/>
      <c r="J202" s="4106"/>
      <c r="K202" s="4106"/>
      <c r="L202" s="4106"/>
      <c r="M202" s="4106"/>
      <c r="N202" s="4106"/>
      <c r="O202" s="4106"/>
      <c r="P202" s="4106"/>
      <c r="Q202" s="4106"/>
      <c r="R202" s="4106"/>
      <c r="S202" s="4106"/>
      <c r="T202" s="4106"/>
      <c r="U202" s="4108"/>
    </row>
    <row r="203" spans="1:21" ht="21.95" customHeight="1">
      <c r="A203" s="831"/>
      <c r="B203" s="838"/>
      <c r="F203" s="1416">
        <v>1</v>
      </c>
      <c r="G203" s="4082">
        <v>2</v>
      </c>
      <c r="H203" s="4082"/>
      <c r="I203" s="4082">
        <v>3</v>
      </c>
      <c r="J203" s="4082"/>
      <c r="K203" s="4082">
        <v>4</v>
      </c>
      <c r="L203" s="4082"/>
      <c r="M203" s="4082">
        <v>5</v>
      </c>
      <c r="N203" s="4082"/>
      <c r="O203" s="4082"/>
      <c r="P203" s="4082">
        <v>6</v>
      </c>
      <c r="Q203" s="4082"/>
      <c r="R203" s="4082">
        <v>7</v>
      </c>
      <c r="S203" s="4082"/>
      <c r="T203" s="4082">
        <v>8</v>
      </c>
      <c r="U203" s="4083"/>
    </row>
    <row r="204" spans="1:21" ht="21.95" customHeight="1">
      <c r="A204" s="831"/>
      <c r="B204" s="838"/>
      <c r="F204" s="1417">
        <v>1</v>
      </c>
      <c r="G204" s="3945" t="s">
        <v>1018</v>
      </c>
      <c r="H204" s="3945"/>
      <c r="I204" s="3945">
        <f>' Data Sheet-I'!F21</f>
        <v>0</v>
      </c>
      <c r="J204" s="3945"/>
      <c r="K204" s="3945">
        <f>' Data Sheet-I'!H21</f>
        <v>0</v>
      </c>
      <c r="L204" s="3945"/>
      <c r="M204" s="3945">
        <f>' Data Sheet-I'!J21</f>
        <v>0</v>
      </c>
      <c r="N204" s="3945"/>
      <c r="O204" s="3945"/>
      <c r="P204" s="3945">
        <f>M27</f>
        <v>0</v>
      </c>
      <c r="Q204" s="3945"/>
      <c r="R204" s="3945">
        <f>M72</f>
        <v>0</v>
      </c>
      <c r="S204" s="3945"/>
      <c r="T204" s="3945">
        <f>SUM(R204-P204)</f>
        <v>0</v>
      </c>
      <c r="U204" s="4081"/>
    </row>
    <row r="205" spans="1:21" ht="21.95" customHeight="1">
      <c r="A205" s="831"/>
      <c r="B205" s="838"/>
      <c r="F205" s="1417">
        <v>2</v>
      </c>
      <c r="G205" s="3945" t="s">
        <v>1019</v>
      </c>
      <c r="H205" s="3945"/>
      <c r="I205" s="3945">
        <f>' Data Sheet-I'!F22</f>
        <v>0</v>
      </c>
      <c r="J205" s="3945"/>
      <c r="K205" s="3945">
        <f>' Data Sheet-I'!H22</f>
        <v>0</v>
      </c>
      <c r="L205" s="3945"/>
      <c r="M205" s="3945">
        <f>' Data Sheet-I'!J22</f>
        <v>0</v>
      </c>
      <c r="N205" s="3945"/>
      <c r="O205" s="3945"/>
      <c r="P205" s="3945">
        <f>AK27</f>
        <v>0</v>
      </c>
      <c r="Q205" s="3945"/>
      <c r="R205" s="3945">
        <f>AK72</f>
        <v>0</v>
      </c>
      <c r="S205" s="3945"/>
      <c r="T205" s="3945">
        <f t="shared" ref="T205:T210" si="27">SUM(R205-P205)</f>
        <v>0</v>
      </c>
      <c r="U205" s="4081"/>
    </row>
    <row r="206" spans="1:21" ht="21.95" customHeight="1">
      <c r="A206" s="831"/>
      <c r="B206" s="838"/>
      <c r="F206" s="1417">
        <v>3</v>
      </c>
      <c r="G206" s="4044" t="s">
        <v>1020</v>
      </c>
      <c r="H206" s="4045"/>
      <c r="I206" s="3945">
        <f>' Data Sheet-I'!F23</f>
        <v>0</v>
      </c>
      <c r="J206" s="3945"/>
      <c r="K206" s="3945">
        <f>' Data Sheet-I'!H23</f>
        <v>0</v>
      </c>
      <c r="L206" s="3945"/>
      <c r="M206" s="3945">
        <f>' Data Sheet-I'!J23</f>
        <v>0</v>
      </c>
      <c r="N206" s="3945"/>
      <c r="O206" s="3945"/>
      <c r="P206" s="3945">
        <f>BL27</f>
        <v>0</v>
      </c>
      <c r="Q206" s="3945"/>
      <c r="R206" s="3945">
        <f>BL72</f>
        <v>0</v>
      </c>
      <c r="S206" s="3945"/>
      <c r="T206" s="3945">
        <f t="shared" si="27"/>
        <v>0</v>
      </c>
      <c r="U206" s="4081"/>
    </row>
    <row r="207" spans="1:21" ht="21.95" customHeight="1">
      <c r="A207" s="831"/>
      <c r="B207" s="838"/>
      <c r="F207" s="1417">
        <v>4</v>
      </c>
      <c r="G207" s="4044" t="s">
        <v>1021</v>
      </c>
      <c r="H207" s="4045"/>
      <c r="I207" s="3945">
        <f>' Data Sheet-I'!F24</f>
        <v>0</v>
      </c>
      <c r="J207" s="3945"/>
      <c r="K207" s="3945">
        <f>' Data Sheet-I'!H24</f>
        <v>0</v>
      </c>
      <c r="L207" s="3945"/>
      <c r="M207" s="3945">
        <f>' Data Sheet-I'!J24</f>
        <v>0</v>
      </c>
      <c r="N207" s="3945"/>
      <c r="O207" s="3945"/>
      <c r="P207" s="3945">
        <f>CN27</f>
        <v>0</v>
      </c>
      <c r="Q207" s="3945"/>
      <c r="R207" s="3945">
        <f>CN72</f>
        <v>0</v>
      </c>
      <c r="S207" s="3945"/>
      <c r="T207" s="3945">
        <f t="shared" si="27"/>
        <v>0</v>
      </c>
      <c r="U207" s="4081"/>
    </row>
    <row r="208" spans="1:21" ht="21.95" customHeight="1">
      <c r="A208" s="831"/>
      <c r="B208" s="838"/>
      <c r="F208" s="1417">
        <v>5</v>
      </c>
      <c r="G208" s="4044" t="s">
        <v>1022</v>
      </c>
      <c r="H208" s="4045"/>
      <c r="I208" s="3945">
        <f>' Data Sheet-I'!F25</f>
        <v>0</v>
      </c>
      <c r="J208" s="3945"/>
      <c r="K208" s="3945">
        <f>' Data Sheet-I'!H25</f>
        <v>0</v>
      </c>
      <c r="L208" s="3945"/>
      <c r="M208" s="3945">
        <f>' Data Sheet-I'!J25</f>
        <v>0</v>
      </c>
      <c r="N208" s="3945"/>
      <c r="O208" s="3945"/>
      <c r="P208" s="3945">
        <f>DP28</f>
        <v>0</v>
      </c>
      <c r="Q208" s="3945"/>
      <c r="R208" s="3945">
        <f>DP73</f>
        <v>0</v>
      </c>
      <c r="S208" s="3945"/>
      <c r="T208" s="3945">
        <f t="shared" si="27"/>
        <v>0</v>
      </c>
      <c r="U208" s="4081"/>
    </row>
    <row r="209" spans="1:21" ht="21.95" customHeight="1">
      <c r="A209" s="831"/>
      <c r="B209" s="838"/>
      <c r="F209" s="1417">
        <v>6</v>
      </c>
      <c r="G209" s="4044" t="s">
        <v>1002</v>
      </c>
      <c r="H209" s="4045"/>
      <c r="I209" s="3945">
        <f>' Data Sheet-I'!F26</f>
        <v>0</v>
      </c>
      <c r="J209" s="3945"/>
      <c r="K209" s="3945">
        <f>' Data Sheet-I'!H26</f>
        <v>0</v>
      </c>
      <c r="L209" s="3945"/>
      <c r="M209" s="3945">
        <f>' Data Sheet-I'!J26</f>
        <v>0</v>
      </c>
      <c r="N209" s="3945"/>
      <c r="O209" s="3945"/>
      <c r="P209" s="4044">
        <f>EP28</f>
        <v>0</v>
      </c>
      <c r="Q209" s="4045"/>
      <c r="R209" s="4044">
        <f>EP73</f>
        <v>0</v>
      </c>
      <c r="S209" s="4045"/>
      <c r="T209" s="3945">
        <f t="shared" si="27"/>
        <v>0</v>
      </c>
      <c r="U209" s="3946"/>
    </row>
    <row r="210" spans="1:21" ht="21.95" customHeight="1">
      <c r="A210" s="831"/>
      <c r="B210" s="838"/>
      <c r="F210" s="1417">
        <v>7</v>
      </c>
      <c r="G210" s="4044" t="s">
        <v>1006</v>
      </c>
      <c r="H210" s="4045"/>
      <c r="I210" s="3945">
        <f>' Data Sheet-I'!F27</f>
        <v>0</v>
      </c>
      <c r="J210" s="3945"/>
      <c r="K210" s="3945">
        <f>' Data Sheet-I'!H27</f>
        <v>0</v>
      </c>
      <c r="L210" s="3945"/>
      <c r="M210" s="3945">
        <f>' Data Sheet-I'!J27</f>
        <v>0</v>
      </c>
      <c r="N210" s="3945"/>
      <c r="O210" s="3945"/>
      <c r="P210" s="4044">
        <f>FO28</f>
        <v>0</v>
      </c>
      <c r="Q210" s="4045"/>
      <c r="R210" s="4044">
        <f>FO73</f>
        <v>0</v>
      </c>
      <c r="S210" s="4045"/>
      <c r="T210" s="3945">
        <f t="shared" si="27"/>
        <v>0</v>
      </c>
      <c r="U210" s="3946"/>
    </row>
    <row r="211" spans="1:21" ht="21.95" customHeight="1">
      <c r="A211" s="831"/>
      <c r="B211" s="838"/>
      <c r="F211" s="1417">
        <v>8</v>
      </c>
      <c r="G211" s="3943" t="s">
        <v>1149</v>
      </c>
      <c r="H211" s="3944"/>
      <c r="I211" s="3945">
        <f>' Data Sheet-I'!F28</f>
        <v>0</v>
      </c>
      <c r="J211" s="3945"/>
      <c r="K211" s="3945">
        <f>' Data Sheet-I'!H28</f>
        <v>0</v>
      </c>
      <c r="L211" s="3945"/>
      <c r="M211" s="3945">
        <f>' Data Sheet-I'!J28</f>
        <v>0</v>
      </c>
      <c r="N211" s="3945"/>
      <c r="O211" s="3945"/>
      <c r="P211" s="3943">
        <f>GN28</f>
        <v>0</v>
      </c>
      <c r="Q211" s="3944"/>
      <c r="R211" s="3943">
        <f>GN73</f>
        <v>0</v>
      </c>
      <c r="S211" s="3944"/>
      <c r="T211" s="3945">
        <f t="shared" ref="T211" si="28">SUM(R211-P211)</f>
        <v>0</v>
      </c>
      <c r="U211" s="3946"/>
    </row>
    <row r="212" spans="1:21" ht="21.95" customHeight="1">
      <c r="A212" s="831"/>
      <c r="B212" s="838"/>
      <c r="F212" s="1418"/>
      <c r="G212" s="4041" t="s">
        <v>22</v>
      </c>
      <c r="H212" s="4041"/>
      <c r="I212" s="4043">
        <f>SUM(I204:J211)</f>
        <v>0</v>
      </c>
      <c r="J212" s="4043"/>
      <c r="K212" s="3945">
        <f>SUM(K204:L211)</f>
        <v>0</v>
      </c>
      <c r="L212" s="3945"/>
      <c r="M212" s="3945">
        <f>SUM(M204:O211)</f>
        <v>0</v>
      </c>
      <c r="N212" s="3945"/>
      <c r="O212" s="3945"/>
      <c r="P212" s="4043">
        <f>SUM(P204:Q211)</f>
        <v>0</v>
      </c>
      <c r="Q212" s="4043"/>
      <c r="R212" s="4043">
        <f>SUM(R204:S211)</f>
        <v>0</v>
      </c>
      <c r="S212" s="4043"/>
      <c r="T212" s="4043">
        <f>SUM(T204:U211)</f>
        <v>0</v>
      </c>
      <c r="U212" s="4084"/>
    </row>
    <row r="213" spans="1:21">
      <c r="A213" s="831"/>
      <c r="B213" s="838"/>
      <c r="F213" s="1385"/>
      <c r="G213" s="4042"/>
      <c r="H213" s="4042"/>
      <c r="I213" s="4085"/>
      <c r="J213" s="4085"/>
      <c r="K213" s="4085"/>
      <c r="L213" s="4085"/>
      <c r="M213" s="4085"/>
      <c r="N213" s="4085"/>
      <c r="O213" s="4085"/>
      <c r="P213" s="4085"/>
      <c r="Q213" s="4085"/>
      <c r="R213" s="4085"/>
      <c r="S213" s="4085"/>
      <c r="T213" s="4085"/>
      <c r="U213" s="4086"/>
    </row>
    <row r="214" spans="1:21">
      <c r="A214" s="831"/>
      <c r="B214" s="838"/>
      <c r="F214" s="1385"/>
      <c r="G214" s="1392"/>
      <c r="H214" s="1392"/>
      <c r="I214" s="1270"/>
      <c r="J214" s="1270"/>
      <c r="K214" s="1270"/>
      <c r="L214" s="1270"/>
      <c r="M214" s="1270"/>
      <c r="N214" s="1270"/>
      <c r="O214" s="1270"/>
      <c r="P214" s="1270"/>
      <c r="Q214" s="1270"/>
      <c r="R214" s="1270"/>
      <c r="S214" s="1270"/>
      <c r="T214" s="1270"/>
      <c r="U214" s="1393"/>
    </row>
    <row r="215" spans="1:21">
      <c r="A215" s="831"/>
      <c r="B215" s="838"/>
      <c r="F215" s="1385"/>
      <c r="G215" s="1392"/>
      <c r="H215" s="1392"/>
      <c r="I215" s="1270"/>
      <c r="J215" s="1270"/>
      <c r="K215" s="1270"/>
      <c r="L215" s="1270"/>
      <c r="M215" s="1270"/>
      <c r="N215" s="1270"/>
      <c r="O215" s="1270"/>
      <c r="P215" s="1270"/>
      <c r="Q215" s="1270"/>
      <c r="R215" s="1270"/>
      <c r="S215" s="1270"/>
      <c r="T215" s="1270"/>
      <c r="U215" s="1393"/>
    </row>
    <row r="216" spans="1:21">
      <c r="A216" s="831"/>
      <c r="B216" s="838"/>
      <c r="F216" s="1385"/>
      <c r="G216" s="1392"/>
      <c r="H216" s="1392"/>
      <c r="I216" s="1270"/>
      <c r="J216" s="1270"/>
      <c r="K216" s="1270"/>
      <c r="L216" s="1270"/>
      <c r="M216" s="1270"/>
      <c r="N216" s="1270"/>
      <c r="O216" s="1270"/>
      <c r="P216" s="1270"/>
      <c r="Q216" s="1270"/>
      <c r="R216" s="1270"/>
      <c r="S216" s="1270"/>
      <c r="T216" s="1270"/>
      <c r="U216" s="1393"/>
    </row>
    <row r="217" spans="1:21" ht="18.75">
      <c r="A217" s="831"/>
      <c r="B217" s="838"/>
      <c r="F217" s="1385"/>
      <c r="G217" s="1394"/>
      <c r="H217" s="1395"/>
      <c r="I217" s="1395"/>
      <c r="J217" s="1395"/>
      <c r="K217" s="1395"/>
      <c r="L217" s="1270"/>
      <c r="M217" s="1270"/>
      <c r="N217" s="1270"/>
      <c r="O217" s="1270"/>
      <c r="P217" s="1394"/>
      <c r="Q217" s="1395"/>
      <c r="R217" s="1395"/>
      <c r="S217" s="1395"/>
      <c r="T217" s="1395"/>
      <c r="U217" s="1393"/>
    </row>
    <row r="218" spans="1:21">
      <c r="A218" s="831"/>
      <c r="B218" s="838"/>
      <c r="F218" s="1385"/>
      <c r="G218" s="1392"/>
      <c r="H218" s="1392"/>
      <c r="I218" s="1270"/>
      <c r="J218" s="1270"/>
      <c r="K218" s="1270"/>
      <c r="L218" s="1270"/>
      <c r="M218" s="1270"/>
      <c r="N218" s="1270"/>
      <c r="O218" s="1270"/>
      <c r="P218" s="1270"/>
      <c r="Q218" s="1270"/>
      <c r="R218" s="1270"/>
      <c r="S218" s="1270"/>
      <c r="T218" s="1270"/>
      <c r="U218" s="1393"/>
    </row>
    <row r="219" spans="1:21" ht="15.75" thickBot="1">
      <c r="A219" s="831"/>
      <c r="B219" s="838"/>
      <c r="F219" s="1408"/>
      <c r="G219" s="1409"/>
      <c r="H219" s="1409"/>
      <c r="I219" s="1409"/>
      <c r="J219" s="1409"/>
      <c r="K219" s="1409"/>
      <c r="L219" s="1409"/>
      <c r="M219" s="1409"/>
      <c r="N219" s="1409"/>
      <c r="O219" s="1409"/>
      <c r="P219" s="1409"/>
      <c r="Q219" s="1409"/>
      <c r="R219" s="1409"/>
      <c r="S219" s="1409"/>
      <c r="T219" s="1409"/>
      <c r="U219" s="1547"/>
    </row>
    <row r="220" spans="1:21" ht="15.75" thickTop="1">
      <c r="A220" s="831"/>
      <c r="B220" s="838"/>
    </row>
    <row r="221" spans="1:21">
      <c r="A221" s="831"/>
      <c r="B221" s="838"/>
    </row>
    <row r="222" spans="1:21">
      <c r="A222" s="831"/>
      <c r="B222" s="838"/>
    </row>
    <row r="223" spans="1:21">
      <c r="A223" s="831"/>
      <c r="B223" s="838"/>
    </row>
    <row r="224" spans="1:21">
      <c r="A224" s="831"/>
      <c r="B224" s="838"/>
    </row>
    <row r="225" spans="1:2">
      <c r="A225" s="831"/>
      <c r="B225" s="838"/>
    </row>
    <row r="226" spans="1:2">
      <c r="A226" s="831"/>
      <c r="B226" s="838"/>
    </row>
    <row r="227" spans="1:2">
      <c r="A227" s="831"/>
      <c r="B227" s="838"/>
    </row>
    <row r="228" spans="1:2">
      <c r="A228" s="831"/>
      <c r="B228" s="838"/>
    </row>
    <row r="229" spans="1:2">
      <c r="A229" s="831"/>
      <c r="B229" s="838"/>
    </row>
    <row r="230" spans="1:2">
      <c r="A230" s="831"/>
      <c r="B230" s="838"/>
    </row>
    <row r="231" spans="1:2">
      <c r="A231" s="831"/>
      <c r="B231" s="838"/>
    </row>
    <row r="232" spans="1:2">
      <c r="A232" s="831"/>
      <c r="B232" s="838"/>
    </row>
    <row r="233" spans="1:2">
      <c r="A233" s="831"/>
      <c r="B233" s="838"/>
    </row>
    <row r="234" spans="1:2">
      <c r="A234" s="831"/>
      <c r="B234" s="838"/>
    </row>
    <row r="235" spans="1:2">
      <c r="A235" s="831"/>
      <c r="B235" s="838"/>
    </row>
    <row r="236" spans="1:2">
      <c r="A236" s="831"/>
      <c r="B236" s="838"/>
    </row>
    <row r="237" spans="1:2">
      <c r="A237" s="831"/>
      <c r="B237" s="838"/>
    </row>
    <row r="238" spans="1:2">
      <c r="A238" s="831"/>
      <c r="B238" s="838"/>
    </row>
    <row r="239" spans="1:2">
      <c r="A239" s="831"/>
      <c r="B239" s="838"/>
    </row>
    <row r="240" spans="1:2">
      <c r="A240" s="831"/>
      <c r="B240" s="838"/>
    </row>
    <row r="241" spans="1:2">
      <c r="A241" s="831"/>
      <c r="B241" s="838"/>
    </row>
    <row r="242" spans="1:2">
      <c r="A242" s="831"/>
      <c r="B242" s="838"/>
    </row>
    <row r="243" spans="1:2">
      <c r="A243" s="831"/>
      <c r="B243" s="838"/>
    </row>
    <row r="244" spans="1:2">
      <c r="A244" s="831"/>
      <c r="B244" s="838"/>
    </row>
    <row r="245" spans="1:2">
      <c r="A245" s="831"/>
      <c r="B245" s="838"/>
    </row>
    <row r="246" spans="1:2">
      <c r="A246" s="831"/>
      <c r="B246" s="838"/>
    </row>
    <row r="247" spans="1:2">
      <c r="A247" s="831"/>
      <c r="B247" s="838"/>
    </row>
    <row r="248" spans="1:2">
      <c r="A248" s="831"/>
      <c r="B248" s="838"/>
    </row>
    <row r="249" spans="1:2">
      <c r="A249" s="831"/>
      <c r="B249" s="838"/>
    </row>
    <row r="250" spans="1:2">
      <c r="A250" s="831"/>
      <c r="B250" s="838"/>
    </row>
    <row r="251" spans="1:2">
      <c r="A251" s="831"/>
      <c r="B251" s="838"/>
    </row>
  </sheetData>
  <customSheetViews>
    <customSheetView guid="{DDA22D69-94B5-45BC-9EE2-6055A845129B}" state="hidden">
      <selection activeCell="K142" sqref="K142"/>
      <pageMargins left="0.7" right="0.7" top="0.75" bottom="0.75" header="0.3" footer="0.3"/>
      <pageSetup orientation="portrait" r:id="rId1"/>
    </customSheetView>
    <customSheetView guid="{1B7577DB-E3C4-4E68-B7CF-8F86FF7C5A82}" state="hidden" topLeftCell="A133">
      <selection activeCell="K142" sqref="K142"/>
      <pageMargins left="0.7" right="0.7" top="0.75" bottom="0.75" header="0.3" footer="0.3"/>
      <pageSetup orientation="portrait" r:id="rId2"/>
    </customSheetView>
    <customSheetView guid="{E7B1C62B-1F1D-4A62-BD87-EE62D3A36B6C}" state="hidden">
      <selection activeCell="K142" sqref="K142"/>
      <pageMargins left="0.7" right="0.7" top="0.75" bottom="0.75" header="0.3" footer="0.3"/>
      <pageSetup orientation="portrait" r:id="rId3"/>
    </customSheetView>
  </customSheetViews>
  <mergeCells count="941">
    <mergeCell ref="BJ123:BN123"/>
    <mergeCell ref="BO123:BP123"/>
    <mergeCell ref="BO125:BP125"/>
    <mergeCell ref="BO126:BP126"/>
    <mergeCell ref="BO127:BP127"/>
    <mergeCell ref="BJ125:BN125"/>
    <mergeCell ref="BJ126:BN126"/>
    <mergeCell ref="BJ127:BN127"/>
    <mergeCell ref="D114:J114"/>
    <mergeCell ref="D115:J115"/>
    <mergeCell ref="BJ117:BN117"/>
    <mergeCell ref="BO117:BP117"/>
    <mergeCell ref="AN118:AO118"/>
    <mergeCell ref="BJ118:BN119"/>
    <mergeCell ref="BO118:BP118"/>
    <mergeCell ref="BO119:BP119"/>
    <mergeCell ref="L116:M116"/>
    <mergeCell ref="V116:W116"/>
    <mergeCell ref="AN116:AO116"/>
    <mergeCell ref="BJ116:BN116"/>
    <mergeCell ref="BO116:BP116"/>
    <mergeCell ref="L115:M115"/>
    <mergeCell ref="S115:U115"/>
    <mergeCell ref="V115:W115"/>
    <mergeCell ref="AX115:AY115"/>
    <mergeCell ref="BJ115:BN115"/>
    <mergeCell ref="BO115:BP115"/>
    <mergeCell ref="AX114:AY114"/>
    <mergeCell ref="BJ114:BN114"/>
    <mergeCell ref="BO114:BP114"/>
    <mergeCell ref="AN115:AO115"/>
    <mergeCell ref="AU115:AW115"/>
    <mergeCell ref="AV113:AW113"/>
    <mergeCell ref="AX113:AY113"/>
    <mergeCell ref="BJ113:BN113"/>
    <mergeCell ref="BO113:BP113"/>
    <mergeCell ref="T209:U209"/>
    <mergeCell ref="T210:U210"/>
    <mergeCell ref="EH25:EM25"/>
    <mergeCell ref="EV27:EY27"/>
    <mergeCell ref="EH27:EM27"/>
    <mergeCell ref="EH69:EN69"/>
    <mergeCell ref="T207:U207"/>
    <mergeCell ref="T208:U208"/>
    <mergeCell ref="F196:U197"/>
    <mergeCell ref="L198:O198"/>
    <mergeCell ref="F200:F202"/>
    <mergeCell ref="G200:H202"/>
    <mergeCell ref="I200:J202"/>
    <mergeCell ref="K200:L202"/>
    <mergeCell ref="M200:O202"/>
    <mergeCell ref="P200:Q202"/>
    <mergeCell ref="R200:S202"/>
    <mergeCell ref="T200:U202"/>
    <mergeCell ref="AN117:AO117"/>
    <mergeCell ref="AF111:AL111"/>
    <mergeCell ref="AF112:AL112"/>
    <mergeCell ref="AF113:AL113"/>
    <mergeCell ref="AF114:AL114"/>
    <mergeCell ref="AF115:AL115"/>
    <mergeCell ref="M209:O209"/>
    <mergeCell ref="M210:O210"/>
    <mergeCell ref="P209:Q209"/>
    <mergeCell ref="P210:Q210"/>
    <mergeCell ref="R209:S209"/>
    <mergeCell ref="R210:S210"/>
    <mergeCell ref="B46:H46"/>
    <mergeCell ref="G209:H209"/>
    <mergeCell ref="G210:H210"/>
    <mergeCell ref="I209:J209"/>
    <mergeCell ref="I210:J210"/>
    <mergeCell ref="D116:I116"/>
    <mergeCell ref="D113:J113"/>
    <mergeCell ref="D111:J111"/>
    <mergeCell ref="D112:J112"/>
    <mergeCell ref="M207:O207"/>
    <mergeCell ref="P207:Q207"/>
    <mergeCell ref="R207:S207"/>
    <mergeCell ref="I208:J208"/>
    <mergeCell ref="K208:L208"/>
    <mergeCell ref="M208:O208"/>
    <mergeCell ref="P208:Q208"/>
    <mergeCell ref="R208:S208"/>
    <mergeCell ref="M205:O205"/>
    <mergeCell ref="M212:O212"/>
    <mergeCell ref="P212:Q212"/>
    <mergeCell ref="R212:S212"/>
    <mergeCell ref="T212:U212"/>
    <mergeCell ref="I213:J213"/>
    <mergeCell ref="K213:L213"/>
    <mergeCell ref="M213:O213"/>
    <mergeCell ref="P213:Q213"/>
    <mergeCell ref="R213:S213"/>
    <mergeCell ref="T213:U213"/>
    <mergeCell ref="P205:Q205"/>
    <mergeCell ref="R205:S205"/>
    <mergeCell ref="T205:U205"/>
    <mergeCell ref="I206:J206"/>
    <mergeCell ref="K206:L206"/>
    <mergeCell ref="M206:O206"/>
    <mergeCell ref="P206:Q206"/>
    <mergeCell ref="R206:S206"/>
    <mergeCell ref="T206:U206"/>
    <mergeCell ref="I204:J204"/>
    <mergeCell ref="K204:L204"/>
    <mergeCell ref="M204:O204"/>
    <mergeCell ref="P204:Q204"/>
    <mergeCell ref="R204:S204"/>
    <mergeCell ref="T204:U204"/>
    <mergeCell ref="T203:U203"/>
    <mergeCell ref="G203:H203"/>
    <mergeCell ref="I203:J203"/>
    <mergeCell ref="K203:L203"/>
    <mergeCell ref="M203:O203"/>
    <mergeCell ref="P203:Q203"/>
    <mergeCell ref="R203:S203"/>
    <mergeCell ref="L114:M114"/>
    <mergeCell ref="S114:U114"/>
    <mergeCell ref="V114:W114"/>
    <mergeCell ref="AN114:AO114"/>
    <mergeCell ref="AR112:AV112"/>
    <mergeCell ref="AX112:AY112"/>
    <mergeCell ref="BJ112:BN112"/>
    <mergeCell ref="BO112:BP112"/>
    <mergeCell ref="L113:M113"/>
    <mergeCell ref="T113:U113"/>
    <mergeCell ref="V113:W113"/>
    <mergeCell ref="AN113:AO113"/>
    <mergeCell ref="BO111:BP111"/>
    <mergeCell ref="L112:M112"/>
    <mergeCell ref="P112:T112"/>
    <mergeCell ref="V112:W112"/>
    <mergeCell ref="AN112:AO112"/>
    <mergeCell ref="L111:M111"/>
    <mergeCell ref="V111:W111"/>
    <mergeCell ref="AN111:AO111"/>
    <mergeCell ref="AX111:AY111"/>
    <mergeCell ref="BJ111:BN111"/>
    <mergeCell ref="L110:M110"/>
    <mergeCell ref="V110:W110"/>
    <mergeCell ref="AN110:AO110"/>
    <mergeCell ref="AX110:AY110"/>
    <mergeCell ref="BJ110:BN110"/>
    <mergeCell ref="BO110:BP110"/>
    <mergeCell ref="L109:M109"/>
    <mergeCell ref="V109:W109"/>
    <mergeCell ref="AN109:AO109"/>
    <mergeCell ref="AX109:AY109"/>
    <mergeCell ref="BJ109:BN109"/>
    <mergeCell ref="BO109:BP109"/>
    <mergeCell ref="AN108:AO108"/>
    <mergeCell ref="AX108:AY108"/>
    <mergeCell ref="BJ108:BN108"/>
    <mergeCell ref="BO108:BP108"/>
    <mergeCell ref="CL106:CM106"/>
    <mergeCell ref="CN106:CQ106"/>
    <mergeCell ref="L107:M107"/>
    <mergeCell ref="V107:W107"/>
    <mergeCell ref="AN107:AO107"/>
    <mergeCell ref="AX107:AY107"/>
    <mergeCell ref="BJ107:BN107"/>
    <mergeCell ref="BO107:BP107"/>
    <mergeCell ref="E97:G97"/>
    <mergeCell ref="AG97:AI97"/>
    <mergeCell ref="BI98:BP98"/>
    <mergeCell ref="BL99:BN99"/>
    <mergeCell ref="A100:A122"/>
    <mergeCell ref="B100:B122"/>
    <mergeCell ref="BJ101:BN101"/>
    <mergeCell ref="BO101:BP101"/>
    <mergeCell ref="BJ102:BN102"/>
    <mergeCell ref="BO102:BP102"/>
    <mergeCell ref="D105:M105"/>
    <mergeCell ref="AF105:AO105"/>
    <mergeCell ref="BJ105:BN105"/>
    <mergeCell ref="BO105:BP105"/>
    <mergeCell ref="BJ106:BN106"/>
    <mergeCell ref="BO106:BP106"/>
    <mergeCell ref="BJ103:BN103"/>
    <mergeCell ref="BO103:BP103"/>
    <mergeCell ref="D104:M104"/>
    <mergeCell ref="AF104:AO104"/>
    <mergeCell ref="BJ104:BN104"/>
    <mergeCell ref="BO104:BP104"/>
    <mergeCell ref="L108:M108"/>
    <mergeCell ref="V108:W108"/>
    <mergeCell ref="FO74:FP74"/>
    <mergeCell ref="FU74:FX74"/>
    <mergeCell ref="FY74:FZ74"/>
    <mergeCell ref="E93:L93"/>
    <mergeCell ref="E94:K94"/>
    <mergeCell ref="CC94:CD94"/>
    <mergeCell ref="CE94:CF94"/>
    <mergeCell ref="DP74:DQ74"/>
    <mergeCell ref="DV74:DY74"/>
    <mergeCell ref="DZ74:EA74"/>
    <mergeCell ref="EP74:EQ74"/>
    <mergeCell ref="EZ74:FA74"/>
    <mergeCell ref="CN73:CO73"/>
    <mergeCell ref="CR73:CW73"/>
    <mergeCell ref="CX73:CY73"/>
    <mergeCell ref="FG72:FM72"/>
    <mergeCell ref="FO72:FP72"/>
    <mergeCell ref="FY72:FZ72"/>
    <mergeCell ref="EP72:EQ72"/>
    <mergeCell ref="EZ72:FA72"/>
    <mergeCell ref="EZ73:FA73"/>
    <mergeCell ref="FG73:FM73"/>
    <mergeCell ref="FO73:FP73"/>
    <mergeCell ref="FU73:FX73"/>
    <mergeCell ref="FY73:FZ73"/>
    <mergeCell ref="DH73:DN73"/>
    <mergeCell ref="DP73:DQ73"/>
    <mergeCell ref="DV73:DY73"/>
    <mergeCell ref="DZ73:EA73"/>
    <mergeCell ref="EH73:EN73"/>
    <mergeCell ref="EP73:EQ73"/>
    <mergeCell ref="EU72:EY72"/>
    <mergeCell ref="EU73:EY73"/>
    <mergeCell ref="FU72:FX72"/>
    <mergeCell ref="M73:N73"/>
    <mergeCell ref="Q73:V73"/>
    <mergeCell ref="W73:X73"/>
    <mergeCell ref="AK73:AL73"/>
    <mergeCell ref="AO73:AT73"/>
    <mergeCell ref="AU73:AV73"/>
    <mergeCell ref="DW72:DY72"/>
    <mergeCell ref="DZ72:EA72"/>
    <mergeCell ref="EH72:EN72"/>
    <mergeCell ref="CF72:CJ72"/>
    <mergeCell ref="CN72:CO72"/>
    <mergeCell ref="CR72:CW72"/>
    <mergeCell ref="CX72:CY72"/>
    <mergeCell ref="DH72:DN72"/>
    <mergeCell ref="DP72:DQ72"/>
    <mergeCell ref="AO72:AT72"/>
    <mergeCell ref="AU72:AV72"/>
    <mergeCell ref="BD72:BH72"/>
    <mergeCell ref="BL72:BM72"/>
    <mergeCell ref="BP72:BU72"/>
    <mergeCell ref="BV72:BW72"/>
    <mergeCell ref="BL73:BM73"/>
    <mergeCell ref="BP73:BU73"/>
    <mergeCell ref="BV73:BW73"/>
    <mergeCell ref="E72:I72"/>
    <mergeCell ref="M72:N72"/>
    <mergeCell ref="Q72:V72"/>
    <mergeCell ref="W72:X72"/>
    <mergeCell ref="AC72:AG72"/>
    <mergeCell ref="AK72:AL72"/>
    <mergeCell ref="EZ71:FA71"/>
    <mergeCell ref="FO71:FP71"/>
    <mergeCell ref="FV71:FX71"/>
    <mergeCell ref="E71:J71"/>
    <mergeCell ref="M71:N71"/>
    <mergeCell ref="W71:X71"/>
    <mergeCell ref="AC71:AH71"/>
    <mergeCell ref="AK71:AL71"/>
    <mergeCell ref="AU71:AV71"/>
    <mergeCell ref="EV71:EY71"/>
    <mergeCell ref="EH71:EN71"/>
    <mergeCell ref="FG71:FM71"/>
    <mergeCell ref="FY71:FZ71"/>
    <mergeCell ref="DH71:DM71"/>
    <mergeCell ref="DP71:DQ71"/>
    <mergeCell ref="DW71:DY71"/>
    <mergeCell ref="DZ71:EA71"/>
    <mergeCell ref="EP71:EQ71"/>
    <mergeCell ref="BD71:BI71"/>
    <mergeCell ref="BL71:BM71"/>
    <mergeCell ref="BV71:BW71"/>
    <mergeCell ref="CF71:CK71"/>
    <mergeCell ref="CN71:CO71"/>
    <mergeCell ref="CX71:CY71"/>
    <mergeCell ref="EX69:EY69"/>
    <mergeCell ref="EZ69:FA69"/>
    <mergeCell ref="EP70:EQ70"/>
    <mergeCell ref="EZ70:FA70"/>
    <mergeCell ref="FO70:FP70"/>
    <mergeCell ref="FV70:FX70"/>
    <mergeCell ref="FY70:FZ70"/>
    <mergeCell ref="CN70:CO70"/>
    <mergeCell ref="CU70:CW70"/>
    <mergeCell ref="CX70:CY70"/>
    <mergeCell ref="DP70:DQ70"/>
    <mergeCell ref="DW70:DY70"/>
    <mergeCell ref="DZ70:EA70"/>
    <mergeCell ref="EV70:EY70"/>
    <mergeCell ref="EH70:EN70"/>
    <mergeCell ref="FG69:FM69"/>
    <mergeCell ref="FG70:FM70"/>
    <mergeCell ref="E70:J70"/>
    <mergeCell ref="M70:N70"/>
    <mergeCell ref="T70:V70"/>
    <mergeCell ref="W70:X70"/>
    <mergeCell ref="AC70:AH70"/>
    <mergeCell ref="AK70:AL70"/>
    <mergeCell ref="AR70:AT70"/>
    <mergeCell ref="DZ69:EA69"/>
    <mergeCell ref="EP69:EQ69"/>
    <mergeCell ref="BV69:BW69"/>
    <mergeCell ref="CN69:CO69"/>
    <mergeCell ref="CX69:CY69"/>
    <mergeCell ref="DH69:DM69"/>
    <mergeCell ref="DP69:DQ69"/>
    <mergeCell ref="DX69:DY69"/>
    <mergeCell ref="AU70:AV70"/>
    <mergeCell ref="BD70:BI70"/>
    <mergeCell ref="BL70:BM70"/>
    <mergeCell ref="BS70:BU70"/>
    <mergeCell ref="BV70:BW70"/>
    <mergeCell ref="CF70:CK70"/>
    <mergeCell ref="FS68:FW68"/>
    <mergeCell ref="FY68:FZ68"/>
    <mergeCell ref="M69:N69"/>
    <mergeCell ref="W69:X69"/>
    <mergeCell ref="AK69:AL69"/>
    <mergeCell ref="AU69:AV69"/>
    <mergeCell ref="BL69:BM69"/>
    <mergeCell ref="DZ68:EA68"/>
    <mergeCell ref="EH68:EJ68"/>
    <mergeCell ref="EK68:EN68"/>
    <mergeCell ref="EP68:EQ68"/>
    <mergeCell ref="ET68:EX68"/>
    <mergeCell ref="EZ68:FA68"/>
    <mergeCell ref="CV68:CW68"/>
    <mergeCell ref="CX68:CY68"/>
    <mergeCell ref="DH68:DJ68"/>
    <mergeCell ref="DK68:DN68"/>
    <mergeCell ref="DP68:DQ68"/>
    <mergeCell ref="DT68:DX68"/>
    <mergeCell ref="BD68:BI68"/>
    <mergeCell ref="BL68:BM68"/>
    <mergeCell ref="FO69:FP69"/>
    <mergeCell ref="FW69:FX69"/>
    <mergeCell ref="FY69:FZ69"/>
    <mergeCell ref="CN68:CO68"/>
    <mergeCell ref="FW67:FX67"/>
    <mergeCell ref="FY67:FZ67"/>
    <mergeCell ref="E68:J68"/>
    <mergeCell ref="M68:N68"/>
    <mergeCell ref="U68:V68"/>
    <mergeCell ref="W68:X68"/>
    <mergeCell ref="AC68:AH68"/>
    <mergeCell ref="AK68:AL68"/>
    <mergeCell ref="AS68:AT68"/>
    <mergeCell ref="AU68:AV68"/>
    <mergeCell ref="EH67:EJ67"/>
    <mergeCell ref="EP67:EQ67"/>
    <mergeCell ref="EX67:EY67"/>
    <mergeCell ref="EZ67:FA67"/>
    <mergeCell ref="FG67:FI67"/>
    <mergeCell ref="FO67:FP67"/>
    <mergeCell ref="CR67:CV67"/>
    <mergeCell ref="CX67:CY67"/>
    <mergeCell ref="DH67:DJ67"/>
    <mergeCell ref="DP67:DQ67"/>
    <mergeCell ref="FG68:FI68"/>
    <mergeCell ref="FJ68:FM68"/>
    <mergeCell ref="FO68:FP68"/>
    <mergeCell ref="DX67:DY67"/>
    <mergeCell ref="DZ67:EA67"/>
    <mergeCell ref="BL67:BM67"/>
    <mergeCell ref="BP67:BT67"/>
    <mergeCell ref="BV67:BW67"/>
    <mergeCell ref="CF67:CH67"/>
    <mergeCell ref="CI67:CL67"/>
    <mergeCell ref="CN67:CO67"/>
    <mergeCell ref="AF67:AI67"/>
    <mergeCell ref="AK67:AL67"/>
    <mergeCell ref="AO67:AS67"/>
    <mergeCell ref="AU67:AV67"/>
    <mergeCell ref="BD67:BF67"/>
    <mergeCell ref="BG67:BJ67"/>
    <mergeCell ref="EZ66:FA66"/>
    <mergeCell ref="FO66:FP66"/>
    <mergeCell ref="FY66:FZ66"/>
    <mergeCell ref="BD66:BF66"/>
    <mergeCell ref="BL66:BM66"/>
    <mergeCell ref="BV66:BW66"/>
    <mergeCell ref="CF66:CH66"/>
    <mergeCell ref="CN66:CO66"/>
    <mergeCell ref="CX66:CY66"/>
    <mergeCell ref="DP66:DQ66"/>
    <mergeCell ref="DZ66:EA66"/>
    <mergeCell ref="EP66:EQ66"/>
    <mergeCell ref="FY65:FZ65"/>
    <mergeCell ref="FO64:FP64"/>
    <mergeCell ref="FY64:FZ64"/>
    <mergeCell ref="M65:N65"/>
    <mergeCell ref="W65:X65"/>
    <mergeCell ref="AK65:AL65"/>
    <mergeCell ref="AU65:AV65"/>
    <mergeCell ref="BL65:BM65"/>
    <mergeCell ref="BV65:BW65"/>
    <mergeCell ref="CN65:CO65"/>
    <mergeCell ref="CX65:CY65"/>
    <mergeCell ref="CN64:CO64"/>
    <mergeCell ref="CX64:CY64"/>
    <mergeCell ref="DP64:DQ64"/>
    <mergeCell ref="DZ64:EA64"/>
    <mergeCell ref="EP64:EQ64"/>
    <mergeCell ref="EZ64:FA64"/>
    <mergeCell ref="M64:N64"/>
    <mergeCell ref="W64:X64"/>
    <mergeCell ref="DZ63:EA63"/>
    <mergeCell ref="EP63:EQ63"/>
    <mergeCell ref="EZ63:FA63"/>
    <mergeCell ref="FO63:FP63"/>
    <mergeCell ref="DP65:DQ65"/>
    <mergeCell ref="DZ65:EA65"/>
    <mergeCell ref="EP65:EQ65"/>
    <mergeCell ref="EZ65:FA65"/>
    <mergeCell ref="FO65:FP65"/>
    <mergeCell ref="FY63:FZ63"/>
    <mergeCell ref="CN62:CO62"/>
    <mergeCell ref="CX62:CY62"/>
    <mergeCell ref="M63:N63"/>
    <mergeCell ref="W63:X63"/>
    <mergeCell ref="AK63:AL63"/>
    <mergeCell ref="AU63:AV63"/>
    <mergeCell ref="BL63:BM63"/>
    <mergeCell ref="BV63:BW63"/>
    <mergeCell ref="CN63:CO63"/>
    <mergeCell ref="CX63:CY63"/>
    <mergeCell ref="M62:N62"/>
    <mergeCell ref="W62:X62"/>
    <mergeCell ref="AK62:AL62"/>
    <mergeCell ref="AU62:AV62"/>
    <mergeCell ref="BL62:BM62"/>
    <mergeCell ref="BV62:BW62"/>
    <mergeCell ref="EE56:EE78"/>
    <mergeCell ref="EF56:EF78"/>
    <mergeCell ref="AK64:AL64"/>
    <mergeCell ref="AU64:AV64"/>
    <mergeCell ref="BL64:BM64"/>
    <mergeCell ref="BV64:BW64"/>
    <mergeCell ref="DP63:DQ63"/>
    <mergeCell ref="DH60:DQ60"/>
    <mergeCell ref="EH60:EQ60"/>
    <mergeCell ref="FG60:FP60"/>
    <mergeCell ref="DH61:DQ61"/>
    <mergeCell ref="EH61:EQ61"/>
    <mergeCell ref="FG61:FP61"/>
    <mergeCell ref="FD56:FD78"/>
    <mergeCell ref="FE56:FE78"/>
    <mergeCell ref="E59:N59"/>
    <mergeCell ref="AC59:AL59"/>
    <mergeCell ref="BD59:BM59"/>
    <mergeCell ref="CF59:CO59"/>
    <mergeCell ref="E60:N60"/>
    <mergeCell ref="AC60:AL60"/>
    <mergeCell ref="BD60:BM60"/>
    <mergeCell ref="CF60:CO60"/>
    <mergeCell ref="BB55:BB77"/>
    <mergeCell ref="CC55:CC77"/>
    <mergeCell ref="CD55:CD77"/>
    <mergeCell ref="DI55:DK55"/>
    <mergeCell ref="EI55:EK55"/>
    <mergeCell ref="FH55:FJ55"/>
    <mergeCell ref="DE56:DE78"/>
    <mergeCell ref="DF56:DF78"/>
    <mergeCell ref="F54:H54"/>
    <mergeCell ref="AD54:AF54"/>
    <mergeCell ref="BE54:BG54"/>
    <mergeCell ref="CG54:CI54"/>
    <mergeCell ref="A55:A77"/>
    <mergeCell ref="B55:B77"/>
    <mergeCell ref="Z55:Z77"/>
    <mergeCell ref="AA55:AA77"/>
    <mergeCell ref="BA55:BA77"/>
    <mergeCell ref="E67:G67"/>
    <mergeCell ref="H67:K67"/>
    <mergeCell ref="M67:N67"/>
    <mergeCell ref="Q67:U67"/>
    <mergeCell ref="W67:X67"/>
    <mergeCell ref="AC67:AE67"/>
    <mergeCell ref="E66:G66"/>
    <mergeCell ref="M66:N66"/>
    <mergeCell ref="W66:X66"/>
    <mergeCell ref="AC66:AE66"/>
    <mergeCell ref="AK66:AL66"/>
    <mergeCell ref="AU66:AV66"/>
    <mergeCell ref="BT68:BU68"/>
    <mergeCell ref="BV68:BW68"/>
    <mergeCell ref="CF68:CK68"/>
    <mergeCell ref="F52:H52"/>
    <mergeCell ref="AD52:AF52"/>
    <mergeCell ref="BE52:BG52"/>
    <mergeCell ref="CG52:CI52"/>
    <mergeCell ref="DI53:DK53"/>
    <mergeCell ref="EI53:EK53"/>
    <mergeCell ref="DI49:DP49"/>
    <mergeCell ref="EI49:EP49"/>
    <mergeCell ref="FH49:FO49"/>
    <mergeCell ref="DI50:DO50"/>
    <mergeCell ref="EI50:EO50"/>
    <mergeCell ref="FH50:FN50"/>
    <mergeCell ref="FH53:FJ53"/>
    <mergeCell ref="E48:K48"/>
    <mergeCell ref="AD48:AK48"/>
    <mergeCell ref="BE48:BL48"/>
    <mergeCell ref="CG48:CN48"/>
    <mergeCell ref="E49:K49"/>
    <mergeCell ref="AD49:AJ49"/>
    <mergeCell ref="BE49:BK49"/>
    <mergeCell ref="CG49:CM49"/>
    <mergeCell ref="FG28:FM28"/>
    <mergeCell ref="FD11:FD33"/>
    <mergeCell ref="FE11:FE33"/>
    <mergeCell ref="EH28:EN28"/>
    <mergeCell ref="EP28:EQ28"/>
    <mergeCell ref="EV28:EY28"/>
    <mergeCell ref="EZ28:FA28"/>
    <mergeCell ref="EP29:EQ29"/>
    <mergeCell ref="EV29:EY29"/>
    <mergeCell ref="EZ29:FA29"/>
    <mergeCell ref="EH26:EM26"/>
    <mergeCell ref="EP26:EQ26"/>
    <mergeCell ref="EW26:EY26"/>
    <mergeCell ref="EZ26:FA26"/>
    <mergeCell ref="EP27:EQ27"/>
    <mergeCell ref="EZ27:FA27"/>
    <mergeCell ref="FO28:FP28"/>
    <mergeCell ref="FU28:FX28"/>
    <mergeCell ref="FY28:FZ28"/>
    <mergeCell ref="FO29:FP29"/>
    <mergeCell ref="FY29:FZ29"/>
    <mergeCell ref="FO26:FP26"/>
    <mergeCell ref="FV26:FX26"/>
    <mergeCell ref="FY26:FZ26"/>
    <mergeCell ref="FG27:FM27"/>
    <mergeCell ref="FO27:FP27"/>
    <mergeCell ref="FY27:FZ27"/>
    <mergeCell ref="FU27:FX27"/>
    <mergeCell ref="FG26:FM26"/>
    <mergeCell ref="FO24:FP24"/>
    <mergeCell ref="FW24:FX24"/>
    <mergeCell ref="FY24:FZ24"/>
    <mergeCell ref="FO25:FP25"/>
    <mergeCell ref="FV25:FX25"/>
    <mergeCell ref="FY25:FZ25"/>
    <mergeCell ref="FG24:FM24"/>
    <mergeCell ref="FG25:FM25"/>
    <mergeCell ref="FW22:FX22"/>
    <mergeCell ref="FY22:FZ22"/>
    <mergeCell ref="FG23:FI23"/>
    <mergeCell ref="FJ23:FM23"/>
    <mergeCell ref="FO23:FP23"/>
    <mergeCell ref="FS23:FW23"/>
    <mergeCell ref="FY23:FZ23"/>
    <mergeCell ref="FG22:FI22"/>
    <mergeCell ref="FO22:FP22"/>
    <mergeCell ref="FY18:FZ18"/>
    <mergeCell ref="FO19:FP19"/>
    <mergeCell ref="FY19:FZ19"/>
    <mergeCell ref="FO20:FP20"/>
    <mergeCell ref="FY20:FZ20"/>
    <mergeCell ref="FO21:FP21"/>
    <mergeCell ref="FY21:FZ21"/>
    <mergeCell ref="FH5:FN5"/>
    <mergeCell ref="FH8:FJ8"/>
    <mergeCell ref="FH10:FJ10"/>
    <mergeCell ref="FG15:FP15"/>
    <mergeCell ref="FG16:FP16"/>
    <mergeCell ref="FO18:FP18"/>
    <mergeCell ref="EP24:EQ24"/>
    <mergeCell ref="EX24:EY24"/>
    <mergeCell ref="EZ24:FA24"/>
    <mergeCell ref="EP25:EQ25"/>
    <mergeCell ref="EW25:EY25"/>
    <mergeCell ref="EZ25:FA25"/>
    <mergeCell ref="EH24:EN24"/>
    <mergeCell ref="EX22:EY22"/>
    <mergeCell ref="EZ22:FA22"/>
    <mergeCell ref="EH23:EJ23"/>
    <mergeCell ref="EK23:EN23"/>
    <mergeCell ref="EP23:EQ23"/>
    <mergeCell ref="ET23:EX23"/>
    <mergeCell ref="EZ23:FA23"/>
    <mergeCell ref="EZ18:FA18"/>
    <mergeCell ref="EP19:EQ19"/>
    <mergeCell ref="EZ19:FA19"/>
    <mergeCell ref="EP20:EQ20"/>
    <mergeCell ref="EZ20:FA20"/>
    <mergeCell ref="EP21:EQ21"/>
    <mergeCell ref="EZ21:FA21"/>
    <mergeCell ref="EI5:EO5"/>
    <mergeCell ref="EI8:EK8"/>
    <mergeCell ref="EI10:EK10"/>
    <mergeCell ref="EE11:EE33"/>
    <mergeCell ref="EF11:EF33"/>
    <mergeCell ref="EH15:EQ15"/>
    <mergeCell ref="EH16:EQ16"/>
    <mergeCell ref="EP18:EQ18"/>
    <mergeCell ref="EH22:EJ22"/>
    <mergeCell ref="EP22:EQ22"/>
    <mergeCell ref="DH28:DN28"/>
    <mergeCell ref="DP28:DQ28"/>
    <mergeCell ref="DV28:DY28"/>
    <mergeCell ref="DZ28:EA28"/>
    <mergeCell ref="DP29:DQ29"/>
    <mergeCell ref="DV29:DY29"/>
    <mergeCell ref="DZ29:EA29"/>
    <mergeCell ref="DH26:DM26"/>
    <mergeCell ref="DP26:DQ26"/>
    <mergeCell ref="DW26:DY26"/>
    <mergeCell ref="DZ26:EA26"/>
    <mergeCell ref="DH27:DN27"/>
    <mergeCell ref="DP27:DQ27"/>
    <mergeCell ref="DW27:DY27"/>
    <mergeCell ref="DZ27:EA27"/>
    <mergeCell ref="DH24:DM24"/>
    <mergeCell ref="DP24:DQ24"/>
    <mergeCell ref="DX24:DY24"/>
    <mergeCell ref="DZ24:EA24"/>
    <mergeCell ref="DP25:DQ25"/>
    <mergeCell ref="DW25:DY25"/>
    <mergeCell ref="DZ25:EA25"/>
    <mergeCell ref="DP22:DQ22"/>
    <mergeCell ref="DX22:DY22"/>
    <mergeCell ref="DZ22:EA22"/>
    <mergeCell ref="DH23:DJ23"/>
    <mergeCell ref="DK23:DN23"/>
    <mergeCell ref="DP23:DQ23"/>
    <mergeCell ref="DT23:DX23"/>
    <mergeCell ref="DZ23:EA23"/>
    <mergeCell ref="DH22:DJ22"/>
    <mergeCell ref="DZ18:EA18"/>
    <mergeCell ref="DP19:DQ19"/>
    <mergeCell ref="DZ19:EA19"/>
    <mergeCell ref="DP20:DQ20"/>
    <mergeCell ref="DZ20:EA20"/>
    <mergeCell ref="DP21:DQ21"/>
    <mergeCell ref="DZ21:EA21"/>
    <mergeCell ref="DI4:DP4"/>
    <mergeCell ref="DI5:DO5"/>
    <mergeCell ref="DI8:DK8"/>
    <mergeCell ref="DI10:DK10"/>
    <mergeCell ref="DE11:DE33"/>
    <mergeCell ref="DF11:DF33"/>
    <mergeCell ref="DH15:DQ15"/>
    <mergeCell ref="DH16:DQ16"/>
    <mergeCell ref="DP18:DQ18"/>
    <mergeCell ref="G212:H212"/>
    <mergeCell ref="G213:H213"/>
    <mergeCell ref="I212:J212"/>
    <mergeCell ref="K212:L212"/>
    <mergeCell ref="K209:L209"/>
    <mergeCell ref="K210:L210"/>
    <mergeCell ref="G207:H207"/>
    <mergeCell ref="G208:H208"/>
    <mergeCell ref="I207:J207"/>
    <mergeCell ref="K207:L207"/>
    <mergeCell ref="G205:H205"/>
    <mergeCell ref="G206:H206"/>
    <mergeCell ref="I205:J205"/>
    <mergeCell ref="K205:L205"/>
    <mergeCell ref="G204:H204"/>
    <mergeCell ref="L118:M118"/>
    <mergeCell ref="L117:M117"/>
    <mergeCell ref="BV28:BW28"/>
    <mergeCell ref="CN28:CO28"/>
    <mergeCell ref="CR28:CW28"/>
    <mergeCell ref="CX28:CY28"/>
    <mergeCell ref="CR27:CW27"/>
    <mergeCell ref="CX27:CY27"/>
    <mergeCell ref="M28:N28"/>
    <mergeCell ref="Q28:V28"/>
    <mergeCell ref="W28:X28"/>
    <mergeCell ref="AK28:AL28"/>
    <mergeCell ref="AO28:AT28"/>
    <mergeCell ref="AU28:AV28"/>
    <mergeCell ref="BL28:BM28"/>
    <mergeCell ref="BP28:BU28"/>
    <mergeCell ref="BD27:BH27"/>
    <mergeCell ref="BL27:BM27"/>
    <mergeCell ref="BP27:BU27"/>
    <mergeCell ref="BV27:BW27"/>
    <mergeCell ref="CF27:CJ27"/>
    <mergeCell ref="CN27:CO27"/>
    <mergeCell ref="CN26:CO26"/>
    <mergeCell ref="CX26:CY26"/>
    <mergeCell ref="E27:I27"/>
    <mergeCell ref="M27:N27"/>
    <mergeCell ref="Q27:V27"/>
    <mergeCell ref="W27:X27"/>
    <mergeCell ref="AC27:AG27"/>
    <mergeCell ref="AK27:AL27"/>
    <mergeCell ref="AO27:AT27"/>
    <mergeCell ref="AU27:AV27"/>
    <mergeCell ref="AK26:AL26"/>
    <mergeCell ref="AU26:AV26"/>
    <mergeCell ref="BD26:BI26"/>
    <mergeCell ref="BL26:BM26"/>
    <mergeCell ref="BV26:BW26"/>
    <mergeCell ref="CF26:CK26"/>
    <mergeCell ref="E26:J26"/>
    <mergeCell ref="M26:N26"/>
    <mergeCell ref="W26:X26"/>
    <mergeCell ref="AC26:AH26"/>
    <mergeCell ref="E25:J25"/>
    <mergeCell ref="M25:N25"/>
    <mergeCell ref="T25:V25"/>
    <mergeCell ref="W25:X25"/>
    <mergeCell ref="BL24:BM24"/>
    <mergeCell ref="BV24:BW24"/>
    <mergeCell ref="CN24:CO24"/>
    <mergeCell ref="CX24:CY24"/>
    <mergeCell ref="M24:N24"/>
    <mergeCell ref="W24:X24"/>
    <mergeCell ref="AK24:AL24"/>
    <mergeCell ref="AU24:AV24"/>
    <mergeCell ref="BS25:BU25"/>
    <mergeCell ref="BV25:BW25"/>
    <mergeCell ref="CF25:CK25"/>
    <mergeCell ref="CN25:CO25"/>
    <mergeCell ref="CU25:CW25"/>
    <mergeCell ref="CX25:CY25"/>
    <mergeCell ref="AC25:AH25"/>
    <mergeCell ref="AK25:AL25"/>
    <mergeCell ref="AR25:AT25"/>
    <mergeCell ref="AU25:AV25"/>
    <mergeCell ref="BD25:BI25"/>
    <mergeCell ref="BL25:BM25"/>
    <mergeCell ref="CX23:CY23"/>
    <mergeCell ref="BL23:BM23"/>
    <mergeCell ref="BT23:BU23"/>
    <mergeCell ref="BV23:BW23"/>
    <mergeCell ref="CF23:CK23"/>
    <mergeCell ref="CN23:CO23"/>
    <mergeCell ref="CV23:CW23"/>
    <mergeCell ref="W23:X23"/>
    <mergeCell ref="AC23:AH23"/>
    <mergeCell ref="AK23:AL23"/>
    <mergeCell ref="AS23:AT23"/>
    <mergeCell ref="AU23:AV23"/>
    <mergeCell ref="BD23:BI23"/>
    <mergeCell ref="CX22:CY22"/>
    <mergeCell ref="BP22:BT22"/>
    <mergeCell ref="BV22:BW22"/>
    <mergeCell ref="CF22:CH22"/>
    <mergeCell ref="CI22:CL22"/>
    <mergeCell ref="CN22:CO22"/>
    <mergeCell ref="CR22:CV22"/>
    <mergeCell ref="AK22:AL22"/>
    <mergeCell ref="AO22:AS22"/>
    <mergeCell ref="AU22:AV22"/>
    <mergeCell ref="BD22:BF22"/>
    <mergeCell ref="BG22:BJ22"/>
    <mergeCell ref="BL22:BM22"/>
    <mergeCell ref="CN20:CO20"/>
    <mergeCell ref="CX20:CY20"/>
    <mergeCell ref="M20:N20"/>
    <mergeCell ref="W20:X20"/>
    <mergeCell ref="AK20:AL20"/>
    <mergeCell ref="AU20:AV20"/>
    <mergeCell ref="BL20:BM20"/>
    <mergeCell ref="BV20:BW20"/>
    <mergeCell ref="BV21:BW21"/>
    <mergeCell ref="CF21:CH21"/>
    <mergeCell ref="CN21:CO21"/>
    <mergeCell ref="CX21:CY21"/>
    <mergeCell ref="W21:X21"/>
    <mergeCell ref="AC21:AE21"/>
    <mergeCell ref="AK21:AL21"/>
    <mergeCell ref="AU21:AV21"/>
    <mergeCell ref="BD21:BF21"/>
    <mergeCell ref="BL21:BM21"/>
    <mergeCell ref="BB10:BB32"/>
    <mergeCell ref="CC10:CC32"/>
    <mergeCell ref="CD10:CD32"/>
    <mergeCell ref="E14:N14"/>
    <mergeCell ref="AC14:AL14"/>
    <mergeCell ref="BD14:BM14"/>
    <mergeCell ref="CN17:CO17"/>
    <mergeCell ref="CX17:CY17"/>
    <mergeCell ref="M17:N17"/>
    <mergeCell ref="W17:X17"/>
    <mergeCell ref="BD15:BM15"/>
    <mergeCell ref="CF15:CO15"/>
    <mergeCell ref="AK19:AL19"/>
    <mergeCell ref="AU19:AV19"/>
    <mergeCell ref="BL19:BM19"/>
    <mergeCell ref="BV19:BW19"/>
    <mergeCell ref="CN19:CO19"/>
    <mergeCell ref="CX19:CY19"/>
    <mergeCell ref="M19:N19"/>
    <mergeCell ref="W19:X19"/>
    <mergeCell ref="CN18:CO18"/>
    <mergeCell ref="CX18:CY18"/>
    <mergeCell ref="M18:N18"/>
    <mergeCell ref="W18:X18"/>
    <mergeCell ref="AK18:AL18"/>
    <mergeCell ref="AU18:AV18"/>
    <mergeCell ref="BL18:BM18"/>
    <mergeCell ref="BV18:BW18"/>
    <mergeCell ref="AA10:AA32"/>
    <mergeCell ref="BA10:BA32"/>
    <mergeCell ref="AK17:AL17"/>
    <mergeCell ref="AU17:AV17"/>
    <mergeCell ref="BL17:BM17"/>
    <mergeCell ref="BV17:BW17"/>
    <mergeCell ref="E21:G21"/>
    <mergeCell ref="M21:N21"/>
    <mergeCell ref="E23:J23"/>
    <mergeCell ref="M23:N23"/>
    <mergeCell ref="U23:V23"/>
    <mergeCell ref="H22:K22"/>
    <mergeCell ref="M22:N22"/>
    <mergeCell ref="Q22:U22"/>
    <mergeCell ref="W22:X22"/>
    <mergeCell ref="AC22:AE22"/>
    <mergeCell ref="AF22:AI22"/>
    <mergeCell ref="E22:G22"/>
    <mergeCell ref="EI4:EP4"/>
    <mergeCell ref="FH4:FO4"/>
    <mergeCell ref="E3:K3"/>
    <mergeCell ref="AD3:AK3"/>
    <mergeCell ref="BE3:BL3"/>
    <mergeCell ref="CG3:CN3"/>
    <mergeCell ref="CG9:CI9"/>
    <mergeCell ref="A10:A32"/>
    <mergeCell ref="B10:B32"/>
    <mergeCell ref="Z10:Z32"/>
    <mergeCell ref="F9:H9"/>
    <mergeCell ref="AD9:AF9"/>
    <mergeCell ref="BE9:BG9"/>
    <mergeCell ref="CG4:CM4"/>
    <mergeCell ref="F7:H7"/>
    <mergeCell ref="AD7:AF7"/>
    <mergeCell ref="BE7:BG7"/>
    <mergeCell ref="CG7:CI7"/>
    <mergeCell ref="E4:K4"/>
    <mergeCell ref="AD4:AJ4"/>
    <mergeCell ref="BE4:BK4"/>
    <mergeCell ref="CF14:CO14"/>
    <mergeCell ref="E15:N15"/>
    <mergeCell ref="AC15:AL15"/>
    <mergeCell ref="GD56:GD78"/>
    <mergeCell ref="GC56:GC78"/>
    <mergeCell ref="GX74:GY74"/>
    <mergeCell ref="GT74:GW74"/>
    <mergeCell ref="GN74:GO74"/>
    <mergeCell ref="GX73:GY73"/>
    <mergeCell ref="GT73:GW73"/>
    <mergeCell ref="GN73:GO73"/>
    <mergeCell ref="GF73:GL73"/>
    <mergeCell ref="GX72:GY72"/>
    <mergeCell ref="GT72:GW72"/>
    <mergeCell ref="GN72:GO72"/>
    <mergeCell ref="GF72:GL72"/>
    <mergeCell ref="GX71:GY71"/>
    <mergeCell ref="GU71:GW71"/>
    <mergeCell ref="GN71:GO71"/>
    <mergeCell ref="GF71:GL71"/>
    <mergeCell ref="GX70:GY70"/>
    <mergeCell ref="GU70:GW70"/>
    <mergeCell ref="GN70:GO70"/>
    <mergeCell ref="GF70:GL70"/>
    <mergeCell ref="GX69:GY69"/>
    <mergeCell ref="GV69:GW69"/>
    <mergeCell ref="GN69:GO69"/>
    <mergeCell ref="GF69:GL69"/>
    <mergeCell ref="GX68:GY68"/>
    <mergeCell ref="GR68:GV68"/>
    <mergeCell ref="GN68:GO68"/>
    <mergeCell ref="GI68:GL68"/>
    <mergeCell ref="GF68:GH68"/>
    <mergeCell ref="GX67:GY67"/>
    <mergeCell ref="GV67:GW67"/>
    <mergeCell ref="GN67:GO67"/>
    <mergeCell ref="GF67:GH67"/>
    <mergeCell ref="GX66:GY66"/>
    <mergeCell ref="GN66:GO66"/>
    <mergeCell ref="GX65:GY65"/>
    <mergeCell ref="GN65:GO65"/>
    <mergeCell ref="GX64:GY64"/>
    <mergeCell ref="GN64:GO64"/>
    <mergeCell ref="GX63:GY63"/>
    <mergeCell ref="GN63:GO63"/>
    <mergeCell ref="GF61:GO61"/>
    <mergeCell ref="GF60:GO60"/>
    <mergeCell ref="GG55:GI55"/>
    <mergeCell ref="GG53:GI53"/>
    <mergeCell ref="GG50:GM50"/>
    <mergeCell ref="GG49:GN49"/>
    <mergeCell ref="GD11:GD33"/>
    <mergeCell ref="GC11:GC33"/>
    <mergeCell ref="GX29:GY29"/>
    <mergeCell ref="GN29:GO29"/>
    <mergeCell ref="GX28:GY28"/>
    <mergeCell ref="GT28:GW28"/>
    <mergeCell ref="GN28:GO28"/>
    <mergeCell ref="GF28:GL28"/>
    <mergeCell ref="GX27:GY27"/>
    <mergeCell ref="GT27:GW27"/>
    <mergeCell ref="GN27:GO27"/>
    <mergeCell ref="GF27:GL27"/>
    <mergeCell ref="GX26:GY26"/>
    <mergeCell ref="GU26:GW26"/>
    <mergeCell ref="GN26:GO26"/>
    <mergeCell ref="GF26:GL26"/>
    <mergeCell ref="GX25:GY25"/>
    <mergeCell ref="GU25:GW25"/>
    <mergeCell ref="GN25:GO25"/>
    <mergeCell ref="GN19:GO19"/>
    <mergeCell ref="GF25:GL25"/>
    <mergeCell ref="GX24:GY24"/>
    <mergeCell ref="GV24:GW24"/>
    <mergeCell ref="GN24:GO24"/>
    <mergeCell ref="GF24:GL24"/>
    <mergeCell ref="GX23:GY23"/>
    <mergeCell ref="GR23:GV23"/>
    <mergeCell ref="GN23:GO23"/>
    <mergeCell ref="GI23:GL23"/>
    <mergeCell ref="GF23:GH23"/>
    <mergeCell ref="GX18:GY18"/>
    <mergeCell ref="GN18:GO18"/>
    <mergeCell ref="GF16:GO16"/>
    <mergeCell ref="GF15:GO15"/>
    <mergeCell ref="GG10:GI10"/>
    <mergeCell ref="GG8:GI8"/>
    <mergeCell ref="GG5:GM5"/>
    <mergeCell ref="GG4:GN4"/>
    <mergeCell ref="G211:H211"/>
    <mergeCell ref="I211:J211"/>
    <mergeCell ref="K211:L211"/>
    <mergeCell ref="M211:O211"/>
    <mergeCell ref="P211:Q211"/>
    <mergeCell ref="R211:S211"/>
    <mergeCell ref="T211:U211"/>
    <mergeCell ref="GX22:GY22"/>
    <mergeCell ref="GV22:GW22"/>
    <mergeCell ref="GN22:GO22"/>
    <mergeCell ref="GF22:GH22"/>
    <mergeCell ref="GX21:GY21"/>
    <mergeCell ref="GN21:GO21"/>
    <mergeCell ref="GX20:GY20"/>
    <mergeCell ref="GN20:GO20"/>
    <mergeCell ref="GX19:GY19"/>
  </mergeCells>
  <pageMargins left="0.7" right="0.7" top="0.75" bottom="0.75" header="0.3" footer="0.3"/>
  <pageSetup orientation="portrait" r:id="rId4"/>
  <ignoredErrors>
    <ignoredError sqref="W28 M27 DP22:DQ26 EP22:EQ22 FO20:FP23 M62:N70 DP67:DQ71 EQ23 FP24 U107:U110 V107:W111 V113:W115 W112 L107:M110 M111 M112 AW107:AW110 AX108:AY111 AX113:AY115 AY112 AX107 AN110:AO110 AO111 BO117 DP28:DQ28 DQ27 M72:N72 N71 DP73:DQ73 DQ72" evalError="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00FF"/>
  </sheetPr>
  <dimension ref="A1:L101"/>
  <sheetViews>
    <sheetView workbookViewId="0">
      <selection activeCell="G99" sqref="G99"/>
    </sheetView>
  </sheetViews>
  <sheetFormatPr defaultColWidth="0" defaultRowHeight="15" zeroHeight="1"/>
  <cols>
    <col min="1" max="1" width="4.28515625" style="12" customWidth="1"/>
    <col min="2" max="2" width="9.140625" style="12" customWidth="1"/>
    <col min="3" max="3" width="13.85546875" style="12" customWidth="1"/>
    <col min="4" max="5" width="9.140625" style="12" customWidth="1"/>
    <col min="6" max="6" width="11.28515625" style="12" customWidth="1"/>
    <col min="7" max="7" width="14.5703125" style="12" customWidth="1"/>
    <col min="8" max="8" width="11.42578125" style="12" customWidth="1"/>
    <col min="9" max="9" width="11.140625" style="12" customWidth="1"/>
    <col min="10" max="10" width="9.140625" style="12" customWidth="1"/>
    <col min="11" max="11" width="12.42578125" style="12" customWidth="1"/>
    <col min="12" max="12" width="2.42578125" style="1654" customWidth="1"/>
    <col min="13" max="16384" width="9.140625" style="12" hidden="1"/>
  </cols>
  <sheetData>
    <row r="1" spans="1:11" ht="26.25" customHeight="1">
      <c r="A1" s="1653"/>
      <c r="B1" s="6877" t="s">
        <v>1451</v>
      </c>
      <c r="C1" s="6877"/>
      <c r="D1" s="6877"/>
      <c r="E1" s="6877"/>
      <c r="F1" s="6877"/>
      <c r="G1" s="6877"/>
      <c r="H1" s="6877"/>
      <c r="I1" s="6877"/>
      <c r="J1" s="6877"/>
      <c r="K1" s="6877"/>
    </row>
    <row r="2" spans="1:11" ht="26.25" customHeight="1">
      <c r="A2" s="1655"/>
      <c r="B2" s="6880"/>
      <c r="C2" s="6878"/>
      <c r="D2" s="6881" t="s">
        <v>1261</v>
      </c>
      <c r="E2" s="6881"/>
      <c r="F2" s="6881"/>
      <c r="G2" s="6881"/>
      <c r="H2" s="6878"/>
      <c r="I2" s="6878"/>
      <c r="J2" s="6878"/>
      <c r="K2" s="6879"/>
    </row>
    <row r="3" spans="1:11" ht="48" customHeight="1">
      <c r="A3" s="1654"/>
      <c r="B3" s="6875" t="s">
        <v>1254</v>
      </c>
      <c r="C3" s="6875"/>
      <c r="D3" s="6875" t="s">
        <v>1260</v>
      </c>
      <c r="E3" s="6875"/>
      <c r="F3" s="6875" t="s">
        <v>1209</v>
      </c>
      <c r="G3" s="6875"/>
      <c r="H3" s="6876" t="s">
        <v>828</v>
      </c>
      <c r="I3" s="6876"/>
      <c r="J3" s="6876" t="s">
        <v>1248</v>
      </c>
      <c r="K3" s="6876"/>
    </row>
    <row r="4" spans="1:11" ht="28.5" customHeight="1">
      <c r="A4" s="1654"/>
      <c r="B4" s="6857" t="s">
        <v>1259</v>
      </c>
      <c r="C4" s="6857"/>
      <c r="D4" s="6859">
        <v>25000</v>
      </c>
      <c r="E4" s="6860"/>
      <c r="F4" s="6860">
        <v>0</v>
      </c>
      <c r="G4" s="6860"/>
      <c r="H4" s="6859">
        <v>5000</v>
      </c>
      <c r="I4" s="6860"/>
      <c r="J4" s="6859">
        <v>25000</v>
      </c>
      <c r="K4" s="6860"/>
    </row>
    <row r="5" spans="1:11" ht="39" customHeight="1">
      <c r="A5" s="1654"/>
      <c r="B5" s="6857" t="s">
        <v>1258</v>
      </c>
      <c r="C5" s="6857"/>
      <c r="D5" s="6859">
        <v>25000</v>
      </c>
      <c r="E5" s="6860"/>
      <c r="F5" s="6859">
        <v>25000</v>
      </c>
      <c r="G5" s="6860"/>
      <c r="H5" s="6859">
        <v>5000</v>
      </c>
      <c r="I5" s="6860"/>
      <c r="J5" s="6859">
        <v>50000</v>
      </c>
      <c r="K5" s="6860"/>
    </row>
    <row r="6" spans="1:11" ht="43.5" customHeight="1">
      <c r="A6" s="1654"/>
      <c r="B6" s="6857" t="s">
        <v>1257</v>
      </c>
      <c r="C6" s="6857"/>
      <c r="D6" s="6859">
        <v>25000</v>
      </c>
      <c r="E6" s="6860"/>
      <c r="F6" s="6859">
        <v>50000</v>
      </c>
      <c r="G6" s="6860"/>
      <c r="H6" s="6859">
        <v>5000</v>
      </c>
      <c r="I6" s="6860"/>
      <c r="J6" s="6859">
        <v>75000</v>
      </c>
      <c r="K6" s="6860"/>
    </row>
    <row r="7" spans="1:11" ht="44.25" customHeight="1">
      <c r="A7" s="1654"/>
      <c r="B7" s="6857" t="s">
        <v>1256</v>
      </c>
      <c r="C7" s="6857"/>
      <c r="D7" s="6859">
        <v>50000</v>
      </c>
      <c r="E7" s="6860"/>
      <c r="F7" s="6859">
        <v>50000</v>
      </c>
      <c r="G7" s="6860"/>
      <c r="H7" s="6859">
        <v>5000</v>
      </c>
      <c r="I7" s="6860"/>
      <c r="J7" s="6859">
        <v>100000</v>
      </c>
      <c r="K7" s="6860"/>
    </row>
    <row r="8" spans="1:11" ht="38.25" customHeight="1">
      <c r="A8" s="1654"/>
      <c r="B8" s="6869" t="s">
        <v>1255</v>
      </c>
      <c r="C8" s="6870"/>
      <c r="D8" s="6870"/>
      <c r="E8" s="6870"/>
      <c r="F8" s="6870"/>
      <c r="G8" s="6870"/>
      <c r="H8" s="6870"/>
      <c r="I8" s="6870"/>
      <c r="J8" s="6870"/>
      <c r="K8" s="6871"/>
    </row>
    <row r="9" spans="1:11">
      <c r="A9" s="1654"/>
      <c r="B9" s="1656"/>
      <c r="C9" s="1657"/>
      <c r="D9" s="6874"/>
      <c r="E9" s="6874"/>
      <c r="F9" s="1658"/>
      <c r="G9" s="1658"/>
      <c r="H9" s="1658"/>
      <c r="I9" s="1658"/>
      <c r="J9" s="1658"/>
      <c r="K9" s="1659"/>
    </row>
    <row r="10" spans="1:11" ht="15" customHeight="1">
      <c r="A10" s="1654"/>
      <c r="B10" s="6849" t="s">
        <v>1254</v>
      </c>
      <c r="C10" s="6850"/>
      <c r="D10" s="6853" t="s">
        <v>1253</v>
      </c>
      <c r="E10" s="6854"/>
      <c r="F10" s="1657"/>
      <c r="G10" s="1657"/>
      <c r="H10" s="1657"/>
      <c r="I10" s="1657"/>
      <c r="J10" s="1657"/>
      <c r="K10" s="1660"/>
    </row>
    <row r="11" spans="1:11" ht="27.75" customHeight="1">
      <c r="A11" s="1654"/>
      <c r="B11" s="6851"/>
      <c r="C11" s="6852"/>
      <c r="D11" s="6855"/>
      <c r="E11" s="6856"/>
      <c r="F11" s="1657"/>
      <c r="G11" s="1657"/>
      <c r="H11" s="1657"/>
      <c r="I11" s="1657"/>
      <c r="J11" s="1657"/>
      <c r="K11" s="1660"/>
    </row>
    <row r="12" spans="1:11" ht="47.25" customHeight="1">
      <c r="A12" s="1654"/>
      <c r="B12" s="6857" t="s">
        <v>1252</v>
      </c>
      <c r="C12" s="6858"/>
      <c r="D12" s="6872" t="s">
        <v>1123</v>
      </c>
      <c r="E12" s="6872"/>
      <c r="F12" s="1657"/>
      <c r="G12" s="1657"/>
      <c r="H12" s="1657"/>
      <c r="I12" s="1657"/>
      <c r="J12" s="1657"/>
      <c r="K12" s="1660"/>
    </row>
    <row r="13" spans="1:11" ht="51.75" customHeight="1">
      <c r="A13" s="1654"/>
      <c r="B13" s="6857" t="s">
        <v>1251</v>
      </c>
      <c r="C13" s="6858"/>
      <c r="D13" s="6873">
        <v>50000</v>
      </c>
      <c r="E13" s="6872"/>
      <c r="F13" s="1657"/>
      <c r="G13" s="1657"/>
      <c r="H13" s="1657"/>
      <c r="I13" s="1657"/>
      <c r="J13" s="1657"/>
      <c r="K13" s="1660"/>
    </row>
    <row r="14" spans="1:11" ht="48" customHeight="1">
      <c r="A14" s="1654"/>
      <c r="B14" s="6857" t="s">
        <v>1250</v>
      </c>
      <c r="C14" s="6858"/>
      <c r="D14" s="6872" t="s">
        <v>1123</v>
      </c>
      <c r="E14" s="6872"/>
      <c r="F14" s="1657"/>
      <c r="G14" s="1657"/>
      <c r="H14" s="1657"/>
      <c r="I14" s="1657"/>
      <c r="J14" s="1657"/>
      <c r="K14" s="1660"/>
    </row>
    <row r="15" spans="1:11" ht="44.25" customHeight="1">
      <c r="A15" s="1654"/>
      <c r="B15" s="6857" t="s">
        <v>1249</v>
      </c>
      <c r="C15" s="6858"/>
      <c r="D15" s="6873">
        <v>50000</v>
      </c>
      <c r="E15" s="6872"/>
      <c r="F15" s="1657"/>
      <c r="G15" s="1657"/>
      <c r="H15" s="1657"/>
      <c r="I15" s="1657"/>
      <c r="J15" s="1657"/>
      <c r="K15" s="1660"/>
    </row>
    <row r="16" spans="1:11">
      <c r="A16" s="1654"/>
      <c r="B16" s="6861" t="s">
        <v>1248</v>
      </c>
      <c r="C16" s="6862"/>
      <c r="D16" s="6865">
        <v>100000</v>
      </c>
      <c r="E16" s="6866"/>
      <c r="F16" s="1657"/>
      <c r="G16" s="1657"/>
      <c r="H16" s="1657"/>
      <c r="I16" s="1657"/>
      <c r="J16" s="1657"/>
      <c r="K16" s="1660"/>
    </row>
    <row r="17" spans="1:12" ht="31.5" customHeight="1">
      <c r="A17" s="1654"/>
      <c r="B17" s="6863"/>
      <c r="C17" s="6864"/>
      <c r="D17" s="6867"/>
      <c r="E17" s="6868"/>
      <c r="F17" s="1657"/>
      <c r="G17" s="1657"/>
      <c r="H17" s="1657"/>
      <c r="I17" s="1657"/>
      <c r="J17" s="1657"/>
      <c r="K17" s="1660"/>
    </row>
    <row r="18" spans="1:12" ht="45.75" customHeight="1">
      <c r="A18" s="1654"/>
      <c r="B18" s="6843" t="s">
        <v>1247</v>
      </c>
      <c r="C18" s="6844"/>
      <c r="D18" s="6844"/>
      <c r="E18" s="6844"/>
      <c r="F18" s="1657"/>
      <c r="G18" s="1657"/>
      <c r="H18" s="1657"/>
      <c r="I18" s="1657"/>
      <c r="J18" s="1657"/>
      <c r="K18" s="1660"/>
    </row>
    <row r="19" spans="1:12">
      <c r="A19" s="1654"/>
      <c r="B19" s="6845"/>
      <c r="C19" s="6846"/>
      <c r="D19" s="6846"/>
      <c r="E19" s="6846"/>
      <c r="F19" s="1657"/>
      <c r="G19" s="1657"/>
      <c r="H19" s="1657"/>
      <c r="I19" s="1657"/>
      <c r="J19" s="1657"/>
      <c r="K19" s="1660"/>
    </row>
    <row r="20" spans="1:12">
      <c r="A20" s="1654"/>
      <c r="B20" s="6845"/>
      <c r="C20" s="6846"/>
      <c r="D20" s="6846"/>
      <c r="E20" s="6846"/>
      <c r="F20" s="1657"/>
      <c r="G20" s="1657"/>
      <c r="H20" s="1657"/>
      <c r="I20" s="1657"/>
      <c r="J20" s="1657"/>
      <c r="K20" s="1660"/>
    </row>
    <row r="21" spans="1:12">
      <c r="A21" s="1654"/>
      <c r="B21" s="6847"/>
      <c r="C21" s="6848"/>
      <c r="D21" s="6848"/>
      <c r="E21" s="6848"/>
      <c r="F21" s="1661"/>
      <c r="G21" s="1661"/>
      <c r="H21" s="1661"/>
      <c r="I21" s="1661"/>
      <c r="J21" s="1661"/>
      <c r="K21" s="1662"/>
    </row>
    <row r="22" spans="1:12" ht="20.25" customHeight="1">
      <c r="A22" s="1654"/>
      <c r="B22" s="1654"/>
      <c r="C22" s="1654"/>
      <c r="D22" s="1654"/>
      <c r="E22" s="1654"/>
      <c r="F22" s="1654"/>
      <c r="G22" s="1654"/>
      <c r="H22" s="1654"/>
      <c r="I22" s="1654"/>
      <c r="J22" s="1654"/>
      <c r="K22" s="1654"/>
    </row>
    <row r="23" spans="1:12">
      <c r="A23" s="1663"/>
      <c r="B23" s="1663"/>
      <c r="C23" s="1663"/>
      <c r="D23" s="1663"/>
      <c r="E23" s="1663"/>
      <c r="F23" s="1663"/>
      <c r="G23" s="1663"/>
      <c r="H23" s="1663"/>
      <c r="I23" s="1663"/>
      <c r="J23" s="1663"/>
      <c r="K23" s="1663"/>
      <c r="L23" s="1663"/>
    </row>
    <row r="24" spans="1:12">
      <c r="A24" s="1663"/>
      <c r="B24" s="1663"/>
      <c r="C24" s="1663"/>
      <c r="D24" s="1663"/>
      <c r="E24" s="1663"/>
      <c r="F24" s="1663"/>
      <c r="G24" s="1663"/>
      <c r="H24" s="1663"/>
      <c r="I24" s="1663"/>
      <c r="J24" s="1663"/>
      <c r="K24" s="1663"/>
      <c r="L24" s="1663"/>
    </row>
    <row r="25" spans="1:12">
      <c r="A25" s="1663"/>
      <c r="B25" s="1664"/>
      <c r="C25" s="1658"/>
      <c r="D25" s="1658"/>
      <c r="E25" s="1658"/>
      <c r="F25" s="1658"/>
      <c r="G25" s="1658"/>
      <c r="H25" s="1658"/>
      <c r="I25" s="1658"/>
      <c r="J25" s="1658"/>
      <c r="K25" s="1659"/>
      <c r="L25" s="1663"/>
    </row>
    <row r="26" spans="1:12" ht="37.5" customHeight="1">
      <c r="A26" s="1663"/>
      <c r="B26" s="6841" t="s">
        <v>1246</v>
      </c>
      <c r="C26" s="6842"/>
      <c r="D26" s="6836" t="s">
        <v>1245</v>
      </c>
      <c r="E26" s="6836"/>
      <c r="F26" s="6836"/>
      <c r="G26" s="6836"/>
      <c r="H26" s="6836"/>
      <c r="I26" s="1665"/>
      <c r="J26" s="1665"/>
      <c r="K26" s="1666"/>
      <c r="L26" s="1663"/>
    </row>
    <row r="27" spans="1:12">
      <c r="A27" s="1663"/>
      <c r="B27" s="1656"/>
      <c r="C27" s="1657"/>
      <c r="D27" s="1657"/>
      <c r="E27" s="1657"/>
      <c r="F27" s="1657"/>
      <c r="G27" s="1657"/>
      <c r="H27" s="1657"/>
      <c r="I27" s="1657"/>
      <c r="J27" s="1657"/>
      <c r="K27" s="1660"/>
      <c r="L27" s="1663"/>
    </row>
    <row r="28" spans="1:12" ht="42" customHeight="1">
      <c r="A28" s="1663"/>
      <c r="B28" s="6837" t="s">
        <v>1241</v>
      </c>
      <c r="C28" s="6838"/>
      <c r="D28" s="6838" t="s">
        <v>1240</v>
      </c>
      <c r="E28" s="6838"/>
      <c r="F28" s="1667"/>
      <c r="G28" s="6839" t="s">
        <v>1244</v>
      </c>
      <c r="H28" s="6839"/>
      <c r="I28" s="1657"/>
      <c r="J28" s="1657"/>
      <c r="K28" s="1660"/>
      <c r="L28" s="1663"/>
    </row>
    <row r="29" spans="1:12" ht="24.95" customHeight="1">
      <c r="A29" s="1663"/>
      <c r="B29" s="6820" t="s">
        <v>1238</v>
      </c>
      <c r="C29" s="6820"/>
      <c r="D29" s="6840" t="s">
        <v>1237</v>
      </c>
      <c r="E29" s="6840"/>
      <c r="F29" s="6840"/>
      <c r="G29" s="6820" t="s">
        <v>1236</v>
      </c>
      <c r="H29" s="6820"/>
      <c r="I29" s="1657"/>
      <c r="J29" s="1657"/>
      <c r="K29" s="1660"/>
      <c r="L29" s="1663"/>
    </row>
    <row r="30" spans="1:12" ht="24.95" customHeight="1">
      <c r="A30" s="1663"/>
      <c r="B30" s="6820" t="s">
        <v>1235</v>
      </c>
      <c r="C30" s="6820"/>
      <c r="D30" s="6840" t="s">
        <v>1234</v>
      </c>
      <c r="E30" s="6840"/>
      <c r="F30" s="6840"/>
      <c r="G30" s="6820" t="s">
        <v>1233</v>
      </c>
      <c r="H30" s="6820"/>
      <c r="I30" s="1657"/>
      <c r="J30" s="1657"/>
      <c r="K30" s="1660"/>
      <c r="L30" s="1663"/>
    </row>
    <row r="31" spans="1:12" ht="24.95" customHeight="1">
      <c r="A31" s="1663"/>
      <c r="B31" s="1668"/>
      <c r="C31" s="1669"/>
      <c r="D31" s="1669"/>
      <c r="E31" s="1669"/>
      <c r="F31" s="1669"/>
      <c r="G31" s="1669"/>
      <c r="H31" s="1657"/>
      <c r="I31" s="1657"/>
      <c r="J31" s="1657"/>
      <c r="K31" s="1660"/>
      <c r="L31" s="1663"/>
    </row>
    <row r="32" spans="1:12" ht="24.95" customHeight="1">
      <c r="A32" s="1663"/>
      <c r="B32" s="6832" t="s">
        <v>1232</v>
      </c>
      <c r="C32" s="6833"/>
      <c r="D32" s="6808" t="s">
        <v>1231</v>
      </c>
      <c r="E32" s="6809"/>
      <c r="F32" s="6810"/>
      <c r="G32" s="1657"/>
      <c r="H32" s="1657"/>
      <c r="I32" s="1657"/>
      <c r="J32" s="1657"/>
      <c r="K32" s="1660"/>
      <c r="L32" s="1663"/>
    </row>
    <row r="33" spans="1:12" ht="24.95" customHeight="1">
      <c r="A33" s="1663"/>
      <c r="B33" s="1656"/>
      <c r="C33" s="1657"/>
      <c r="D33" s="6808" t="s">
        <v>1230</v>
      </c>
      <c r="E33" s="6809"/>
      <c r="F33" s="6810"/>
      <c r="G33" s="1657"/>
      <c r="H33" s="1657"/>
      <c r="I33" s="1657"/>
      <c r="J33" s="1657"/>
      <c r="K33" s="1660"/>
      <c r="L33" s="1663"/>
    </row>
    <row r="34" spans="1:12" ht="24.95" customHeight="1">
      <c r="A34" s="1663"/>
      <c r="B34" s="1656"/>
      <c r="C34" s="1657"/>
      <c r="D34" s="6808" t="s">
        <v>1229</v>
      </c>
      <c r="E34" s="6809"/>
      <c r="F34" s="6810"/>
      <c r="G34" s="1657"/>
      <c r="H34" s="1657"/>
      <c r="I34" s="1657"/>
      <c r="J34" s="1657"/>
      <c r="K34" s="1660"/>
      <c r="L34" s="1663"/>
    </row>
    <row r="35" spans="1:12" ht="24.95" customHeight="1">
      <c r="A35" s="1663"/>
      <c r="B35" s="1656"/>
      <c r="C35" s="1657"/>
      <c r="D35" s="6808" t="s">
        <v>1228</v>
      </c>
      <c r="E35" s="6809"/>
      <c r="F35" s="6810"/>
      <c r="G35" s="1657"/>
      <c r="H35" s="1657"/>
      <c r="I35" s="1657"/>
      <c r="J35" s="1657"/>
      <c r="K35" s="1660"/>
      <c r="L35" s="1663"/>
    </row>
    <row r="36" spans="1:12" ht="24.95" customHeight="1">
      <c r="A36" s="1663"/>
      <c r="B36" s="1656"/>
      <c r="C36" s="1657"/>
      <c r="D36" s="6808" t="s">
        <v>1227</v>
      </c>
      <c r="E36" s="6809"/>
      <c r="F36" s="6810"/>
      <c r="G36" s="1657"/>
      <c r="H36" s="1657"/>
      <c r="I36" s="1657"/>
      <c r="J36" s="1657"/>
      <c r="K36" s="1660"/>
      <c r="L36" s="1663"/>
    </row>
    <row r="37" spans="1:12" ht="24.95" customHeight="1">
      <c r="A37" s="1663"/>
      <c r="B37" s="1656"/>
      <c r="C37" s="1657"/>
      <c r="D37" s="6808" t="s">
        <v>1226</v>
      </c>
      <c r="E37" s="6809"/>
      <c r="F37" s="6810"/>
      <c r="G37" s="1657"/>
      <c r="H37" s="1657"/>
      <c r="I37" s="1657"/>
      <c r="J37" s="1657"/>
      <c r="K37" s="1660"/>
      <c r="L37" s="1663"/>
    </row>
    <row r="38" spans="1:12" ht="24.95" customHeight="1">
      <c r="A38" s="1663"/>
      <c r="B38" s="1656"/>
      <c r="C38" s="1657"/>
      <c r="D38" s="6808" t="s">
        <v>1225</v>
      </c>
      <c r="E38" s="6809"/>
      <c r="F38" s="6810"/>
      <c r="G38" s="1657"/>
      <c r="H38" s="1657"/>
      <c r="I38" s="1657"/>
      <c r="J38" s="1657"/>
      <c r="K38" s="1660"/>
      <c r="L38" s="1663"/>
    </row>
    <row r="39" spans="1:12" ht="24.95" customHeight="1">
      <c r="A39" s="1663"/>
      <c r="B39" s="1656"/>
      <c r="C39" s="1657"/>
      <c r="D39" s="6808" t="s">
        <v>1224</v>
      </c>
      <c r="E39" s="6809"/>
      <c r="F39" s="6810"/>
      <c r="G39" s="1657"/>
      <c r="H39" s="1657"/>
      <c r="I39" s="1657"/>
      <c r="J39" s="1657"/>
      <c r="K39" s="1660"/>
      <c r="L39" s="1663"/>
    </row>
    <row r="40" spans="1:12" ht="24.95" customHeight="1">
      <c r="A40" s="1663"/>
      <c r="B40" s="1670"/>
      <c r="C40" s="1661"/>
      <c r="D40" s="6808" t="s">
        <v>1223</v>
      </c>
      <c r="E40" s="6809"/>
      <c r="F40" s="6810"/>
      <c r="G40" s="1661"/>
      <c r="H40" s="1661"/>
      <c r="I40" s="1661"/>
      <c r="J40" s="1661"/>
      <c r="K40" s="1662"/>
      <c r="L40" s="1663"/>
    </row>
    <row r="41" spans="1:12" ht="20.25" customHeight="1">
      <c r="A41" s="1663"/>
      <c r="B41" s="1663"/>
      <c r="C41" s="1663"/>
      <c r="D41" s="1671"/>
      <c r="E41" s="1671"/>
      <c r="F41" s="1671"/>
      <c r="G41" s="1663"/>
      <c r="H41" s="1663"/>
      <c r="I41" s="1663"/>
      <c r="J41" s="1663"/>
      <c r="K41" s="1663"/>
      <c r="L41" s="1663"/>
    </row>
    <row r="42" spans="1:12" ht="23.25" customHeight="1">
      <c r="A42" s="1672"/>
      <c r="B42" s="1672"/>
      <c r="C42" s="1672"/>
      <c r="D42" s="1673"/>
      <c r="E42" s="1673"/>
      <c r="F42" s="1673"/>
      <c r="G42" s="1672"/>
      <c r="H42" s="1672"/>
      <c r="I42" s="1672"/>
      <c r="J42" s="1672"/>
      <c r="K42" s="1672"/>
      <c r="L42" s="1672"/>
    </row>
    <row r="43" spans="1:12" ht="24.95" customHeight="1">
      <c r="A43" s="1672"/>
      <c r="B43" s="1664"/>
      <c r="C43" s="1658"/>
      <c r="D43" s="1658"/>
      <c r="E43" s="1658"/>
      <c r="F43" s="1658"/>
      <c r="G43" s="1658"/>
      <c r="H43" s="1658"/>
      <c r="I43" s="1658"/>
      <c r="J43" s="1658"/>
      <c r="K43" s="1659"/>
      <c r="L43" s="1672"/>
    </row>
    <row r="44" spans="1:12" ht="43.5" customHeight="1">
      <c r="A44" s="1672"/>
      <c r="B44" s="6834" t="s">
        <v>1243</v>
      </c>
      <c r="C44" s="6835"/>
      <c r="D44" s="6836" t="s">
        <v>1242</v>
      </c>
      <c r="E44" s="6836"/>
      <c r="F44" s="6836"/>
      <c r="G44" s="6836"/>
      <c r="H44" s="6836"/>
      <c r="I44" s="1657"/>
      <c r="J44" s="1657"/>
      <c r="K44" s="1660"/>
      <c r="L44" s="1672"/>
    </row>
    <row r="45" spans="1:12" ht="24.95" customHeight="1">
      <c r="A45" s="1672"/>
      <c r="B45" s="1656"/>
      <c r="C45" s="1657"/>
      <c r="D45" s="1657"/>
      <c r="E45" s="1657"/>
      <c r="F45" s="1657"/>
      <c r="G45" s="1657"/>
      <c r="H45" s="1657"/>
      <c r="I45" s="1657"/>
      <c r="J45" s="1657"/>
      <c r="K45" s="1660"/>
      <c r="L45" s="1672"/>
    </row>
    <row r="46" spans="1:12" ht="33" customHeight="1">
      <c r="A46" s="1672"/>
      <c r="B46" s="6837" t="s">
        <v>1241</v>
      </c>
      <c r="C46" s="6838"/>
      <c r="D46" s="6838" t="s">
        <v>1240</v>
      </c>
      <c r="E46" s="6838"/>
      <c r="F46" s="1667"/>
      <c r="G46" s="6839" t="s">
        <v>1239</v>
      </c>
      <c r="H46" s="6839"/>
      <c r="I46" s="1657"/>
      <c r="J46" s="1657"/>
      <c r="K46" s="1660"/>
      <c r="L46" s="1672"/>
    </row>
    <row r="47" spans="1:12" ht="24.95" customHeight="1">
      <c r="A47" s="1672"/>
      <c r="B47" s="6820" t="s">
        <v>1238</v>
      </c>
      <c r="C47" s="6820"/>
      <c r="D47" s="6840" t="s">
        <v>1237</v>
      </c>
      <c r="E47" s="6840"/>
      <c r="F47" s="6840"/>
      <c r="G47" s="6820" t="s">
        <v>1236</v>
      </c>
      <c r="H47" s="6820"/>
      <c r="I47" s="1657"/>
      <c r="J47" s="1657"/>
      <c r="K47" s="1660"/>
      <c r="L47" s="1672"/>
    </row>
    <row r="48" spans="1:12" ht="24.95" customHeight="1">
      <c r="A48" s="1672"/>
      <c r="B48" s="6820" t="s">
        <v>1235</v>
      </c>
      <c r="C48" s="6820"/>
      <c r="D48" s="6840" t="s">
        <v>1234</v>
      </c>
      <c r="E48" s="6840"/>
      <c r="F48" s="6840"/>
      <c r="G48" s="6820" t="s">
        <v>1233</v>
      </c>
      <c r="H48" s="6820"/>
      <c r="I48" s="1657"/>
      <c r="J48" s="1657"/>
      <c r="K48" s="1660"/>
      <c r="L48" s="1672"/>
    </row>
    <row r="49" spans="1:12" ht="24.95" customHeight="1">
      <c r="A49" s="1672"/>
      <c r="B49" s="1656"/>
      <c r="C49" s="1657"/>
      <c r="D49" s="1657"/>
      <c r="E49" s="1657"/>
      <c r="F49" s="1657"/>
      <c r="G49" s="1657"/>
      <c r="H49" s="1657"/>
      <c r="I49" s="1657"/>
      <c r="J49" s="1657"/>
      <c r="K49" s="1660"/>
      <c r="L49" s="1672"/>
    </row>
    <row r="50" spans="1:12" ht="24.95" customHeight="1">
      <c r="A50" s="1672"/>
      <c r="B50" s="6812" t="s">
        <v>1213</v>
      </c>
      <c r="C50" s="6813"/>
      <c r="D50" s="6808" t="s">
        <v>1212</v>
      </c>
      <c r="E50" s="6809"/>
      <c r="F50" s="6810"/>
      <c r="G50" s="1657"/>
      <c r="H50" s="1657"/>
      <c r="I50" s="1657"/>
      <c r="J50" s="1657"/>
      <c r="K50" s="1660"/>
      <c r="L50" s="1672"/>
    </row>
    <row r="51" spans="1:12" ht="24.95" customHeight="1">
      <c r="A51" s="1672"/>
      <c r="B51" s="1656"/>
      <c r="C51" s="1657"/>
      <c r="D51" s="6808" t="s">
        <v>1211</v>
      </c>
      <c r="E51" s="6809"/>
      <c r="F51" s="6810"/>
      <c r="G51" s="1657"/>
      <c r="H51" s="1657"/>
      <c r="I51" s="1657"/>
      <c r="J51" s="1657"/>
      <c r="K51" s="1660"/>
      <c r="L51" s="1672"/>
    </row>
    <row r="52" spans="1:12" ht="24.95" customHeight="1">
      <c r="A52" s="1672"/>
      <c r="B52" s="1656"/>
      <c r="C52" s="1657"/>
      <c r="D52" s="6808" t="s">
        <v>1210</v>
      </c>
      <c r="E52" s="6809"/>
      <c r="F52" s="6810"/>
      <c r="G52" s="1657"/>
      <c r="H52" s="1657"/>
      <c r="I52" s="1657"/>
      <c r="J52" s="1657"/>
      <c r="K52" s="1660"/>
      <c r="L52" s="1672"/>
    </row>
    <row r="53" spans="1:12" ht="24.95" customHeight="1">
      <c r="A53" s="1672"/>
      <c r="B53" s="1656"/>
      <c r="C53" s="1657"/>
      <c r="D53" s="6808" t="s">
        <v>1209</v>
      </c>
      <c r="E53" s="6809"/>
      <c r="F53" s="6810"/>
      <c r="G53" s="1657"/>
      <c r="H53" s="1657"/>
      <c r="I53" s="1657"/>
      <c r="J53" s="1657"/>
      <c r="K53" s="1660"/>
      <c r="L53" s="1672"/>
    </row>
    <row r="54" spans="1:12" ht="24.95" customHeight="1">
      <c r="A54" s="1672"/>
      <c r="B54" s="1656"/>
      <c r="C54" s="1657"/>
      <c r="D54" s="6808" t="s">
        <v>1208</v>
      </c>
      <c r="E54" s="6809"/>
      <c r="F54" s="6810"/>
      <c r="G54" s="1657"/>
      <c r="H54" s="1657"/>
      <c r="I54" s="1657"/>
      <c r="J54" s="1657"/>
      <c r="K54" s="1660"/>
      <c r="L54" s="1672"/>
    </row>
    <row r="55" spans="1:12" ht="24.95" customHeight="1">
      <c r="A55" s="1672"/>
      <c r="B55" s="1656"/>
      <c r="C55" s="1657"/>
      <c r="D55" s="1657"/>
      <c r="E55" s="1657"/>
      <c r="F55" s="1657"/>
      <c r="G55" s="1657"/>
      <c r="H55" s="1657"/>
      <c r="I55" s="1657"/>
      <c r="J55" s="1657"/>
      <c r="K55" s="1660"/>
      <c r="L55" s="1672"/>
    </row>
    <row r="56" spans="1:12" ht="24.95" customHeight="1">
      <c r="A56" s="1672"/>
      <c r="B56" s="6832" t="s">
        <v>1232</v>
      </c>
      <c r="C56" s="6833"/>
      <c r="D56" s="6808" t="s">
        <v>1231</v>
      </c>
      <c r="E56" s="6809"/>
      <c r="F56" s="6810"/>
      <c r="G56" s="1657"/>
      <c r="H56" s="1657"/>
      <c r="I56" s="1657"/>
      <c r="J56" s="1657"/>
      <c r="K56" s="1660"/>
      <c r="L56" s="1672"/>
    </row>
    <row r="57" spans="1:12" ht="24.95" customHeight="1">
      <c r="A57" s="1672"/>
      <c r="B57" s="1656"/>
      <c r="C57" s="1657"/>
      <c r="D57" s="6808" t="s">
        <v>1230</v>
      </c>
      <c r="E57" s="6809"/>
      <c r="F57" s="6810"/>
      <c r="G57" s="1657"/>
      <c r="H57" s="1657"/>
      <c r="I57" s="1657"/>
      <c r="J57" s="1657"/>
      <c r="K57" s="1660"/>
      <c r="L57" s="1672"/>
    </row>
    <row r="58" spans="1:12" ht="15.75">
      <c r="A58" s="1672"/>
      <c r="B58" s="1656"/>
      <c r="C58" s="1657"/>
      <c r="D58" s="6808" t="s">
        <v>1229</v>
      </c>
      <c r="E58" s="6809"/>
      <c r="F58" s="6810"/>
      <c r="G58" s="1657"/>
      <c r="H58" s="1657"/>
      <c r="I58" s="1657"/>
      <c r="J58" s="1657"/>
      <c r="K58" s="1660"/>
      <c r="L58" s="1672"/>
    </row>
    <row r="59" spans="1:12" ht="15.75">
      <c r="A59" s="1672"/>
      <c r="B59" s="1656"/>
      <c r="C59" s="1657"/>
      <c r="D59" s="6808" t="s">
        <v>1228</v>
      </c>
      <c r="E59" s="6809"/>
      <c r="F59" s="6810"/>
      <c r="G59" s="1657"/>
      <c r="H59" s="1657"/>
      <c r="I59" s="1657"/>
      <c r="J59" s="1657"/>
      <c r="K59" s="1660"/>
      <c r="L59" s="1672"/>
    </row>
    <row r="60" spans="1:12" ht="15.75">
      <c r="A60" s="1672"/>
      <c r="B60" s="1656"/>
      <c r="C60" s="1657"/>
      <c r="D60" s="6808" t="s">
        <v>1227</v>
      </c>
      <c r="E60" s="6809"/>
      <c r="F60" s="6810"/>
      <c r="G60" s="1657"/>
      <c r="H60" s="1657"/>
      <c r="I60" s="1657"/>
      <c r="J60" s="1657"/>
      <c r="K60" s="1660"/>
      <c r="L60" s="1672"/>
    </row>
    <row r="61" spans="1:12" ht="15.75">
      <c r="A61" s="1672"/>
      <c r="B61" s="1656"/>
      <c r="C61" s="1657"/>
      <c r="D61" s="6808" t="s">
        <v>1226</v>
      </c>
      <c r="E61" s="6809"/>
      <c r="F61" s="6810"/>
      <c r="G61" s="1657"/>
      <c r="H61" s="1657"/>
      <c r="I61" s="1657"/>
      <c r="J61" s="1657"/>
      <c r="K61" s="1660"/>
      <c r="L61" s="1672"/>
    </row>
    <row r="62" spans="1:12" ht="15.75">
      <c r="A62" s="1672"/>
      <c r="B62" s="1656"/>
      <c r="C62" s="1657"/>
      <c r="D62" s="6808" t="s">
        <v>1225</v>
      </c>
      <c r="E62" s="6809"/>
      <c r="F62" s="6810"/>
      <c r="G62" s="1657"/>
      <c r="H62" s="1657"/>
      <c r="I62" s="1657"/>
      <c r="J62" s="1657"/>
      <c r="K62" s="1660"/>
      <c r="L62" s="1672"/>
    </row>
    <row r="63" spans="1:12" ht="15.75">
      <c r="A63" s="1672"/>
      <c r="B63" s="1656"/>
      <c r="C63" s="1657"/>
      <c r="D63" s="6808" t="s">
        <v>1224</v>
      </c>
      <c r="E63" s="6809"/>
      <c r="F63" s="6810"/>
      <c r="G63" s="1657"/>
      <c r="H63" s="1657"/>
      <c r="I63" s="1657"/>
      <c r="J63" s="1657"/>
      <c r="K63" s="1660"/>
      <c r="L63" s="1672"/>
    </row>
    <row r="64" spans="1:12" ht="15.75">
      <c r="A64" s="1672"/>
      <c r="B64" s="1670"/>
      <c r="C64" s="1661"/>
      <c r="D64" s="6808" t="s">
        <v>1223</v>
      </c>
      <c r="E64" s="6809"/>
      <c r="F64" s="6810"/>
      <c r="G64" s="1661"/>
      <c r="H64" s="1661"/>
      <c r="I64" s="1661"/>
      <c r="J64" s="1661"/>
      <c r="K64" s="1662"/>
      <c r="L64" s="1672"/>
    </row>
    <row r="65" spans="1:12">
      <c r="A65" s="1672"/>
      <c r="B65" s="1672"/>
      <c r="C65" s="1672"/>
      <c r="D65" s="1672"/>
      <c r="E65" s="1672"/>
      <c r="F65" s="1672"/>
      <c r="G65" s="1672"/>
      <c r="H65" s="1672"/>
      <c r="I65" s="1672"/>
      <c r="J65" s="1672"/>
      <c r="K65" s="1672"/>
      <c r="L65" s="1672"/>
    </row>
    <row r="66" spans="1:12">
      <c r="A66" s="1674"/>
      <c r="B66" s="1674"/>
      <c r="C66" s="1674"/>
      <c r="D66" s="1674"/>
      <c r="E66" s="1674"/>
      <c r="F66" s="1674"/>
      <c r="G66" s="1674"/>
      <c r="H66" s="1674"/>
      <c r="I66" s="1674"/>
      <c r="J66" s="1674"/>
      <c r="K66" s="1674"/>
      <c r="L66" s="1674"/>
    </row>
    <row r="67" spans="1:12">
      <c r="A67" s="1674"/>
      <c r="B67" s="1664"/>
      <c r="C67" s="1658"/>
      <c r="D67" s="1658"/>
      <c r="E67" s="1658"/>
      <c r="F67" s="1658"/>
      <c r="G67" s="1658"/>
      <c r="H67" s="1658"/>
      <c r="I67" s="1658"/>
      <c r="J67" s="1658"/>
      <c r="K67" s="1659"/>
      <c r="L67" s="1674"/>
    </row>
    <row r="68" spans="1:12" ht="34.5" customHeight="1">
      <c r="A68" s="1674"/>
      <c r="B68" s="6824" t="s">
        <v>1222</v>
      </c>
      <c r="C68" s="6825"/>
      <c r="D68" s="6826" t="s">
        <v>1221</v>
      </c>
      <c r="E68" s="6826"/>
      <c r="F68" s="6826"/>
      <c r="G68" s="6826"/>
      <c r="H68" s="6826"/>
      <c r="I68" s="1657"/>
      <c r="J68" s="1657"/>
      <c r="K68" s="1660"/>
      <c r="L68" s="1674"/>
    </row>
    <row r="69" spans="1:12">
      <c r="A69" s="1674"/>
      <c r="B69" s="1656"/>
      <c r="C69" s="1657"/>
      <c r="D69" s="1657"/>
      <c r="E69" s="1657"/>
      <c r="F69" s="1657"/>
      <c r="G69" s="1657"/>
      <c r="H69" s="1657"/>
      <c r="I69" s="1657"/>
      <c r="J69" s="1657"/>
      <c r="K69" s="1660"/>
      <c r="L69" s="1674"/>
    </row>
    <row r="70" spans="1:12" ht="45" customHeight="1">
      <c r="A70" s="1674"/>
      <c r="B70" s="6827" t="s">
        <v>1220</v>
      </c>
      <c r="C70" s="6828"/>
      <c r="D70" s="6815" t="s">
        <v>1219</v>
      </c>
      <c r="E70" s="6815"/>
      <c r="F70" s="6816"/>
      <c r="G70" s="1675"/>
      <c r="H70" s="1675"/>
      <c r="I70" s="1657"/>
      <c r="J70" s="1657"/>
      <c r="K70" s="1660"/>
      <c r="L70" s="1674"/>
    </row>
    <row r="71" spans="1:12" ht="56.25" customHeight="1">
      <c r="A71" s="1674"/>
      <c r="B71" s="6820" t="s">
        <v>1218</v>
      </c>
      <c r="C71" s="6820"/>
      <c r="D71" s="6829" t="s">
        <v>1217</v>
      </c>
      <c r="E71" s="6830"/>
      <c r="F71" s="6831"/>
      <c r="G71" s="1676"/>
      <c r="H71" s="1676"/>
      <c r="I71" s="1657"/>
      <c r="J71" s="1657"/>
      <c r="K71" s="1660"/>
      <c r="L71" s="1674"/>
    </row>
    <row r="72" spans="1:12" ht="50.1" customHeight="1">
      <c r="A72" s="1674"/>
      <c r="B72" s="6820" t="s">
        <v>1216</v>
      </c>
      <c r="C72" s="6820"/>
      <c r="D72" s="6821" t="s">
        <v>1215</v>
      </c>
      <c r="E72" s="6822"/>
      <c r="F72" s="6823"/>
      <c r="G72" s="1676"/>
      <c r="H72" s="1676"/>
      <c r="I72" s="1657"/>
      <c r="J72" s="1657"/>
      <c r="K72" s="1660"/>
      <c r="L72" s="1674"/>
    </row>
    <row r="73" spans="1:12" ht="15.75">
      <c r="A73" s="1674"/>
      <c r="B73" s="1677"/>
      <c r="C73" s="1678"/>
      <c r="D73" s="1679"/>
      <c r="E73" s="1679"/>
      <c r="F73" s="1679"/>
      <c r="G73" s="1676"/>
      <c r="H73" s="1676"/>
      <c r="I73" s="1657"/>
      <c r="J73" s="1657"/>
      <c r="K73" s="1660"/>
      <c r="L73" s="1674"/>
    </row>
    <row r="74" spans="1:12" ht="24.95" customHeight="1">
      <c r="A74" s="1674"/>
      <c r="B74" s="6818" t="s">
        <v>1214</v>
      </c>
      <c r="C74" s="6819"/>
      <c r="D74" s="6819"/>
      <c r="E74" s="6819"/>
      <c r="F74" s="6819"/>
      <c r="G74" s="1676"/>
      <c r="H74" s="1676"/>
      <c r="I74" s="1676"/>
      <c r="J74" s="1676"/>
      <c r="K74" s="1680"/>
      <c r="L74" s="1674"/>
    </row>
    <row r="75" spans="1:12" ht="24.95" customHeight="1">
      <c r="A75" s="1674"/>
      <c r="B75" s="6818"/>
      <c r="C75" s="6819"/>
      <c r="D75" s="6819"/>
      <c r="E75" s="6819"/>
      <c r="F75" s="6819"/>
      <c r="G75" s="1676"/>
      <c r="H75" s="1676"/>
      <c r="I75" s="1676"/>
      <c r="J75" s="1676"/>
      <c r="K75" s="1680"/>
      <c r="L75" s="1674"/>
    </row>
    <row r="76" spans="1:12" ht="24.95" customHeight="1">
      <c r="A76" s="1674"/>
      <c r="B76" s="6818"/>
      <c r="C76" s="6819"/>
      <c r="D76" s="6819"/>
      <c r="E76" s="6819"/>
      <c r="F76" s="6819"/>
      <c r="G76" s="1676"/>
      <c r="H76" s="1676"/>
      <c r="I76" s="1676"/>
      <c r="J76" s="1676"/>
      <c r="K76" s="1680"/>
      <c r="L76" s="1674"/>
    </row>
    <row r="77" spans="1:12">
      <c r="A77" s="1674"/>
      <c r="B77" s="1656"/>
      <c r="C77" s="1657"/>
      <c r="D77" s="1657"/>
      <c r="E77" s="1657"/>
      <c r="F77" s="1657"/>
      <c r="G77" s="1657"/>
      <c r="H77" s="1657"/>
      <c r="I77" s="1657"/>
      <c r="J77" s="1657"/>
      <c r="K77" s="1660"/>
      <c r="L77" s="1674"/>
    </row>
    <row r="78" spans="1:12" ht="23.25" customHeight="1">
      <c r="A78" s="1674"/>
      <c r="B78" s="6812" t="s">
        <v>1213</v>
      </c>
      <c r="C78" s="6813"/>
      <c r="D78" s="6808" t="s">
        <v>1212</v>
      </c>
      <c r="E78" s="6809"/>
      <c r="F78" s="6810"/>
      <c r="G78" s="1657"/>
      <c r="H78" s="1657"/>
      <c r="I78" s="1657"/>
      <c r="J78" s="1657"/>
      <c r="K78" s="1660"/>
      <c r="L78" s="1674"/>
    </row>
    <row r="79" spans="1:12" ht="15.75">
      <c r="A79" s="1674"/>
      <c r="B79" s="1656"/>
      <c r="C79" s="1657"/>
      <c r="D79" s="6808" t="s">
        <v>1211</v>
      </c>
      <c r="E79" s="6809"/>
      <c r="F79" s="6810"/>
      <c r="G79" s="1657"/>
      <c r="H79" s="1657"/>
      <c r="I79" s="1657"/>
      <c r="J79" s="1657"/>
      <c r="K79" s="1660"/>
      <c r="L79" s="1674"/>
    </row>
    <row r="80" spans="1:12" ht="15.75">
      <c r="A80" s="1674"/>
      <c r="B80" s="1656"/>
      <c r="C80" s="1657"/>
      <c r="D80" s="6808" t="s">
        <v>1210</v>
      </c>
      <c r="E80" s="6809"/>
      <c r="F80" s="6810"/>
      <c r="G80" s="1657"/>
      <c r="H80" s="1657"/>
      <c r="I80" s="1657"/>
      <c r="J80" s="1657"/>
      <c r="K80" s="1660"/>
      <c r="L80" s="1674"/>
    </row>
    <row r="81" spans="1:12" ht="15.75">
      <c r="A81" s="1674"/>
      <c r="B81" s="1656"/>
      <c r="C81" s="1657"/>
      <c r="D81" s="6808" t="s">
        <v>1209</v>
      </c>
      <c r="E81" s="6809"/>
      <c r="F81" s="6810"/>
      <c r="G81" s="1657"/>
      <c r="H81" s="1657"/>
      <c r="I81" s="1657"/>
      <c r="J81" s="1657"/>
      <c r="K81" s="1660"/>
      <c r="L81" s="1674"/>
    </row>
    <row r="82" spans="1:12" ht="15.75">
      <c r="A82" s="1674"/>
      <c r="B82" s="1656"/>
      <c r="C82" s="1657"/>
      <c r="D82" s="6808" t="s">
        <v>1208</v>
      </c>
      <c r="E82" s="6809"/>
      <c r="F82" s="6810"/>
      <c r="G82" s="1657"/>
      <c r="H82" s="1657"/>
      <c r="I82" s="1657"/>
      <c r="J82" s="1657"/>
      <c r="K82" s="1660"/>
      <c r="L82" s="1674"/>
    </row>
    <row r="83" spans="1:12">
      <c r="A83" s="1674"/>
      <c r="B83" s="1656"/>
      <c r="C83" s="1657"/>
      <c r="D83" s="1657"/>
      <c r="E83" s="1657"/>
      <c r="F83" s="1657"/>
      <c r="G83" s="1657"/>
      <c r="H83" s="1657"/>
      <c r="I83" s="1657"/>
      <c r="J83" s="1657"/>
      <c r="K83" s="1660"/>
      <c r="L83" s="1674"/>
    </row>
    <row r="84" spans="1:12">
      <c r="A84" s="1674"/>
      <c r="B84" s="1656"/>
      <c r="C84" s="1657"/>
      <c r="D84" s="1657"/>
      <c r="E84" s="1657"/>
      <c r="F84" s="1657"/>
      <c r="G84" s="1657"/>
      <c r="H84" s="1657"/>
      <c r="I84" s="1657"/>
      <c r="J84" s="1657"/>
      <c r="K84" s="1660"/>
      <c r="L84" s="1674"/>
    </row>
    <row r="85" spans="1:12" ht="27" customHeight="1">
      <c r="A85" s="1674"/>
      <c r="B85" s="1681"/>
      <c r="C85" s="1682">
        <v>1</v>
      </c>
      <c r="D85" s="6811" t="s">
        <v>1207</v>
      </c>
      <c r="E85" s="6811"/>
      <c r="F85" s="6811"/>
      <c r="G85" s="1657"/>
      <c r="H85" s="1657"/>
      <c r="I85" s="1657"/>
      <c r="J85" s="1657"/>
      <c r="K85" s="1660"/>
      <c r="L85" s="1674"/>
    </row>
    <row r="86" spans="1:12" ht="24.95" customHeight="1">
      <c r="A86" s="1674"/>
      <c r="B86" s="1656"/>
      <c r="C86" s="1657"/>
      <c r="D86" s="6817" t="s">
        <v>1206</v>
      </c>
      <c r="E86" s="6817"/>
      <c r="F86" s="6817"/>
      <c r="G86" s="6817"/>
      <c r="H86" s="1657"/>
      <c r="I86" s="1657"/>
      <c r="J86" s="1657"/>
      <c r="K86" s="1660"/>
      <c r="L86" s="1674"/>
    </row>
    <row r="87" spans="1:12" ht="24.95" customHeight="1">
      <c r="A87" s="1674"/>
      <c r="B87" s="1656"/>
      <c r="C87" s="1657"/>
      <c r="D87" s="6817" t="s">
        <v>1205</v>
      </c>
      <c r="E87" s="6817"/>
      <c r="F87" s="6817"/>
      <c r="G87" s="6817"/>
      <c r="H87" s="1657"/>
      <c r="I87" s="1657"/>
      <c r="J87" s="1657"/>
      <c r="K87" s="1660"/>
      <c r="L87" s="1674"/>
    </row>
    <row r="88" spans="1:12" ht="24.95" customHeight="1">
      <c r="A88" s="1674"/>
      <c r="B88" s="1656"/>
      <c r="C88" s="1657"/>
      <c r="D88" s="6817" t="s">
        <v>1204</v>
      </c>
      <c r="E88" s="6817"/>
      <c r="F88" s="6817"/>
      <c r="G88" s="6817"/>
      <c r="H88" s="1657"/>
      <c r="I88" s="1657"/>
      <c r="J88" s="1657"/>
      <c r="K88" s="1660"/>
      <c r="L88" s="1674"/>
    </row>
    <row r="89" spans="1:12" ht="24.95" customHeight="1">
      <c r="A89" s="1674"/>
      <c r="B89" s="1656"/>
      <c r="C89" s="1657"/>
      <c r="D89" s="6817" t="s">
        <v>1203</v>
      </c>
      <c r="E89" s="6817"/>
      <c r="F89" s="6817"/>
      <c r="G89" s="6817"/>
      <c r="H89" s="1657"/>
      <c r="I89" s="1657"/>
      <c r="J89" s="1657"/>
      <c r="K89" s="1660"/>
      <c r="L89" s="1674"/>
    </row>
    <row r="90" spans="1:12" ht="24.95" customHeight="1">
      <c r="A90" s="1674"/>
      <c r="B90" s="1656"/>
      <c r="C90" s="1657"/>
      <c r="D90" s="6817" t="s">
        <v>1202</v>
      </c>
      <c r="E90" s="6817"/>
      <c r="F90" s="6817"/>
      <c r="G90" s="6817"/>
      <c r="H90" s="1657"/>
      <c r="I90" s="1657"/>
      <c r="J90" s="1657"/>
      <c r="K90" s="1660"/>
      <c r="L90" s="1674"/>
    </row>
    <row r="91" spans="1:12" ht="24.95" customHeight="1">
      <c r="A91" s="1674"/>
      <c r="B91" s="1656"/>
      <c r="C91" s="1657"/>
      <c r="D91" s="6817" t="s">
        <v>1201</v>
      </c>
      <c r="E91" s="6817"/>
      <c r="F91" s="6817"/>
      <c r="G91" s="6817"/>
      <c r="H91" s="1657"/>
      <c r="I91" s="1657"/>
      <c r="J91" s="1657"/>
      <c r="K91" s="1660"/>
      <c r="L91" s="1674"/>
    </row>
    <row r="92" spans="1:12" ht="24.95" customHeight="1">
      <c r="A92" s="1674"/>
      <c r="B92" s="1656"/>
      <c r="C92" s="1657"/>
      <c r="D92" s="6817" t="s">
        <v>1200</v>
      </c>
      <c r="E92" s="6817"/>
      <c r="F92" s="6817"/>
      <c r="G92" s="6817"/>
      <c r="H92" s="1657"/>
      <c r="I92" s="1657"/>
      <c r="J92" s="1657"/>
      <c r="K92" s="1660"/>
      <c r="L92" s="1674"/>
    </row>
    <row r="93" spans="1:12" ht="24.75" customHeight="1">
      <c r="A93" s="1674"/>
      <c r="B93" s="1656"/>
      <c r="C93" s="1657"/>
      <c r="D93" s="6817" t="s">
        <v>1199</v>
      </c>
      <c r="E93" s="6817"/>
      <c r="F93" s="6817"/>
      <c r="G93" s="6817"/>
      <c r="H93" s="1657"/>
      <c r="I93" s="1657"/>
      <c r="J93" s="1657"/>
      <c r="K93" s="1660"/>
      <c r="L93" s="1674"/>
    </row>
    <row r="94" spans="1:12" ht="24.95" customHeight="1">
      <c r="A94" s="1674"/>
      <c r="B94" s="1656"/>
      <c r="C94" s="1682">
        <v>2</v>
      </c>
      <c r="D94" s="6814" t="s">
        <v>1198</v>
      </c>
      <c r="E94" s="6814"/>
      <c r="F94" s="6814"/>
      <c r="G94" s="6814"/>
      <c r="H94" s="1657"/>
      <c r="I94" s="1657"/>
      <c r="J94" s="1657"/>
      <c r="K94" s="1660"/>
      <c r="L94" s="1674"/>
    </row>
    <row r="95" spans="1:12" ht="24.95" customHeight="1">
      <c r="A95" s="1674"/>
      <c r="B95" s="1656"/>
      <c r="C95" s="1678">
        <v>3</v>
      </c>
      <c r="D95" s="6814" t="s">
        <v>1197</v>
      </c>
      <c r="E95" s="6814"/>
      <c r="F95" s="6814"/>
      <c r="G95" s="6814"/>
      <c r="H95" s="1657"/>
      <c r="I95" s="1657"/>
      <c r="J95" s="1657"/>
      <c r="K95" s="1660"/>
      <c r="L95" s="1674"/>
    </row>
    <row r="96" spans="1:12" ht="24.95" customHeight="1">
      <c r="A96" s="1674"/>
      <c r="B96" s="1656"/>
      <c r="C96" s="1678">
        <v>4</v>
      </c>
      <c r="D96" s="6814" t="s">
        <v>1196</v>
      </c>
      <c r="E96" s="6814"/>
      <c r="F96" s="6814"/>
      <c r="G96" s="6814"/>
      <c r="H96" s="1657"/>
      <c r="I96" s="1657"/>
      <c r="J96" s="1657"/>
      <c r="K96" s="1660"/>
      <c r="L96" s="1674"/>
    </row>
    <row r="97" spans="1:12" ht="24.95" customHeight="1">
      <c r="A97" s="1674"/>
      <c r="B97" s="1656"/>
      <c r="C97" s="1678">
        <v>5</v>
      </c>
      <c r="D97" s="6814" t="s">
        <v>1195</v>
      </c>
      <c r="E97" s="6814"/>
      <c r="F97" s="6814"/>
      <c r="G97" s="6814"/>
      <c r="H97" s="1657"/>
      <c r="I97" s="1657"/>
      <c r="J97" s="1657"/>
      <c r="K97" s="1660"/>
      <c r="L97" s="1674"/>
    </row>
    <row r="98" spans="1:12" ht="24.95" customHeight="1">
      <c r="A98" s="1674"/>
      <c r="B98" s="1656"/>
      <c r="C98" s="1683">
        <v>6</v>
      </c>
      <c r="D98" s="6814" t="s">
        <v>1194</v>
      </c>
      <c r="E98" s="6814"/>
      <c r="F98" s="6814"/>
      <c r="G98" s="6814"/>
      <c r="H98" s="1657"/>
      <c r="I98" s="1657"/>
      <c r="J98" s="1657"/>
      <c r="K98" s="1660"/>
      <c r="L98" s="1674"/>
    </row>
    <row r="99" spans="1:12" ht="20.100000000000001" customHeight="1">
      <c r="A99" s="1674"/>
      <c r="B99" s="1656"/>
      <c r="C99" s="1684"/>
      <c r="D99" s="1684"/>
      <c r="E99" s="1684"/>
      <c r="F99" s="1684"/>
      <c r="G99" s="1829"/>
      <c r="H99" s="1657"/>
      <c r="I99" s="1657"/>
      <c r="J99" s="1657"/>
      <c r="K99" s="1660"/>
      <c r="L99" s="1674"/>
    </row>
    <row r="100" spans="1:12" ht="20.100000000000001" customHeight="1">
      <c r="A100" s="1674"/>
      <c r="B100" s="1670"/>
      <c r="C100" s="1685"/>
      <c r="D100" s="1685"/>
      <c r="E100" s="1685"/>
      <c r="F100" s="1685"/>
      <c r="G100" s="1685"/>
      <c r="H100" s="1661"/>
      <c r="I100" s="1661"/>
      <c r="J100" s="1661"/>
      <c r="K100" s="1662"/>
      <c r="L100" s="1674"/>
    </row>
    <row r="101" spans="1:12">
      <c r="A101" s="1674"/>
      <c r="B101" s="1674"/>
      <c r="C101" s="1674"/>
      <c r="D101" s="1674"/>
      <c r="E101" s="1674"/>
      <c r="F101" s="1674"/>
      <c r="G101" s="1674"/>
      <c r="H101" s="1674"/>
      <c r="I101" s="1674"/>
      <c r="J101" s="1674"/>
      <c r="K101" s="1674"/>
      <c r="L101" s="1674"/>
    </row>
  </sheetData>
  <sheetProtection password="B771" sheet="1" objects="1" scenarios="1" selectLockedCells="1"/>
  <customSheetViews>
    <customSheetView guid="{DDA22D69-94B5-45BC-9EE2-6055A845129B}" hiddenRows="1" hiddenColumns="1" topLeftCell="A91">
      <selection activeCell="G99" sqref="G99"/>
      <pageMargins left="0.7" right="0.7" top="0.75" bottom="0.75" header="0.3" footer="0.3"/>
      <pageSetup orientation="portrait" horizontalDpi="300" verticalDpi="300" r:id="rId1"/>
    </customSheetView>
    <customSheetView guid="{1B7577DB-E3C4-4E68-B7CF-8F86FF7C5A82}" hiddenRows="1" hiddenColumns="1">
      <selection activeCell="G99" sqref="G99"/>
      <pageMargins left="0.7" right="0.7" top="0.75" bottom="0.75" header="0.3" footer="0.3"/>
      <pageSetup orientation="portrait" horizontalDpi="300" verticalDpi="300" r:id="rId2"/>
    </customSheetView>
    <customSheetView guid="{E7B1C62B-1F1D-4A62-BD87-EE62D3A36B6C}" hiddenRows="1" hiddenColumns="1" topLeftCell="A85">
      <selection activeCell="G99" sqref="G99"/>
      <pageMargins left="0.7" right="0.7" top="0.75" bottom="0.75" header="0.3" footer="0.3"/>
      <pageSetup orientation="portrait" horizontalDpi="300" verticalDpi="300" r:id="rId3"/>
    </customSheetView>
  </customSheetViews>
  <mergeCells count="121">
    <mergeCell ref="H4:I4"/>
    <mergeCell ref="J4:K4"/>
    <mergeCell ref="H5:I5"/>
    <mergeCell ref="H6:I6"/>
    <mergeCell ref="D3:E3"/>
    <mergeCell ref="F3:G3"/>
    <mergeCell ref="H3:I3"/>
    <mergeCell ref="J3:K3"/>
    <mergeCell ref="B1:K1"/>
    <mergeCell ref="B3:C3"/>
    <mergeCell ref="H2:K2"/>
    <mergeCell ref="B2:C2"/>
    <mergeCell ref="D2:G2"/>
    <mergeCell ref="J5:K5"/>
    <mergeCell ref="J6:K6"/>
    <mergeCell ref="D4:E4"/>
    <mergeCell ref="F4:G4"/>
    <mergeCell ref="D5:E5"/>
    <mergeCell ref="D6:E6"/>
    <mergeCell ref="B5:C5"/>
    <mergeCell ref="B6:C6"/>
    <mergeCell ref="F5:G5"/>
    <mergeCell ref="F6:G6"/>
    <mergeCell ref="B4:C4"/>
    <mergeCell ref="B26:C26"/>
    <mergeCell ref="D26:H26"/>
    <mergeCell ref="B18:E21"/>
    <mergeCell ref="B10:C11"/>
    <mergeCell ref="D10:E11"/>
    <mergeCell ref="B12:C12"/>
    <mergeCell ref="D7:E7"/>
    <mergeCell ref="B16:C17"/>
    <mergeCell ref="D16:E17"/>
    <mergeCell ref="H7:I7"/>
    <mergeCell ref="F7:G7"/>
    <mergeCell ref="B8:K8"/>
    <mergeCell ref="B7:C7"/>
    <mergeCell ref="J7:K7"/>
    <mergeCell ref="D12:E12"/>
    <mergeCell ref="B13:C13"/>
    <mergeCell ref="D13:E13"/>
    <mergeCell ref="B14:C14"/>
    <mergeCell ref="B15:C15"/>
    <mergeCell ref="D14:E14"/>
    <mergeCell ref="D15:E15"/>
    <mergeCell ref="D9:E9"/>
    <mergeCell ref="B30:C30"/>
    <mergeCell ref="G29:H29"/>
    <mergeCell ref="D29:F29"/>
    <mergeCell ref="D30:F30"/>
    <mergeCell ref="G30:H30"/>
    <mergeCell ref="B28:C28"/>
    <mergeCell ref="D28:E28"/>
    <mergeCell ref="B29:C29"/>
    <mergeCell ref="G28:H28"/>
    <mergeCell ref="D36:F36"/>
    <mergeCell ref="D37:F37"/>
    <mergeCell ref="D38:F38"/>
    <mergeCell ref="D39:F39"/>
    <mergeCell ref="D40:F40"/>
    <mergeCell ref="B32:C32"/>
    <mergeCell ref="D32:F32"/>
    <mergeCell ref="D33:F33"/>
    <mergeCell ref="D34:F34"/>
    <mergeCell ref="D35:F35"/>
    <mergeCell ref="B44:C44"/>
    <mergeCell ref="D44:H44"/>
    <mergeCell ref="B46:C46"/>
    <mergeCell ref="D46:E46"/>
    <mergeCell ref="G46:H46"/>
    <mergeCell ref="D54:F54"/>
    <mergeCell ref="B47:C47"/>
    <mergeCell ref="D47:F47"/>
    <mergeCell ref="G47:H47"/>
    <mergeCell ref="B48:C48"/>
    <mergeCell ref="D48:F48"/>
    <mergeCell ref="G48:H48"/>
    <mergeCell ref="B71:C71"/>
    <mergeCell ref="D71:F71"/>
    <mergeCell ref="B56:C56"/>
    <mergeCell ref="D56:F56"/>
    <mergeCell ref="D57:F57"/>
    <mergeCell ref="D58:F58"/>
    <mergeCell ref="B50:C50"/>
    <mergeCell ref="D50:F50"/>
    <mergeCell ref="D51:F51"/>
    <mergeCell ref="D52:F52"/>
    <mergeCell ref="D53:F53"/>
    <mergeCell ref="D97:G97"/>
    <mergeCell ref="D98:G98"/>
    <mergeCell ref="D70:F70"/>
    <mergeCell ref="D86:G86"/>
    <mergeCell ref="D87:G87"/>
    <mergeCell ref="D88:G88"/>
    <mergeCell ref="D89:G89"/>
    <mergeCell ref="D90:G90"/>
    <mergeCell ref="D59:F59"/>
    <mergeCell ref="D60:F60"/>
    <mergeCell ref="D61:F61"/>
    <mergeCell ref="D62:F62"/>
    <mergeCell ref="D63:F63"/>
    <mergeCell ref="D94:G94"/>
    <mergeCell ref="D91:G91"/>
    <mergeCell ref="D92:G92"/>
    <mergeCell ref="D93:G93"/>
    <mergeCell ref="B74:F76"/>
    <mergeCell ref="B72:C72"/>
    <mergeCell ref="D72:F72"/>
    <mergeCell ref="D64:F64"/>
    <mergeCell ref="B68:C68"/>
    <mergeCell ref="D68:H68"/>
    <mergeCell ref="B70:C70"/>
    <mergeCell ref="D82:F82"/>
    <mergeCell ref="D85:F85"/>
    <mergeCell ref="B78:C78"/>
    <mergeCell ref="D78:F78"/>
    <mergeCell ref="D79:F79"/>
    <mergeCell ref="D80:F80"/>
    <mergeCell ref="D81:F81"/>
    <mergeCell ref="D95:G95"/>
    <mergeCell ref="D96:G96"/>
  </mergeCells>
  <pageMargins left="0.7" right="0.7" top="0.75" bottom="0.75" header="0.3" footer="0.3"/>
  <pageSetup orientation="portrait" horizontalDpi="300" verticalDpi="300"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L301"/>
  <sheetViews>
    <sheetView topLeftCell="A19" workbookViewId="0">
      <selection activeCell="M62" sqref="M62:N62"/>
    </sheetView>
  </sheetViews>
  <sheetFormatPr defaultRowHeight="15"/>
  <cols>
    <col min="4" max="4" width="30.140625" customWidth="1"/>
    <col min="5" max="5" width="17.7109375" customWidth="1"/>
    <col min="6" max="6" width="3" customWidth="1"/>
    <col min="10" max="10" width="45.85546875" customWidth="1"/>
    <col min="11" max="11" width="15" customWidth="1"/>
    <col min="12" max="12" width="8.85546875" customWidth="1"/>
  </cols>
  <sheetData>
    <row r="1" spans="1:12" ht="15.75" thickTop="1">
      <c r="A1" s="266"/>
      <c r="B1" s="267"/>
      <c r="C1" s="267"/>
      <c r="D1" s="267"/>
      <c r="E1" s="267"/>
      <c r="F1" s="268"/>
      <c r="G1" s="266"/>
      <c r="H1" s="267"/>
      <c r="I1" s="267"/>
      <c r="J1" s="267"/>
      <c r="K1" s="267"/>
      <c r="L1" s="268"/>
    </row>
    <row r="2" spans="1:12" ht="20.25">
      <c r="A2" s="269"/>
      <c r="B2" s="6882" t="s">
        <v>480</v>
      </c>
      <c r="C2" s="6882"/>
      <c r="D2" s="6882"/>
      <c r="E2" s="270"/>
      <c r="F2" s="271"/>
      <c r="G2" s="269"/>
      <c r="H2" s="6882" t="s">
        <v>488</v>
      </c>
      <c r="I2" s="6882"/>
      <c r="J2" s="6882"/>
      <c r="K2" s="270"/>
      <c r="L2" s="271"/>
    </row>
    <row r="3" spans="1:12">
      <c r="A3" s="269"/>
      <c r="B3" s="270"/>
      <c r="C3" s="270"/>
      <c r="D3" s="270"/>
      <c r="E3" s="270"/>
      <c r="F3" s="271"/>
      <c r="G3" s="269"/>
      <c r="H3" s="270"/>
      <c r="I3" s="270"/>
      <c r="J3" s="270"/>
      <c r="K3" s="270"/>
      <c r="L3" s="271"/>
    </row>
    <row r="4" spans="1:12" ht="18.75">
      <c r="A4" s="269"/>
      <c r="B4" s="6883" t="s">
        <v>235</v>
      </c>
      <c r="C4" s="6883"/>
      <c r="D4" s="6883"/>
      <c r="E4" s="276">
        <v>20000</v>
      </c>
      <c r="F4" s="271"/>
      <c r="G4" s="269"/>
      <c r="H4" s="6883" t="s">
        <v>235</v>
      </c>
      <c r="I4" s="6883"/>
      <c r="J4" s="6883"/>
      <c r="K4" s="276">
        <v>30000</v>
      </c>
      <c r="L4" s="271"/>
    </row>
    <row r="5" spans="1:12" ht="18.75">
      <c r="A5" s="269"/>
      <c r="B5" s="6883" t="s">
        <v>281</v>
      </c>
      <c r="C5" s="6883"/>
      <c r="D5" s="6883"/>
      <c r="E5" s="276">
        <v>720</v>
      </c>
      <c r="F5" s="271"/>
      <c r="G5" s="269"/>
      <c r="H5" s="6883" t="s">
        <v>281</v>
      </c>
      <c r="I5" s="6883"/>
      <c r="J5" s="6883"/>
      <c r="K5" s="276">
        <v>1440</v>
      </c>
      <c r="L5" s="271"/>
    </row>
    <row r="6" spans="1:12" ht="18.75">
      <c r="A6" s="269"/>
      <c r="B6" s="6883" t="s">
        <v>481</v>
      </c>
      <c r="C6" s="6883"/>
      <c r="D6" s="6883"/>
      <c r="E6" s="276">
        <v>35000</v>
      </c>
      <c r="F6" s="271"/>
      <c r="G6" s="269"/>
      <c r="H6" s="6883" t="s">
        <v>481</v>
      </c>
      <c r="I6" s="6883"/>
      <c r="J6" s="6883"/>
      <c r="K6" s="276">
        <v>35000</v>
      </c>
      <c r="L6" s="271"/>
    </row>
    <row r="7" spans="1:12" ht="18.75">
      <c r="A7" s="269"/>
      <c r="B7" s="6883" t="s">
        <v>482</v>
      </c>
      <c r="C7" s="6883"/>
      <c r="D7" s="6883"/>
      <c r="E7" s="276">
        <v>90000</v>
      </c>
      <c r="F7" s="271"/>
      <c r="G7" s="269"/>
      <c r="H7" s="6883" t="s">
        <v>482</v>
      </c>
      <c r="I7" s="6883"/>
      <c r="J7" s="6883"/>
      <c r="K7" s="276">
        <v>0</v>
      </c>
      <c r="L7" s="271"/>
    </row>
    <row r="8" spans="1:12" ht="18.75">
      <c r="A8" s="269"/>
      <c r="B8" s="6883" t="s">
        <v>483</v>
      </c>
      <c r="C8" s="6883"/>
      <c r="D8" s="6883"/>
      <c r="E8" s="276">
        <v>20000</v>
      </c>
      <c r="F8" s="271"/>
      <c r="G8" s="269"/>
      <c r="H8" s="6883" t="s">
        <v>483</v>
      </c>
      <c r="I8" s="6883"/>
      <c r="J8" s="6883"/>
      <c r="K8" s="276">
        <v>40000</v>
      </c>
      <c r="L8" s="271"/>
    </row>
    <row r="9" spans="1:12" ht="18.75">
      <c r="A9" s="269"/>
      <c r="B9" s="6883" t="s">
        <v>484</v>
      </c>
      <c r="C9" s="6883"/>
      <c r="D9" s="6883"/>
      <c r="E9" s="276">
        <v>45000</v>
      </c>
      <c r="F9" s="271"/>
      <c r="G9" s="269"/>
      <c r="H9" s="6883" t="s">
        <v>484</v>
      </c>
      <c r="I9" s="6883"/>
      <c r="J9" s="6883"/>
      <c r="K9" s="276">
        <v>75000</v>
      </c>
      <c r="L9" s="271"/>
    </row>
    <row r="10" spans="1:12" ht="18.75">
      <c r="A10" s="269"/>
      <c r="B10" s="6883" t="s">
        <v>31</v>
      </c>
      <c r="C10" s="6883"/>
      <c r="D10" s="6883"/>
      <c r="E10" s="277">
        <f>SUM(E4:E9)</f>
        <v>210720</v>
      </c>
      <c r="F10" s="271"/>
      <c r="G10" s="269"/>
      <c r="H10" s="6883" t="s">
        <v>31</v>
      </c>
      <c r="I10" s="6883"/>
      <c r="J10" s="6883"/>
      <c r="K10" s="277">
        <f>SUM(K4:K9)</f>
        <v>181440</v>
      </c>
      <c r="L10" s="271"/>
    </row>
    <row r="11" spans="1:12" ht="18.75">
      <c r="A11" s="269"/>
      <c r="B11" s="6884"/>
      <c r="C11" s="6884"/>
      <c r="D11" s="6884"/>
      <c r="E11" s="276"/>
      <c r="F11" s="271"/>
      <c r="G11" s="269"/>
      <c r="H11" s="6884"/>
      <c r="I11" s="6884"/>
      <c r="J11" s="6884"/>
      <c r="K11" s="276"/>
      <c r="L11" s="271"/>
    </row>
    <row r="12" spans="1:12" ht="18.75">
      <c r="A12" s="269"/>
      <c r="B12" s="275"/>
      <c r="C12" s="275"/>
      <c r="D12" s="275"/>
      <c r="E12" s="276"/>
      <c r="F12" s="271"/>
      <c r="G12" s="269"/>
      <c r="H12" s="275"/>
      <c r="I12" s="275"/>
      <c r="J12" s="275"/>
      <c r="K12" s="276"/>
      <c r="L12" s="271"/>
    </row>
    <row r="13" spans="1:12">
      <c r="A13" s="269"/>
      <c r="B13" s="6885" t="s">
        <v>485</v>
      </c>
      <c r="C13" s="6885"/>
      <c r="D13" s="6885"/>
      <c r="E13" s="6886">
        <v>150000</v>
      </c>
      <c r="F13" s="271"/>
      <c r="G13" s="269"/>
      <c r="H13" s="6885" t="s">
        <v>489</v>
      </c>
      <c r="I13" s="6885"/>
      <c r="J13" s="6885"/>
      <c r="K13" s="6886">
        <v>131440</v>
      </c>
      <c r="L13" s="271"/>
    </row>
    <row r="14" spans="1:12">
      <c r="A14" s="269"/>
      <c r="B14" s="6885"/>
      <c r="C14" s="6885"/>
      <c r="D14" s="6885"/>
      <c r="E14" s="6886"/>
      <c r="F14" s="271"/>
      <c r="G14" s="269"/>
      <c r="H14" s="6885"/>
      <c r="I14" s="6885"/>
      <c r="J14" s="6885"/>
      <c r="K14" s="6886"/>
      <c r="L14" s="271"/>
    </row>
    <row r="15" spans="1:12">
      <c r="A15" s="269"/>
      <c r="B15" s="6885"/>
      <c r="C15" s="6885"/>
      <c r="D15" s="6885"/>
      <c r="E15" s="6886"/>
      <c r="F15" s="271"/>
      <c r="G15" s="269"/>
      <c r="H15" s="6885"/>
      <c r="I15" s="6885"/>
      <c r="J15" s="6885"/>
      <c r="K15" s="6886"/>
      <c r="L15" s="271"/>
    </row>
    <row r="16" spans="1:12" ht="18.75">
      <c r="A16" s="269"/>
      <c r="B16" s="275"/>
      <c r="C16" s="275"/>
      <c r="D16" s="275"/>
      <c r="E16" s="276"/>
      <c r="F16" s="271"/>
      <c r="G16" s="269"/>
      <c r="H16" s="275"/>
      <c r="I16" s="275"/>
      <c r="J16" s="275"/>
      <c r="K16" s="276"/>
      <c r="L16" s="271"/>
    </row>
    <row r="17" spans="1:12" ht="18.75">
      <c r="A17" s="269"/>
      <c r="B17" s="275" t="s">
        <v>486</v>
      </c>
      <c r="C17" s="275"/>
      <c r="D17" s="275"/>
      <c r="E17" s="276">
        <v>45000</v>
      </c>
      <c r="F17" s="271"/>
      <c r="G17" s="269"/>
      <c r="H17" s="6883" t="s">
        <v>486</v>
      </c>
      <c r="I17" s="6883"/>
      <c r="J17" s="6883"/>
      <c r="K17" s="276">
        <v>50000</v>
      </c>
      <c r="L17" s="271"/>
    </row>
    <row r="18" spans="1:12" ht="18.75">
      <c r="A18" s="269"/>
      <c r="B18" s="275"/>
      <c r="C18" s="275"/>
      <c r="D18" s="275"/>
      <c r="E18" s="276"/>
      <c r="F18" s="271"/>
      <c r="G18" s="269"/>
      <c r="H18" s="275"/>
      <c r="I18" s="275"/>
      <c r="J18" s="275"/>
      <c r="K18" s="276"/>
      <c r="L18" s="271"/>
    </row>
    <row r="19" spans="1:12" ht="18.75">
      <c r="A19" s="269"/>
      <c r="B19" s="275"/>
      <c r="C19" s="275"/>
      <c r="D19" s="275"/>
      <c r="E19" s="276"/>
      <c r="F19" s="271"/>
      <c r="G19" s="269"/>
      <c r="H19" s="275"/>
      <c r="I19" s="275"/>
      <c r="J19" s="275"/>
      <c r="K19" s="276"/>
      <c r="L19" s="271"/>
    </row>
    <row r="20" spans="1:12" ht="18.75">
      <c r="A20" s="269"/>
      <c r="B20" s="6886" t="s">
        <v>487</v>
      </c>
      <c r="C20" s="6886"/>
      <c r="D20" s="6886"/>
      <c r="E20" s="277">
        <f>SUM(E13+E17)</f>
        <v>195000</v>
      </c>
      <c r="F20" s="271"/>
      <c r="G20" s="269"/>
      <c r="H20" s="6886" t="s">
        <v>487</v>
      </c>
      <c r="I20" s="6886"/>
      <c r="J20" s="6886"/>
      <c r="K20" s="277">
        <f>SUM(K13+K17)</f>
        <v>181440</v>
      </c>
      <c r="L20" s="271"/>
    </row>
    <row r="21" spans="1:12" ht="18.75">
      <c r="A21" s="269"/>
      <c r="B21" s="275"/>
      <c r="C21" s="275"/>
      <c r="D21" s="275"/>
      <c r="E21" s="275"/>
      <c r="F21" s="271"/>
      <c r="G21" s="269"/>
      <c r="H21" s="275"/>
      <c r="I21" s="275"/>
      <c r="J21" s="275"/>
      <c r="K21" s="278"/>
      <c r="L21" s="271"/>
    </row>
    <row r="22" spans="1:12" ht="15.75" thickBot="1">
      <c r="A22" s="272"/>
      <c r="B22" s="273"/>
      <c r="C22" s="273"/>
      <c r="D22" s="273"/>
      <c r="E22" s="273"/>
      <c r="F22" s="274"/>
      <c r="G22" s="272"/>
      <c r="H22" s="273"/>
      <c r="I22" s="273"/>
      <c r="J22" s="273"/>
      <c r="K22" s="279"/>
      <c r="L22" s="274"/>
    </row>
    <row r="23" spans="1:12" ht="15.75" thickTop="1">
      <c r="A23" s="266"/>
      <c r="B23" s="267"/>
      <c r="C23" s="267"/>
      <c r="D23" s="267"/>
      <c r="E23" s="267"/>
      <c r="F23" s="267"/>
      <c r="G23" s="267"/>
      <c r="H23" s="267"/>
      <c r="I23" s="267"/>
      <c r="J23" s="267"/>
      <c r="K23" s="267"/>
      <c r="L23" s="268"/>
    </row>
    <row r="24" spans="1:12">
      <c r="A24" s="269"/>
      <c r="B24" s="270"/>
      <c r="C24" s="270"/>
      <c r="D24" s="270"/>
      <c r="E24" s="270"/>
      <c r="F24" s="270"/>
      <c r="G24" s="270"/>
      <c r="H24" s="270"/>
      <c r="I24" s="270"/>
      <c r="J24" s="270"/>
      <c r="K24" s="270"/>
      <c r="L24" s="271"/>
    </row>
    <row r="25" spans="1:12" ht="18.75" customHeight="1">
      <c r="A25" s="6887" t="s">
        <v>490</v>
      </c>
      <c r="B25" s="6888"/>
      <c r="C25" s="6898" t="s">
        <v>491</v>
      </c>
      <c r="D25" s="6889" t="s">
        <v>492</v>
      </c>
      <c r="E25" s="6889"/>
      <c r="F25" s="6889"/>
      <c r="G25" s="6889"/>
      <c r="H25" s="6889"/>
      <c r="I25" s="6889"/>
      <c r="J25" s="6889"/>
      <c r="K25" s="6889"/>
      <c r="L25" s="6890"/>
    </row>
    <row r="26" spans="1:12">
      <c r="A26" s="269"/>
      <c r="B26" s="270"/>
      <c r="C26" s="6898"/>
      <c r="D26" s="6889"/>
      <c r="E26" s="6889"/>
      <c r="F26" s="6889"/>
      <c r="G26" s="6889"/>
      <c r="H26" s="6889"/>
      <c r="I26" s="6889"/>
      <c r="J26" s="6889"/>
      <c r="K26" s="6889"/>
      <c r="L26" s="6890"/>
    </row>
    <row r="27" spans="1:12">
      <c r="A27" s="269"/>
      <c r="B27" s="270"/>
      <c r="C27" s="270"/>
      <c r="D27" s="6889"/>
      <c r="E27" s="6889"/>
      <c r="F27" s="6889"/>
      <c r="G27" s="6889"/>
      <c r="H27" s="6889"/>
      <c r="I27" s="6889"/>
      <c r="J27" s="6889"/>
      <c r="K27" s="6889"/>
      <c r="L27" s="6890"/>
    </row>
    <row r="28" spans="1:12">
      <c r="A28" s="269"/>
      <c r="B28" s="270"/>
      <c r="C28" s="6898" t="s">
        <v>493</v>
      </c>
      <c r="D28" s="6896" t="s">
        <v>494</v>
      </c>
      <c r="E28" s="6896"/>
      <c r="F28" s="6896"/>
      <c r="G28" s="6896"/>
      <c r="H28" s="6896"/>
      <c r="I28" s="6896"/>
      <c r="J28" s="6896"/>
      <c r="K28" s="6896"/>
      <c r="L28" s="6897"/>
    </row>
    <row r="29" spans="1:12">
      <c r="A29" s="269"/>
      <c r="B29" s="270"/>
      <c r="C29" s="6898"/>
      <c r="D29" s="6896"/>
      <c r="E29" s="6896"/>
      <c r="F29" s="6896"/>
      <c r="G29" s="6896"/>
      <c r="H29" s="6896"/>
      <c r="I29" s="6896"/>
      <c r="J29" s="6896"/>
      <c r="K29" s="6896"/>
      <c r="L29" s="6897"/>
    </row>
    <row r="30" spans="1:12">
      <c r="A30" s="269"/>
      <c r="B30" s="270"/>
      <c r="C30" s="270"/>
      <c r="D30" s="6896"/>
      <c r="E30" s="6896"/>
      <c r="F30" s="6896"/>
      <c r="G30" s="6896"/>
      <c r="H30" s="6896"/>
      <c r="I30" s="6896"/>
      <c r="J30" s="6896"/>
      <c r="K30" s="6896"/>
      <c r="L30" s="6897"/>
    </row>
    <row r="31" spans="1:12" ht="18.75">
      <c r="A31" s="269"/>
      <c r="B31" s="270"/>
      <c r="C31" s="270"/>
      <c r="D31" s="280" t="s">
        <v>495</v>
      </c>
      <c r="E31" s="270"/>
      <c r="F31" s="270"/>
      <c r="G31" s="270"/>
      <c r="H31" s="270"/>
      <c r="I31" s="270"/>
      <c r="J31" s="270"/>
      <c r="K31" s="270"/>
      <c r="L31" s="271"/>
    </row>
    <row r="32" spans="1:12">
      <c r="A32" s="269"/>
      <c r="B32" s="270"/>
      <c r="C32" s="270"/>
      <c r="D32" s="270"/>
      <c r="E32" s="270"/>
      <c r="F32" s="270"/>
      <c r="G32" s="270"/>
      <c r="H32" s="270"/>
      <c r="I32" s="270"/>
      <c r="J32" s="270"/>
      <c r="K32" s="270"/>
      <c r="L32" s="271"/>
    </row>
    <row r="33" spans="1:12" ht="15.75" thickBot="1">
      <c r="A33" s="272"/>
      <c r="B33" s="273"/>
      <c r="C33" s="273"/>
      <c r="D33" s="273"/>
      <c r="E33" s="273"/>
      <c r="F33" s="273"/>
      <c r="G33" s="273"/>
      <c r="H33" s="273"/>
      <c r="I33" s="273"/>
      <c r="J33" s="273"/>
      <c r="K33" s="273"/>
      <c r="L33" s="274"/>
    </row>
    <row r="34" spans="1:12" ht="15.75" thickTop="1">
      <c r="A34" s="269"/>
      <c r="B34" s="270"/>
      <c r="C34" s="270"/>
      <c r="D34" s="270"/>
      <c r="E34" s="270"/>
      <c r="F34" s="270"/>
      <c r="G34" s="270"/>
      <c r="H34" s="270"/>
      <c r="I34" s="270"/>
      <c r="J34" s="270"/>
      <c r="K34" s="270"/>
      <c r="L34" s="271"/>
    </row>
    <row r="35" spans="1:12">
      <c r="A35" s="269"/>
      <c r="B35" s="270"/>
      <c r="C35" s="270"/>
      <c r="D35" s="270"/>
      <c r="E35" s="270"/>
      <c r="F35" s="270"/>
      <c r="G35" s="270"/>
      <c r="H35" s="270"/>
      <c r="I35" s="270"/>
      <c r="J35" s="270"/>
      <c r="K35" s="270"/>
      <c r="L35" s="271"/>
    </row>
    <row r="36" spans="1:12">
      <c r="A36" s="269"/>
      <c r="B36" s="270"/>
      <c r="C36" s="270"/>
      <c r="D36" s="270"/>
      <c r="E36" s="270"/>
      <c r="F36" s="270"/>
      <c r="G36" s="270"/>
      <c r="H36" s="270"/>
      <c r="I36" s="270"/>
      <c r="J36" s="270"/>
      <c r="K36" s="270"/>
      <c r="L36" s="271"/>
    </row>
    <row r="37" spans="1:12" ht="18.75" customHeight="1">
      <c r="A37" s="269"/>
      <c r="B37" s="270"/>
      <c r="C37" s="6899" t="s">
        <v>496</v>
      </c>
      <c r="D37" s="6899"/>
      <c r="E37" s="6899"/>
      <c r="F37" s="6899"/>
      <c r="G37" s="6899"/>
      <c r="H37" s="6899"/>
      <c r="I37" s="6899"/>
      <c r="J37" s="6899"/>
      <c r="K37" s="270"/>
      <c r="L37" s="271"/>
    </row>
    <row r="38" spans="1:12">
      <c r="A38" s="269"/>
      <c r="B38" s="270"/>
      <c r="C38" s="6899"/>
      <c r="D38" s="6899"/>
      <c r="E38" s="6899"/>
      <c r="F38" s="6899"/>
      <c r="G38" s="6899"/>
      <c r="H38" s="6899"/>
      <c r="I38" s="6899"/>
      <c r="J38" s="6899"/>
      <c r="K38" s="270"/>
      <c r="L38" s="271"/>
    </row>
    <row r="39" spans="1:12">
      <c r="A39" s="269"/>
      <c r="B39" s="270"/>
      <c r="C39" s="270"/>
      <c r="D39" s="270"/>
      <c r="E39" s="270"/>
      <c r="F39" s="270"/>
      <c r="G39" s="270"/>
      <c r="H39" s="270"/>
      <c r="I39" s="270"/>
      <c r="J39" s="270"/>
      <c r="K39" s="270"/>
      <c r="L39" s="271"/>
    </row>
    <row r="40" spans="1:12" ht="15" customHeight="1">
      <c r="A40" s="269"/>
      <c r="B40" s="270"/>
      <c r="C40" s="6895">
        <v>1</v>
      </c>
      <c r="D40" s="6891" t="s">
        <v>497</v>
      </c>
      <c r="E40" s="6891"/>
      <c r="F40" s="6891"/>
      <c r="G40" s="6891"/>
      <c r="H40" s="6891"/>
      <c r="I40" s="6891"/>
      <c r="J40" s="6900" t="s">
        <v>411</v>
      </c>
      <c r="K40" s="270"/>
      <c r="L40" s="271"/>
    </row>
    <row r="41" spans="1:12" ht="15" customHeight="1">
      <c r="A41" s="269"/>
      <c r="B41" s="270"/>
      <c r="C41" s="6895"/>
      <c r="D41" s="6891"/>
      <c r="E41" s="6891"/>
      <c r="F41" s="6891"/>
      <c r="G41" s="6891"/>
      <c r="H41" s="6891"/>
      <c r="I41" s="6891"/>
      <c r="J41" s="6901"/>
      <c r="K41" s="270"/>
      <c r="L41" s="271"/>
    </row>
    <row r="42" spans="1:12" ht="15" customHeight="1">
      <c r="A42" s="269"/>
      <c r="B42" s="270"/>
      <c r="C42" s="6895"/>
      <c r="D42" s="6891"/>
      <c r="E42" s="6891"/>
      <c r="F42" s="6891"/>
      <c r="G42" s="6891"/>
      <c r="H42" s="6891"/>
      <c r="I42" s="6891"/>
      <c r="J42" s="6901"/>
      <c r="K42" s="270"/>
      <c r="L42" s="271"/>
    </row>
    <row r="43" spans="1:12" ht="15" customHeight="1">
      <c r="A43" s="269"/>
      <c r="B43" s="270"/>
      <c r="C43" s="6895"/>
      <c r="D43" s="6891"/>
      <c r="E43" s="6891"/>
      <c r="F43" s="6891"/>
      <c r="G43" s="6891"/>
      <c r="H43" s="6891"/>
      <c r="I43" s="6891"/>
      <c r="J43" s="6901"/>
      <c r="K43" s="270"/>
      <c r="L43" s="271"/>
    </row>
    <row r="44" spans="1:12" ht="15.75" customHeight="1">
      <c r="A44" s="269"/>
      <c r="B44" s="270"/>
      <c r="C44" s="6895"/>
      <c r="D44" s="6891"/>
      <c r="E44" s="6891"/>
      <c r="F44" s="6891"/>
      <c r="G44" s="6891"/>
      <c r="H44" s="6891"/>
      <c r="I44" s="6891"/>
      <c r="J44" s="6902"/>
      <c r="K44" s="270"/>
      <c r="L44" s="271"/>
    </row>
    <row r="45" spans="1:12" ht="15" customHeight="1">
      <c r="A45" s="269"/>
      <c r="B45" s="270"/>
      <c r="C45" s="6895">
        <v>2</v>
      </c>
      <c r="D45" s="6891" t="s">
        <v>498</v>
      </c>
      <c r="E45" s="6891"/>
      <c r="F45" s="6891"/>
      <c r="G45" s="6891"/>
      <c r="H45" s="6891"/>
      <c r="I45" s="6891"/>
      <c r="J45" s="6892" t="s">
        <v>411</v>
      </c>
      <c r="K45" s="270"/>
      <c r="L45" s="271"/>
    </row>
    <row r="46" spans="1:12" ht="15" customHeight="1">
      <c r="A46" s="269"/>
      <c r="B46" s="270"/>
      <c r="C46" s="6895"/>
      <c r="D46" s="6891"/>
      <c r="E46" s="6891"/>
      <c r="F46" s="6891"/>
      <c r="G46" s="6891"/>
      <c r="H46" s="6891"/>
      <c r="I46" s="6891"/>
      <c r="J46" s="6893"/>
      <c r="K46" s="270"/>
      <c r="L46" s="271"/>
    </row>
    <row r="47" spans="1:12">
      <c r="A47" s="269"/>
      <c r="B47" s="270"/>
      <c r="C47" s="6895"/>
      <c r="D47" s="6891"/>
      <c r="E47" s="6891"/>
      <c r="F47" s="6891"/>
      <c r="G47" s="6891"/>
      <c r="H47" s="6891"/>
      <c r="I47" s="6891"/>
      <c r="J47" s="6893"/>
      <c r="K47" s="270"/>
      <c r="L47" s="271"/>
    </row>
    <row r="48" spans="1:12">
      <c r="A48" s="269"/>
      <c r="B48" s="270"/>
      <c r="C48" s="6895"/>
      <c r="D48" s="6891"/>
      <c r="E48" s="6891"/>
      <c r="F48" s="6891"/>
      <c r="G48" s="6891"/>
      <c r="H48" s="6891"/>
      <c r="I48" s="6891"/>
      <c r="J48" s="6893"/>
      <c r="K48" s="270"/>
      <c r="L48" s="271"/>
    </row>
    <row r="49" spans="1:12" ht="30.75" customHeight="1">
      <c r="A49" s="269"/>
      <c r="B49" s="270"/>
      <c r="C49" s="6895"/>
      <c r="D49" s="6891"/>
      <c r="E49" s="6891"/>
      <c r="F49" s="6891"/>
      <c r="G49" s="6891"/>
      <c r="H49" s="6891"/>
      <c r="I49" s="6891"/>
      <c r="J49" s="6894"/>
      <c r="K49" s="270"/>
      <c r="L49" s="271"/>
    </row>
    <row r="50" spans="1:12">
      <c r="A50" s="269"/>
      <c r="B50" s="270"/>
      <c r="C50" s="270"/>
      <c r="D50" s="270"/>
      <c r="E50" s="270"/>
      <c r="F50" s="270"/>
      <c r="G50" s="270"/>
      <c r="H50" s="270"/>
      <c r="I50" s="270"/>
      <c r="J50" s="270"/>
      <c r="K50" s="270"/>
      <c r="L50" s="271"/>
    </row>
    <row r="51" spans="1:12">
      <c r="A51" s="269"/>
      <c r="B51" s="270"/>
      <c r="C51" s="270"/>
      <c r="D51" s="270"/>
      <c r="E51" s="270"/>
      <c r="F51" s="270"/>
      <c r="G51" s="270"/>
      <c r="H51" s="270"/>
      <c r="I51" s="270"/>
      <c r="J51" s="270"/>
      <c r="K51" s="270"/>
      <c r="L51" s="271"/>
    </row>
    <row r="52" spans="1:12">
      <c r="A52" s="269"/>
      <c r="B52" s="270"/>
      <c r="C52" s="270"/>
      <c r="D52" s="270"/>
      <c r="E52" s="270"/>
      <c r="F52" s="270"/>
      <c r="G52" s="270"/>
      <c r="H52" s="270"/>
      <c r="I52" s="270"/>
      <c r="J52" s="270"/>
      <c r="K52" s="270"/>
      <c r="L52" s="271"/>
    </row>
    <row r="53" spans="1:12">
      <c r="A53" s="269"/>
      <c r="B53" s="270"/>
      <c r="C53" s="270"/>
      <c r="D53" s="270"/>
      <c r="E53" s="270"/>
      <c r="F53" s="270"/>
      <c r="G53" s="270"/>
      <c r="H53" s="270"/>
      <c r="I53" s="270"/>
      <c r="J53" s="270"/>
      <c r="K53" s="270"/>
      <c r="L53" s="271"/>
    </row>
    <row r="54" spans="1:12">
      <c r="A54" s="269"/>
      <c r="B54" s="270"/>
      <c r="C54" s="270"/>
      <c r="D54" s="270"/>
      <c r="E54" s="270"/>
      <c r="F54" s="270"/>
      <c r="G54" s="270"/>
      <c r="H54" s="270"/>
      <c r="I54" s="270"/>
      <c r="J54" s="270"/>
      <c r="K54" s="270"/>
      <c r="L54" s="271"/>
    </row>
    <row r="55" spans="1:12">
      <c r="A55" s="269"/>
      <c r="B55" s="270"/>
      <c r="C55" s="270"/>
      <c r="D55" s="270"/>
      <c r="E55" s="270"/>
      <c r="F55" s="270"/>
      <c r="G55" s="270"/>
      <c r="H55" s="270"/>
      <c r="I55" s="270"/>
      <c r="J55" s="270"/>
      <c r="K55" s="270"/>
      <c r="L55" s="271"/>
    </row>
    <row r="56" spans="1:12">
      <c r="A56" s="269"/>
      <c r="B56" s="270"/>
      <c r="C56" s="270"/>
      <c r="D56" s="270"/>
      <c r="E56" s="270"/>
      <c r="F56" s="270"/>
      <c r="G56" s="270"/>
      <c r="H56" s="270"/>
      <c r="I56" s="270"/>
      <c r="J56" s="270"/>
      <c r="K56" s="270"/>
      <c r="L56" s="271"/>
    </row>
    <row r="57" spans="1:12">
      <c r="A57" s="269"/>
      <c r="B57" s="270"/>
      <c r="C57" s="270"/>
      <c r="D57" s="270"/>
      <c r="E57" s="270"/>
      <c r="F57" s="270"/>
      <c r="G57" s="270"/>
      <c r="H57" s="270"/>
      <c r="I57" s="270"/>
      <c r="J57" s="270"/>
      <c r="K57" s="270"/>
      <c r="L57" s="271"/>
    </row>
    <row r="58" spans="1:12">
      <c r="A58" s="269"/>
      <c r="B58" s="270"/>
      <c r="C58" s="270"/>
      <c r="D58" s="270"/>
      <c r="E58" s="270"/>
      <c r="F58" s="270"/>
      <c r="G58" s="270"/>
      <c r="H58" s="270"/>
      <c r="I58" s="270"/>
      <c r="J58" s="270"/>
      <c r="K58" s="270"/>
      <c r="L58" s="271"/>
    </row>
    <row r="59" spans="1:12">
      <c r="A59" s="269"/>
      <c r="B59" s="270"/>
      <c r="C59" s="270"/>
      <c r="D59" s="270"/>
      <c r="E59" s="270"/>
      <c r="F59" s="270"/>
      <c r="G59" s="270"/>
      <c r="H59" s="270"/>
      <c r="I59" s="270"/>
      <c r="J59" s="270"/>
      <c r="K59" s="270"/>
      <c r="L59" s="271"/>
    </row>
    <row r="60" spans="1:12">
      <c r="A60" s="269"/>
      <c r="B60" s="270"/>
      <c r="C60" s="270"/>
      <c r="D60" s="270"/>
      <c r="E60" s="270"/>
      <c r="F60" s="270"/>
      <c r="G60" s="270"/>
      <c r="H60" s="270"/>
      <c r="I60" s="270"/>
      <c r="J60" s="270"/>
      <c r="K60" s="270"/>
      <c r="L60" s="271"/>
    </row>
    <row r="61" spans="1:12">
      <c r="A61" s="269"/>
      <c r="B61" s="270"/>
      <c r="C61" s="270"/>
      <c r="D61" s="270"/>
      <c r="E61" s="270"/>
      <c r="F61" s="270"/>
      <c r="G61" s="270"/>
      <c r="H61" s="270"/>
      <c r="I61" s="270"/>
      <c r="J61" s="270"/>
      <c r="K61" s="270"/>
      <c r="L61" s="271"/>
    </row>
    <row r="62" spans="1:12">
      <c r="A62" s="269"/>
      <c r="B62" s="270"/>
      <c r="C62" s="270"/>
      <c r="D62" s="270"/>
      <c r="E62" s="270"/>
      <c r="F62" s="270"/>
      <c r="G62" s="270"/>
      <c r="H62" s="270"/>
      <c r="I62" s="270"/>
      <c r="J62" s="270"/>
      <c r="K62" s="270"/>
      <c r="L62" s="271"/>
    </row>
    <row r="63" spans="1:12">
      <c r="A63" s="269"/>
      <c r="B63" s="270"/>
      <c r="C63" s="270"/>
      <c r="D63" s="270"/>
      <c r="E63" s="270"/>
      <c r="F63" s="270"/>
      <c r="G63" s="270"/>
      <c r="H63" s="270"/>
      <c r="I63" s="270"/>
      <c r="J63" s="270"/>
      <c r="K63" s="270"/>
      <c r="L63" s="271"/>
    </row>
    <row r="64" spans="1:12">
      <c r="A64" s="269"/>
      <c r="B64" s="270"/>
      <c r="C64" s="270"/>
      <c r="D64" s="270"/>
      <c r="E64" s="270"/>
      <c r="F64" s="270"/>
      <c r="G64" s="270"/>
      <c r="H64" s="270"/>
      <c r="I64" s="270"/>
      <c r="J64" s="270"/>
      <c r="K64" s="270"/>
      <c r="L64" s="271"/>
    </row>
    <row r="65" spans="1:12">
      <c r="A65" s="269"/>
      <c r="B65" s="270"/>
      <c r="C65" s="270"/>
      <c r="D65" s="270"/>
      <c r="E65" s="270"/>
      <c r="F65" s="270"/>
      <c r="G65" s="270"/>
      <c r="H65" s="270"/>
      <c r="I65" s="270"/>
      <c r="J65" s="270"/>
      <c r="K65" s="270"/>
      <c r="L65" s="271"/>
    </row>
    <row r="66" spans="1:12">
      <c r="A66" s="269"/>
      <c r="B66" s="270"/>
      <c r="C66" s="270"/>
      <c r="D66" s="270"/>
      <c r="E66" s="270"/>
      <c r="F66" s="270"/>
      <c r="G66" s="270"/>
      <c r="H66" s="270"/>
      <c r="I66" s="270"/>
      <c r="J66" s="270"/>
      <c r="K66" s="270"/>
      <c r="L66" s="271"/>
    </row>
    <row r="67" spans="1:12">
      <c r="A67" s="269"/>
      <c r="B67" s="270"/>
      <c r="C67" s="270"/>
      <c r="D67" s="270"/>
      <c r="E67" s="270"/>
      <c r="F67" s="270"/>
      <c r="G67" s="270"/>
      <c r="H67" s="270"/>
      <c r="I67" s="270"/>
      <c r="J67" s="270"/>
      <c r="K67" s="270"/>
      <c r="L67" s="271"/>
    </row>
    <row r="68" spans="1:12">
      <c r="A68" s="269"/>
      <c r="B68" s="270"/>
      <c r="C68" s="270"/>
      <c r="D68" s="270"/>
      <c r="E68" s="270"/>
      <c r="F68" s="270"/>
      <c r="G68" s="270"/>
      <c r="H68" s="270"/>
      <c r="I68" s="270"/>
      <c r="J68" s="270"/>
      <c r="K68" s="270"/>
      <c r="L68" s="271"/>
    </row>
    <row r="69" spans="1:12">
      <c r="A69" s="269"/>
      <c r="B69" s="270"/>
      <c r="C69" s="270"/>
      <c r="D69" s="270"/>
      <c r="E69" s="270"/>
      <c r="F69" s="270"/>
      <c r="G69" s="270"/>
      <c r="H69" s="270"/>
      <c r="I69" s="270"/>
      <c r="J69" s="270"/>
      <c r="K69" s="270"/>
      <c r="L69" s="271"/>
    </row>
    <row r="70" spans="1:12">
      <c r="A70" s="269"/>
      <c r="B70" s="270"/>
      <c r="C70" s="270"/>
      <c r="D70" s="270"/>
      <c r="E70" s="270"/>
      <c r="F70" s="270"/>
      <c r="G70" s="270"/>
      <c r="H70" s="270"/>
      <c r="I70" s="270"/>
      <c r="J70" s="270"/>
      <c r="K70" s="270"/>
      <c r="L70" s="271"/>
    </row>
    <row r="71" spans="1:12">
      <c r="A71" s="269"/>
      <c r="B71" s="270"/>
      <c r="C71" s="270"/>
      <c r="D71" s="270"/>
      <c r="E71" s="270"/>
      <c r="F71" s="270"/>
      <c r="G71" s="270"/>
      <c r="H71" s="270"/>
      <c r="I71" s="270"/>
      <c r="J71" s="270"/>
      <c r="K71" s="270"/>
      <c r="L71" s="271"/>
    </row>
    <row r="72" spans="1:12">
      <c r="A72" s="269"/>
      <c r="B72" s="270"/>
      <c r="C72" s="270"/>
      <c r="D72" s="270"/>
      <c r="E72" s="270"/>
      <c r="F72" s="270"/>
      <c r="G72" s="270"/>
      <c r="H72" s="270"/>
      <c r="I72" s="270"/>
      <c r="J72" s="270"/>
      <c r="K72" s="270"/>
      <c r="L72" s="271"/>
    </row>
    <row r="73" spans="1:12">
      <c r="A73" s="269"/>
      <c r="B73" s="270"/>
      <c r="C73" s="270"/>
      <c r="D73" s="270"/>
      <c r="E73" s="270"/>
      <c r="F73" s="270"/>
      <c r="G73" s="270"/>
      <c r="H73" s="270"/>
      <c r="I73" s="270"/>
      <c r="J73" s="270"/>
      <c r="K73" s="270"/>
      <c r="L73" s="271"/>
    </row>
    <row r="74" spans="1:12">
      <c r="A74" s="269"/>
      <c r="B74" s="270"/>
      <c r="C74" s="270"/>
      <c r="D74" s="270"/>
      <c r="E74" s="270"/>
      <c r="F74" s="270"/>
      <c r="G74" s="270"/>
      <c r="H74" s="270"/>
      <c r="I74" s="270"/>
      <c r="J74" s="270"/>
      <c r="K74" s="270"/>
      <c r="L74" s="271"/>
    </row>
    <row r="75" spans="1:12">
      <c r="A75" s="269"/>
      <c r="B75" s="270"/>
      <c r="C75" s="270"/>
      <c r="D75" s="270"/>
      <c r="E75" s="270"/>
      <c r="F75" s="270"/>
      <c r="G75" s="270"/>
      <c r="H75" s="270"/>
      <c r="I75" s="270"/>
      <c r="J75" s="270"/>
      <c r="K75" s="270"/>
      <c r="L75" s="271"/>
    </row>
    <row r="76" spans="1:12">
      <c r="A76" s="269"/>
      <c r="B76" s="270"/>
      <c r="C76" s="270"/>
      <c r="D76" s="270"/>
      <c r="E76" s="270"/>
      <c r="F76" s="270"/>
      <c r="G76" s="270"/>
      <c r="H76" s="270"/>
      <c r="I76" s="270"/>
      <c r="J76" s="270"/>
      <c r="K76" s="270"/>
      <c r="L76" s="271"/>
    </row>
    <row r="77" spans="1:12">
      <c r="A77" s="269"/>
      <c r="B77" s="270"/>
      <c r="C77" s="270"/>
      <c r="D77" s="270"/>
      <c r="E77" s="270"/>
      <c r="F77" s="270"/>
      <c r="G77" s="270"/>
      <c r="H77" s="270"/>
      <c r="I77" s="270"/>
      <c r="J77" s="270"/>
      <c r="K77" s="270"/>
      <c r="L77" s="271"/>
    </row>
    <row r="78" spans="1:12">
      <c r="A78" s="269"/>
      <c r="B78" s="270"/>
      <c r="C78" s="270"/>
      <c r="D78" s="270"/>
      <c r="E78" s="270"/>
      <c r="F78" s="270"/>
      <c r="G78" s="270"/>
      <c r="H78" s="270"/>
      <c r="I78" s="270"/>
      <c r="J78" s="270"/>
      <c r="K78" s="270"/>
      <c r="L78" s="271"/>
    </row>
    <row r="79" spans="1:12">
      <c r="A79" s="269"/>
      <c r="B79" s="270"/>
      <c r="C79" s="270"/>
      <c r="D79" s="270"/>
      <c r="E79" s="270"/>
      <c r="F79" s="270"/>
      <c r="G79" s="270"/>
      <c r="H79" s="270"/>
      <c r="I79" s="270"/>
      <c r="J79" s="270"/>
      <c r="K79" s="270"/>
      <c r="L79" s="271"/>
    </row>
    <row r="80" spans="1:12">
      <c r="A80" s="269"/>
      <c r="B80" s="270"/>
      <c r="C80" s="270"/>
      <c r="D80" s="270"/>
      <c r="E80" s="270"/>
      <c r="F80" s="270"/>
      <c r="G80" s="270"/>
      <c r="H80" s="270"/>
      <c r="I80" s="270"/>
      <c r="J80" s="270"/>
      <c r="K80" s="270"/>
      <c r="L80" s="271"/>
    </row>
    <row r="81" spans="1:12">
      <c r="A81" s="269"/>
      <c r="B81" s="270"/>
      <c r="C81" s="270"/>
      <c r="D81" s="270"/>
      <c r="E81" s="270"/>
      <c r="F81" s="270"/>
      <c r="G81" s="270"/>
      <c r="H81" s="270"/>
      <c r="I81" s="270"/>
      <c r="J81" s="270"/>
      <c r="K81" s="270"/>
      <c r="L81" s="271"/>
    </row>
    <row r="82" spans="1:12">
      <c r="A82" s="269"/>
      <c r="B82" s="270"/>
      <c r="C82" s="270"/>
      <c r="D82" s="270"/>
      <c r="E82" s="270"/>
      <c r="F82" s="270"/>
      <c r="G82" s="270"/>
      <c r="H82" s="270"/>
      <c r="I82" s="270"/>
      <c r="J82" s="270"/>
      <c r="K82" s="270"/>
      <c r="L82" s="271"/>
    </row>
    <row r="83" spans="1:12">
      <c r="A83" s="269"/>
      <c r="B83" s="270"/>
      <c r="C83" s="270"/>
      <c r="D83" s="270"/>
      <c r="E83" s="270"/>
      <c r="F83" s="270"/>
      <c r="G83" s="270"/>
      <c r="H83" s="270"/>
      <c r="I83" s="270"/>
      <c r="J83" s="270"/>
      <c r="K83" s="270"/>
      <c r="L83" s="271"/>
    </row>
    <row r="84" spans="1:12">
      <c r="A84" s="269"/>
      <c r="B84" s="270"/>
      <c r="C84" s="270"/>
      <c r="D84" s="270"/>
      <c r="E84" s="270"/>
      <c r="F84" s="270"/>
      <c r="G84" s="270"/>
      <c r="H84" s="270"/>
      <c r="I84" s="270"/>
      <c r="J84" s="270"/>
      <c r="K84" s="270"/>
      <c r="L84" s="271"/>
    </row>
    <row r="85" spans="1:12">
      <c r="A85" s="269"/>
      <c r="B85" s="270"/>
      <c r="C85" s="270"/>
      <c r="D85" s="270"/>
      <c r="E85" s="270"/>
      <c r="F85" s="270"/>
      <c r="G85" s="270"/>
      <c r="H85" s="270"/>
      <c r="I85" s="270"/>
      <c r="J85" s="270"/>
      <c r="K85" s="270"/>
      <c r="L85" s="271"/>
    </row>
    <row r="86" spans="1:12">
      <c r="A86" s="269"/>
      <c r="B86" s="270"/>
      <c r="C86" s="270"/>
      <c r="D86" s="270"/>
      <c r="E86" s="270"/>
      <c r="F86" s="270"/>
      <c r="G86" s="270"/>
      <c r="H86" s="270"/>
      <c r="I86" s="270"/>
      <c r="J86" s="270"/>
      <c r="K86" s="270"/>
      <c r="L86" s="271"/>
    </row>
    <row r="87" spans="1:12">
      <c r="A87" s="269"/>
      <c r="B87" s="270"/>
      <c r="C87" s="270"/>
      <c r="D87" s="270"/>
      <c r="E87" s="270"/>
      <c r="F87" s="270"/>
      <c r="G87" s="270"/>
      <c r="H87" s="270"/>
      <c r="I87" s="270"/>
      <c r="J87" s="270"/>
      <c r="K87" s="270"/>
      <c r="L87" s="271"/>
    </row>
    <row r="88" spans="1:12">
      <c r="A88" s="269"/>
      <c r="B88" s="270"/>
      <c r="C88" s="270"/>
      <c r="D88" s="270"/>
      <c r="E88" s="270"/>
      <c r="F88" s="270"/>
      <c r="G88" s="270"/>
      <c r="H88" s="270"/>
      <c r="I88" s="270"/>
      <c r="J88" s="270"/>
      <c r="K88" s="270"/>
      <c r="L88" s="271"/>
    </row>
    <row r="89" spans="1:12">
      <c r="A89" s="269"/>
      <c r="B89" s="270"/>
      <c r="C89" s="270"/>
      <c r="D89" s="270"/>
      <c r="E89" s="270"/>
      <c r="F89" s="270"/>
      <c r="G89" s="270"/>
      <c r="H89" s="270"/>
      <c r="I89" s="270"/>
      <c r="J89" s="270"/>
      <c r="K89" s="270"/>
      <c r="L89" s="271"/>
    </row>
    <row r="90" spans="1:12">
      <c r="A90" s="269"/>
      <c r="B90" s="270"/>
      <c r="C90" s="270"/>
      <c r="D90" s="270"/>
      <c r="E90" s="270"/>
      <c r="F90" s="270"/>
      <c r="G90" s="270"/>
      <c r="H90" s="270"/>
      <c r="I90" s="270"/>
      <c r="J90" s="270"/>
      <c r="K90" s="270"/>
      <c r="L90" s="271"/>
    </row>
    <row r="91" spans="1:12">
      <c r="A91" s="269"/>
      <c r="B91" s="270"/>
      <c r="C91" s="270"/>
      <c r="D91" s="270"/>
      <c r="E91" s="270"/>
      <c r="F91" s="270"/>
      <c r="G91" s="270"/>
      <c r="H91" s="270"/>
      <c r="I91" s="270"/>
      <c r="J91" s="270"/>
      <c r="K91" s="270"/>
      <c r="L91" s="271"/>
    </row>
    <row r="92" spans="1:12">
      <c r="A92" s="269"/>
      <c r="B92" s="270"/>
      <c r="C92" s="270"/>
      <c r="D92" s="270"/>
      <c r="E92" s="270"/>
      <c r="F92" s="270"/>
      <c r="G92" s="270"/>
      <c r="H92" s="270"/>
      <c r="I92" s="270"/>
      <c r="J92" s="270"/>
      <c r="K92" s="270"/>
      <c r="L92" s="271"/>
    </row>
    <row r="93" spans="1:12">
      <c r="A93" s="269"/>
      <c r="B93" s="270"/>
      <c r="C93" s="270"/>
      <c r="D93" s="270"/>
      <c r="E93" s="270"/>
      <c r="F93" s="270"/>
      <c r="G93" s="270"/>
      <c r="H93" s="270"/>
      <c r="I93" s="270"/>
      <c r="J93" s="270"/>
      <c r="K93" s="270"/>
      <c r="L93" s="271"/>
    </row>
    <row r="94" spans="1:12">
      <c r="A94" s="269"/>
      <c r="B94" s="270"/>
      <c r="C94" s="270"/>
      <c r="D94" s="270"/>
      <c r="E94" s="270"/>
      <c r="F94" s="270"/>
      <c r="G94" s="270"/>
      <c r="H94" s="270"/>
      <c r="I94" s="270"/>
      <c r="J94" s="270"/>
      <c r="K94" s="270"/>
      <c r="L94" s="271"/>
    </row>
    <row r="95" spans="1:12">
      <c r="A95" s="269"/>
      <c r="B95" s="270"/>
      <c r="C95" s="270"/>
      <c r="D95" s="270"/>
      <c r="E95" s="270"/>
      <c r="F95" s="270"/>
      <c r="G95" s="270"/>
      <c r="H95" s="270"/>
      <c r="I95" s="270"/>
      <c r="J95" s="270"/>
      <c r="K95" s="270"/>
      <c r="L95" s="271"/>
    </row>
    <row r="96" spans="1:12">
      <c r="A96" s="269"/>
      <c r="B96" s="270"/>
      <c r="C96" s="270"/>
      <c r="D96" s="270"/>
      <c r="E96" s="270"/>
      <c r="F96" s="270"/>
      <c r="G96" s="270"/>
      <c r="H96" s="270"/>
      <c r="I96" s="270"/>
      <c r="J96" s="270"/>
      <c r="K96" s="270"/>
      <c r="L96" s="271"/>
    </row>
    <row r="97" spans="1:12">
      <c r="A97" s="269"/>
      <c r="B97" s="270"/>
      <c r="C97" s="270"/>
      <c r="D97" s="270"/>
      <c r="E97" s="270"/>
      <c r="F97" s="270"/>
      <c r="G97" s="270"/>
      <c r="H97" s="270"/>
      <c r="I97" s="270"/>
      <c r="J97" s="270"/>
      <c r="K97" s="270"/>
      <c r="L97" s="271"/>
    </row>
    <row r="98" spans="1:12">
      <c r="A98" s="269"/>
      <c r="B98" s="270"/>
      <c r="C98" s="270"/>
      <c r="D98" s="270"/>
      <c r="E98" s="270"/>
      <c r="F98" s="270"/>
      <c r="G98" s="270"/>
      <c r="H98" s="270"/>
      <c r="I98" s="270"/>
      <c r="J98" s="270"/>
      <c r="K98" s="270"/>
      <c r="L98" s="271"/>
    </row>
    <row r="99" spans="1:12">
      <c r="A99" s="269"/>
      <c r="B99" s="270"/>
      <c r="C99" s="270"/>
      <c r="D99" s="270"/>
      <c r="E99" s="270"/>
      <c r="F99" s="270"/>
      <c r="G99" s="270"/>
      <c r="H99" s="270"/>
      <c r="I99" s="270"/>
      <c r="J99" s="270"/>
      <c r="K99" s="270"/>
      <c r="L99" s="271"/>
    </row>
    <row r="100" spans="1:12">
      <c r="A100" s="269"/>
      <c r="B100" s="270"/>
      <c r="C100" s="270"/>
      <c r="D100" s="270"/>
      <c r="E100" s="270"/>
      <c r="F100" s="270"/>
      <c r="G100" s="270"/>
      <c r="H100" s="270"/>
      <c r="I100" s="270"/>
      <c r="J100" s="270"/>
      <c r="K100" s="270"/>
      <c r="L100" s="271"/>
    </row>
    <row r="101" spans="1:12">
      <c r="A101" s="269"/>
      <c r="B101" s="270"/>
      <c r="C101" s="270"/>
      <c r="D101" s="270"/>
      <c r="E101" s="270"/>
      <c r="F101" s="270"/>
      <c r="G101" s="270"/>
      <c r="H101" s="270"/>
      <c r="I101" s="270"/>
      <c r="J101" s="270"/>
      <c r="K101" s="270"/>
      <c r="L101" s="271"/>
    </row>
    <row r="102" spans="1:12">
      <c r="A102" s="269"/>
      <c r="B102" s="270"/>
      <c r="C102" s="270"/>
      <c r="D102" s="270"/>
      <c r="E102" s="270"/>
      <c r="F102" s="270"/>
      <c r="G102" s="270"/>
      <c r="H102" s="270"/>
      <c r="I102" s="270"/>
      <c r="J102" s="270"/>
      <c r="K102" s="270"/>
      <c r="L102" s="271"/>
    </row>
    <row r="103" spans="1:12">
      <c r="A103" s="269"/>
      <c r="B103" s="270"/>
      <c r="C103" s="270"/>
      <c r="D103" s="270"/>
      <c r="E103" s="270"/>
      <c r="F103" s="270"/>
      <c r="G103" s="270"/>
      <c r="H103" s="270"/>
      <c r="I103" s="270"/>
      <c r="J103" s="270"/>
      <c r="K103" s="270"/>
      <c r="L103" s="271"/>
    </row>
    <row r="104" spans="1:12">
      <c r="A104" s="269"/>
      <c r="B104" s="270"/>
      <c r="C104" s="270"/>
      <c r="D104" s="270"/>
      <c r="E104" s="270"/>
      <c r="F104" s="270"/>
      <c r="G104" s="270"/>
      <c r="H104" s="270"/>
      <c r="I104" s="270"/>
      <c r="J104" s="270"/>
      <c r="K104" s="270"/>
      <c r="L104" s="271"/>
    </row>
    <row r="105" spans="1:12">
      <c r="A105" s="269"/>
      <c r="B105" s="270"/>
      <c r="C105" s="270"/>
      <c r="D105" s="270"/>
      <c r="E105" s="270"/>
      <c r="F105" s="270"/>
      <c r="G105" s="270"/>
      <c r="H105" s="270"/>
      <c r="I105" s="270"/>
      <c r="J105" s="270"/>
      <c r="K105" s="270"/>
      <c r="L105" s="271"/>
    </row>
    <row r="106" spans="1:12">
      <c r="A106" s="269"/>
      <c r="B106" s="270"/>
      <c r="C106" s="270"/>
      <c r="D106" s="270"/>
      <c r="E106" s="270"/>
      <c r="F106" s="270"/>
      <c r="G106" s="270"/>
      <c r="H106" s="270"/>
      <c r="I106" s="270"/>
      <c r="J106" s="270"/>
      <c r="K106" s="270"/>
      <c r="L106" s="271"/>
    </row>
    <row r="107" spans="1:12">
      <c r="A107" s="269"/>
      <c r="B107" s="270"/>
      <c r="C107" s="270"/>
      <c r="D107" s="270"/>
      <c r="E107" s="270"/>
      <c r="F107" s="270"/>
      <c r="G107" s="270"/>
      <c r="H107" s="270"/>
      <c r="I107" s="270"/>
      <c r="J107" s="270"/>
      <c r="K107" s="270"/>
      <c r="L107" s="271"/>
    </row>
    <row r="108" spans="1:12">
      <c r="A108" s="269"/>
      <c r="B108" s="270"/>
      <c r="C108" s="270"/>
      <c r="D108" s="270"/>
      <c r="E108" s="270"/>
      <c r="F108" s="270"/>
      <c r="G108" s="270"/>
      <c r="H108" s="270"/>
      <c r="I108" s="270"/>
      <c r="J108" s="270"/>
      <c r="K108" s="270"/>
      <c r="L108" s="271"/>
    </row>
    <row r="109" spans="1:12">
      <c r="A109" s="269"/>
      <c r="B109" s="270"/>
      <c r="C109" s="270"/>
      <c r="D109" s="270"/>
      <c r="E109" s="270"/>
      <c r="F109" s="270"/>
      <c r="G109" s="270"/>
      <c r="H109" s="270"/>
      <c r="I109" s="270"/>
      <c r="J109" s="270"/>
      <c r="K109" s="270"/>
      <c r="L109" s="271"/>
    </row>
    <row r="110" spans="1:12">
      <c r="A110" s="269"/>
      <c r="B110" s="270"/>
      <c r="C110" s="270"/>
      <c r="D110" s="270"/>
      <c r="E110" s="270"/>
      <c r="F110" s="270"/>
      <c r="G110" s="270"/>
      <c r="H110" s="270"/>
      <c r="I110" s="270"/>
      <c r="J110" s="270"/>
      <c r="K110" s="270"/>
      <c r="L110" s="271"/>
    </row>
    <row r="111" spans="1:12">
      <c r="A111" s="269"/>
      <c r="B111" s="270"/>
      <c r="C111" s="270"/>
      <c r="D111" s="270"/>
      <c r="E111" s="270"/>
      <c r="F111" s="270"/>
      <c r="G111" s="270"/>
      <c r="H111" s="270"/>
      <c r="I111" s="270"/>
      <c r="J111" s="270"/>
      <c r="K111" s="270"/>
      <c r="L111" s="271"/>
    </row>
    <row r="112" spans="1:12">
      <c r="A112" s="269"/>
      <c r="B112" s="270"/>
      <c r="C112" s="270"/>
      <c r="D112" s="270"/>
      <c r="E112" s="270"/>
      <c r="F112" s="270"/>
      <c r="G112" s="270"/>
      <c r="H112" s="270"/>
      <c r="I112" s="270"/>
      <c r="J112" s="270"/>
      <c r="K112" s="270"/>
      <c r="L112" s="271"/>
    </row>
    <row r="113" spans="1:12">
      <c r="A113" s="269"/>
      <c r="B113" s="270"/>
      <c r="C113" s="270"/>
      <c r="D113" s="270"/>
      <c r="E113" s="270"/>
      <c r="F113" s="270"/>
      <c r="G113" s="270"/>
      <c r="H113" s="270"/>
      <c r="I113" s="270"/>
      <c r="J113" s="270"/>
      <c r="K113" s="270"/>
      <c r="L113" s="271"/>
    </row>
    <row r="114" spans="1:12">
      <c r="A114" s="269"/>
      <c r="B114" s="270"/>
      <c r="C114" s="270"/>
      <c r="D114" s="270"/>
      <c r="E114" s="270"/>
      <c r="F114" s="270"/>
      <c r="G114" s="270"/>
      <c r="H114" s="270"/>
      <c r="I114" s="270"/>
      <c r="J114" s="270"/>
      <c r="K114" s="270"/>
      <c r="L114" s="271"/>
    </row>
    <row r="115" spans="1:12">
      <c r="A115" s="269"/>
      <c r="B115" s="270"/>
      <c r="C115" s="270"/>
      <c r="D115" s="270"/>
      <c r="E115" s="270"/>
      <c r="F115" s="270"/>
      <c r="G115" s="270"/>
      <c r="H115" s="270"/>
      <c r="I115" s="270"/>
      <c r="J115" s="270"/>
      <c r="K115" s="270"/>
      <c r="L115" s="271"/>
    </row>
    <row r="116" spans="1:12">
      <c r="A116" s="269"/>
      <c r="B116" s="270"/>
      <c r="C116" s="270"/>
      <c r="D116" s="270"/>
      <c r="E116" s="270"/>
      <c r="F116" s="270"/>
      <c r="G116" s="270"/>
      <c r="H116" s="270"/>
      <c r="I116" s="270"/>
      <c r="J116" s="270"/>
      <c r="K116" s="270"/>
      <c r="L116" s="271"/>
    </row>
    <row r="117" spans="1:12">
      <c r="A117" s="269"/>
      <c r="B117" s="270"/>
      <c r="C117" s="270"/>
      <c r="D117" s="270"/>
      <c r="E117" s="270"/>
      <c r="F117" s="270"/>
      <c r="G117" s="270"/>
      <c r="H117" s="270"/>
      <c r="I117" s="270"/>
      <c r="J117" s="270"/>
      <c r="K117" s="270"/>
      <c r="L117" s="271"/>
    </row>
    <row r="118" spans="1:12">
      <c r="A118" s="269"/>
      <c r="B118" s="270"/>
      <c r="C118" s="270"/>
      <c r="D118" s="270"/>
      <c r="E118" s="270"/>
      <c r="F118" s="270"/>
      <c r="G118" s="270"/>
      <c r="H118" s="270"/>
      <c r="I118" s="270"/>
      <c r="J118" s="270"/>
      <c r="K118" s="270"/>
      <c r="L118" s="271"/>
    </row>
    <row r="119" spans="1:12">
      <c r="A119" s="269"/>
      <c r="B119" s="270"/>
      <c r="C119" s="270"/>
      <c r="D119" s="270"/>
      <c r="E119" s="270"/>
      <c r="F119" s="270"/>
      <c r="G119" s="270"/>
      <c r="H119" s="270"/>
      <c r="I119" s="270"/>
      <c r="J119" s="270"/>
      <c r="K119" s="270"/>
      <c r="L119" s="271"/>
    </row>
    <row r="120" spans="1:12">
      <c r="A120" s="269"/>
      <c r="B120" s="270"/>
      <c r="C120" s="270"/>
      <c r="D120" s="270"/>
      <c r="E120" s="270"/>
      <c r="F120" s="270"/>
      <c r="G120" s="270"/>
      <c r="H120" s="270"/>
      <c r="I120" s="270"/>
      <c r="J120" s="270"/>
      <c r="K120" s="270"/>
      <c r="L120" s="271"/>
    </row>
    <row r="121" spans="1:12">
      <c r="A121" s="269"/>
      <c r="B121" s="270"/>
      <c r="C121" s="270"/>
      <c r="D121" s="270"/>
      <c r="E121" s="270"/>
      <c r="F121" s="270"/>
      <c r="G121" s="270"/>
      <c r="H121" s="270"/>
      <c r="I121" s="270"/>
      <c r="J121" s="270"/>
      <c r="K121" s="270"/>
      <c r="L121" s="271"/>
    </row>
    <row r="122" spans="1:12">
      <c r="A122" s="269"/>
      <c r="B122" s="270"/>
      <c r="C122" s="270"/>
      <c r="D122" s="270"/>
      <c r="E122" s="270"/>
      <c r="F122" s="270"/>
      <c r="G122" s="270"/>
      <c r="H122" s="270"/>
      <c r="I122" s="270"/>
      <c r="J122" s="270"/>
      <c r="K122" s="270"/>
      <c r="L122" s="271"/>
    </row>
    <row r="123" spans="1:12">
      <c r="A123" s="269"/>
      <c r="B123" s="270"/>
      <c r="C123" s="270"/>
      <c r="D123" s="270"/>
      <c r="E123" s="270"/>
      <c r="F123" s="270"/>
      <c r="G123" s="270"/>
      <c r="H123" s="270"/>
      <c r="I123" s="270"/>
      <c r="J123" s="270"/>
      <c r="K123" s="270"/>
      <c r="L123" s="271"/>
    </row>
    <row r="124" spans="1:12">
      <c r="A124" s="269"/>
      <c r="B124" s="270"/>
      <c r="C124" s="270"/>
      <c r="D124" s="270"/>
      <c r="E124" s="270"/>
      <c r="F124" s="270"/>
      <c r="G124" s="270"/>
      <c r="H124" s="270"/>
      <c r="I124" s="270"/>
      <c r="J124" s="270"/>
      <c r="K124" s="270"/>
      <c r="L124" s="271"/>
    </row>
    <row r="125" spans="1:12">
      <c r="A125" s="269"/>
      <c r="B125" s="270"/>
      <c r="C125" s="270"/>
      <c r="D125" s="270"/>
      <c r="E125" s="270"/>
      <c r="F125" s="270"/>
      <c r="G125" s="270"/>
      <c r="H125" s="270"/>
      <c r="I125" s="270"/>
      <c r="J125" s="270"/>
      <c r="K125" s="270"/>
      <c r="L125" s="271"/>
    </row>
    <row r="126" spans="1:12">
      <c r="A126" s="269"/>
      <c r="B126" s="270"/>
      <c r="C126" s="270"/>
      <c r="D126" s="270"/>
      <c r="E126" s="270"/>
      <c r="F126" s="270"/>
      <c r="G126" s="270"/>
      <c r="H126" s="270"/>
      <c r="I126" s="270"/>
      <c r="J126" s="270"/>
      <c r="K126" s="270"/>
      <c r="L126" s="271"/>
    </row>
    <row r="127" spans="1:12">
      <c r="A127" s="269"/>
      <c r="B127" s="270"/>
      <c r="C127" s="270"/>
      <c r="D127" s="270"/>
      <c r="E127" s="270"/>
      <c r="F127" s="270"/>
      <c r="G127" s="270"/>
      <c r="H127" s="270"/>
      <c r="I127" s="270"/>
      <c r="J127" s="270"/>
      <c r="K127" s="270"/>
      <c r="L127" s="271"/>
    </row>
    <row r="128" spans="1:12">
      <c r="A128" s="269"/>
      <c r="B128" s="270"/>
      <c r="C128" s="270"/>
      <c r="D128" s="270"/>
      <c r="E128" s="270"/>
      <c r="F128" s="270"/>
      <c r="G128" s="270"/>
      <c r="H128" s="270"/>
      <c r="I128" s="270"/>
      <c r="J128" s="270"/>
      <c r="K128" s="270"/>
      <c r="L128" s="271"/>
    </row>
    <row r="129" spans="1:12">
      <c r="A129" s="269"/>
      <c r="B129" s="270"/>
      <c r="C129" s="270"/>
      <c r="D129" s="270"/>
      <c r="E129" s="270"/>
      <c r="F129" s="270"/>
      <c r="G129" s="270"/>
      <c r="H129" s="270"/>
      <c r="I129" s="270"/>
      <c r="J129" s="270"/>
      <c r="K129" s="270"/>
      <c r="L129" s="271"/>
    </row>
    <row r="130" spans="1:12">
      <c r="A130" s="269"/>
      <c r="B130" s="270"/>
      <c r="C130" s="270"/>
      <c r="D130" s="270"/>
      <c r="E130" s="270"/>
      <c r="F130" s="270"/>
      <c r="G130" s="270"/>
      <c r="H130" s="270"/>
      <c r="I130" s="270"/>
      <c r="J130" s="270"/>
      <c r="K130" s="270"/>
      <c r="L130" s="271"/>
    </row>
    <row r="131" spans="1:12">
      <c r="A131" s="269"/>
      <c r="B131" s="270"/>
      <c r="C131" s="270"/>
      <c r="D131" s="270"/>
      <c r="E131" s="270"/>
      <c r="F131" s="270"/>
      <c r="G131" s="270"/>
      <c r="H131" s="270"/>
      <c r="I131" s="270"/>
      <c r="J131" s="270"/>
      <c r="K131" s="270"/>
      <c r="L131" s="271"/>
    </row>
    <row r="132" spans="1:12">
      <c r="A132" s="269"/>
      <c r="B132" s="270"/>
      <c r="C132" s="270"/>
      <c r="D132" s="270"/>
      <c r="E132" s="270"/>
      <c r="F132" s="270"/>
      <c r="G132" s="270"/>
      <c r="H132" s="270"/>
      <c r="I132" s="270"/>
      <c r="J132" s="270"/>
      <c r="K132" s="270"/>
      <c r="L132" s="271"/>
    </row>
    <row r="133" spans="1:12">
      <c r="A133" s="269"/>
      <c r="B133" s="270"/>
      <c r="C133" s="270"/>
      <c r="D133" s="270"/>
      <c r="E133" s="270"/>
      <c r="F133" s="270"/>
      <c r="G133" s="270"/>
      <c r="H133" s="270"/>
      <c r="I133" s="270"/>
      <c r="J133" s="270"/>
      <c r="K133" s="270"/>
      <c r="L133" s="271"/>
    </row>
    <row r="134" spans="1:12">
      <c r="A134" s="269"/>
      <c r="B134" s="270"/>
      <c r="C134" s="270"/>
      <c r="D134" s="270"/>
      <c r="E134" s="270"/>
      <c r="F134" s="270"/>
      <c r="G134" s="270"/>
      <c r="H134" s="270"/>
      <c r="I134" s="270"/>
      <c r="J134" s="270"/>
      <c r="K134" s="270"/>
      <c r="L134" s="271"/>
    </row>
    <row r="135" spans="1:12">
      <c r="A135" s="269"/>
      <c r="B135" s="270"/>
      <c r="C135" s="270"/>
      <c r="D135" s="270"/>
      <c r="E135" s="270"/>
      <c r="F135" s="270"/>
      <c r="G135" s="270"/>
      <c r="H135" s="270"/>
      <c r="I135" s="270"/>
      <c r="J135" s="270"/>
      <c r="K135" s="270"/>
      <c r="L135" s="271"/>
    </row>
    <row r="136" spans="1:12">
      <c r="A136" s="269"/>
      <c r="B136" s="270"/>
      <c r="C136" s="270"/>
      <c r="D136" s="270"/>
      <c r="E136" s="270"/>
      <c r="F136" s="270"/>
      <c r="G136" s="270"/>
      <c r="H136" s="270"/>
      <c r="I136" s="270"/>
      <c r="J136" s="270"/>
      <c r="K136" s="270"/>
      <c r="L136" s="271"/>
    </row>
    <row r="137" spans="1:12">
      <c r="A137" s="269"/>
      <c r="B137" s="270"/>
      <c r="C137" s="270"/>
      <c r="D137" s="270"/>
      <c r="E137" s="270"/>
      <c r="F137" s="270"/>
      <c r="G137" s="270"/>
      <c r="H137" s="270"/>
      <c r="I137" s="270"/>
      <c r="J137" s="270"/>
      <c r="K137" s="270"/>
      <c r="L137" s="271"/>
    </row>
    <row r="138" spans="1:12">
      <c r="A138" s="269"/>
      <c r="B138" s="270"/>
      <c r="C138" s="270"/>
      <c r="D138" s="270"/>
      <c r="E138" s="270"/>
      <c r="F138" s="270"/>
      <c r="G138" s="270"/>
      <c r="H138" s="270"/>
      <c r="I138" s="270"/>
      <c r="J138" s="270"/>
      <c r="K138" s="270"/>
      <c r="L138" s="271"/>
    </row>
    <row r="139" spans="1:12">
      <c r="A139" s="269"/>
      <c r="B139" s="270"/>
      <c r="C139" s="270"/>
      <c r="D139" s="270"/>
      <c r="E139" s="270"/>
      <c r="F139" s="270"/>
      <c r="G139" s="270"/>
      <c r="H139" s="270"/>
      <c r="I139" s="270"/>
      <c r="J139" s="270"/>
      <c r="K139" s="270"/>
      <c r="L139" s="271"/>
    </row>
    <row r="140" spans="1:12">
      <c r="A140" s="269"/>
      <c r="B140" s="270"/>
      <c r="C140" s="270"/>
      <c r="D140" s="270"/>
      <c r="E140" s="270"/>
      <c r="F140" s="270"/>
      <c r="G140" s="270"/>
      <c r="H140" s="270"/>
      <c r="I140" s="270"/>
      <c r="J140" s="270"/>
      <c r="K140" s="270"/>
      <c r="L140" s="271"/>
    </row>
    <row r="141" spans="1:12">
      <c r="A141" s="269"/>
      <c r="B141" s="270"/>
      <c r="C141" s="270"/>
      <c r="D141" s="270"/>
      <c r="E141" s="270"/>
      <c r="F141" s="270"/>
      <c r="G141" s="270"/>
      <c r="H141" s="270"/>
      <c r="I141" s="270"/>
      <c r="J141" s="270"/>
      <c r="K141" s="270"/>
      <c r="L141" s="271"/>
    </row>
    <row r="142" spans="1:12">
      <c r="A142" s="269"/>
      <c r="B142" s="270"/>
      <c r="C142" s="270"/>
      <c r="D142" s="270"/>
      <c r="E142" s="270"/>
      <c r="F142" s="270"/>
      <c r="G142" s="270"/>
      <c r="H142" s="270"/>
      <c r="I142" s="270"/>
      <c r="J142" s="270"/>
      <c r="K142" s="270"/>
      <c r="L142" s="271"/>
    </row>
    <row r="143" spans="1:12">
      <c r="A143" s="269"/>
      <c r="B143" s="270"/>
      <c r="C143" s="270"/>
      <c r="D143" s="270"/>
      <c r="E143" s="270"/>
      <c r="F143" s="270"/>
      <c r="G143" s="270"/>
      <c r="H143" s="270"/>
      <c r="I143" s="270"/>
      <c r="J143" s="270"/>
      <c r="K143" s="270"/>
      <c r="L143" s="271"/>
    </row>
    <row r="144" spans="1:12">
      <c r="A144" s="269"/>
      <c r="B144" s="270"/>
      <c r="C144" s="270"/>
      <c r="D144" s="270"/>
      <c r="E144" s="270"/>
      <c r="F144" s="270"/>
      <c r="G144" s="270"/>
      <c r="H144" s="270"/>
      <c r="I144" s="270"/>
      <c r="J144" s="270"/>
      <c r="K144" s="270"/>
      <c r="L144" s="271"/>
    </row>
    <row r="145" spans="1:12">
      <c r="A145" s="269"/>
      <c r="B145" s="270"/>
      <c r="C145" s="270"/>
      <c r="D145" s="270"/>
      <c r="E145" s="270"/>
      <c r="F145" s="270"/>
      <c r="G145" s="270"/>
      <c r="H145" s="270"/>
      <c r="I145" s="270"/>
      <c r="J145" s="270"/>
      <c r="K145" s="270"/>
      <c r="L145" s="271"/>
    </row>
    <row r="146" spans="1:12">
      <c r="A146" s="269"/>
      <c r="B146" s="270"/>
      <c r="C146" s="270"/>
      <c r="D146" s="270"/>
      <c r="E146" s="270"/>
      <c r="F146" s="270"/>
      <c r="G146" s="270"/>
      <c r="H146" s="270"/>
      <c r="I146" s="270"/>
      <c r="J146" s="270"/>
      <c r="K146" s="270"/>
      <c r="L146" s="271"/>
    </row>
    <row r="147" spans="1:12">
      <c r="A147" s="269"/>
      <c r="B147" s="270"/>
      <c r="C147" s="270"/>
      <c r="D147" s="270"/>
      <c r="E147" s="270"/>
      <c r="F147" s="270"/>
      <c r="G147" s="270"/>
      <c r="H147" s="270"/>
      <c r="I147" s="270"/>
      <c r="J147" s="270"/>
      <c r="K147" s="270"/>
      <c r="L147" s="271"/>
    </row>
    <row r="148" spans="1:12">
      <c r="A148" s="269"/>
      <c r="B148" s="270"/>
      <c r="C148" s="270"/>
      <c r="D148" s="270"/>
      <c r="E148" s="270"/>
      <c r="F148" s="270"/>
      <c r="G148" s="270"/>
      <c r="H148" s="270"/>
      <c r="I148" s="270"/>
      <c r="J148" s="270"/>
      <c r="K148" s="270"/>
      <c r="L148" s="271"/>
    </row>
    <row r="149" spans="1:12">
      <c r="A149" s="269"/>
      <c r="B149" s="270"/>
      <c r="C149" s="270"/>
      <c r="D149" s="270"/>
      <c r="E149" s="270"/>
      <c r="F149" s="270"/>
      <c r="G149" s="270"/>
      <c r="H149" s="270"/>
      <c r="I149" s="270"/>
      <c r="J149" s="270"/>
      <c r="K149" s="270"/>
      <c r="L149" s="271"/>
    </row>
    <row r="150" spans="1:12">
      <c r="A150" s="269"/>
      <c r="B150" s="270"/>
      <c r="C150" s="270"/>
      <c r="D150" s="270"/>
      <c r="E150" s="270"/>
      <c r="F150" s="270"/>
      <c r="G150" s="270"/>
      <c r="H150" s="270"/>
      <c r="I150" s="270"/>
      <c r="J150" s="270"/>
      <c r="K150" s="270"/>
      <c r="L150" s="271"/>
    </row>
    <row r="151" spans="1:12">
      <c r="A151" s="269"/>
      <c r="B151" s="270"/>
      <c r="C151" s="270"/>
      <c r="D151" s="270"/>
      <c r="E151" s="270"/>
      <c r="F151" s="270"/>
      <c r="G151" s="270"/>
      <c r="H151" s="270"/>
      <c r="I151" s="270"/>
      <c r="J151" s="270"/>
      <c r="K151" s="270"/>
      <c r="L151" s="271"/>
    </row>
    <row r="152" spans="1:12">
      <c r="A152" s="269"/>
      <c r="B152" s="270"/>
      <c r="C152" s="270"/>
      <c r="D152" s="270"/>
      <c r="E152" s="270"/>
      <c r="F152" s="270"/>
      <c r="G152" s="270"/>
      <c r="H152" s="270"/>
      <c r="I152" s="270"/>
      <c r="J152" s="270"/>
      <c r="K152" s="270"/>
      <c r="L152" s="271"/>
    </row>
    <row r="153" spans="1:12">
      <c r="A153" s="269"/>
      <c r="B153" s="270"/>
      <c r="C153" s="270"/>
      <c r="D153" s="270"/>
      <c r="E153" s="270"/>
      <c r="F153" s="270"/>
      <c r="G153" s="270"/>
      <c r="H153" s="270"/>
      <c r="I153" s="270"/>
      <c r="J153" s="270"/>
      <c r="K153" s="270"/>
      <c r="L153" s="271"/>
    </row>
    <row r="154" spans="1:12">
      <c r="A154" s="269"/>
      <c r="B154" s="270"/>
      <c r="C154" s="270"/>
      <c r="D154" s="270"/>
      <c r="E154" s="270"/>
      <c r="F154" s="270"/>
      <c r="G154" s="270"/>
      <c r="H154" s="270"/>
      <c r="I154" s="270"/>
      <c r="J154" s="270"/>
      <c r="K154" s="270"/>
      <c r="L154" s="271"/>
    </row>
    <row r="155" spans="1:12">
      <c r="A155" s="269"/>
      <c r="B155" s="270"/>
      <c r="C155" s="270"/>
      <c r="D155" s="270"/>
      <c r="E155" s="270"/>
      <c r="F155" s="270"/>
      <c r="G155" s="270"/>
      <c r="H155" s="270"/>
      <c r="I155" s="270"/>
      <c r="J155" s="270"/>
      <c r="K155" s="270"/>
      <c r="L155" s="271"/>
    </row>
    <row r="156" spans="1:12">
      <c r="A156" s="269"/>
      <c r="B156" s="270"/>
      <c r="C156" s="270"/>
      <c r="D156" s="270"/>
      <c r="E156" s="270"/>
      <c r="F156" s="270"/>
      <c r="G156" s="270"/>
      <c r="H156" s="270"/>
      <c r="I156" s="270"/>
      <c r="J156" s="270"/>
      <c r="K156" s="270"/>
      <c r="L156" s="271"/>
    </row>
    <row r="157" spans="1:12">
      <c r="A157" s="269"/>
      <c r="B157" s="270"/>
      <c r="C157" s="270"/>
      <c r="D157" s="270"/>
      <c r="E157" s="270"/>
      <c r="F157" s="270"/>
      <c r="G157" s="270"/>
      <c r="H157" s="270"/>
      <c r="I157" s="270"/>
      <c r="J157" s="270"/>
      <c r="K157" s="270"/>
      <c r="L157" s="271"/>
    </row>
    <row r="158" spans="1:12">
      <c r="A158" s="269"/>
      <c r="B158" s="270"/>
      <c r="C158" s="270"/>
      <c r="D158" s="270"/>
      <c r="E158" s="270"/>
      <c r="F158" s="270"/>
      <c r="G158" s="270"/>
      <c r="H158" s="270"/>
      <c r="I158" s="270"/>
      <c r="J158" s="270"/>
      <c r="K158" s="270"/>
      <c r="L158" s="271"/>
    </row>
    <row r="159" spans="1:12">
      <c r="A159" s="269"/>
      <c r="B159" s="270"/>
      <c r="C159" s="270"/>
      <c r="D159" s="270"/>
      <c r="E159" s="270"/>
      <c r="F159" s="270"/>
      <c r="G159" s="270"/>
      <c r="H159" s="270"/>
      <c r="I159" s="270"/>
      <c r="J159" s="270"/>
      <c r="K159" s="270"/>
      <c r="L159" s="271"/>
    </row>
    <row r="160" spans="1:12">
      <c r="A160" s="269"/>
      <c r="B160" s="270"/>
      <c r="C160" s="270"/>
      <c r="D160" s="270"/>
      <c r="E160" s="270"/>
      <c r="F160" s="270"/>
      <c r="G160" s="270"/>
      <c r="H160" s="270"/>
      <c r="I160" s="270"/>
      <c r="J160" s="270"/>
      <c r="K160" s="270"/>
      <c r="L160" s="271"/>
    </row>
    <row r="161" spans="1:12">
      <c r="A161" s="269"/>
      <c r="B161" s="270"/>
      <c r="C161" s="270"/>
      <c r="D161" s="270"/>
      <c r="E161" s="270"/>
      <c r="F161" s="270"/>
      <c r="G161" s="270"/>
      <c r="H161" s="270"/>
      <c r="I161" s="270"/>
      <c r="J161" s="270"/>
      <c r="K161" s="270"/>
      <c r="L161" s="271"/>
    </row>
    <row r="162" spans="1:12">
      <c r="A162" s="269"/>
      <c r="B162" s="270"/>
      <c r="C162" s="270"/>
      <c r="D162" s="270"/>
      <c r="E162" s="270"/>
      <c r="F162" s="270"/>
      <c r="G162" s="270"/>
      <c r="H162" s="270"/>
      <c r="I162" s="270"/>
      <c r="J162" s="270"/>
      <c r="K162" s="270"/>
      <c r="L162" s="271"/>
    </row>
    <row r="163" spans="1:12">
      <c r="A163" s="269"/>
      <c r="B163" s="270"/>
      <c r="C163" s="270"/>
      <c r="D163" s="270"/>
      <c r="E163" s="270"/>
      <c r="F163" s="270"/>
      <c r="G163" s="270"/>
      <c r="H163" s="270"/>
      <c r="I163" s="270"/>
      <c r="J163" s="270"/>
      <c r="K163" s="270"/>
      <c r="L163" s="271"/>
    </row>
    <row r="164" spans="1:12">
      <c r="A164" s="269"/>
      <c r="B164" s="270"/>
      <c r="C164" s="270"/>
      <c r="D164" s="270"/>
      <c r="E164" s="270"/>
      <c r="F164" s="270"/>
      <c r="G164" s="270"/>
      <c r="H164" s="270"/>
      <c r="I164" s="270"/>
      <c r="J164" s="270"/>
      <c r="K164" s="270"/>
      <c r="L164" s="271"/>
    </row>
    <row r="165" spans="1:12">
      <c r="A165" s="269"/>
      <c r="B165" s="270"/>
      <c r="C165" s="270"/>
      <c r="D165" s="270"/>
      <c r="E165" s="270"/>
      <c r="F165" s="270"/>
      <c r="G165" s="270"/>
      <c r="H165" s="270"/>
      <c r="I165" s="270"/>
      <c r="J165" s="270"/>
      <c r="K165" s="270"/>
      <c r="L165" s="271"/>
    </row>
    <row r="166" spans="1:12">
      <c r="A166" s="269"/>
      <c r="B166" s="270"/>
      <c r="C166" s="270"/>
      <c r="D166" s="270"/>
      <c r="E166" s="270"/>
      <c r="F166" s="270"/>
      <c r="G166" s="270"/>
      <c r="H166" s="270"/>
      <c r="I166" s="270"/>
      <c r="J166" s="270"/>
      <c r="K166" s="270"/>
      <c r="L166" s="271"/>
    </row>
    <row r="167" spans="1:12">
      <c r="A167" s="269"/>
      <c r="B167" s="270"/>
      <c r="C167" s="270"/>
      <c r="D167" s="270"/>
      <c r="E167" s="270"/>
      <c r="F167" s="270"/>
      <c r="G167" s="270"/>
      <c r="H167" s="270"/>
      <c r="I167" s="270"/>
      <c r="J167" s="270"/>
      <c r="K167" s="270"/>
      <c r="L167" s="271"/>
    </row>
    <row r="168" spans="1:12">
      <c r="A168" s="269"/>
      <c r="B168" s="270"/>
      <c r="C168" s="270"/>
      <c r="D168" s="270"/>
      <c r="E168" s="270"/>
      <c r="F168" s="270"/>
      <c r="G168" s="270"/>
      <c r="H168" s="270"/>
      <c r="I168" s="270"/>
      <c r="J168" s="270"/>
      <c r="K168" s="270"/>
      <c r="L168" s="271"/>
    </row>
    <row r="169" spans="1:12">
      <c r="A169" s="269"/>
      <c r="B169" s="270"/>
      <c r="C169" s="270"/>
      <c r="D169" s="270"/>
      <c r="E169" s="270"/>
      <c r="F169" s="270"/>
      <c r="G169" s="270"/>
      <c r="H169" s="270"/>
      <c r="I169" s="270"/>
      <c r="J169" s="270"/>
      <c r="K169" s="270"/>
      <c r="L169" s="271"/>
    </row>
    <row r="170" spans="1:12">
      <c r="A170" s="269"/>
      <c r="B170" s="270"/>
      <c r="C170" s="270"/>
      <c r="D170" s="270"/>
      <c r="E170" s="270"/>
      <c r="F170" s="270"/>
      <c r="G170" s="270"/>
      <c r="H170" s="270"/>
      <c r="I170" s="270"/>
      <c r="J170" s="270"/>
      <c r="K170" s="270"/>
      <c r="L170" s="271"/>
    </row>
    <row r="171" spans="1:12">
      <c r="A171" s="269"/>
      <c r="B171" s="270"/>
      <c r="C171" s="270"/>
      <c r="D171" s="270"/>
      <c r="E171" s="270"/>
      <c r="F171" s="270"/>
      <c r="G171" s="270"/>
      <c r="H171" s="270"/>
      <c r="I171" s="270"/>
      <c r="J171" s="270"/>
      <c r="K171" s="270"/>
      <c r="L171" s="271"/>
    </row>
    <row r="172" spans="1:12">
      <c r="A172" s="269"/>
      <c r="B172" s="270"/>
      <c r="C172" s="270"/>
      <c r="D172" s="270"/>
      <c r="E172" s="270"/>
      <c r="F172" s="270"/>
      <c r="G172" s="270"/>
      <c r="H172" s="270"/>
      <c r="I172" s="270"/>
      <c r="J172" s="270"/>
      <c r="K172" s="270"/>
      <c r="L172" s="271"/>
    </row>
    <row r="173" spans="1:12">
      <c r="A173" s="269"/>
      <c r="B173" s="270"/>
      <c r="C173" s="270"/>
      <c r="D173" s="270"/>
      <c r="E173" s="270"/>
      <c r="F173" s="270"/>
      <c r="G173" s="270"/>
      <c r="H173" s="270"/>
      <c r="I173" s="270"/>
      <c r="J173" s="270"/>
      <c r="K173" s="270"/>
      <c r="L173" s="271"/>
    </row>
    <row r="174" spans="1:12">
      <c r="A174" s="269"/>
      <c r="B174" s="270"/>
      <c r="C174" s="270"/>
      <c r="D174" s="270"/>
      <c r="E174" s="270"/>
      <c r="F174" s="270"/>
      <c r="G174" s="270"/>
      <c r="H174" s="270"/>
      <c r="I174" s="270"/>
      <c r="J174" s="270"/>
      <c r="K174" s="270"/>
      <c r="L174" s="271"/>
    </row>
    <row r="175" spans="1:12">
      <c r="A175" s="269"/>
      <c r="B175" s="270"/>
      <c r="C175" s="270"/>
      <c r="D175" s="270"/>
      <c r="E175" s="270"/>
      <c r="F175" s="270"/>
      <c r="G175" s="270"/>
      <c r="H175" s="270"/>
      <c r="I175" s="270"/>
      <c r="J175" s="270"/>
      <c r="K175" s="270"/>
      <c r="L175" s="271"/>
    </row>
    <row r="176" spans="1:12">
      <c r="A176" s="269"/>
      <c r="B176" s="270"/>
      <c r="C176" s="270"/>
      <c r="D176" s="270"/>
      <c r="E176" s="270"/>
      <c r="F176" s="270"/>
      <c r="G176" s="270"/>
      <c r="H176" s="270"/>
      <c r="I176" s="270"/>
      <c r="J176" s="270"/>
      <c r="K176" s="270"/>
      <c r="L176" s="271"/>
    </row>
    <row r="177" spans="1:12">
      <c r="A177" s="269"/>
      <c r="B177" s="270"/>
      <c r="C177" s="270"/>
      <c r="D177" s="270"/>
      <c r="E177" s="270"/>
      <c r="F177" s="270"/>
      <c r="G177" s="270"/>
      <c r="H177" s="270"/>
      <c r="I177" s="270"/>
      <c r="J177" s="270"/>
      <c r="K177" s="270"/>
      <c r="L177" s="271"/>
    </row>
    <row r="178" spans="1:12">
      <c r="A178" s="269"/>
      <c r="B178" s="270"/>
      <c r="C178" s="270"/>
      <c r="D178" s="270"/>
      <c r="E178" s="270"/>
      <c r="F178" s="270"/>
      <c r="G178" s="270"/>
      <c r="H178" s="270"/>
      <c r="I178" s="270"/>
      <c r="J178" s="270"/>
      <c r="K178" s="270"/>
      <c r="L178" s="271"/>
    </row>
    <row r="179" spans="1:12">
      <c r="A179" s="269"/>
      <c r="B179" s="270"/>
      <c r="C179" s="270"/>
      <c r="D179" s="270"/>
      <c r="E179" s="270"/>
      <c r="F179" s="270"/>
      <c r="G179" s="270"/>
      <c r="H179" s="270"/>
      <c r="I179" s="270"/>
      <c r="J179" s="270"/>
      <c r="K179" s="270"/>
      <c r="L179" s="271"/>
    </row>
    <row r="180" spans="1:12">
      <c r="A180" s="269"/>
      <c r="B180" s="270"/>
      <c r="C180" s="270"/>
      <c r="D180" s="270"/>
      <c r="E180" s="270"/>
      <c r="F180" s="270"/>
      <c r="G180" s="270"/>
      <c r="H180" s="270"/>
      <c r="I180" s="270"/>
      <c r="J180" s="270"/>
      <c r="K180" s="270"/>
      <c r="L180" s="271"/>
    </row>
    <row r="181" spans="1:12">
      <c r="A181" s="269"/>
      <c r="B181" s="270"/>
      <c r="C181" s="270"/>
      <c r="D181" s="270"/>
      <c r="E181" s="270"/>
      <c r="F181" s="270"/>
      <c r="G181" s="270"/>
      <c r="H181" s="270"/>
      <c r="I181" s="270"/>
      <c r="J181" s="270"/>
      <c r="K181" s="270"/>
      <c r="L181" s="271"/>
    </row>
    <row r="182" spans="1:12">
      <c r="A182" s="269"/>
      <c r="B182" s="270"/>
      <c r="C182" s="270"/>
      <c r="D182" s="270"/>
      <c r="E182" s="270"/>
      <c r="F182" s="270"/>
      <c r="G182" s="270"/>
      <c r="H182" s="270"/>
      <c r="I182" s="270"/>
      <c r="J182" s="270"/>
      <c r="K182" s="270"/>
      <c r="L182" s="271"/>
    </row>
    <row r="183" spans="1:12">
      <c r="A183" s="269"/>
      <c r="B183" s="270"/>
      <c r="C183" s="270"/>
      <c r="D183" s="270"/>
      <c r="E183" s="270"/>
      <c r="F183" s="270"/>
      <c r="G183" s="270"/>
      <c r="H183" s="270"/>
      <c r="I183" s="270"/>
      <c r="J183" s="270"/>
      <c r="K183" s="270"/>
      <c r="L183" s="271"/>
    </row>
    <row r="184" spans="1:12">
      <c r="A184" s="269"/>
      <c r="B184" s="270"/>
      <c r="C184" s="270"/>
      <c r="D184" s="270"/>
      <c r="E184" s="270"/>
      <c r="F184" s="270"/>
      <c r="G184" s="270"/>
      <c r="H184" s="270"/>
      <c r="I184" s="270"/>
      <c r="J184" s="270"/>
      <c r="K184" s="270"/>
      <c r="L184" s="271"/>
    </row>
    <row r="185" spans="1:12">
      <c r="A185" s="269"/>
      <c r="B185" s="270"/>
      <c r="C185" s="270"/>
      <c r="D185" s="270"/>
      <c r="E185" s="270"/>
      <c r="F185" s="270"/>
      <c r="G185" s="270"/>
      <c r="H185" s="270"/>
      <c r="I185" s="270"/>
      <c r="J185" s="270"/>
      <c r="K185" s="270"/>
      <c r="L185" s="271"/>
    </row>
    <row r="186" spans="1:12">
      <c r="A186" s="269"/>
      <c r="B186" s="270"/>
      <c r="C186" s="270"/>
      <c r="D186" s="270"/>
      <c r="E186" s="270"/>
      <c r="F186" s="270"/>
      <c r="G186" s="270"/>
      <c r="H186" s="270"/>
      <c r="I186" s="270"/>
      <c r="J186" s="270"/>
      <c r="K186" s="270"/>
      <c r="L186" s="271"/>
    </row>
    <row r="187" spans="1:12">
      <c r="A187" s="269"/>
      <c r="B187" s="270"/>
      <c r="C187" s="270"/>
      <c r="D187" s="270"/>
      <c r="E187" s="270"/>
      <c r="F187" s="270"/>
      <c r="G187" s="270"/>
      <c r="H187" s="270"/>
      <c r="I187" s="270"/>
      <c r="J187" s="270"/>
      <c r="K187" s="270"/>
      <c r="L187" s="271"/>
    </row>
    <row r="188" spans="1:12">
      <c r="A188" s="269"/>
      <c r="B188" s="270"/>
      <c r="C188" s="270"/>
      <c r="D188" s="270"/>
      <c r="E188" s="270"/>
      <c r="F188" s="270"/>
      <c r="G188" s="270"/>
      <c r="H188" s="270"/>
      <c r="I188" s="270"/>
      <c r="J188" s="270"/>
      <c r="K188" s="270"/>
      <c r="L188" s="271"/>
    </row>
    <row r="189" spans="1:12">
      <c r="A189" s="269"/>
      <c r="B189" s="270"/>
      <c r="C189" s="270"/>
      <c r="D189" s="270"/>
      <c r="E189" s="270"/>
      <c r="F189" s="270"/>
      <c r="G189" s="270"/>
      <c r="H189" s="270"/>
      <c r="I189" s="270"/>
      <c r="J189" s="270"/>
      <c r="K189" s="270"/>
      <c r="L189" s="271"/>
    </row>
    <row r="190" spans="1:12">
      <c r="A190" s="269"/>
      <c r="B190" s="270"/>
      <c r="C190" s="270"/>
      <c r="D190" s="270"/>
      <c r="E190" s="270"/>
      <c r="F190" s="270"/>
      <c r="G190" s="270"/>
      <c r="H190" s="270"/>
      <c r="I190" s="270"/>
      <c r="J190" s="270"/>
      <c r="K190" s="270"/>
      <c r="L190" s="271"/>
    </row>
    <row r="191" spans="1:12">
      <c r="A191" s="269"/>
      <c r="B191" s="270"/>
      <c r="C191" s="270"/>
      <c r="D191" s="270"/>
      <c r="E191" s="270"/>
      <c r="F191" s="270"/>
      <c r="G191" s="270"/>
      <c r="H191" s="270"/>
      <c r="I191" s="270"/>
      <c r="J191" s="270"/>
      <c r="K191" s="270"/>
      <c r="L191" s="271"/>
    </row>
    <row r="192" spans="1:12">
      <c r="A192" s="269"/>
      <c r="B192" s="270"/>
      <c r="C192" s="270"/>
      <c r="D192" s="270"/>
      <c r="E192" s="270"/>
      <c r="F192" s="270"/>
      <c r="G192" s="270"/>
      <c r="H192" s="270"/>
      <c r="I192" s="270"/>
      <c r="J192" s="270"/>
      <c r="K192" s="270"/>
      <c r="L192" s="271"/>
    </row>
    <row r="193" spans="1:12">
      <c r="A193" s="269"/>
      <c r="B193" s="270"/>
      <c r="C193" s="270"/>
      <c r="D193" s="270"/>
      <c r="E193" s="270"/>
      <c r="F193" s="270"/>
      <c r="G193" s="270"/>
      <c r="H193" s="270"/>
      <c r="I193" s="270"/>
      <c r="J193" s="270"/>
      <c r="K193" s="270"/>
      <c r="L193" s="271"/>
    </row>
    <row r="194" spans="1:12">
      <c r="A194" s="269"/>
      <c r="B194" s="270"/>
      <c r="C194" s="270"/>
      <c r="D194" s="270"/>
      <c r="E194" s="270"/>
      <c r="F194" s="270"/>
      <c r="G194" s="270"/>
      <c r="H194" s="270"/>
      <c r="I194" s="270"/>
      <c r="J194" s="270"/>
      <c r="K194" s="270"/>
      <c r="L194" s="271"/>
    </row>
    <row r="195" spans="1:12">
      <c r="A195" s="269"/>
      <c r="B195" s="270"/>
      <c r="C195" s="270"/>
      <c r="D195" s="270"/>
      <c r="E195" s="270"/>
      <c r="F195" s="270"/>
      <c r="G195" s="270"/>
      <c r="H195" s="270"/>
      <c r="I195" s="270"/>
      <c r="J195" s="270"/>
      <c r="K195" s="270"/>
      <c r="L195" s="271"/>
    </row>
    <row r="196" spans="1:12">
      <c r="A196" s="269"/>
      <c r="B196" s="270"/>
      <c r="C196" s="270"/>
      <c r="D196" s="270"/>
      <c r="E196" s="270"/>
      <c r="F196" s="270"/>
      <c r="G196" s="270"/>
      <c r="H196" s="270"/>
      <c r="I196" s="270"/>
      <c r="J196" s="270"/>
      <c r="K196" s="270"/>
      <c r="L196" s="271"/>
    </row>
    <row r="197" spans="1:12">
      <c r="A197" s="269"/>
      <c r="B197" s="270"/>
      <c r="C197" s="270"/>
      <c r="D197" s="270"/>
      <c r="E197" s="270"/>
      <c r="F197" s="270"/>
      <c r="G197" s="270"/>
      <c r="H197" s="270"/>
      <c r="I197" s="270"/>
      <c r="J197" s="270"/>
      <c r="K197" s="270"/>
      <c r="L197" s="271"/>
    </row>
    <row r="198" spans="1:12">
      <c r="A198" s="269"/>
      <c r="B198" s="270"/>
      <c r="C198" s="270"/>
      <c r="D198" s="270"/>
      <c r="E198" s="270"/>
      <c r="F198" s="270"/>
      <c r="G198" s="270"/>
      <c r="H198" s="270"/>
      <c r="I198" s="270"/>
      <c r="J198" s="270"/>
      <c r="K198" s="270"/>
      <c r="L198" s="271"/>
    </row>
    <row r="199" spans="1:12">
      <c r="A199" s="269"/>
      <c r="B199" s="270"/>
      <c r="C199" s="270"/>
      <c r="D199" s="270"/>
      <c r="E199" s="270"/>
      <c r="F199" s="270"/>
      <c r="G199" s="270"/>
      <c r="H199" s="270"/>
      <c r="I199" s="270"/>
      <c r="J199" s="270"/>
      <c r="K199" s="270"/>
      <c r="L199" s="271"/>
    </row>
    <row r="200" spans="1:12">
      <c r="A200" s="269"/>
      <c r="B200" s="270"/>
      <c r="C200" s="270"/>
      <c r="D200" s="270"/>
      <c r="E200" s="270"/>
      <c r="F200" s="270"/>
      <c r="G200" s="270"/>
      <c r="H200" s="270"/>
      <c r="I200" s="270"/>
      <c r="J200" s="270"/>
      <c r="K200" s="270"/>
      <c r="L200" s="271"/>
    </row>
    <row r="201" spans="1:12">
      <c r="A201" s="269"/>
      <c r="B201" s="270"/>
      <c r="C201" s="270"/>
      <c r="D201" s="270"/>
      <c r="E201" s="270"/>
      <c r="F201" s="270"/>
      <c r="G201" s="270"/>
      <c r="H201" s="270"/>
      <c r="I201" s="270"/>
      <c r="J201" s="270"/>
      <c r="K201" s="270"/>
      <c r="L201" s="271"/>
    </row>
    <row r="202" spans="1:12">
      <c r="A202" s="269"/>
      <c r="B202" s="270"/>
      <c r="C202" s="270"/>
      <c r="D202" s="270"/>
      <c r="E202" s="270"/>
      <c r="F202" s="270"/>
      <c r="G202" s="270"/>
      <c r="H202" s="270"/>
      <c r="I202" s="270"/>
      <c r="J202" s="270"/>
      <c r="K202" s="270"/>
      <c r="L202" s="271"/>
    </row>
    <row r="203" spans="1:12">
      <c r="A203" s="269"/>
      <c r="B203" s="270"/>
      <c r="C203" s="270"/>
      <c r="D203" s="270"/>
      <c r="E203" s="270"/>
      <c r="F203" s="270"/>
      <c r="G203" s="270"/>
      <c r="H203" s="270"/>
      <c r="I203" s="270"/>
      <c r="J203" s="270"/>
      <c r="K203" s="270"/>
      <c r="L203" s="271"/>
    </row>
    <row r="204" spans="1:12">
      <c r="A204" s="269"/>
      <c r="B204" s="270"/>
      <c r="C204" s="270"/>
      <c r="D204" s="270"/>
      <c r="E204" s="270"/>
      <c r="F204" s="270"/>
      <c r="G204" s="270"/>
      <c r="H204" s="270"/>
      <c r="I204" s="270"/>
      <c r="J204" s="270"/>
      <c r="K204" s="270"/>
      <c r="L204" s="271"/>
    </row>
    <row r="205" spans="1:12">
      <c r="A205" s="269"/>
      <c r="B205" s="270"/>
      <c r="C205" s="270"/>
      <c r="D205" s="270"/>
      <c r="E205" s="270"/>
      <c r="F205" s="270"/>
      <c r="G205" s="270"/>
      <c r="H205" s="270"/>
      <c r="I205" s="270"/>
      <c r="J205" s="270"/>
      <c r="K205" s="270"/>
      <c r="L205" s="271"/>
    </row>
    <row r="206" spans="1:12">
      <c r="A206" s="269"/>
      <c r="B206" s="270"/>
      <c r="C206" s="270"/>
      <c r="D206" s="270"/>
      <c r="E206" s="270"/>
      <c r="F206" s="270"/>
      <c r="G206" s="270"/>
      <c r="H206" s="270"/>
      <c r="I206" s="270"/>
      <c r="J206" s="270"/>
      <c r="K206" s="270"/>
      <c r="L206" s="271"/>
    </row>
    <row r="207" spans="1:12">
      <c r="A207" s="269"/>
      <c r="B207" s="270"/>
      <c r="C207" s="270"/>
      <c r="D207" s="270"/>
      <c r="E207" s="270"/>
      <c r="F207" s="270"/>
      <c r="G207" s="270"/>
      <c r="H207" s="270"/>
      <c r="I207" s="270"/>
      <c r="J207" s="270"/>
      <c r="K207" s="270"/>
      <c r="L207" s="271"/>
    </row>
    <row r="208" spans="1:12">
      <c r="A208" s="269"/>
      <c r="B208" s="270"/>
      <c r="C208" s="270"/>
      <c r="D208" s="270"/>
      <c r="E208" s="270"/>
      <c r="F208" s="270"/>
      <c r="G208" s="270"/>
      <c r="H208" s="270"/>
      <c r="I208" s="270"/>
      <c r="J208" s="270"/>
      <c r="K208" s="270"/>
      <c r="L208" s="271"/>
    </row>
    <row r="209" spans="1:12">
      <c r="A209" s="269"/>
      <c r="B209" s="270"/>
      <c r="C209" s="270"/>
      <c r="D209" s="270"/>
      <c r="E209" s="270"/>
      <c r="F209" s="270"/>
      <c r="G209" s="270"/>
      <c r="H209" s="270"/>
      <c r="I209" s="270"/>
      <c r="J209" s="270"/>
      <c r="K209" s="270"/>
      <c r="L209" s="271"/>
    </row>
    <row r="210" spans="1:12">
      <c r="A210" s="269"/>
      <c r="B210" s="270"/>
      <c r="C210" s="270"/>
      <c r="D210" s="270"/>
      <c r="E210" s="270"/>
      <c r="F210" s="270"/>
      <c r="G210" s="270"/>
      <c r="H210" s="270"/>
      <c r="I210" s="270"/>
      <c r="J210" s="270"/>
      <c r="K210" s="270"/>
      <c r="L210" s="271"/>
    </row>
    <row r="211" spans="1:12">
      <c r="A211" s="269"/>
      <c r="B211" s="270"/>
      <c r="C211" s="270"/>
      <c r="D211" s="270"/>
      <c r="E211" s="270"/>
      <c r="F211" s="270"/>
      <c r="G211" s="270"/>
      <c r="H211" s="270"/>
      <c r="I211" s="270"/>
      <c r="J211" s="270"/>
      <c r="K211" s="270"/>
      <c r="L211" s="271"/>
    </row>
    <row r="212" spans="1:12">
      <c r="A212" s="269"/>
      <c r="B212" s="270"/>
      <c r="C212" s="270"/>
      <c r="D212" s="270"/>
      <c r="E212" s="270"/>
      <c r="F212" s="270"/>
      <c r="G212" s="270"/>
      <c r="H212" s="270"/>
      <c r="I212" s="270"/>
      <c r="J212" s="270"/>
      <c r="K212" s="270"/>
      <c r="L212" s="271"/>
    </row>
    <row r="213" spans="1:12">
      <c r="A213" s="269"/>
      <c r="B213" s="270"/>
      <c r="C213" s="270"/>
      <c r="D213" s="270"/>
      <c r="E213" s="270"/>
      <c r="F213" s="270"/>
      <c r="G213" s="270"/>
      <c r="H213" s="270"/>
      <c r="I213" s="270"/>
      <c r="J213" s="270"/>
      <c r="K213" s="270"/>
      <c r="L213" s="271"/>
    </row>
    <row r="214" spans="1:12">
      <c r="A214" s="269"/>
      <c r="B214" s="270"/>
      <c r="C214" s="270"/>
      <c r="D214" s="270"/>
      <c r="E214" s="270"/>
      <c r="F214" s="270"/>
      <c r="G214" s="270"/>
      <c r="H214" s="270"/>
      <c r="I214" s="270"/>
      <c r="J214" s="270"/>
      <c r="K214" s="270"/>
      <c r="L214" s="271"/>
    </row>
    <row r="215" spans="1:12">
      <c r="A215" s="269"/>
      <c r="B215" s="270"/>
      <c r="C215" s="270"/>
      <c r="D215" s="270"/>
      <c r="E215" s="270"/>
      <c r="F215" s="270"/>
      <c r="G215" s="270"/>
      <c r="H215" s="270"/>
      <c r="I215" s="270"/>
      <c r="J215" s="270"/>
      <c r="K215" s="270"/>
      <c r="L215" s="271"/>
    </row>
    <row r="216" spans="1:12">
      <c r="A216" s="269"/>
      <c r="B216" s="270"/>
      <c r="C216" s="270"/>
      <c r="D216" s="270"/>
      <c r="E216" s="270"/>
      <c r="F216" s="270"/>
      <c r="G216" s="270"/>
      <c r="H216" s="270"/>
      <c r="I216" s="270"/>
      <c r="J216" s="270"/>
      <c r="K216" s="270"/>
      <c r="L216" s="271"/>
    </row>
    <row r="217" spans="1:12">
      <c r="A217" s="269"/>
      <c r="B217" s="270"/>
      <c r="C217" s="270"/>
      <c r="D217" s="270"/>
      <c r="E217" s="270"/>
      <c r="F217" s="270"/>
      <c r="G217" s="270"/>
      <c r="H217" s="270"/>
      <c r="I217" s="270"/>
      <c r="J217" s="270"/>
      <c r="K217" s="270"/>
      <c r="L217" s="271"/>
    </row>
    <row r="218" spans="1:12">
      <c r="A218" s="269"/>
      <c r="B218" s="270"/>
      <c r="C218" s="270"/>
      <c r="D218" s="270"/>
      <c r="E218" s="270"/>
      <c r="F218" s="270"/>
      <c r="G218" s="270"/>
      <c r="H218" s="270"/>
      <c r="I218" s="270"/>
      <c r="J218" s="270"/>
      <c r="K218" s="270"/>
      <c r="L218" s="271"/>
    </row>
    <row r="219" spans="1:12">
      <c r="A219" s="269"/>
      <c r="B219" s="270"/>
      <c r="C219" s="270"/>
      <c r="D219" s="270"/>
      <c r="E219" s="270"/>
      <c r="F219" s="270"/>
      <c r="G219" s="270"/>
      <c r="H219" s="270"/>
      <c r="I219" s="270"/>
      <c r="J219" s="270"/>
      <c r="K219" s="270"/>
      <c r="L219" s="271"/>
    </row>
    <row r="220" spans="1:12">
      <c r="A220" s="269"/>
      <c r="B220" s="270"/>
      <c r="C220" s="270"/>
      <c r="D220" s="270"/>
      <c r="E220" s="270"/>
      <c r="F220" s="270"/>
      <c r="G220" s="270"/>
      <c r="H220" s="270"/>
      <c r="I220" s="270"/>
      <c r="J220" s="270"/>
      <c r="K220" s="270"/>
      <c r="L220" s="271"/>
    </row>
    <row r="221" spans="1:12">
      <c r="A221" s="269"/>
      <c r="B221" s="270"/>
      <c r="C221" s="270"/>
      <c r="D221" s="270"/>
      <c r="E221" s="270"/>
      <c r="F221" s="270"/>
      <c r="G221" s="270"/>
      <c r="H221" s="270"/>
      <c r="I221" s="270"/>
      <c r="J221" s="270"/>
      <c r="K221" s="270"/>
      <c r="L221" s="271"/>
    </row>
    <row r="222" spans="1:12">
      <c r="A222" s="269"/>
      <c r="B222" s="270"/>
      <c r="C222" s="270"/>
      <c r="D222" s="270"/>
      <c r="E222" s="270"/>
      <c r="F222" s="270"/>
      <c r="G222" s="270"/>
      <c r="H222" s="270"/>
      <c r="I222" s="270"/>
      <c r="J222" s="270"/>
      <c r="K222" s="270"/>
      <c r="L222" s="271"/>
    </row>
    <row r="223" spans="1:12">
      <c r="A223" s="269"/>
      <c r="B223" s="270"/>
      <c r="C223" s="270"/>
      <c r="D223" s="270"/>
      <c r="E223" s="270"/>
      <c r="F223" s="270"/>
      <c r="G223" s="270"/>
      <c r="H223" s="270"/>
      <c r="I223" s="270"/>
      <c r="J223" s="270"/>
      <c r="K223" s="270"/>
      <c r="L223" s="271"/>
    </row>
    <row r="224" spans="1:12">
      <c r="A224" s="269"/>
      <c r="B224" s="270"/>
      <c r="C224" s="270"/>
      <c r="D224" s="270"/>
      <c r="E224" s="270"/>
      <c r="F224" s="270"/>
      <c r="G224" s="270"/>
      <c r="H224" s="270"/>
      <c r="I224" s="270"/>
      <c r="J224" s="270"/>
      <c r="K224" s="270"/>
      <c r="L224" s="271"/>
    </row>
    <row r="225" spans="1:12">
      <c r="A225" s="269"/>
      <c r="B225" s="270"/>
      <c r="C225" s="270"/>
      <c r="D225" s="270"/>
      <c r="E225" s="270"/>
      <c r="F225" s="270"/>
      <c r="G225" s="270"/>
      <c r="H225" s="270"/>
      <c r="I225" s="270"/>
      <c r="J225" s="270"/>
      <c r="K225" s="270"/>
      <c r="L225" s="271"/>
    </row>
    <row r="226" spans="1:12">
      <c r="A226" s="269"/>
      <c r="B226" s="270"/>
      <c r="C226" s="270"/>
      <c r="D226" s="270"/>
      <c r="E226" s="270"/>
      <c r="F226" s="270"/>
      <c r="G226" s="270"/>
      <c r="H226" s="270"/>
      <c r="I226" s="270"/>
      <c r="J226" s="270"/>
      <c r="K226" s="270"/>
      <c r="L226" s="271"/>
    </row>
    <row r="227" spans="1:12">
      <c r="A227" s="269"/>
      <c r="B227" s="270"/>
      <c r="C227" s="270"/>
      <c r="D227" s="270"/>
      <c r="E227" s="270"/>
      <c r="F227" s="270"/>
      <c r="G227" s="270"/>
      <c r="H227" s="270"/>
      <c r="I227" s="270"/>
      <c r="J227" s="270"/>
      <c r="K227" s="270"/>
      <c r="L227" s="271"/>
    </row>
    <row r="228" spans="1:12">
      <c r="A228" s="269"/>
      <c r="B228" s="270"/>
      <c r="C228" s="270"/>
      <c r="D228" s="270"/>
      <c r="E228" s="270"/>
      <c r="F228" s="270"/>
      <c r="G228" s="270"/>
      <c r="H228" s="270"/>
      <c r="I228" s="270"/>
      <c r="J228" s="270"/>
      <c r="K228" s="270"/>
      <c r="L228" s="271"/>
    </row>
    <row r="229" spans="1:12">
      <c r="A229" s="269"/>
      <c r="B229" s="270"/>
      <c r="C229" s="270"/>
      <c r="D229" s="270"/>
      <c r="E229" s="270"/>
      <c r="F229" s="270"/>
      <c r="G229" s="270"/>
      <c r="H229" s="270"/>
      <c r="I229" s="270"/>
      <c r="J229" s="270"/>
      <c r="K229" s="270"/>
      <c r="L229" s="271"/>
    </row>
    <row r="230" spans="1:12">
      <c r="A230" s="269"/>
      <c r="B230" s="270"/>
      <c r="C230" s="270"/>
      <c r="D230" s="270"/>
      <c r="E230" s="270"/>
      <c r="F230" s="270"/>
      <c r="G230" s="270"/>
      <c r="H230" s="270"/>
      <c r="I230" s="270"/>
      <c r="J230" s="270"/>
      <c r="K230" s="270"/>
      <c r="L230" s="271"/>
    </row>
    <row r="231" spans="1:12">
      <c r="A231" s="269"/>
      <c r="B231" s="270"/>
      <c r="C231" s="270"/>
      <c r="D231" s="270"/>
      <c r="E231" s="270"/>
      <c r="F231" s="270"/>
      <c r="G231" s="270"/>
      <c r="H231" s="270"/>
      <c r="I231" s="270"/>
      <c r="J231" s="270"/>
      <c r="K231" s="270"/>
      <c r="L231" s="271"/>
    </row>
    <row r="232" spans="1:12">
      <c r="A232" s="269"/>
      <c r="B232" s="270"/>
      <c r="C232" s="270"/>
      <c r="D232" s="270"/>
      <c r="E232" s="270"/>
      <c r="F232" s="270"/>
      <c r="G232" s="270"/>
      <c r="H232" s="270"/>
      <c r="I232" s="270"/>
      <c r="J232" s="270"/>
      <c r="K232" s="270"/>
      <c r="L232" s="271"/>
    </row>
    <row r="233" spans="1:12">
      <c r="A233" s="269"/>
      <c r="B233" s="270"/>
      <c r="C233" s="270"/>
      <c r="D233" s="270"/>
      <c r="E233" s="270"/>
      <c r="F233" s="270"/>
      <c r="G233" s="270"/>
      <c r="H233" s="270"/>
      <c r="I233" s="270"/>
      <c r="J233" s="270"/>
      <c r="K233" s="270"/>
      <c r="L233" s="271"/>
    </row>
    <row r="234" spans="1:12">
      <c r="A234" s="269"/>
      <c r="B234" s="270"/>
      <c r="C234" s="270"/>
      <c r="D234" s="270"/>
      <c r="E234" s="270"/>
      <c r="F234" s="270"/>
      <c r="G234" s="270"/>
      <c r="H234" s="270"/>
      <c r="I234" s="270"/>
      <c r="J234" s="270"/>
      <c r="K234" s="270"/>
      <c r="L234" s="271"/>
    </row>
    <row r="235" spans="1:12">
      <c r="A235" s="269"/>
      <c r="B235" s="270"/>
      <c r="C235" s="270"/>
      <c r="D235" s="270"/>
      <c r="E235" s="270"/>
      <c r="F235" s="270"/>
      <c r="G235" s="270"/>
      <c r="H235" s="270"/>
      <c r="I235" s="270"/>
      <c r="J235" s="270"/>
      <c r="K235" s="270"/>
      <c r="L235" s="271"/>
    </row>
    <row r="236" spans="1:12">
      <c r="A236" s="269"/>
      <c r="B236" s="270"/>
      <c r="C236" s="270"/>
      <c r="D236" s="270"/>
      <c r="E236" s="270"/>
      <c r="F236" s="270"/>
      <c r="G236" s="270"/>
      <c r="H236" s="270"/>
      <c r="I236" s="270"/>
      <c r="J236" s="270"/>
      <c r="K236" s="270"/>
      <c r="L236" s="271"/>
    </row>
    <row r="237" spans="1:12">
      <c r="A237" s="269"/>
      <c r="B237" s="270"/>
      <c r="C237" s="270"/>
      <c r="D237" s="270"/>
      <c r="E237" s="270"/>
      <c r="F237" s="270"/>
      <c r="G237" s="270"/>
      <c r="H237" s="270"/>
      <c r="I237" s="270"/>
      <c r="J237" s="270"/>
      <c r="K237" s="270"/>
      <c r="L237" s="271"/>
    </row>
    <row r="238" spans="1:12">
      <c r="A238" s="269"/>
      <c r="B238" s="270"/>
      <c r="C238" s="270"/>
      <c r="D238" s="270"/>
      <c r="E238" s="270"/>
      <c r="F238" s="270"/>
      <c r="G238" s="270"/>
      <c r="H238" s="270"/>
      <c r="I238" s="270"/>
      <c r="J238" s="270"/>
      <c r="K238" s="270"/>
      <c r="L238" s="271"/>
    </row>
    <row r="239" spans="1:12">
      <c r="A239" s="269"/>
      <c r="B239" s="270"/>
      <c r="C239" s="270"/>
      <c r="D239" s="270"/>
      <c r="E239" s="270"/>
      <c r="F239" s="270"/>
      <c r="G239" s="270"/>
      <c r="H239" s="270"/>
      <c r="I239" s="270"/>
      <c r="J239" s="270"/>
      <c r="K239" s="270"/>
      <c r="L239" s="271"/>
    </row>
    <row r="240" spans="1:12">
      <c r="A240" s="269"/>
      <c r="B240" s="270"/>
      <c r="C240" s="270"/>
      <c r="D240" s="270"/>
      <c r="E240" s="270"/>
      <c r="F240" s="270"/>
      <c r="G240" s="270"/>
      <c r="H240" s="270"/>
      <c r="I240" s="270"/>
      <c r="J240" s="270"/>
      <c r="K240" s="270"/>
      <c r="L240" s="271"/>
    </row>
    <row r="241" spans="1:12">
      <c r="A241" s="269"/>
      <c r="B241" s="270"/>
      <c r="C241" s="270"/>
      <c r="D241" s="270"/>
      <c r="E241" s="270"/>
      <c r="F241" s="270"/>
      <c r="G241" s="270"/>
      <c r="H241" s="270"/>
      <c r="I241" s="270"/>
      <c r="J241" s="270"/>
      <c r="K241" s="270"/>
      <c r="L241" s="271"/>
    </row>
    <row r="242" spans="1:12">
      <c r="A242" s="269"/>
      <c r="B242" s="270"/>
      <c r="C242" s="270"/>
      <c r="D242" s="270"/>
      <c r="E242" s="270"/>
      <c r="F242" s="270"/>
      <c r="G242" s="270"/>
      <c r="H242" s="270"/>
      <c r="I242" s="270"/>
      <c r="J242" s="270"/>
      <c r="K242" s="270"/>
      <c r="L242" s="271"/>
    </row>
    <row r="243" spans="1:12">
      <c r="A243" s="269"/>
      <c r="B243" s="270"/>
      <c r="C243" s="270"/>
      <c r="D243" s="270"/>
      <c r="E243" s="270"/>
      <c r="F243" s="270"/>
      <c r="G243" s="270"/>
      <c r="H243" s="270"/>
      <c r="I243" s="270"/>
      <c r="J243" s="270"/>
      <c r="K243" s="270"/>
      <c r="L243" s="271"/>
    </row>
    <row r="244" spans="1:12">
      <c r="A244" s="269"/>
      <c r="B244" s="270"/>
      <c r="C244" s="270"/>
      <c r="D244" s="270"/>
      <c r="E244" s="270"/>
      <c r="F244" s="270"/>
      <c r="G244" s="270"/>
      <c r="H244" s="270"/>
      <c r="I244" s="270"/>
      <c r="J244" s="270"/>
      <c r="K244" s="270"/>
      <c r="L244" s="271"/>
    </row>
    <row r="245" spans="1:12">
      <c r="A245" s="269"/>
      <c r="B245" s="270"/>
      <c r="C245" s="270"/>
      <c r="D245" s="270"/>
      <c r="E245" s="270"/>
      <c r="F245" s="270"/>
      <c r="G245" s="270"/>
      <c r="H245" s="270"/>
      <c r="I245" s="270"/>
      <c r="J245" s="270"/>
      <c r="K245" s="270"/>
      <c r="L245" s="271"/>
    </row>
    <row r="246" spans="1:12">
      <c r="A246" s="269"/>
      <c r="B246" s="270"/>
      <c r="C246" s="270"/>
      <c r="D246" s="270"/>
      <c r="E246" s="270"/>
      <c r="F246" s="270"/>
      <c r="G246" s="270"/>
      <c r="H246" s="270"/>
      <c r="I246" s="270"/>
      <c r="J246" s="270"/>
      <c r="K246" s="270"/>
      <c r="L246" s="271"/>
    </row>
    <row r="247" spans="1:12">
      <c r="A247" s="269"/>
      <c r="B247" s="270"/>
      <c r="C247" s="270"/>
      <c r="D247" s="270"/>
      <c r="E247" s="270"/>
      <c r="F247" s="270"/>
      <c r="G247" s="270"/>
      <c r="H247" s="270"/>
      <c r="I247" s="270"/>
      <c r="J247" s="270"/>
      <c r="K247" s="270"/>
      <c r="L247" s="271"/>
    </row>
    <row r="248" spans="1:12">
      <c r="A248" s="269"/>
      <c r="B248" s="270"/>
      <c r="C248" s="270"/>
      <c r="D248" s="270"/>
      <c r="E248" s="270"/>
      <c r="F248" s="270"/>
      <c r="G248" s="270"/>
      <c r="H248" s="270"/>
      <c r="I248" s="270"/>
      <c r="J248" s="270"/>
      <c r="K248" s="270"/>
      <c r="L248" s="271"/>
    </row>
    <row r="249" spans="1:12">
      <c r="A249" s="269"/>
      <c r="B249" s="270"/>
      <c r="C249" s="270"/>
      <c r="D249" s="270"/>
      <c r="E249" s="270"/>
      <c r="F249" s="270"/>
      <c r="G249" s="270"/>
      <c r="H249" s="270"/>
      <c r="I249" s="270"/>
      <c r="J249" s="270"/>
      <c r="K249" s="270"/>
      <c r="L249" s="271"/>
    </row>
    <row r="250" spans="1:12">
      <c r="A250" s="269"/>
      <c r="B250" s="270"/>
      <c r="C250" s="270"/>
      <c r="D250" s="270"/>
      <c r="E250" s="270"/>
      <c r="F250" s="270"/>
      <c r="G250" s="270"/>
      <c r="H250" s="270"/>
      <c r="I250" s="270"/>
      <c r="J250" s="270"/>
      <c r="K250" s="270"/>
      <c r="L250" s="271"/>
    </row>
    <row r="251" spans="1:12">
      <c r="A251" s="269"/>
      <c r="B251" s="270"/>
      <c r="C251" s="270"/>
      <c r="D251" s="270"/>
      <c r="E251" s="270"/>
      <c r="F251" s="270"/>
      <c r="G251" s="270"/>
      <c r="H251" s="270"/>
      <c r="I251" s="270"/>
      <c r="J251" s="270"/>
      <c r="K251" s="270"/>
      <c r="L251" s="271"/>
    </row>
    <row r="252" spans="1:12">
      <c r="A252" s="269"/>
      <c r="B252" s="270"/>
      <c r="C252" s="270"/>
      <c r="D252" s="270"/>
      <c r="E252" s="270"/>
      <c r="F252" s="270"/>
      <c r="G252" s="270"/>
      <c r="H252" s="270"/>
      <c r="I252" s="270"/>
      <c r="J252" s="270"/>
      <c r="K252" s="270"/>
      <c r="L252" s="271"/>
    </row>
    <row r="253" spans="1:12">
      <c r="A253" s="269"/>
      <c r="B253" s="270"/>
      <c r="C253" s="270"/>
      <c r="D253" s="270"/>
      <c r="E253" s="270"/>
      <c r="F253" s="270"/>
      <c r="G253" s="270"/>
      <c r="H253" s="270"/>
      <c r="I253" s="270"/>
      <c r="J253" s="270"/>
      <c r="K253" s="270"/>
      <c r="L253" s="271"/>
    </row>
    <row r="254" spans="1:12">
      <c r="A254" s="269"/>
      <c r="B254" s="270"/>
      <c r="C254" s="270"/>
      <c r="D254" s="270"/>
      <c r="E254" s="270"/>
      <c r="F254" s="270"/>
      <c r="G254" s="270"/>
      <c r="H254" s="270"/>
      <c r="I254" s="270"/>
      <c r="J254" s="270"/>
      <c r="K254" s="270"/>
      <c r="L254" s="271"/>
    </row>
    <row r="255" spans="1:12">
      <c r="A255" s="269"/>
      <c r="B255" s="270"/>
      <c r="C255" s="270"/>
      <c r="D255" s="270"/>
      <c r="E255" s="270"/>
      <c r="F255" s="270"/>
      <c r="G255" s="270"/>
      <c r="H255" s="270"/>
      <c r="I255" s="270"/>
      <c r="J255" s="270"/>
      <c r="K255" s="270"/>
      <c r="L255" s="271"/>
    </row>
    <row r="256" spans="1:12">
      <c r="A256" s="269"/>
      <c r="B256" s="270"/>
      <c r="C256" s="270"/>
      <c r="D256" s="270"/>
      <c r="E256" s="270"/>
      <c r="F256" s="270"/>
      <c r="G256" s="270"/>
      <c r="H256" s="270"/>
      <c r="I256" s="270"/>
      <c r="J256" s="270"/>
      <c r="K256" s="270"/>
      <c r="L256" s="271"/>
    </row>
    <row r="257" spans="1:12">
      <c r="A257" s="269"/>
      <c r="B257" s="270"/>
      <c r="C257" s="270"/>
      <c r="D257" s="270"/>
      <c r="E257" s="270"/>
      <c r="F257" s="270"/>
      <c r="G257" s="270"/>
      <c r="H257" s="270"/>
      <c r="I257" s="270"/>
      <c r="J257" s="270"/>
      <c r="K257" s="270"/>
      <c r="L257" s="271"/>
    </row>
    <row r="258" spans="1:12">
      <c r="A258" s="269"/>
      <c r="B258" s="270"/>
      <c r="C258" s="270"/>
      <c r="D258" s="270"/>
      <c r="E258" s="270"/>
      <c r="F258" s="270"/>
      <c r="G258" s="270"/>
      <c r="H258" s="270"/>
      <c r="I258" s="270"/>
      <c r="J258" s="270"/>
      <c r="K258" s="270"/>
      <c r="L258" s="271"/>
    </row>
    <row r="259" spans="1:12">
      <c r="A259" s="269"/>
      <c r="B259" s="270"/>
      <c r="C259" s="270"/>
      <c r="D259" s="270"/>
      <c r="E259" s="270"/>
      <c r="F259" s="270"/>
      <c r="G259" s="270"/>
      <c r="H259" s="270"/>
      <c r="I259" s="270"/>
      <c r="J259" s="270"/>
      <c r="K259" s="270"/>
      <c r="L259" s="271"/>
    </row>
    <row r="260" spans="1:12">
      <c r="A260" s="269"/>
      <c r="B260" s="270"/>
      <c r="C260" s="270"/>
      <c r="D260" s="270"/>
      <c r="E260" s="270"/>
      <c r="F260" s="270"/>
      <c r="G260" s="270"/>
      <c r="H260" s="270"/>
      <c r="I260" s="270"/>
      <c r="J260" s="270"/>
      <c r="K260" s="270"/>
      <c r="L260" s="271"/>
    </row>
    <row r="261" spans="1:12">
      <c r="A261" s="269"/>
      <c r="B261" s="270"/>
      <c r="C261" s="270"/>
      <c r="D261" s="270"/>
      <c r="E261" s="270"/>
      <c r="F261" s="270"/>
      <c r="G261" s="270"/>
      <c r="H261" s="270"/>
      <c r="I261" s="270"/>
      <c r="J261" s="270"/>
      <c r="K261" s="270"/>
      <c r="L261" s="271"/>
    </row>
    <row r="262" spans="1:12">
      <c r="A262" s="269"/>
      <c r="B262" s="270"/>
      <c r="C262" s="270"/>
      <c r="D262" s="270"/>
      <c r="E262" s="270"/>
      <c r="F262" s="270"/>
      <c r="G262" s="270"/>
      <c r="H262" s="270"/>
      <c r="I262" s="270"/>
      <c r="J262" s="270"/>
      <c r="K262" s="270"/>
      <c r="L262" s="271"/>
    </row>
    <row r="263" spans="1:12">
      <c r="A263" s="269"/>
      <c r="B263" s="270"/>
      <c r="C263" s="270"/>
      <c r="D263" s="270"/>
      <c r="E263" s="270"/>
      <c r="F263" s="270"/>
      <c r="G263" s="270"/>
      <c r="H263" s="270"/>
      <c r="I263" s="270"/>
      <c r="J263" s="270"/>
      <c r="K263" s="270"/>
      <c r="L263" s="271"/>
    </row>
    <row r="264" spans="1:12">
      <c r="A264" s="269"/>
      <c r="B264" s="270"/>
      <c r="C264" s="270"/>
      <c r="D264" s="270"/>
      <c r="E264" s="270"/>
      <c r="F264" s="270"/>
      <c r="G264" s="270"/>
      <c r="H264" s="270"/>
      <c r="I264" s="270"/>
      <c r="J264" s="270"/>
      <c r="K264" s="270"/>
      <c r="L264" s="271"/>
    </row>
    <row r="265" spans="1:12">
      <c r="A265" s="269"/>
      <c r="B265" s="270"/>
      <c r="C265" s="270"/>
      <c r="D265" s="270"/>
      <c r="E265" s="270"/>
      <c r="F265" s="270"/>
      <c r="G265" s="270"/>
      <c r="H265" s="270"/>
      <c r="I265" s="270"/>
      <c r="J265" s="270"/>
      <c r="K265" s="270"/>
      <c r="L265" s="271"/>
    </row>
    <row r="266" spans="1:12">
      <c r="A266" s="269"/>
      <c r="B266" s="270"/>
      <c r="C266" s="270"/>
      <c r="D266" s="270"/>
      <c r="E266" s="270"/>
      <c r="F266" s="270"/>
      <c r="G266" s="270"/>
      <c r="H266" s="270"/>
      <c r="I266" s="270"/>
      <c r="J266" s="270"/>
      <c r="K266" s="270"/>
      <c r="L266" s="271"/>
    </row>
    <row r="267" spans="1:12">
      <c r="A267" s="269"/>
      <c r="B267" s="270"/>
      <c r="C267" s="270"/>
      <c r="D267" s="270"/>
      <c r="E267" s="270"/>
      <c r="F267" s="270"/>
      <c r="G267" s="270"/>
      <c r="H267" s="270"/>
      <c r="I267" s="270"/>
      <c r="J267" s="270"/>
      <c r="K267" s="270"/>
      <c r="L267" s="271"/>
    </row>
    <row r="268" spans="1:12">
      <c r="A268" s="269"/>
      <c r="B268" s="270"/>
      <c r="C268" s="270"/>
      <c r="D268" s="270"/>
      <c r="E268" s="270"/>
      <c r="F268" s="270"/>
      <c r="G268" s="270"/>
      <c r="H268" s="270"/>
      <c r="I268" s="270"/>
      <c r="J268" s="270"/>
      <c r="K268" s="270"/>
      <c r="L268" s="271"/>
    </row>
    <row r="269" spans="1:12">
      <c r="A269" s="269"/>
      <c r="B269" s="270"/>
      <c r="C269" s="270"/>
      <c r="D269" s="270"/>
      <c r="E269" s="270"/>
      <c r="F269" s="270"/>
      <c r="G269" s="270"/>
      <c r="H269" s="270"/>
      <c r="I269" s="270"/>
      <c r="J269" s="270"/>
      <c r="K269" s="270"/>
      <c r="L269" s="271"/>
    </row>
    <row r="270" spans="1:12">
      <c r="A270" s="269"/>
      <c r="B270" s="270"/>
      <c r="C270" s="270"/>
      <c r="D270" s="270"/>
      <c r="E270" s="270"/>
      <c r="F270" s="270"/>
      <c r="G270" s="270"/>
      <c r="H270" s="270"/>
      <c r="I270" s="270"/>
      <c r="J270" s="270"/>
      <c r="K270" s="270"/>
      <c r="L270" s="271"/>
    </row>
    <row r="271" spans="1:12">
      <c r="A271" s="269"/>
      <c r="B271" s="270"/>
      <c r="C271" s="270"/>
      <c r="D271" s="270"/>
      <c r="E271" s="270"/>
      <c r="F271" s="270"/>
      <c r="G271" s="270"/>
      <c r="H271" s="270"/>
      <c r="I271" s="270"/>
      <c r="J271" s="270"/>
      <c r="K271" s="270"/>
      <c r="L271" s="271"/>
    </row>
    <row r="272" spans="1:12">
      <c r="A272" s="269"/>
      <c r="B272" s="270"/>
      <c r="C272" s="270"/>
      <c r="D272" s="270"/>
      <c r="E272" s="270"/>
      <c r="F272" s="270"/>
      <c r="G272" s="270"/>
      <c r="H272" s="270"/>
      <c r="I272" s="270"/>
      <c r="J272" s="270"/>
      <c r="K272" s="270"/>
      <c r="L272" s="271"/>
    </row>
    <row r="273" spans="1:12">
      <c r="A273" s="269"/>
      <c r="B273" s="270"/>
      <c r="C273" s="270"/>
      <c r="D273" s="270"/>
      <c r="E273" s="270"/>
      <c r="F273" s="270"/>
      <c r="G273" s="270"/>
      <c r="H273" s="270"/>
      <c r="I273" s="270"/>
      <c r="J273" s="270"/>
      <c r="K273" s="270"/>
      <c r="L273" s="271"/>
    </row>
    <row r="274" spans="1:12">
      <c r="A274" s="269"/>
      <c r="B274" s="270"/>
      <c r="C274" s="270"/>
      <c r="D274" s="270"/>
      <c r="E274" s="270"/>
      <c r="F274" s="270"/>
      <c r="G274" s="270"/>
      <c r="H274" s="270"/>
      <c r="I274" s="270"/>
      <c r="J274" s="270"/>
      <c r="K274" s="270"/>
      <c r="L274" s="271"/>
    </row>
    <row r="275" spans="1:12">
      <c r="A275" s="269"/>
      <c r="B275" s="270"/>
      <c r="C275" s="270"/>
      <c r="D275" s="270"/>
      <c r="E275" s="270"/>
      <c r="F275" s="270"/>
      <c r="G275" s="270"/>
      <c r="H275" s="270"/>
      <c r="I275" s="270"/>
      <c r="J275" s="270"/>
      <c r="K275" s="270"/>
      <c r="L275" s="271"/>
    </row>
    <row r="276" spans="1:12">
      <c r="A276" s="269"/>
      <c r="B276" s="270"/>
      <c r="C276" s="270"/>
      <c r="D276" s="270"/>
      <c r="E276" s="270"/>
      <c r="F276" s="270"/>
      <c r="G276" s="270"/>
      <c r="H276" s="270"/>
      <c r="I276" s="270"/>
      <c r="J276" s="270"/>
      <c r="K276" s="270"/>
      <c r="L276" s="271"/>
    </row>
    <row r="277" spans="1:12">
      <c r="A277" s="269"/>
      <c r="B277" s="270"/>
      <c r="C277" s="270"/>
      <c r="D277" s="270"/>
      <c r="E277" s="270"/>
      <c r="F277" s="270"/>
      <c r="G277" s="270"/>
      <c r="H277" s="270"/>
      <c r="I277" s="270"/>
      <c r="J277" s="270"/>
      <c r="K277" s="270"/>
      <c r="L277" s="271"/>
    </row>
    <row r="278" spans="1:12">
      <c r="A278" s="269"/>
      <c r="B278" s="270"/>
      <c r="C278" s="270"/>
      <c r="D278" s="270"/>
      <c r="E278" s="270"/>
      <c r="F278" s="270"/>
      <c r="G278" s="270"/>
      <c r="H278" s="270"/>
      <c r="I278" s="270"/>
      <c r="J278" s="270"/>
      <c r="K278" s="270"/>
      <c r="L278" s="271"/>
    </row>
    <row r="279" spans="1:12">
      <c r="A279" s="269"/>
      <c r="B279" s="270"/>
      <c r="C279" s="270"/>
      <c r="D279" s="270"/>
      <c r="E279" s="270"/>
      <c r="F279" s="270"/>
      <c r="G279" s="270"/>
      <c r="H279" s="270"/>
      <c r="I279" s="270"/>
      <c r="J279" s="270"/>
      <c r="K279" s="270"/>
      <c r="L279" s="271"/>
    </row>
    <row r="280" spans="1:12">
      <c r="A280" s="269"/>
      <c r="B280" s="270"/>
      <c r="C280" s="270"/>
      <c r="D280" s="270"/>
      <c r="E280" s="270"/>
      <c r="F280" s="270"/>
      <c r="G280" s="270"/>
      <c r="H280" s="270"/>
      <c r="I280" s="270"/>
      <c r="J280" s="270"/>
      <c r="K280" s="270"/>
      <c r="L280" s="271"/>
    </row>
    <row r="281" spans="1:12">
      <c r="A281" s="269"/>
      <c r="B281" s="270"/>
      <c r="C281" s="270"/>
      <c r="D281" s="270"/>
      <c r="E281" s="270"/>
      <c r="F281" s="270"/>
      <c r="G281" s="270"/>
      <c r="H281" s="270"/>
      <c r="I281" s="270"/>
      <c r="J281" s="270"/>
      <c r="K281" s="270"/>
      <c r="L281" s="271"/>
    </row>
    <row r="282" spans="1:12">
      <c r="A282" s="269"/>
      <c r="B282" s="270"/>
      <c r="C282" s="270"/>
      <c r="D282" s="270"/>
      <c r="E282" s="270"/>
      <c r="F282" s="270"/>
      <c r="G282" s="270"/>
      <c r="H282" s="270"/>
      <c r="I282" s="270"/>
      <c r="J282" s="270"/>
      <c r="K282" s="270"/>
      <c r="L282" s="271"/>
    </row>
    <row r="283" spans="1:12">
      <c r="A283" s="269"/>
      <c r="B283" s="270"/>
      <c r="C283" s="270"/>
      <c r="D283" s="270"/>
      <c r="E283" s="270"/>
      <c r="F283" s="270"/>
      <c r="G283" s="270"/>
      <c r="H283" s="270"/>
      <c r="I283" s="270"/>
      <c r="J283" s="270"/>
      <c r="K283" s="270"/>
      <c r="L283" s="271"/>
    </row>
    <row r="284" spans="1:12">
      <c r="A284" s="269"/>
      <c r="B284" s="270"/>
      <c r="C284" s="270"/>
      <c r="D284" s="270"/>
      <c r="E284" s="270"/>
      <c r="F284" s="270"/>
      <c r="G284" s="270"/>
      <c r="H284" s="270"/>
      <c r="I284" s="270"/>
      <c r="J284" s="270"/>
      <c r="K284" s="270"/>
      <c r="L284" s="271"/>
    </row>
    <row r="285" spans="1:12">
      <c r="A285" s="269"/>
      <c r="B285" s="270"/>
      <c r="C285" s="270"/>
      <c r="D285" s="270"/>
      <c r="E285" s="270"/>
      <c r="F285" s="270"/>
      <c r="G285" s="270"/>
      <c r="H285" s="270"/>
      <c r="I285" s="270"/>
      <c r="J285" s="270"/>
      <c r="K285" s="270"/>
      <c r="L285" s="271"/>
    </row>
    <row r="286" spans="1:12">
      <c r="A286" s="269"/>
      <c r="B286" s="270"/>
      <c r="C286" s="270"/>
      <c r="D286" s="270"/>
      <c r="E286" s="270"/>
      <c r="F286" s="270"/>
      <c r="G286" s="270"/>
      <c r="H286" s="270"/>
      <c r="I286" s="270"/>
      <c r="J286" s="270"/>
      <c r="K286" s="270"/>
      <c r="L286" s="271"/>
    </row>
    <row r="287" spans="1:12">
      <c r="A287" s="269"/>
      <c r="B287" s="270"/>
      <c r="C287" s="270"/>
      <c r="D287" s="270"/>
      <c r="E287" s="270"/>
      <c r="F287" s="270"/>
      <c r="G287" s="270"/>
      <c r="H287" s="270"/>
      <c r="I287" s="270"/>
      <c r="J287" s="270"/>
      <c r="K287" s="270"/>
      <c r="L287" s="271"/>
    </row>
    <row r="288" spans="1:12">
      <c r="A288" s="269"/>
      <c r="B288" s="270"/>
      <c r="C288" s="270"/>
      <c r="D288" s="270"/>
      <c r="E288" s="270"/>
      <c r="F288" s="270"/>
      <c r="G288" s="270"/>
      <c r="H288" s="270"/>
      <c r="I288" s="270"/>
      <c r="J288" s="270"/>
      <c r="K288" s="270"/>
      <c r="L288" s="271"/>
    </row>
    <row r="289" spans="1:12">
      <c r="A289" s="269"/>
      <c r="B289" s="270"/>
      <c r="C289" s="270"/>
      <c r="D289" s="270"/>
      <c r="E289" s="270"/>
      <c r="F289" s="270"/>
      <c r="G289" s="270"/>
      <c r="H289" s="270"/>
      <c r="I289" s="270"/>
      <c r="J289" s="270"/>
      <c r="K289" s="270"/>
      <c r="L289" s="271"/>
    </row>
    <row r="290" spans="1:12">
      <c r="A290" s="269"/>
      <c r="B290" s="270"/>
      <c r="C290" s="270"/>
      <c r="D290" s="270"/>
      <c r="E290" s="270"/>
      <c r="F290" s="270"/>
      <c r="G290" s="270"/>
      <c r="H290" s="270"/>
      <c r="I290" s="270"/>
      <c r="J290" s="270"/>
      <c r="K290" s="270"/>
      <c r="L290" s="271"/>
    </row>
    <row r="291" spans="1:12">
      <c r="A291" s="269"/>
      <c r="B291" s="270"/>
      <c r="C291" s="270"/>
      <c r="D291" s="270"/>
      <c r="E291" s="270"/>
      <c r="F291" s="270"/>
      <c r="G291" s="270"/>
      <c r="H291" s="270"/>
      <c r="I291" s="270"/>
      <c r="J291" s="270"/>
      <c r="K291" s="270"/>
      <c r="L291" s="271"/>
    </row>
    <row r="292" spans="1:12">
      <c r="A292" s="269"/>
      <c r="B292" s="270"/>
      <c r="C292" s="270"/>
      <c r="D292" s="270"/>
      <c r="E292" s="270"/>
      <c r="F292" s="270"/>
      <c r="G292" s="270"/>
      <c r="H292" s="270"/>
      <c r="I292" s="270"/>
      <c r="J292" s="270"/>
      <c r="K292" s="270"/>
      <c r="L292" s="271"/>
    </row>
    <row r="293" spans="1:12">
      <c r="A293" s="269"/>
      <c r="B293" s="270"/>
      <c r="C293" s="270"/>
      <c r="D293" s="270"/>
      <c r="E293" s="270"/>
      <c r="F293" s="270"/>
      <c r="G293" s="270"/>
      <c r="H293" s="270"/>
      <c r="I293" s="270"/>
      <c r="J293" s="270"/>
      <c r="K293" s="270"/>
      <c r="L293" s="271"/>
    </row>
    <row r="294" spans="1:12">
      <c r="A294" s="269"/>
      <c r="B294" s="270"/>
      <c r="C294" s="270"/>
      <c r="D294" s="270"/>
      <c r="E294" s="270"/>
      <c r="F294" s="270"/>
      <c r="G294" s="270"/>
      <c r="H294" s="270"/>
      <c r="I294" s="270"/>
      <c r="J294" s="270"/>
      <c r="K294" s="270"/>
      <c r="L294" s="271"/>
    </row>
    <row r="295" spans="1:12">
      <c r="A295" s="269"/>
      <c r="B295" s="270"/>
      <c r="C295" s="270"/>
      <c r="D295" s="270"/>
      <c r="E295" s="270"/>
      <c r="F295" s="270"/>
      <c r="G295" s="270"/>
      <c r="H295" s="270"/>
      <c r="I295" s="270"/>
      <c r="J295" s="270"/>
      <c r="K295" s="270"/>
      <c r="L295" s="271"/>
    </row>
    <row r="296" spans="1:12">
      <c r="A296" s="269"/>
      <c r="B296" s="270"/>
      <c r="C296" s="270"/>
      <c r="D296" s="270"/>
      <c r="E296" s="270"/>
      <c r="F296" s="270"/>
      <c r="G296" s="270"/>
      <c r="H296" s="270"/>
      <c r="I296" s="270"/>
      <c r="J296" s="270"/>
      <c r="K296" s="270"/>
      <c r="L296" s="271"/>
    </row>
    <row r="297" spans="1:12">
      <c r="A297" s="269"/>
      <c r="B297" s="270"/>
      <c r="C297" s="270"/>
      <c r="D297" s="270"/>
      <c r="E297" s="270"/>
      <c r="F297" s="270"/>
      <c r="G297" s="270"/>
      <c r="H297" s="270"/>
      <c r="I297" s="270"/>
      <c r="J297" s="270"/>
      <c r="K297" s="270"/>
      <c r="L297" s="271"/>
    </row>
    <row r="298" spans="1:12">
      <c r="A298" s="269"/>
      <c r="B298" s="270"/>
      <c r="C298" s="270"/>
      <c r="D298" s="270"/>
      <c r="E298" s="270"/>
      <c r="F298" s="270"/>
      <c r="G298" s="270"/>
      <c r="H298" s="270"/>
      <c r="I298" s="270"/>
      <c r="J298" s="270"/>
      <c r="K298" s="270"/>
      <c r="L298" s="271"/>
    </row>
    <row r="299" spans="1:12">
      <c r="A299" s="269"/>
      <c r="B299" s="270"/>
      <c r="C299" s="270"/>
      <c r="D299" s="270"/>
      <c r="E299" s="270"/>
      <c r="F299" s="270"/>
      <c r="G299" s="270"/>
      <c r="H299" s="270"/>
      <c r="I299" s="270"/>
      <c r="J299" s="270"/>
      <c r="K299" s="270"/>
      <c r="L299" s="271"/>
    </row>
    <row r="300" spans="1:12" ht="15.75" thickBot="1">
      <c r="A300" s="272"/>
      <c r="B300" s="273"/>
      <c r="C300" s="273"/>
      <c r="D300" s="273"/>
      <c r="E300" s="273"/>
      <c r="F300" s="273"/>
      <c r="G300" s="273"/>
      <c r="H300" s="273"/>
      <c r="I300" s="273"/>
      <c r="J300" s="273"/>
      <c r="K300" s="273"/>
      <c r="L300" s="274"/>
    </row>
    <row r="301" spans="1:12" ht="15.75" thickTop="1"/>
  </sheetData>
  <sheetProtection password="D781" sheet="1" objects="1" scenarios="1" selectLockedCells="1" selectUnlockedCells="1"/>
  <customSheetViews>
    <customSheetView guid="{DDA22D69-94B5-45BC-9EE2-6055A845129B}" state="hidden" topLeftCell="A19">
      <selection activeCell="M62" sqref="M62:N62"/>
      <pageMargins left="0.7" right="0.7" top="0.75" bottom="0.75" header="0.3" footer="0.3"/>
      <pageSetup orientation="portrait" r:id="rId1"/>
    </customSheetView>
    <customSheetView guid="{1B7577DB-E3C4-4E68-B7CF-8F86FF7C5A82}" state="hidden" topLeftCell="A19">
      <selection activeCell="M62" sqref="M62:N62"/>
      <pageMargins left="0.7" right="0.7" top="0.75" bottom="0.75" header="0.3" footer="0.3"/>
      <pageSetup orientation="portrait" r:id="rId2"/>
    </customSheetView>
    <customSheetView guid="{2BE9587E-F957-49DF-9716-3F2B35B49DC1}">
      <selection activeCell="M62" sqref="M62:N62"/>
      <pageMargins left="0.7" right="0.7" top="0.75" bottom="0.75" header="0.3" footer="0.3"/>
      <pageSetup orientation="portrait" r:id="rId3"/>
    </customSheetView>
    <customSheetView guid="{60E5615C-64A2-4675-848A-970A515EAF91}" topLeftCell="A22">
      <selection activeCell="M62" sqref="M62:N62"/>
      <pageMargins left="0.7" right="0.7" top="0.75" bottom="0.75" header="0.3" footer="0.3"/>
      <pageSetup orientation="portrait" r:id="rId4"/>
    </customSheetView>
    <customSheetView guid="{E7B1C62B-1F1D-4A62-BD87-EE62D3A36B6C}" state="hidden" topLeftCell="A19">
      <selection activeCell="M62" sqref="M62:N62"/>
      <pageMargins left="0.7" right="0.7" top="0.75" bottom="0.75" header="0.3" footer="0.3"/>
      <pageSetup orientation="portrait" r:id="rId5"/>
    </customSheetView>
  </customSheetViews>
  <mergeCells count="37">
    <mergeCell ref="D45:I49"/>
    <mergeCell ref="J45:J49"/>
    <mergeCell ref="C45:C49"/>
    <mergeCell ref="D28:L30"/>
    <mergeCell ref="C25:C26"/>
    <mergeCell ref="C28:C29"/>
    <mergeCell ref="C37:J38"/>
    <mergeCell ref="D40:I44"/>
    <mergeCell ref="C40:C44"/>
    <mergeCell ref="J40:J44"/>
    <mergeCell ref="K13:K15"/>
    <mergeCell ref="H20:J20"/>
    <mergeCell ref="H17:J17"/>
    <mergeCell ref="A25:B25"/>
    <mergeCell ref="D25:L27"/>
    <mergeCell ref="E13:E15"/>
    <mergeCell ref="B20:D20"/>
    <mergeCell ref="H2:J2"/>
    <mergeCell ref="H4:J4"/>
    <mergeCell ref="H5:J5"/>
    <mergeCell ref="H6:J6"/>
    <mergeCell ref="H7:J7"/>
    <mergeCell ref="H8:J8"/>
    <mergeCell ref="H9:J9"/>
    <mergeCell ref="H10:J10"/>
    <mergeCell ref="H11:J11"/>
    <mergeCell ref="H13:J15"/>
    <mergeCell ref="B8:D8"/>
    <mergeCell ref="B9:D9"/>
    <mergeCell ref="B10:D10"/>
    <mergeCell ref="B11:D11"/>
    <mergeCell ref="B13:D15"/>
    <mergeCell ref="B2:D2"/>
    <mergeCell ref="B4:D4"/>
    <mergeCell ref="B5:D5"/>
    <mergeCell ref="B6:D6"/>
    <mergeCell ref="B7:D7"/>
  </mergeCells>
  <pageMargins left="0.7" right="0.7" top="0.75" bottom="0.75" header="0.3" footer="0.3"/>
  <pageSetup orientation="portrait"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Z199"/>
  <sheetViews>
    <sheetView topLeftCell="A61" workbookViewId="0">
      <selection activeCell="H14" sqref="H14"/>
    </sheetView>
  </sheetViews>
  <sheetFormatPr defaultRowHeight="15"/>
  <cols>
    <col min="1" max="1" width="1.140625" customWidth="1"/>
  </cols>
  <sheetData>
    <row r="1" spans="1:26" ht="15" customHeight="1">
      <c r="A1" s="1926"/>
      <c r="B1" s="1926"/>
      <c r="C1" s="1926"/>
      <c r="D1" s="1926"/>
      <c r="E1" s="1926"/>
      <c r="F1" s="1926"/>
      <c r="G1" s="1926"/>
      <c r="H1" s="1926"/>
      <c r="I1" s="1926"/>
      <c r="J1" s="1926"/>
      <c r="K1" s="1926"/>
      <c r="L1" s="1926"/>
      <c r="M1" s="1926"/>
      <c r="N1" s="1926"/>
      <c r="O1" s="1926"/>
      <c r="P1" s="1926"/>
      <c r="Q1" s="1926"/>
      <c r="R1" s="1926"/>
      <c r="S1" s="1926"/>
      <c r="T1" s="1926"/>
      <c r="U1" s="1926"/>
      <c r="V1" s="1926"/>
      <c r="W1" s="1926"/>
      <c r="X1" s="1926"/>
      <c r="Y1" s="1926"/>
      <c r="Z1" s="1926"/>
    </row>
    <row r="2" spans="1:26" ht="15" customHeight="1">
      <c r="A2" s="1926"/>
      <c r="B2" s="1926"/>
      <c r="C2" s="1926"/>
      <c r="D2" s="1926"/>
      <c r="E2" s="1926"/>
      <c r="F2" s="1926"/>
      <c r="G2" s="1926"/>
      <c r="H2" s="1926"/>
      <c r="I2" s="1926"/>
      <c r="J2" s="1926"/>
      <c r="K2" s="1926"/>
      <c r="L2" s="1926"/>
      <c r="M2" s="1926"/>
      <c r="N2" s="1926"/>
      <c r="O2" s="1926"/>
      <c r="P2" s="1926"/>
      <c r="Q2" s="1926"/>
      <c r="R2" s="1926"/>
      <c r="S2" s="1926"/>
      <c r="T2" s="1926"/>
      <c r="U2" s="1926"/>
      <c r="V2" s="1926"/>
      <c r="W2" s="1926"/>
      <c r="X2" s="1926"/>
      <c r="Y2" s="1926"/>
      <c r="Z2" s="1926"/>
    </row>
    <row r="3" spans="1:26" ht="15" customHeight="1">
      <c r="A3" s="1926"/>
      <c r="B3" s="1926"/>
      <c r="C3" s="1926"/>
      <c r="D3" s="1926"/>
      <c r="E3" s="1926"/>
      <c r="F3" s="1926"/>
      <c r="G3" s="1926"/>
      <c r="H3" s="1926"/>
      <c r="I3" s="1926"/>
      <c r="J3" s="1926"/>
      <c r="K3" s="1926"/>
      <c r="L3" s="1926"/>
      <c r="M3" s="1926"/>
      <c r="N3" s="1926"/>
      <c r="O3" s="1926"/>
      <c r="P3" s="1926"/>
      <c r="Q3" s="1926"/>
      <c r="R3" s="1926"/>
      <c r="S3" s="1926"/>
      <c r="T3" s="1926"/>
      <c r="U3" s="1926"/>
      <c r="V3" s="1926"/>
      <c r="W3" s="1926"/>
      <c r="X3" s="1926"/>
      <c r="Y3" s="1926"/>
      <c r="Z3" s="1926"/>
    </row>
    <row r="4" spans="1:26" ht="15" customHeight="1">
      <c r="A4" s="1926"/>
      <c r="B4" s="1926"/>
      <c r="C4" s="1926"/>
      <c r="D4" s="1926"/>
      <c r="E4" s="1926"/>
      <c r="F4" s="1926"/>
      <c r="G4" s="1926"/>
      <c r="H4" s="1926"/>
      <c r="I4" s="1926"/>
      <c r="J4" s="1926"/>
      <c r="K4" s="1926"/>
      <c r="L4" s="1926"/>
      <c r="M4" s="1926"/>
      <c r="N4" s="1926"/>
      <c r="O4" s="1926"/>
      <c r="P4" s="1926"/>
      <c r="Q4" s="1926"/>
      <c r="R4" s="1926"/>
      <c r="S4" s="1926"/>
      <c r="T4" s="1926"/>
      <c r="U4" s="1926"/>
      <c r="V4" s="1926"/>
      <c r="W4" s="1926"/>
      <c r="X4" s="1926"/>
      <c r="Y4" s="1926"/>
      <c r="Z4" s="1926"/>
    </row>
    <row r="5" spans="1:26">
      <c r="A5" s="10"/>
    </row>
    <row r="6" spans="1:26">
      <c r="A6" s="10"/>
    </row>
    <row r="7" spans="1:26">
      <c r="A7" s="10"/>
    </row>
    <row r="8" spans="1:26">
      <c r="A8" s="10"/>
    </row>
    <row r="9" spans="1:26">
      <c r="A9" s="10"/>
    </row>
    <row r="10" spans="1:26">
      <c r="A10" s="10"/>
    </row>
    <row r="11" spans="1:26">
      <c r="A11" s="10"/>
    </row>
    <row r="12" spans="1:26">
      <c r="A12" s="10"/>
    </row>
    <row r="13" spans="1:26">
      <c r="A13" s="10"/>
    </row>
    <row r="14" spans="1:26">
      <c r="A14" s="10"/>
    </row>
    <row r="15" spans="1:26">
      <c r="A15" s="10"/>
    </row>
    <row r="16" spans="1:26">
      <c r="A16" s="10"/>
    </row>
    <row r="17" spans="1:1">
      <c r="A17" s="10"/>
    </row>
    <row r="18" spans="1:1">
      <c r="A18" s="10"/>
    </row>
    <row r="19" spans="1:1">
      <c r="A19" s="10"/>
    </row>
    <row r="20" spans="1:1">
      <c r="A20" s="10"/>
    </row>
    <row r="21" spans="1:1">
      <c r="A21" s="10"/>
    </row>
    <row r="22" spans="1:1">
      <c r="A22" s="10"/>
    </row>
    <row r="23" spans="1:1">
      <c r="A23" s="10"/>
    </row>
    <row r="24" spans="1:1">
      <c r="A24" s="10"/>
    </row>
    <row r="25" spans="1:1">
      <c r="A25" s="10"/>
    </row>
    <row r="26" spans="1:1">
      <c r="A26" s="10"/>
    </row>
    <row r="27" spans="1:1">
      <c r="A27" s="10"/>
    </row>
    <row r="28" spans="1:1">
      <c r="A28" s="10"/>
    </row>
    <row r="29" spans="1:1">
      <c r="A29" s="10"/>
    </row>
    <row r="30" spans="1:1">
      <c r="A30" s="10"/>
    </row>
    <row r="31" spans="1:1">
      <c r="A31" s="10"/>
    </row>
    <row r="32" spans="1:1">
      <c r="A32" s="10"/>
    </row>
    <row r="33" spans="1:1">
      <c r="A33" s="10"/>
    </row>
    <row r="34" spans="1:1">
      <c r="A34" s="10"/>
    </row>
    <row r="35" spans="1:1">
      <c r="A35" s="10"/>
    </row>
    <row r="36" spans="1:1">
      <c r="A36" s="10"/>
    </row>
    <row r="37" spans="1:1">
      <c r="A37" s="10"/>
    </row>
    <row r="38" spans="1:1">
      <c r="A38" s="10"/>
    </row>
    <row r="39" spans="1:1">
      <c r="A39" s="10"/>
    </row>
    <row r="40" spans="1:1">
      <c r="A40" s="10"/>
    </row>
    <row r="41" spans="1:1">
      <c r="A41" s="10"/>
    </row>
    <row r="42" spans="1:1">
      <c r="A42" s="10"/>
    </row>
    <row r="43" spans="1:1">
      <c r="A43" s="10"/>
    </row>
    <row r="44" spans="1:1">
      <c r="A44" s="10"/>
    </row>
    <row r="45" spans="1:1">
      <c r="A45" s="10"/>
    </row>
    <row r="46" spans="1:1">
      <c r="A46" s="10"/>
    </row>
    <row r="47" spans="1:1">
      <c r="A47" s="10"/>
    </row>
    <row r="48" spans="1:1">
      <c r="A48" s="10"/>
    </row>
    <row r="49" spans="1:1">
      <c r="A49" s="10"/>
    </row>
    <row r="50" spans="1:1">
      <c r="A50" s="10"/>
    </row>
    <row r="51" spans="1:1">
      <c r="A51" s="10"/>
    </row>
    <row r="52" spans="1:1">
      <c r="A52" s="10"/>
    </row>
    <row r="53" spans="1:1">
      <c r="A53" s="10"/>
    </row>
    <row r="54" spans="1:1">
      <c r="A54" s="10"/>
    </row>
    <row r="55" spans="1:1">
      <c r="A55" s="10"/>
    </row>
    <row r="56" spans="1:1">
      <c r="A56" s="10"/>
    </row>
    <row r="57" spans="1:1">
      <c r="A57" s="10"/>
    </row>
    <row r="58" spans="1:1">
      <c r="A58" s="10"/>
    </row>
    <row r="59" spans="1:1">
      <c r="A59" s="10"/>
    </row>
    <row r="60" spans="1:1">
      <c r="A60" s="10"/>
    </row>
    <row r="61" spans="1:1">
      <c r="A61" s="10"/>
    </row>
    <row r="62" spans="1:1">
      <c r="A62" s="10"/>
    </row>
    <row r="63" spans="1:1">
      <c r="A63" s="10"/>
    </row>
    <row r="64" spans="1:1">
      <c r="A64" s="10"/>
    </row>
    <row r="65" spans="1:1">
      <c r="A65" s="10"/>
    </row>
    <row r="66" spans="1:1">
      <c r="A66" s="10"/>
    </row>
    <row r="67" spans="1:1">
      <c r="A67" s="10"/>
    </row>
    <row r="68" spans="1:1">
      <c r="A68" s="10"/>
    </row>
    <row r="69" spans="1:1">
      <c r="A69" s="10"/>
    </row>
    <row r="70" spans="1:1">
      <c r="A70" s="10"/>
    </row>
    <row r="71" spans="1:1">
      <c r="A71" s="10"/>
    </row>
    <row r="72" spans="1:1">
      <c r="A72" s="10"/>
    </row>
    <row r="73" spans="1:1">
      <c r="A73" s="10"/>
    </row>
    <row r="74" spans="1:1">
      <c r="A74" s="10"/>
    </row>
    <row r="75" spans="1:1">
      <c r="A75" s="10"/>
    </row>
    <row r="76" spans="1:1">
      <c r="A76" s="10"/>
    </row>
    <row r="77" spans="1:1">
      <c r="A77" s="10"/>
    </row>
    <row r="78" spans="1:1">
      <c r="A78" s="10"/>
    </row>
    <row r="79" spans="1:1">
      <c r="A79" s="10"/>
    </row>
    <row r="80" spans="1:1">
      <c r="A80" s="10"/>
    </row>
    <row r="81" spans="1:1">
      <c r="A81" s="10"/>
    </row>
    <row r="82" spans="1:1">
      <c r="A82" s="10"/>
    </row>
    <row r="83" spans="1:1">
      <c r="A83" s="10"/>
    </row>
    <row r="84" spans="1:1">
      <c r="A84" s="10"/>
    </row>
    <row r="85" spans="1:1">
      <c r="A85" s="10"/>
    </row>
    <row r="86" spans="1:1">
      <c r="A86" s="10"/>
    </row>
    <row r="87" spans="1:1">
      <c r="A87" s="10"/>
    </row>
    <row r="88" spans="1:1">
      <c r="A88" s="10"/>
    </row>
    <row r="89" spans="1:1">
      <c r="A89" s="10"/>
    </row>
    <row r="90" spans="1:1">
      <c r="A90" s="10"/>
    </row>
    <row r="91" spans="1:1">
      <c r="A91" s="10"/>
    </row>
    <row r="92" spans="1:1">
      <c r="A92" s="10"/>
    </row>
    <row r="93" spans="1:1">
      <c r="A93" s="10"/>
    </row>
    <row r="94" spans="1:1">
      <c r="A94" s="10"/>
    </row>
    <row r="95" spans="1:1">
      <c r="A95" s="10"/>
    </row>
    <row r="96" spans="1:1">
      <c r="A96" s="10"/>
    </row>
    <row r="97" spans="1:1">
      <c r="A97" s="10"/>
    </row>
    <row r="98" spans="1:1">
      <c r="A98" s="10"/>
    </row>
    <row r="99" spans="1:1">
      <c r="A99" s="10"/>
    </row>
    <row r="100" spans="1:1">
      <c r="A100" s="10"/>
    </row>
    <row r="101" spans="1:1">
      <c r="A101" s="10"/>
    </row>
    <row r="102" spans="1:1">
      <c r="A102" s="10"/>
    </row>
    <row r="103" spans="1:1">
      <c r="A103" s="10"/>
    </row>
    <row r="104" spans="1:1">
      <c r="A104" s="10"/>
    </row>
    <row r="105" spans="1:1">
      <c r="A105" s="10"/>
    </row>
    <row r="106" spans="1:1">
      <c r="A106" s="10"/>
    </row>
    <row r="107" spans="1:1">
      <c r="A107" s="10"/>
    </row>
    <row r="108" spans="1:1">
      <c r="A108" s="10"/>
    </row>
    <row r="109" spans="1:1">
      <c r="A109" s="10"/>
    </row>
    <row r="110" spans="1:1">
      <c r="A110" s="10"/>
    </row>
    <row r="111" spans="1:1">
      <c r="A111" s="10"/>
    </row>
    <row r="112" spans="1:1">
      <c r="A112" s="10"/>
    </row>
    <row r="113" spans="1:1">
      <c r="A113" s="10"/>
    </row>
    <row r="114" spans="1:1">
      <c r="A114" s="10"/>
    </row>
    <row r="115" spans="1:1">
      <c r="A115" s="10"/>
    </row>
    <row r="116" spans="1:1">
      <c r="A116" s="10"/>
    </row>
    <row r="117" spans="1:1">
      <c r="A117" s="10"/>
    </row>
    <row r="118" spans="1:1">
      <c r="A118" s="10"/>
    </row>
    <row r="119" spans="1:1">
      <c r="A119" s="10"/>
    </row>
    <row r="120" spans="1:1">
      <c r="A120" s="10"/>
    </row>
    <row r="121" spans="1:1">
      <c r="A121" s="10"/>
    </row>
    <row r="122" spans="1:1">
      <c r="A122" s="10"/>
    </row>
    <row r="123" spans="1:1">
      <c r="A123" s="10"/>
    </row>
    <row r="124" spans="1:1">
      <c r="A124" s="10"/>
    </row>
    <row r="125" spans="1:1">
      <c r="A125" s="10"/>
    </row>
    <row r="126" spans="1:1">
      <c r="A126" s="10"/>
    </row>
    <row r="127" spans="1:1">
      <c r="A127" s="10"/>
    </row>
    <row r="128" spans="1:1">
      <c r="A128" s="10"/>
    </row>
    <row r="129" spans="1:1">
      <c r="A129" s="10"/>
    </row>
    <row r="130" spans="1:1">
      <c r="A130" s="10"/>
    </row>
    <row r="131" spans="1:1">
      <c r="A131" s="10"/>
    </row>
    <row r="132" spans="1:1">
      <c r="A132" s="10"/>
    </row>
    <row r="133" spans="1:1">
      <c r="A133" s="10"/>
    </row>
    <row r="134" spans="1:1">
      <c r="A134" s="10"/>
    </row>
    <row r="135" spans="1:1">
      <c r="A135" s="10"/>
    </row>
    <row r="136" spans="1:1">
      <c r="A136" s="10"/>
    </row>
    <row r="137" spans="1:1">
      <c r="A137" s="10"/>
    </row>
    <row r="138" spans="1:1">
      <c r="A138" s="10"/>
    </row>
    <row r="139" spans="1:1">
      <c r="A139" s="10"/>
    </row>
    <row r="140" spans="1:1">
      <c r="A140" s="10"/>
    </row>
    <row r="141" spans="1:1">
      <c r="A141" s="10"/>
    </row>
    <row r="142" spans="1:1">
      <c r="A142" s="10"/>
    </row>
    <row r="143" spans="1:1">
      <c r="A143" s="10"/>
    </row>
    <row r="144" spans="1:1">
      <c r="A144" s="10"/>
    </row>
    <row r="145" spans="1:1">
      <c r="A145" s="10"/>
    </row>
    <row r="146" spans="1:1">
      <c r="A146" s="10"/>
    </row>
    <row r="147" spans="1:1">
      <c r="A147" s="10"/>
    </row>
    <row r="148" spans="1:1">
      <c r="A148" s="10"/>
    </row>
    <row r="149" spans="1:1">
      <c r="A149" s="10"/>
    </row>
    <row r="150" spans="1:1">
      <c r="A150" s="10"/>
    </row>
    <row r="151" spans="1:1">
      <c r="A151" s="10"/>
    </row>
    <row r="152" spans="1:1">
      <c r="A152" s="10"/>
    </row>
    <row r="153" spans="1:1">
      <c r="A153" s="10"/>
    </row>
    <row r="154" spans="1:1">
      <c r="A154" s="10"/>
    </row>
    <row r="155" spans="1:1">
      <c r="A155" s="10"/>
    </row>
    <row r="156" spans="1:1">
      <c r="A156" s="10"/>
    </row>
    <row r="157" spans="1:1">
      <c r="A157" s="10"/>
    </row>
    <row r="158" spans="1:1">
      <c r="A158" s="10"/>
    </row>
    <row r="159" spans="1:1">
      <c r="A159" s="10"/>
    </row>
    <row r="160" spans="1:1">
      <c r="A160" s="10"/>
    </row>
    <row r="161" spans="1:1">
      <c r="A161" s="10"/>
    </row>
    <row r="162" spans="1:1">
      <c r="A162" s="10"/>
    </row>
    <row r="163" spans="1:1">
      <c r="A163" s="10"/>
    </row>
    <row r="164" spans="1:1">
      <c r="A164" s="10"/>
    </row>
    <row r="165" spans="1:1">
      <c r="A165" s="10"/>
    </row>
    <row r="166" spans="1:1">
      <c r="A166" s="10"/>
    </row>
    <row r="167" spans="1:1">
      <c r="A167" s="10"/>
    </row>
    <row r="168" spans="1:1">
      <c r="A168" s="10"/>
    </row>
    <row r="169" spans="1:1">
      <c r="A169" s="10"/>
    </row>
    <row r="170" spans="1:1">
      <c r="A170" s="10"/>
    </row>
    <row r="171" spans="1:1">
      <c r="A171" s="10"/>
    </row>
    <row r="172" spans="1:1">
      <c r="A172" s="10"/>
    </row>
    <row r="173" spans="1:1">
      <c r="A173" s="10"/>
    </row>
    <row r="174" spans="1:1">
      <c r="A174" s="10"/>
    </row>
    <row r="175" spans="1:1">
      <c r="A175" s="10"/>
    </row>
    <row r="176" spans="1:1">
      <c r="A176" s="10"/>
    </row>
    <row r="177" spans="1:1">
      <c r="A177" s="10"/>
    </row>
    <row r="178" spans="1:1">
      <c r="A178" s="10"/>
    </row>
    <row r="179" spans="1:1">
      <c r="A179" s="7"/>
    </row>
    <row r="180" spans="1:1">
      <c r="A180" s="7"/>
    </row>
    <row r="181" spans="1:1">
      <c r="A181" s="7"/>
    </row>
    <row r="182" spans="1:1">
      <c r="A182" s="7"/>
    </row>
    <row r="183" spans="1:1">
      <c r="A183" s="7"/>
    </row>
    <row r="184" spans="1:1">
      <c r="A184" s="7"/>
    </row>
    <row r="185" spans="1:1">
      <c r="A185" s="7"/>
    </row>
    <row r="186" spans="1:1">
      <c r="A186" s="7"/>
    </row>
    <row r="187" spans="1:1">
      <c r="A187" s="7"/>
    </row>
    <row r="188" spans="1:1">
      <c r="A188" s="7"/>
    </row>
    <row r="189" spans="1:1">
      <c r="A189" s="7"/>
    </row>
    <row r="190" spans="1:1">
      <c r="A190" s="7"/>
    </row>
    <row r="191" spans="1:1">
      <c r="A191" s="7"/>
    </row>
    <row r="192" spans="1:1">
      <c r="A192" s="7"/>
    </row>
    <row r="193" spans="1:1">
      <c r="A193" s="7"/>
    </row>
    <row r="194" spans="1:1">
      <c r="A194" s="7"/>
    </row>
    <row r="195" spans="1:1">
      <c r="A195" s="7"/>
    </row>
    <row r="196" spans="1:1">
      <c r="A196" s="7"/>
    </row>
    <row r="197" spans="1:1">
      <c r="A197" s="7"/>
    </row>
    <row r="198" spans="1:1">
      <c r="A198" s="7"/>
    </row>
    <row r="199" spans="1:1">
      <c r="A199" s="7"/>
    </row>
  </sheetData>
  <customSheetViews>
    <customSheetView guid="{DDA22D69-94B5-45BC-9EE2-6055A845129B}" state="hidden" topLeftCell="A61">
      <selection activeCell="H14" sqref="H14"/>
      <pageMargins left="0.7" right="0.7" top="0.75" bottom="0.75" header="0.3" footer="0.3"/>
    </customSheetView>
    <customSheetView guid="{1B7577DB-E3C4-4E68-B7CF-8F86FF7C5A82}" state="hidden" topLeftCell="A61">
      <selection activeCell="H14" sqref="H14"/>
      <pageMargins left="0.7" right="0.7" top="0.75" bottom="0.75" header="0.3" footer="0.3"/>
    </customSheetView>
    <customSheetView guid="{E7B1C62B-1F1D-4A62-BD87-EE62D3A36B6C}" state="hidden" topLeftCell="A61">
      <selection activeCell="H14" sqref="H14"/>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C97"/>
  <sheetViews>
    <sheetView topLeftCell="A19" workbookViewId="0">
      <selection activeCell="S27" sqref="S27"/>
    </sheetView>
  </sheetViews>
  <sheetFormatPr defaultColWidth="0" defaultRowHeight="0" customHeight="1" zeroHeight="1"/>
  <cols>
    <col min="1" max="1" width="4" customWidth="1"/>
    <col min="2" max="2" width="8.42578125" customWidth="1"/>
    <col min="3" max="3" width="17.140625" customWidth="1"/>
    <col min="4" max="4" width="1.7109375" customWidth="1"/>
    <col min="5" max="5" width="9.140625" customWidth="1"/>
    <col min="6" max="6" width="19.5703125" customWidth="1"/>
    <col min="7" max="7" width="9.140625" customWidth="1"/>
    <col min="8" max="8" width="12.42578125" customWidth="1"/>
    <col min="9" max="10" width="9.140625" customWidth="1"/>
    <col min="11" max="11" width="7.42578125" customWidth="1"/>
    <col min="12" max="12" width="9.140625" customWidth="1"/>
    <col min="13" max="13" width="9.85546875" customWidth="1"/>
    <col min="14" max="14" width="9.140625" customWidth="1"/>
    <col min="15" max="15" width="9.5703125" customWidth="1"/>
    <col min="16" max="16" width="9.140625" customWidth="1"/>
    <col min="17" max="17" width="11.42578125" customWidth="1"/>
    <col min="18" max="18" width="3.85546875" style="1399" customWidth="1"/>
    <col min="19" max="20" width="9.140625" customWidth="1"/>
    <col min="21" max="24" width="9.140625" hidden="1" customWidth="1"/>
  </cols>
  <sheetData>
    <row r="1" spans="1:159" ht="15.75" thickBot="1">
      <c r="A1" s="942"/>
      <c r="B1" s="942"/>
      <c r="C1" s="942"/>
      <c r="D1" s="942"/>
      <c r="E1" s="942"/>
      <c r="F1" s="942"/>
      <c r="G1" s="942"/>
      <c r="H1" s="942"/>
      <c r="I1" s="942"/>
      <c r="J1" s="942"/>
      <c r="K1" s="942"/>
      <c r="L1" s="942"/>
      <c r="M1" s="942"/>
      <c r="N1" s="942"/>
      <c r="O1" s="942"/>
      <c r="P1" s="942"/>
      <c r="Q1" s="942"/>
      <c r="R1" s="1381"/>
      <c r="S1" s="1381"/>
      <c r="T1" s="1381"/>
      <c r="U1" s="1381"/>
      <c r="V1" s="1381"/>
      <c r="W1" s="1381"/>
      <c r="X1" s="1381"/>
      <c r="Y1" s="1381"/>
      <c r="Z1" s="1381"/>
      <c r="AA1" s="1381"/>
      <c r="AB1" s="1381"/>
      <c r="AC1" s="1381"/>
      <c r="AD1" s="1381"/>
      <c r="AE1" s="1381"/>
      <c r="AF1" s="1381"/>
      <c r="AG1" s="1381"/>
      <c r="AH1" s="1381"/>
      <c r="AI1" s="1381"/>
      <c r="AJ1" s="1381"/>
      <c r="AK1" s="1381"/>
      <c r="AL1" s="1381"/>
      <c r="AM1" s="1381"/>
      <c r="AN1" s="1381"/>
      <c r="AO1" s="1381"/>
      <c r="AP1" s="1381"/>
      <c r="AQ1" s="1381"/>
      <c r="AR1" s="1381"/>
      <c r="AS1" s="1381"/>
      <c r="AT1" s="1381"/>
      <c r="AU1" s="1381"/>
      <c r="AV1" s="1381"/>
      <c r="AW1" s="1381"/>
      <c r="AX1" s="1381"/>
      <c r="AY1" s="1381"/>
      <c r="AZ1" s="1381"/>
      <c r="BA1" s="1381"/>
      <c r="BB1" s="1381"/>
      <c r="BC1" s="1381"/>
      <c r="BD1" s="1381"/>
      <c r="BE1" s="1381"/>
      <c r="BF1" s="1381"/>
      <c r="BG1" s="1381"/>
      <c r="BH1" s="1381"/>
      <c r="BI1" s="1381"/>
      <c r="BJ1" s="1381"/>
      <c r="BK1" s="1381"/>
      <c r="BL1" s="1381"/>
      <c r="BM1" s="1381"/>
      <c r="BN1" s="1381"/>
      <c r="BO1" s="1381"/>
      <c r="BP1" s="1381"/>
      <c r="BQ1" s="1381"/>
      <c r="BR1" s="1381"/>
      <c r="BS1" s="1381"/>
      <c r="BT1" s="1381"/>
      <c r="BU1" s="1381"/>
      <c r="BV1" s="1381"/>
      <c r="BW1" s="1381"/>
      <c r="BX1" s="1381"/>
      <c r="BY1" s="1381"/>
      <c r="BZ1" s="1381"/>
      <c r="CA1" s="1381"/>
      <c r="CB1" s="1381"/>
      <c r="CC1" s="1381"/>
      <c r="CD1" s="1381"/>
      <c r="CE1" s="1381"/>
      <c r="CF1" s="1381"/>
      <c r="CG1" s="1381"/>
      <c r="CH1" s="1381"/>
      <c r="CI1" s="1381"/>
      <c r="CJ1" s="1381"/>
      <c r="CK1" s="1381"/>
      <c r="CL1" s="1381"/>
      <c r="CM1" s="1381"/>
      <c r="CN1" s="1381"/>
      <c r="CO1" s="1381"/>
      <c r="CP1" s="1381"/>
      <c r="CQ1" s="1381"/>
      <c r="CR1" s="1381"/>
      <c r="CS1" s="1381"/>
      <c r="CT1" s="1381"/>
      <c r="CU1" s="1381"/>
      <c r="CV1" s="1381"/>
      <c r="CW1" s="1381"/>
      <c r="CX1" s="1381"/>
      <c r="CY1" s="1381"/>
      <c r="CZ1" s="1381"/>
      <c r="DA1" s="1381"/>
      <c r="DB1" s="1381"/>
      <c r="DC1" s="1381"/>
      <c r="DD1" s="1381"/>
      <c r="DE1" s="1381"/>
      <c r="DF1" s="1381"/>
      <c r="DG1" s="1381"/>
      <c r="DH1" s="1381"/>
      <c r="DI1" s="1381"/>
      <c r="DJ1" s="1381"/>
      <c r="DK1" s="1381"/>
      <c r="DL1" s="1381"/>
      <c r="DM1" s="1381"/>
      <c r="DN1" s="1381"/>
      <c r="DO1" s="1381"/>
      <c r="DP1" s="1381"/>
      <c r="DQ1" s="1381"/>
      <c r="DR1" s="1381"/>
      <c r="DS1" s="1381"/>
      <c r="DT1" s="1381"/>
      <c r="DU1" s="1381"/>
      <c r="DV1" s="1381"/>
      <c r="DW1" s="1381"/>
      <c r="DX1" s="1381"/>
      <c r="DY1" s="1381"/>
      <c r="DZ1" s="1381"/>
      <c r="EA1" s="1381"/>
      <c r="EB1" s="1381"/>
      <c r="EC1" s="1381"/>
      <c r="ED1" s="1381"/>
      <c r="EE1" s="1381"/>
      <c r="EF1" s="1381"/>
      <c r="EG1" s="1381"/>
      <c r="EH1" s="1381"/>
      <c r="EI1" s="1381"/>
      <c r="EJ1" s="1381"/>
      <c r="EK1" s="1381"/>
      <c r="EL1" s="1381"/>
      <c r="EM1" s="1381"/>
      <c r="EN1" s="1381"/>
      <c r="EO1" s="1381"/>
      <c r="EP1" s="1381"/>
      <c r="EQ1" s="1381"/>
      <c r="ER1" s="1381"/>
      <c r="ES1" s="1381"/>
      <c r="ET1" s="1381"/>
      <c r="EU1" s="1381"/>
      <c r="EV1" s="1381"/>
      <c r="EW1" s="1381"/>
      <c r="EX1" s="1381"/>
      <c r="EY1" s="1381"/>
      <c r="EZ1" s="1381"/>
      <c r="FA1" s="1381"/>
      <c r="FB1" s="1381"/>
      <c r="FC1" s="1381"/>
    </row>
    <row r="2" spans="1:159" ht="15.75" thickTop="1">
      <c r="A2" s="942"/>
      <c r="B2" s="4093" t="s">
        <v>1023</v>
      </c>
      <c r="C2" s="4094"/>
      <c r="D2" s="4094"/>
      <c r="E2" s="4094"/>
      <c r="F2" s="4094"/>
      <c r="G2" s="4094"/>
      <c r="H2" s="4094"/>
      <c r="I2" s="4094"/>
      <c r="J2" s="4094"/>
      <c r="K2" s="4094"/>
      <c r="L2" s="4094"/>
      <c r="M2" s="4094"/>
      <c r="N2" s="4094"/>
      <c r="O2" s="4094"/>
      <c r="P2" s="4094"/>
      <c r="Q2" s="4095"/>
      <c r="R2" s="1381"/>
      <c r="S2" s="1381"/>
      <c r="T2" s="1381"/>
      <c r="U2" s="1381"/>
      <c r="V2" s="1381"/>
      <c r="W2" s="1381"/>
      <c r="X2" s="1381"/>
      <c r="Y2" s="1381"/>
      <c r="Z2" s="1381"/>
      <c r="AA2" s="1381"/>
      <c r="AB2" s="1381"/>
      <c r="AC2" s="1381"/>
      <c r="AD2" s="1381"/>
      <c r="AE2" s="1381"/>
      <c r="AF2" s="1381"/>
      <c r="AG2" s="1381"/>
      <c r="AH2" s="1381"/>
      <c r="AI2" s="1381"/>
      <c r="AJ2" s="1381"/>
      <c r="AK2" s="1381"/>
      <c r="AL2" s="1381"/>
      <c r="AM2" s="1381"/>
      <c r="AN2" s="1381"/>
      <c r="AO2" s="1381"/>
      <c r="AP2" s="1381"/>
      <c r="AQ2" s="1381"/>
      <c r="AR2" s="1381"/>
      <c r="AS2" s="1381"/>
      <c r="AT2" s="1381"/>
      <c r="AU2" s="1381"/>
      <c r="AV2" s="1381"/>
      <c r="AW2" s="1381"/>
      <c r="AX2" s="1381"/>
      <c r="AY2" s="1381"/>
      <c r="AZ2" s="1381"/>
      <c r="BA2" s="1381"/>
      <c r="BB2" s="1381"/>
      <c r="BC2" s="1381"/>
      <c r="BD2" s="1381"/>
      <c r="BE2" s="1381"/>
      <c r="BF2" s="1381"/>
      <c r="BG2" s="1381"/>
      <c r="BH2" s="1381"/>
      <c r="BI2" s="1381"/>
      <c r="BJ2" s="1381"/>
      <c r="BK2" s="1381"/>
      <c r="BL2" s="1381"/>
      <c r="BM2" s="1381"/>
      <c r="BN2" s="1381"/>
      <c r="BO2" s="1381"/>
      <c r="BP2" s="1381"/>
      <c r="BQ2" s="1381"/>
      <c r="BR2" s="1381"/>
      <c r="BS2" s="1381"/>
      <c r="BT2" s="1381"/>
      <c r="BU2" s="1381"/>
      <c r="BV2" s="1381"/>
      <c r="BW2" s="1381"/>
      <c r="BX2" s="1381"/>
      <c r="BY2" s="1381"/>
      <c r="BZ2" s="1381"/>
      <c r="CA2" s="1381"/>
      <c r="CB2" s="1381"/>
      <c r="CC2" s="1381"/>
      <c r="CD2" s="1381"/>
      <c r="CE2" s="1381"/>
      <c r="CF2" s="1381"/>
      <c r="CG2" s="1381"/>
      <c r="CH2" s="1381"/>
      <c r="CI2" s="1381"/>
      <c r="CJ2" s="1381"/>
      <c r="CK2" s="1381"/>
      <c r="CL2" s="1381"/>
      <c r="CM2" s="1381"/>
      <c r="CN2" s="1381"/>
      <c r="CO2" s="1381"/>
      <c r="CP2" s="1381"/>
      <c r="CQ2" s="1381"/>
      <c r="CR2" s="1381"/>
      <c r="CS2" s="1381"/>
      <c r="CT2" s="1381"/>
      <c r="CU2" s="1381"/>
      <c r="CV2" s="1381"/>
      <c r="CW2" s="1381"/>
      <c r="CX2" s="1381"/>
      <c r="CY2" s="1381"/>
      <c r="CZ2" s="1381"/>
      <c r="DA2" s="1381"/>
      <c r="DB2" s="1381"/>
      <c r="DC2" s="1381"/>
      <c r="DD2" s="1381"/>
      <c r="DE2" s="1381"/>
      <c r="DF2" s="1381"/>
      <c r="DG2" s="1381"/>
      <c r="DH2" s="1381"/>
      <c r="DI2" s="1381"/>
      <c r="DJ2" s="1381"/>
      <c r="DK2" s="1381"/>
      <c r="DL2" s="1381"/>
      <c r="DM2" s="1381"/>
      <c r="DN2" s="1381"/>
      <c r="DO2" s="1381"/>
      <c r="DP2" s="1381"/>
      <c r="DQ2" s="1381"/>
      <c r="DR2" s="1381"/>
      <c r="DS2" s="1381"/>
      <c r="DT2" s="1381"/>
      <c r="DU2" s="1381"/>
      <c r="DV2" s="1381"/>
      <c r="DW2" s="1381"/>
      <c r="DX2" s="1381"/>
      <c r="DY2" s="1381"/>
      <c r="DZ2" s="1381"/>
      <c r="EA2" s="1381"/>
      <c r="EB2" s="1381"/>
      <c r="EC2" s="1381"/>
      <c r="ED2" s="1381"/>
      <c r="EE2" s="1381"/>
      <c r="EF2" s="1381"/>
      <c r="EG2" s="1381"/>
      <c r="EH2" s="1381"/>
      <c r="EI2" s="1381"/>
      <c r="EJ2" s="1381"/>
      <c r="EK2" s="1381"/>
      <c r="EL2" s="1381"/>
      <c r="EM2" s="1381"/>
      <c r="EN2" s="1381"/>
      <c r="EO2" s="1381"/>
      <c r="EP2" s="1381"/>
      <c r="EQ2" s="1381"/>
      <c r="ER2" s="1381"/>
      <c r="ES2" s="1381"/>
      <c r="ET2" s="1381"/>
      <c r="EU2" s="1381"/>
      <c r="EV2" s="1381"/>
      <c r="EW2" s="1381"/>
      <c r="EX2" s="1381"/>
      <c r="EY2" s="1381"/>
      <c r="EZ2" s="1381"/>
      <c r="FA2" s="1381"/>
      <c r="FB2" s="1381"/>
      <c r="FC2" s="1381"/>
    </row>
    <row r="3" spans="1:159" ht="15">
      <c r="A3" s="942"/>
      <c r="B3" s="4096"/>
      <c r="C3" s="4097"/>
      <c r="D3" s="4097"/>
      <c r="E3" s="4097"/>
      <c r="F3" s="4097"/>
      <c r="G3" s="4097"/>
      <c r="H3" s="4097"/>
      <c r="I3" s="4097"/>
      <c r="J3" s="4097"/>
      <c r="K3" s="4097"/>
      <c r="L3" s="4097"/>
      <c r="M3" s="4097"/>
      <c r="N3" s="4097"/>
      <c r="O3" s="4097"/>
      <c r="P3" s="4097"/>
      <c r="Q3" s="4098"/>
      <c r="R3" s="1381"/>
      <c r="S3" s="1381"/>
      <c r="T3" s="1381"/>
      <c r="U3" s="1381"/>
      <c r="V3" s="1381"/>
      <c r="W3" s="1381"/>
      <c r="X3" s="1381"/>
      <c r="Y3" s="1381"/>
      <c r="Z3" s="1381"/>
      <c r="AA3" s="1381"/>
      <c r="AB3" s="1381"/>
      <c r="AC3" s="1381"/>
      <c r="AD3" s="1381"/>
      <c r="AE3" s="1381"/>
      <c r="AF3" s="1381"/>
      <c r="AG3" s="1381"/>
      <c r="AH3" s="1381"/>
      <c r="AI3" s="1381"/>
      <c r="AJ3" s="1381"/>
      <c r="AK3" s="1381"/>
      <c r="AL3" s="1381"/>
      <c r="AM3" s="1381"/>
      <c r="AN3" s="1381"/>
      <c r="AO3" s="1381"/>
      <c r="AP3" s="1381"/>
      <c r="AQ3" s="1381"/>
      <c r="AR3" s="1381"/>
      <c r="AS3" s="1381"/>
      <c r="AT3" s="1381"/>
      <c r="AU3" s="1381"/>
      <c r="AV3" s="1381"/>
      <c r="AW3" s="1381"/>
      <c r="AX3" s="1381"/>
      <c r="AY3" s="1381"/>
      <c r="AZ3" s="1381"/>
      <c r="BA3" s="1381"/>
      <c r="BB3" s="1381"/>
      <c r="BC3" s="1381"/>
      <c r="BD3" s="1381"/>
      <c r="BE3" s="1381"/>
      <c r="BF3" s="1381"/>
      <c r="BG3" s="1381"/>
      <c r="BH3" s="1381"/>
      <c r="BI3" s="1381"/>
      <c r="BJ3" s="1381"/>
      <c r="BK3" s="1381"/>
      <c r="BL3" s="1381"/>
      <c r="BM3" s="1381"/>
      <c r="BN3" s="1381"/>
      <c r="BO3" s="1381"/>
      <c r="BP3" s="1381"/>
      <c r="BQ3" s="1381"/>
      <c r="BR3" s="1381"/>
      <c r="BS3" s="1381"/>
      <c r="BT3" s="1381"/>
      <c r="BU3" s="1381"/>
      <c r="BV3" s="1381"/>
      <c r="BW3" s="1381"/>
      <c r="BX3" s="1381"/>
      <c r="BY3" s="1381"/>
      <c r="BZ3" s="1381"/>
      <c r="CA3" s="1381"/>
      <c r="CB3" s="1381"/>
      <c r="CC3" s="1381"/>
      <c r="CD3" s="1381"/>
      <c r="CE3" s="1381"/>
      <c r="CF3" s="1381"/>
      <c r="CG3" s="1381"/>
      <c r="CH3" s="1381"/>
      <c r="CI3" s="1381"/>
      <c r="CJ3" s="1381"/>
      <c r="CK3" s="1381"/>
      <c r="CL3" s="1381"/>
      <c r="CM3" s="1381"/>
      <c r="CN3" s="1381"/>
      <c r="CO3" s="1381"/>
      <c r="CP3" s="1381"/>
      <c r="CQ3" s="1381"/>
      <c r="CR3" s="1381"/>
      <c r="CS3" s="1381"/>
      <c r="CT3" s="1381"/>
      <c r="CU3" s="1381"/>
      <c r="CV3" s="1381"/>
      <c r="CW3" s="1381"/>
      <c r="CX3" s="1381"/>
      <c r="CY3" s="1381"/>
      <c r="CZ3" s="1381"/>
      <c r="DA3" s="1381"/>
      <c r="DB3" s="1381"/>
      <c r="DC3" s="1381"/>
      <c r="DD3" s="1381"/>
      <c r="DE3" s="1381"/>
      <c r="DF3" s="1381"/>
      <c r="DG3" s="1381"/>
      <c r="DH3" s="1381"/>
      <c r="DI3" s="1381"/>
      <c r="DJ3" s="1381"/>
      <c r="DK3" s="1381"/>
      <c r="DL3" s="1381"/>
      <c r="DM3" s="1381"/>
      <c r="DN3" s="1381"/>
      <c r="DO3" s="1381"/>
      <c r="DP3" s="1381"/>
      <c r="DQ3" s="1381"/>
      <c r="DR3" s="1381"/>
      <c r="DS3" s="1381"/>
      <c r="DT3" s="1381"/>
      <c r="DU3" s="1381"/>
      <c r="DV3" s="1381"/>
      <c r="DW3" s="1381"/>
      <c r="DX3" s="1381"/>
      <c r="DY3" s="1381"/>
      <c r="DZ3" s="1381"/>
      <c r="EA3" s="1381"/>
      <c r="EB3" s="1381"/>
      <c r="EC3" s="1381"/>
      <c r="ED3" s="1381"/>
      <c r="EE3" s="1381"/>
      <c r="EF3" s="1381"/>
      <c r="EG3" s="1381"/>
      <c r="EH3" s="1381"/>
      <c r="EI3" s="1381"/>
      <c r="EJ3" s="1381"/>
      <c r="EK3" s="1381"/>
      <c r="EL3" s="1381"/>
      <c r="EM3" s="1381"/>
      <c r="EN3" s="1381"/>
      <c r="EO3" s="1381"/>
      <c r="EP3" s="1381"/>
      <c r="EQ3" s="1381"/>
      <c r="ER3" s="1381"/>
      <c r="ES3" s="1381"/>
      <c r="ET3" s="1381"/>
      <c r="EU3" s="1381"/>
      <c r="EV3" s="1381"/>
      <c r="EW3" s="1381"/>
      <c r="EX3" s="1381"/>
      <c r="EY3" s="1381"/>
      <c r="EZ3" s="1381"/>
      <c r="FA3" s="1381"/>
      <c r="FB3" s="1381"/>
      <c r="FC3" s="1381"/>
    </row>
    <row r="4" spans="1:159" ht="15">
      <c r="A4" s="942"/>
      <c r="B4" s="1382"/>
      <c r="C4" s="1383"/>
      <c r="D4" s="1383"/>
      <c r="E4" s="1383"/>
      <c r="F4" s="1383"/>
      <c r="G4" s="1383"/>
      <c r="H4" s="4042" t="s">
        <v>1103</v>
      </c>
      <c r="I4" s="4042"/>
      <c r="J4" s="4042"/>
      <c r="K4" s="4042"/>
      <c r="L4" s="1383"/>
      <c r="M4" s="1383"/>
      <c r="N4" s="1383"/>
      <c r="O4" s="1383"/>
      <c r="P4" s="1383"/>
      <c r="Q4" s="1384"/>
      <c r="R4" s="1381"/>
      <c r="S4" s="1381"/>
      <c r="T4" s="1381"/>
      <c r="U4" s="1381"/>
      <c r="V4" s="1381"/>
      <c r="W4" s="1381"/>
      <c r="X4" s="1381"/>
      <c r="Y4" s="1381"/>
      <c r="Z4" s="1381"/>
      <c r="AA4" s="1381"/>
      <c r="AB4" s="1381"/>
      <c r="AC4" s="1381"/>
      <c r="AD4" s="1381"/>
      <c r="AE4" s="1381"/>
      <c r="AF4" s="1381"/>
      <c r="AG4" s="1381"/>
      <c r="AH4" s="1381"/>
      <c r="AI4" s="1381"/>
      <c r="AJ4" s="1381"/>
      <c r="AK4" s="1381"/>
      <c r="AL4" s="1381"/>
      <c r="AM4" s="1381"/>
      <c r="AN4" s="1381"/>
      <c r="AO4" s="1381"/>
      <c r="AP4" s="1381"/>
      <c r="AQ4" s="1381"/>
      <c r="AR4" s="1381"/>
      <c r="AS4" s="1381"/>
      <c r="AT4" s="1381"/>
      <c r="AU4" s="1381"/>
      <c r="AV4" s="1381"/>
      <c r="AW4" s="1381"/>
      <c r="AX4" s="1381"/>
      <c r="AY4" s="1381"/>
      <c r="AZ4" s="1381"/>
      <c r="BA4" s="1381"/>
      <c r="BB4" s="1381"/>
      <c r="BC4" s="1381"/>
      <c r="BD4" s="1381"/>
      <c r="BE4" s="1381"/>
      <c r="BF4" s="1381"/>
      <c r="BG4" s="1381"/>
      <c r="BH4" s="1381"/>
      <c r="BI4" s="1381"/>
      <c r="BJ4" s="1381"/>
      <c r="BK4" s="1381"/>
      <c r="BL4" s="1381"/>
      <c r="BM4" s="1381"/>
      <c r="BN4" s="1381"/>
      <c r="BO4" s="1381"/>
      <c r="BP4" s="1381"/>
      <c r="BQ4" s="1381"/>
      <c r="BR4" s="1381"/>
      <c r="BS4" s="1381"/>
      <c r="BT4" s="1381"/>
      <c r="BU4" s="1381"/>
      <c r="BV4" s="1381"/>
      <c r="BW4" s="1381"/>
      <c r="BX4" s="1381"/>
      <c r="BY4" s="1381"/>
      <c r="BZ4" s="1381"/>
      <c r="CA4" s="1381"/>
      <c r="CB4" s="1381"/>
      <c r="CC4" s="1381"/>
      <c r="CD4" s="1381"/>
      <c r="CE4" s="1381"/>
      <c r="CF4" s="1381"/>
      <c r="CG4" s="1381"/>
      <c r="CH4" s="1381"/>
      <c r="CI4" s="1381"/>
      <c r="CJ4" s="1381"/>
      <c r="CK4" s="1381"/>
      <c r="CL4" s="1381"/>
      <c r="CM4" s="1381"/>
      <c r="CN4" s="1381"/>
      <c r="CO4" s="1381"/>
      <c r="CP4" s="1381"/>
      <c r="CQ4" s="1381"/>
      <c r="CR4" s="1381"/>
      <c r="CS4" s="1381"/>
      <c r="CT4" s="1381"/>
      <c r="CU4" s="1381"/>
      <c r="CV4" s="1381"/>
      <c r="CW4" s="1381"/>
      <c r="CX4" s="1381"/>
      <c r="CY4" s="1381"/>
      <c r="CZ4" s="1381"/>
      <c r="DA4" s="1381"/>
      <c r="DB4" s="1381"/>
      <c r="DC4" s="1381"/>
      <c r="DD4" s="1381"/>
      <c r="DE4" s="1381"/>
      <c r="DF4" s="1381"/>
      <c r="DG4" s="1381"/>
      <c r="DH4" s="1381"/>
      <c r="DI4" s="1381"/>
      <c r="DJ4" s="1381"/>
      <c r="DK4" s="1381"/>
      <c r="DL4" s="1381"/>
      <c r="DM4" s="1381"/>
      <c r="DN4" s="1381"/>
      <c r="DO4" s="1381"/>
      <c r="DP4" s="1381"/>
      <c r="DQ4" s="1381"/>
      <c r="DR4" s="1381"/>
      <c r="DS4" s="1381"/>
      <c r="DT4" s="1381"/>
      <c r="DU4" s="1381"/>
      <c r="DV4" s="1381"/>
      <c r="DW4" s="1381"/>
      <c r="DX4" s="1381"/>
      <c r="DY4" s="1381"/>
      <c r="DZ4" s="1381"/>
      <c r="EA4" s="1381"/>
      <c r="EB4" s="1381"/>
      <c r="EC4" s="1381"/>
      <c r="ED4" s="1381"/>
      <c r="EE4" s="1381"/>
      <c r="EF4" s="1381"/>
      <c r="EG4" s="1381"/>
      <c r="EH4" s="1381"/>
      <c r="EI4" s="1381"/>
      <c r="EJ4" s="1381"/>
      <c r="EK4" s="1381"/>
      <c r="EL4" s="1381"/>
      <c r="EM4" s="1381"/>
      <c r="EN4" s="1381"/>
      <c r="EO4" s="1381"/>
      <c r="EP4" s="1381"/>
      <c r="EQ4" s="1381"/>
      <c r="ER4" s="1381"/>
      <c r="ES4" s="1381"/>
      <c r="ET4" s="1381"/>
      <c r="EU4" s="1381"/>
      <c r="EV4" s="1381"/>
      <c r="EW4" s="1381"/>
      <c r="EX4" s="1381"/>
      <c r="EY4" s="1381"/>
      <c r="EZ4" s="1381"/>
      <c r="FA4" s="1381"/>
      <c r="FB4" s="1381"/>
      <c r="FC4" s="1381"/>
    </row>
    <row r="5" spans="1:159" ht="15">
      <c r="A5" s="942"/>
      <c r="B5" s="1385"/>
      <c r="C5" s="1270"/>
      <c r="D5" s="1270"/>
      <c r="E5" s="1270"/>
      <c r="F5" s="1270"/>
      <c r="G5" s="1270"/>
      <c r="H5" s="1270"/>
      <c r="I5" s="1270"/>
      <c r="J5" s="1270"/>
      <c r="K5" s="1270"/>
      <c r="L5" s="1270"/>
      <c r="M5" s="1270"/>
      <c r="N5" s="1270"/>
      <c r="O5" s="1270"/>
      <c r="P5" s="1270"/>
      <c r="Q5" s="1386"/>
      <c r="R5" s="1381"/>
      <c r="S5" s="1381"/>
      <c r="T5" s="1381"/>
      <c r="U5" s="1381"/>
      <c r="V5" s="1381"/>
      <c r="W5" s="1381"/>
      <c r="X5" s="1381"/>
      <c r="Y5" s="1381"/>
      <c r="Z5" s="1381"/>
      <c r="AA5" s="1381"/>
      <c r="AB5" s="1381"/>
      <c r="AC5" s="1381"/>
      <c r="AD5" s="1381"/>
      <c r="AE5" s="1381"/>
      <c r="AF5" s="1381"/>
      <c r="AG5" s="1381"/>
      <c r="AH5" s="1381"/>
      <c r="AI5" s="1381"/>
      <c r="AJ5" s="1381"/>
      <c r="AK5" s="1381"/>
      <c r="AL5" s="1381"/>
      <c r="AM5" s="1381"/>
      <c r="AN5" s="1381"/>
      <c r="AO5" s="1381"/>
      <c r="AP5" s="1381"/>
      <c r="AQ5" s="1381"/>
      <c r="AR5" s="1381"/>
      <c r="AS5" s="1381"/>
      <c r="AT5" s="1381"/>
      <c r="AU5" s="1381"/>
      <c r="AV5" s="1381"/>
      <c r="AW5" s="1381"/>
      <c r="AX5" s="1381"/>
      <c r="AY5" s="1381"/>
      <c r="AZ5" s="1381"/>
      <c r="BA5" s="1381"/>
      <c r="BB5" s="1381"/>
      <c r="BC5" s="1381"/>
      <c r="BD5" s="1381"/>
      <c r="BE5" s="1381"/>
      <c r="BF5" s="1381"/>
      <c r="BG5" s="1381"/>
      <c r="BH5" s="1381"/>
      <c r="BI5" s="1381"/>
      <c r="BJ5" s="1381"/>
      <c r="BK5" s="1381"/>
      <c r="BL5" s="1381"/>
      <c r="BM5" s="1381"/>
      <c r="BN5" s="1381"/>
      <c r="BO5" s="1381"/>
      <c r="BP5" s="1381"/>
      <c r="BQ5" s="1381"/>
      <c r="BR5" s="1381"/>
      <c r="BS5" s="1381"/>
      <c r="BT5" s="1381"/>
      <c r="BU5" s="1381"/>
      <c r="BV5" s="1381"/>
      <c r="BW5" s="1381"/>
      <c r="BX5" s="1381"/>
      <c r="BY5" s="1381"/>
      <c r="BZ5" s="1381"/>
      <c r="CA5" s="1381"/>
      <c r="CB5" s="1381"/>
      <c r="CC5" s="1381"/>
      <c r="CD5" s="1381"/>
      <c r="CE5" s="1381"/>
      <c r="CF5" s="1381"/>
      <c r="CG5" s="1381"/>
      <c r="CH5" s="1381"/>
      <c r="CI5" s="1381"/>
      <c r="CJ5" s="1381"/>
      <c r="CK5" s="1381"/>
      <c r="CL5" s="1381"/>
      <c r="CM5" s="1381"/>
      <c r="CN5" s="1381"/>
      <c r="CO5" s="1381"/>
      <c r="CP5" s="1381"/>
      <c r="CQ5" s="1381"/>
      <c r="CR5" s="1381"/>
      <c r="CS5" s="1381"/>
      <c r="CT5" s="1381"/>
      <c r="CU5" s="1381"/>
      <c r="CV5" s="1381"/>
      <c r="CW5" s="1381"/>
      <c r="CX5" s="1381"/>
      <c r="CY5" s="1381"/>
      <c r="CZ5" s="1381"/>
      <c r="DA5" s="1381"/>
      <c r="DB5" s="1381"/>
      <c r="DC5" s="1381"/>
      <c r="DD5" s="1381"/>
      <c r="DE5" s="1381"/>
      <c r="DF5" s="1381"/>
      <c r="DG5" s="1381"/>
      <c r="DH5" s="1381"/>
      <c r="DI5" s="1381"/>
      <c r="DJ5" s="1381"/>
      <c r="DK5" s="1381"/>
      <c r="DL5" s="1381"/>
      <c r="DM5" s="1381"/>
      <c r="DN5" s="1381"/>
      <c r="DO5" s="1381"/>
      <c r="DP5" s="1381"/>
      <c r="DQ5" s="1381"/>
      <c r="DR5" s="1381"/>
      <c r="DS5" s="1381"/>
      <c r="DT5" s="1381"/>
      <c r="DU5" s="1381"/>
      <c r="DV5" s="1381"/>
      <c r="DW5" s="1381"/>
      <c r="DX5" s="1381"/>
      <c r="DY5" s="1381"/>
      <c r="DZ5" s="1381"/>
      <c r="EA5" s="1381"/>
      <c r="EB5" s="1381"/>
      <c r="EC5" s="1381"/>
      <c r="ED5" s="1381"/>
      <c r="EE5" s="1381"/>
      <c r="EF5" s="1381"/>
      <c r="EG5" s="1381"/>
      <c r="EH5" s="1381"/>
      <c r="EI5" s="1381"/>
      <c r="EJ5" s="1381"/>
      <c r="EK5" s="1381"/>
      <c r="EL5" s="1381"/>
      <c r="EM5" s="1381"/>
      <c r="EN5" s="1381"/>
      <c r="EO5" s="1381"/>
      <c r="EP5" s="1381"/>
      <c r="EQ5" s="1381"/>
      <c r="ER5" s="1381"/>
      <c r="ES5" s="1381"/>
      <c r="ET5" s="1381"/>
      <c r="EU5" s="1381"/>
      <c r="EV5" s="1381"/>
      <c r="EW5" s="1381"/>
      <c r="EX5" s="1381"/>
      <c r="EY5" s="1381"/>
      <c r="EZ5" s="1381"/>
      <c r="FA5" s="1381"/>
      <c r="FB5" s="1381"/>
      <c r="FC5" s="1381"/>
    </row>
    <row r="6" spans="1:159" ht="15">
      <c r="A6" s="942"/>
      <c r="B6" s="4099" t="s">
        <v>176</v>
      </c>
      <c r="C6" s="4101" t="s">
        <v>1011</v>
      </c>
      <c r="D6" s="4102"/>
      <c r="E6" s="4105" t="s">
        <v>1012</v>
      </c>
      <c r="F6" s="4105"/>
      <c r="G6" s="4105" t="s">
        <v>1013</v>
      </c>
      <c r="H6" s="4105"/>
      <c r="I6" s="4134" t="s">
        <v>1104</v>
      </c>
      <c r="J6" s="4134"/>
      <c r="K6" s="4134"/>
      <c r="L6" s="4105" t="s">
        <v>1025</v>
      </c>
      <c r="M6" s="4105"/>
      <c r="N6" s="4105" t="s">
        <v>1026</v>
      </c>
      <c r="O6" s="4105"/>
      <c r="P6" s="4105" t="s">
        <v>1105</v>
      </c>
      <c r="Q6" s="4107"/>
      <c r="R6" s="1381"/>
      <c r="S6" s="1381"/>
      <c r="T6" s="1381"/>
      <c r="U6" s="1381"/>
      <c r="V6" s="1381"/>
      <c r="W6" s="1381"/>
      <c r="X6" s="1381"/>
      <c r="Y6" s="1381"/>
      <c r="Z6" s="1381"/>
      <c r="AA6" s="1381"/>
      <c r="AB6" s="1381"/>
      <c r="AC6" s="1381"/>
      <c r="AD6" s="1381"/>
      <c r="AE6" s="1381"/>
      <c r="AF6" s="1381"/>
      <c r="AG6" s="1381"/>
      <c r="AH6" s="1381"/>
      <c r="AI6" s="1381"/>
      <c r="AJ6" s="1381"/>
      <c r="AK6" s="1381"/>
      <c r="AL6" s="1381"/>
      <c r="AM6" s="1381"/>
      <c r="AN6" s="1381"/>
      <c r="AO6" s="1381"/>
      <c r="AP6" s="1381"/>
      <c r="AQ6" s="1381"/>
      <c r="AR6" s="1381"/>
      <c r="AS6" s="1381"/>
      <c r="AT6" s="1381"/>
      <c r="AU6" s="1381"/>
      <c r="AV6" s="1381"/>
      <c r="AW6" s="1381"/>
      <c r="AX6" s="1381"/>
      <c r="AY6" s="1381"/>
      <c r="AZ6" s="1381"/>
      <c r="BA6" s="1381"/>
      <c r="BB6" s="1381"/>
      <c r="BC6" s="1381"/>
      <c r="BD6" s="1381"/>
      <c r="BE6" s="1381"/>
      <c r="BF6" s="1381"/>
      <c r="BG6" s="1381"/>
      <c r="BH6" s="1381"/>
      <c r="BI6" s="1381"/>
      <c r="BJ6" s="1381"/>
      <c r="BK6" s="1381"/>
      <c r="BL6" s="1381"/>
      <c r="BM6" s="1381"/>
      <c r="BN6" s="1381"/>
      <c r="BO6" s="1381"/>
      <c r="BP6" s="1381"/>
      <c r="BQ6" s="1381"/>
      <c r="BR6" s="1381"/>
      <c r="BS6" s="1381"/>
      <c r="BT6" s="1381"/>
      <c r="BU6" s="1381"/>
      <c r="BV6" s="1381"/>
      <c r="BW6" s="1381"/>
      <c r="BX6" s="1381"/>
      <c r="BY6" s="1381"/>
      <c r="BZ6" s="1381"/>
      <c r="CA6" s="1381"/>
      <c r="CB6" s="1381"/>
      <c r="CC6" s="1381"/>
      <c r="CD6" s="1381"/>
      <c r="CE6" s="1381"/>
      <c r="CF6" s="1381"/>
      <c r="CG6" s="1381"/>
      <c r="CH6" s="1381"/>
      <c r="CI6" s="1381"/>
      <c r="CJ6" s="1381"/>
      <c r="CK6" s="1381"/>
      <c r="CL6" s="1381"/>
      <c r="CM6" s="1381"/>
      <c r="CN6" s="1381"/>
      <c r="CO6" s="1381"/>
      <c r="CP6" s="1381"/>
      <c r="CQ6" s="1381"/>
      <c r="CR6" s="1381"/>
      <c r="CS6" s="1381"/>
      <c r="CT6" s="1381"/>
      <c r="CU6" s="1381"/>
      <c r="CV6" s="1381"/>
      <c r="CW6" s="1381"/>
      <c r="CX6" s="1381"/>
      <c r="CY6" s="1381"/>
      <c r="CZ6" s="1381"/>
      <c r="DA6" s="1381"/>
      <c r="DB6" s="1381"/>
      <c r="DC6" s="1381"/>
      <c r="DD6" s="1381"/>
      <c r="DE6" s="1381"/>
      <c r="DF6" s="1381"/>
      <c r="DG6" s="1381"/>
      <c r="DH6" s="1381"/>
      <c r="DI6" s="1381"/>
      <c r="DJ6" s="1381"/>
      <c r="DK6" s="1381"/>
      <c r="DL6" s="1381"/>
      <c r="DM6" s="1381"/>
      <c r="DN6" s="1381"/>
      <c r="DO6" s="1381"/>
      <c r="DP6" s="1381"/>
      <c r="DQ6" s="1381"/>
      <c r="DR6" s="1381"/>
      <c r="DS6" s="1381"/>
      <c r="DT6" s="1381"/>
      <c r="DU6" s="1381"/>
      <c r="DV6" s="1381"/>
      <c r="DW6" s="1381"/>
      <c r="DX6" s="1381"/>
      <c r="DY6" s="1381"/>
      <c r="DZ6" s="1381"/>
      <c r="EA6" s="1381"/>
      <c r="EB6" s="1381"/>
      <c r="EC6" s="1381"/>
      <c r="ED6" s="1381"/>
      <c r="EE6" s="1381"/>
      <c r="EF6" s="1381"/>
      <c r="EG6" s="1381"/>
      <c r="EH6" s="1381"/>
      <c r="EI6" s="1381"/>
      <c r="EJ6" s="1381"/>
      <c r="EK6" s="1381"/>
      <c r="EL6" s="1381"/>
      <c r="EM6" s="1381"/>
      <c r="EN6" s="1381"/>
      <c r="EO6" s="1381"/>
      <c r="EP6" s="1381"/>
      <c r="EQ6" s="1381"/>
      <c r="ER6" s="1381"/>
      <c r="ES6" s="1381"/>
      <c r="ET6" s="1381"/>
      <c r="EU6" s="1381"/>
      <c r="EV6" s="1381"/>
      <c r="EW6" s="1381"/>
      <c r="EX6" s="1381"/>
      <c r="EY6" s="1381"/>
      <c r="EZ6" s="1381"/>
      <c r="FA6" s="1381"/>
      <c r="FB6" s="1381"/>
      <c r="FC6" s="1381"/>
    </row>
    <row r="7" spans="1:159" ht="15">
      <c r="A7" s="942"/>
      <c r="B7" s="4100"/>
      <c r="C7" s="4103"/>
      <c r="D7" s="4104"/>
      <c r="E7" s="4106"/>
      <c r="F7" s="4106"/>
      <c r="G7" s="4106"/>
      <c r="H7" s="4106"/>
      <c r="I7" s="4135"/>
      <c r="J7" s="4135"/>
      <c r="K7" s="4135"/>
      <c r="L7" s="4106"/>
      <c r="M7" s="4106"/>
      <c r="N7" s="4106"/>
      <c r="O7" s="4106"/>
      <c r="P7" s="4106"/>
      <c r="Q7" s="4108"/>
      <c r="R7" s="1381"/>
      <c r="S7" s="1381"/>
      <c r="T7" s="1381"/>
      <c r="U7" s="1381"/>
      <c r="V7" s="1381"/>
      <c r="W7" s="1381"/>
      <c r="X7" s="1381"/>
      <c r="Y7" s="1381"/>
      <c r="Z7" s="1381"/>
      <c r="AA7" s="1381"/>
      <c r="AB7" s="1381"/>
      <c r="AC7" s="1381"/>
      <c r="AD7" s="1381"/>
      <c r="AE7" s="1381"/>
      <c r="AF7" s="1381"/>
      <c r="AG7" s="1381"/>
      <c r="AH7" s="1381"/>
      <c r="AI7" s="1381"/>
      <c r="AJ7" s="1381"/>
      <c r="AK7" s="1381"/>
      <c r="AL7" s="1381"/>
      <c r="AM7" s="1381"/>
      <c r="AN7" s="1381"/>
      <c r="AO7" s="1381"/>
      <c r="AP7" s="1381"/>
      <c r="AQ7" s="1381"/>
      <c r="AR7" s="1381"/>
      <c r="AS7" s="1381"/>
      <c r="AT7" s="1381"/>
      <c r="AU7" s="1381"/>
      <c r="AV7" s="1381"/>
      <c r="AW7" s="1381"/>
      <c r="AX7" s="1381"/>
      <c r="AY7" s="1381"/>
      <c r="AZ7" s="1381"/>
      <c r="BA7" s="1381"/>
      <c r="BB7" s="1381"/>
      <c r="BC7" s="1381"/>
      <c r="BD7" s="1381"/>
      <c r="BE7" s="1381"/>
      <c r="BF7" s="1381"/>
      <c r="BG7" s="1381"/>
      <c r="BH7" s="1381"/>
      <c r="BI7" s="1381"/>
      <c r="BJ7" s="1381"/>
      <c r="BK7" s="1381"/>
      <c r="BL7" s="1381"/>
      <c r="BM7" s="1381"/>
      <c r="BN7" s="1381"/>
      <c r="BO7" s="1381"/>
      <c r="BP7" s="1381"/>
      <c r="BQ7" s="1381"/>
      <c r="BR7" s="1381"/>
      <c r="BS7" s="1381"/>
      <c r="BT7" s="1381"/>
      <c r="BU7" s="1381"/>
      <c r="BV7" s="1381"/>
      <c r="BW7" s="1381"/>
      <c r="BX7" s="1381"/>
      <c r="BY7" s="1381"/>
      <c r="BZ7" s="1381"/>
      <c r="CA7" s="1381"/>
      <c r="CB7" s="1381"/>
      <c r="CC7" s="1381"/>
      <c r="CD7" s="1381"/>
      <c r="CE7" s="1381"/>
      <c r="CF7" s="1381"/>
      <c r="CG7" s="1381"/>
      <c r="CH7" s="1381"/>
      <c r="CI7" s="1381"/>
      <c r="CJ7" s="1381"/>
      <c r="CK7" s="1381"/>
      <c r="CL7" s="1381"/>
      <c r="CM7" s="1381"/>
      <c r="CN7" s="1381"/>
      <c r="CO7" s="1381"/>
      <c r="CP7" s="1381"/>
      <c r="CQ7" s="1381"/>
      <c r="CR7" s="1381"/>
      <c r="CS7" s="1381"/>
      <c r="CT7" s="1381"/>
      <c r="CU7" s="1381"/>
      <c r="CV7" s="1381"/>
      <c r="CW7" s="1381"/>
      <c r="CX7" s="1381"/>
      <c r="CY7" s="1381"/>
      <c r="CZ7" s="1381"/>
      <c r="DA7" s="1381"/>
      <c r="DB7" s="1381"/>
      <c r="DC7" s="1381"/>
      <c r="DD7" s="1381"/>
      <c r="DE7" s="1381"/>
      <c r="DF7" s="1381"/>
      <c r="DG7" s="1381"/>
      <c r="DH7" s="1381"/>
      <c r="DI7" s="1381"/>
      <c r="DJ7" s="1381"/>
      <c r="DK7" s="1381"/>
      <c r="DL7" s="1381"/>
      <c r="DM7" s="1381"/>
      <c r="DN7" s="1381"/>
      <c r="DO7" s="1381"/>
      <c r="DP7" s="1381"/>
      <c r="DQ7" s="1381"/>
      <c r="DR7" s="1381"/>
      <c r="DS7" s="1381"/>
      <c r="DT7" s="1381"/>
      <c r="DU7" s="1381"/>
      <c r="DV7" s="1381"/>
      <c r="DW7" s="1381"/>
      <c r="DX7" s="1381"/>
      <c r="DY7" s="1381"/>
      <c r="DZ7" s="1381"/>
      <c r="EA7" s="1381"/>
      <c r="EB7" s="1381"/>
      <c r="EC7" s="1381"/>
      <c r="ED7" s="1381"/>
      <c r="EE7" s="1381"/>
      <c r="EF7" s="1381"/>
      <c r="EG7" s="1381"/>
      <c r="EH7" s="1381"/>
      <c r="EI7" s="1381"/>
      <c r="EJ7" s="1381"/>
      <c r="EK7" s="1381"/>
      <c r="EL7" s="1381"/>
      <c r="EM7" s="1381"/>
      <c r="EN7" s="1381"/>
      <c r="EO7" s="1381"/>
      <c r="EP7" s="1381"/>
      <c r="EQ7" s="1381"/>
      <c r="ER7" s="1381"/>
      <c r="ES7" s="1381"/>
      <c r="ET7" s="1381"/>
      <c r="EU7" s="1381"/>
      <c r="EV7" s="1381"/>
      <c r="EW7" s="1381"/>
      <c r="EX7" s="1381"/>
      <c r="EY7" s="1381"/>
      <c r="EZ7" s="1381"/>
      <c r="FA7" s="1381"/>
      <c r="FB7" s="1381"/>
      <c r="FC7" s="1381"/>
    </row>
    <row r="8" spans="1:159" ht="73.5" customHeight="1">
      <c r="A8" s="942"/>
      <c r="B8" s="4100"/>
      <c r="C8" s="4103"/>
      <c r="D8" s="4104"/>
      <c r="E8" s="4106"/>
      <c r="F8" s="4106"/>
      <c r="G8" s="4106"/>
      <c r="H8" s="4106"/>
      <c r="I8" s="4135"/>
      <c r="J8" s="4135"/>
      <c r="K8" s="4135"/>
      <c r="L8" s="4106"/>
      <c r="M8" s="4106"/>
      <c r="N8" s="4106"/>
      <c r="O8" s="4106"/>
      <c r="P8" s="4106"/>
      <c r="Q8" s="4108"/>
      <c r="R8" s="1381"/>
      <c r="S8" s="1381"/>
      <c r="T8" s="1381"/>
      <c r="U8" s="1381"/>
      <c r="V8" s="1381"/>
      <c r="W8" s="1381"/>
      <c r="X8" s="1381"/>
      <c r="Y8" s="1381"/>
      <c r="Z8" s="1381"/>
      <c r="AA8" s="1381"/>
      <c r="AB8" s="1381"/>
      <c r="AC8" s="1381"/>
      <c r="AD8" s="1381"/>
      <c r="AE8" s="1381"/>
      <c r="AF8" s="1381"/>
      <c r="AG8" s="1381"/>
      <c r="AH8" s="1381"/>
      <c r="AI8" s="1381"/>
      <c r="AJ8" s="1381"/>
      <c r="AK8" s="1381"/>
      <c r="AL8" s="1381"/>
      <c r="AM8" s="1381"/>
      <c r="AN8" s="1381"/>
      <c r="AO8" s="1381"/>
      <c r="AP8" s="1381"/>
      <c r="AQ8" s="1381"/>
      <c r="AR8" s="1381"/>
      <c r="AS8" s="1381"/>
      <c r="AT8" s="1381"/>
      <c r="AU8" s="1381"/>
      <c r="AV8" s="1381"/>
      <c r="AW8" s="1381"/>
      <c r="AX8" s="1381"/>
      <c r="AY8" s="1381"/>
      <c r="AZ8" s="1381"/>
      <c r="BA8" s="1381"/>
      <c r="BB8" s="1381"/>
      <c r="BC8" s="1381"/>
      <c r="BD8" s="1381"/>
      <c r="BE8" s="1381"/>
      <c r="BF8" s="1381"/>
      <c r="BG8" s="1381"/>
      <c r="BH8" s="1381"/>
      <c r="BI8" s="1381"/>
      <c r="BJ8" s="1381"/>
      <c r="BK8" s="1381"/>
      <c r="BL8" s="1381"/>
      <c r="BM8" s="1381"/>
      <c r="BN8" s="1381"/>
      <c r="BO8" s="1381"/>
      <c r="BP8" s="1381"/>
      <c r="BQ8" s="1381"/>
      <c r="BR8" s="1381"/>
      <c r="BS8" s="1381"/>
      <c r="BT8" s="1381"/>
      <c r="BU8" s="1381"/>
      <c r="BV8" s="1381"/>
      <c r="BW8" s="1381"/>
      <c r="BX8" s="1381"/>
      <c r="BY8" s="1381"/>
      <c r="BZ8" s="1381"/>
      <c r="CA8" s="1381"/>
      <c r="CB8" s="1381"/>
      <c r="CC8" s="1381"/>
      <c r="CD8" s="1381"/>
      <c r="CE8" s="1381"/>
      <c r="CF8" s="1381"/>
      <c r="CG8" s="1381"/>
      <c r="CH8" s="1381"/>
      <c r="CI8" s="1381"/>
      <c r="CJ8" s="1381"/>
      <c r="CK8" s="1381"/>
      <c r="CL8" s="1381"/>
      <c r="CM8" s="1381"/>
      <c r="CN8" s="1381"/>
      <c r="CO8" s="1381"/>
      <c r="CP8" s="1381"/>
      <c r="CQ8" s="1381"/>
      <c r="CR8" s="1381"/>
      <c r="CS8" s="1381"/>
      <c r="CT8" s="1381"/>
      <c r="CU8" s="1381"/>
      <c r="CV8" s="1381"/>
      <c r="CW8" s="1381"/>
      <c r="CX8" s="1381"/>
      <c r="CY8" s="1381"/>
      <c r="CZ8" s="1381"/>
      <c r="DA8" s="1381"/>
      <c r="DB8" s="1381"/>
      <c r="DC8" s="1381"/>
      <c r="DD8" s="1381"/>
      <c r="DE8" s="1381"/>
      <c r="DF8" s="1381"/>
      <c r="DG8" s="1381"/>
      <c r="DH8" s="1381"/>
      <c r="DI8" s="1381"/>
      <c r="DJ8" s="1381"/>
      <c r="DK8" s="1381"/>
      <c r="DL8" s="1381"/>
      <c r="DM8" s="1381"/>
      <c r="DN8" s="1381"/>
      <c r="DO8" s="1381"/>
      <c r="DP8" s="1381"/>
      <c r="DQ8" s="1381"/>
      <c r="DR8" s="1381"/>
      <c r="DS8" s="1381"/>
      <c r="DT8" s="1381"/>
      <c r="DU8" s="1381"/>
      <c r="DV8" s="1381"/>
      <c r="DW8" s="1381"/>
      <c r="DX8" s="1381"/>
      <c r="DY8" s="1381"/>
      <c r="DZ8" s="1381"/>
      <c r="EA8" s="1381"/>
      <c r="EB8" s="1381"/>
      <c r="EC8" s="1381"/>
      <c r="ED8" s="1381"/>
      <c r="EE8" s="1381"/>
      <c r="EF8" s="1381"/>
      <c r="EG8" s="1381"/>
      <c r="EH8" s="1381"/>
      <c r="EI8" s="1381"/>
      <c r="EJ8" s="1381"/>
      <c r="EK8" s="1381"/>
      <c r="EL8" s="1381"/>
      <c r="EM8" s="1381"/>
      <c r="EN8" s="1381"/>
      <c r="EO8" s="1381"/>
      <c r="EP8" s="1381"/>
      <c r="EQ8" s="1381"/>
      <c r="ER8" s="1381"/>
      <c r="ES8" s="1381"/>
      <c r="ET8" s="1381"/>
      <c r="EU8" s="1381"/>
      <c r="EV8" s="1381"/>
      <c r="EW8" s="1381"/>
      <c r="EX8" s="1381"/>
      <c r="EY8" s="1381"/>
      <c r="EZ8" s="1381"/>
      <c r="FA8" s="1381"/>
      <c r="FB8" s="1381"/>
      <c r="FC8" s="1381"/>
    </row>
    <row r="9" spans="1:159" ht="24.95" customHeight="1">
      <c r="A9" s="942"/>
      <c r="B9" s="1387">
        <v>1</v>
      </c>
      <c r="C9" s="4132">
        <v>2</v>
      </c>
      <c r="D9" s="4132"/>
      <c r="E9" s="4132">
        <v>3</v>
      </c>
      <c r="F9" s="4132"/>
      <c r="G9" s="4132">
        <v>4</v>
      </c>
      <c r="H9" s="4132"/>
      <c r="I9" s="4132">
        <v>5</v>
      </c>
      <c r="J9" s="4132"/>
      <c r="K9" s="4132"/>
      <c r="L9" s="4132">
        <v>6</v>
      </c>
      <c r="M9" s="4132"/>
      <c r="N9" s="4132">
        <v>7</v>
      </c>
      <c r="O9" s="4132"/>
      <c r="P9" s="4132">
        <v>8</v>
      </c>
      <c r="Q9" s="4133"/>
      <c r="R9" s="1381"/>
      <c r="S9" s="1381"/>
      <c r="T9" s="1381"/>
      <c r="U9" s="1381"/>
      <c r="V9" s="1381"/>
      <c r="W9" s="1381"/>
      <c r="X9" s="1381"/>
      <c r="Y9" s="1381"/>
      <c r="Z9" s="1381"/>
      <c r="AA9" s="1381"/>
      <c r="AB9" s="1381"/>
      <c r="AC9" s="1381"/>
      <c r="AD9" s="1381"/>
      <c r="AE9" s="1381"/>
      <c r="AF9" s="1381"/>
      <c r="AG9" s="1381"/>
      <c r="AH9" s="1381"/>
      <c r="AI9" s="1381"/>
      <c r="AJ9" s="1381"/>
      <c r="AK9" s="1381"/>
      <c r="AL9" s="1381"/>
      <c r="AM9" s="1381"/>
      <c r="AN9" s="1381"/>
      <c r="AO9" s="1381"/>
      <c r="AP9" s="1381"/>
      <c r="AQ9" s="1381"/>
      <c r="AR9" s="1381"/>
      <c r="AS9" s="1381"/>
      <c r="AT9" s="1381"/>
      <c r="AU9" s="1381"/>
      <c r="AV9" s="1381"/>
      <c r="AW9" s="1381"/>
      <c r="AX9" s="1381"/>
      <c r="AY9" s="1381"/>
      <c r="AZ9" s="1381"/>
      <c r="BA9" s="1381"/>
      <c r="BB9" s="1381"/>
      <c r="BC9" s="1381"/>
      <c r="BD9" s="1381"/>
      <c r="BE9" s="1381"/>
      <c r="BF9" s="1381"/>
      <c r="BG9" s="1381"/>
      <c r="BH9" s="1381"/>
      <c r="BI9" s="1381"/>
      <c r="BJ9" s="1381"/>
      <c r="BK9" s="1381"/>
      <c r="BL9" s="1381"/>
      <c r="BM9" s="1381"/>
      <c r="BN9" s="1381"/>
      <c r="BO9" s="1381"/>
      <c r="BP9" s="1381"/>
      <c r="BQ9" s="1381"/>
      <c r="BR9" s="1381"/>
      <c r="BS9" s="1381"/>
      <c r="BT9" s="1381"/>
      <c r="BU9" s="1381"/>
      <c r="BV9" s="1381"/>
      <c r="BW9" s="1381"/>
      <c r="BX9" s="1381"/>
      <c r="BY9" s="1381"/>
      <c r="BZ9" s="1381"/>
      <c r="CA9" s="1381"/>
      <c r="CB9" s="1381"/>
      <c r="CC9" s="1381"/>
      <c r="CD9" s="1381"/>
      <c r="CE9" s="1381"/>
      <c r="CF9" s="1381"/>
      <c r="CG9" s="1381"/>
      <c r="CH9" s="1381"/>
      <c r="CI9" s="1381"/>
      <c r="CJ9" s="1381"/>
      <c r="CK9" s="1381"/>
      <c r="CL9" s="1381"/>
      <c r="CM9" s="1381"/>
      <c r="CN9" s="1381"/>
      <c r="CO9" s="1381"/>
      <c r="CP9" s="1381"/>
      <c r="CQ9" s="1381"/>
      <c r="CR9" s="1381"/>
      <c r="CS9" s="1381"/>
      <c r="CT9" s="1381"/>
      <c r="CU9" s="1381"/>
      <c r="CV9" s="1381"/>
      <c r="CW9" s="1381"/>
      <c r="CX9" s="1381"/>
      <c r="CY9" s="1381"/>
      <c r="CZ9" s="1381"/>
      <c r="DA9" s="1381"/>
      <c r="DB9" s="1381"/>
      <c r="DC9" s="1381"/>
      <c r="DD9" s="1381"/>
      <c r="DE9" s="1381"/>
      <c r="DF9" s="1381"/>
      <c r="DG9" s="1381"/>
      <c r="DH9" s="1381"/>
      <c r="DI9" s="1381"/>
      <c r="DJ9" s="1381"/>
      <c r="DK9" s="1381"/>
      <c r="DL9" s="1381"/>
      <c r="DM9" s="1381"/>
      <c r="DN9" s="1381"/>
      <c r="DO9" s="1381"/>
      <c r="DP9" s="1381"/>
      <c r="DQ9" s="1381"/>
      <c r="DR9" s="1381"/>
      <c r="DS9" s="1381"/>
      <c r="DT9" s="1381"/>
      <c r="DU9" s="1381"/>
      <c r="DV9" s="1381"/>
      <c r="DW9" s="1381"/>
      <c r="DX9" s="1381"/>
      <c r="DY9" s="1381"/>
      <c r="DZ9" s="1381"/>
      <c r="EA9" s="1381"/>
      <c r="EB9" s="1381"/>
      <c r="EC9" s="1381"/>
      <c r="ED9" s="1381"/>
      <c r="EE9" s="1381"/>
      <c r="EF9" s="1381"/>
      <c r="EG9" s="1381"/>
      <c r="EH9" s="1381"/>
      <c r="EI9" s="1381"/>
      <c r="EJ9" s="1381"/>
      <c r="EK9" s="1381"/>
      <c r="EL9" s="1381"/>
      <c r="EM9" s="1381"/>
      <c r="EN9" s="1381"/>
      <c r="EO9" s="1381"/>
      <c r="EP9" s="1381"/>
      <c r="EQ9" s="1381"/>
      <c r="ER9" s="1381"/>
      <c r="ES9" s="1381"/>
      <c r="ET9" s="1381"/>
      <c r="EU9" s="1381"/>
      <c r="EV9" s="1381"/>
      <c r="EW9" s="1381"/>
      <c r="EX9" s="1381"/>
      <c r="EY9" s="1381"/>
      <c r="EZ9" s="1381"/>
      <c r="FA9" s="1381"/>
      <c r="FB9" s="1381"/>
      <c r="FC9" s="1381"/>
    </row>
    <row r="10" spans="1:159" ht="30" customHeight="1">
      <c r="A10" s="942"/>
      <c r="B10" s="1388">
        <f>IF(P10="",R10,IF(P10&gt;0,R10))</f>
        <v>0</v>
      </c>
      <c r="C10" s="4126" t="str">
        <f>IF('Formula-I '!I204&gt;0,'Formula-I '!G204,"")</f>
        <v/>
      </c>
      <c r="D10" s="4126"/>
      <c r="E10" s="4126" t="str">
        <f>IF('Formula-I '!I204&gt;0,'Formula-I '!I204,"")</f>
        <v/>
      </c>
      <c r="F10" s="4126"/>
      <c r="G10" s="4126" t="str">
        <f>IF('Formula-I '!K204&gt;0,'Formula-I '!K204,"")</f>
        <v/>
      </c>
      <c r="H10" s="4126"/>
      <c r="I10" s="4126" t="str">
        <f>IF('Formula-I '!M204&gt;0,'Formula-I '!M204,"")</f>
        <v/>
      </c>
      <c r="J10" s="4126"/>
      <c r="K10" s="4126"/>
      <c r="L10" s="4126" t="str">
        <f>IF('Formula-I '!P204&gt;0,'Formula-I '!P204,"")</f>
        <v/>
      </c>
      <c r="M10" s="4126"/>
      <c r="N10" s="4126" t="str">
        <f>IF('Formula-I '!R204&gt;0,'Formula-I '!R204,"")</f>
        <v/>
      </c>
      <c r="O10" s="4126"/>
      <c r="P10" s="4126" t="str">
        <f>IF('Formula-I '!T204&gt;0,'Formula-I '!T204,"")</f>
        <v/>
      </c>
      <c r="Q10" s="4127"/>
      <c r="R10" s="1389">
        <f t="shared" ref="R10:R16" si="0">IF(C10="",0,1)</f>
        <v>0</v>
      </c>
      <c r="S10" s="1381"/>
      <c r="T10" s="1381"/>
      <c r="U10" s="1381"/>
      <c r="V10" s="1381"/>
      <c r="W10" s="1381"/>
      <c r="X10" s="1381"/>
      <c r="Y10" s="1381"/>
      <c r="Z10" s="1381"/>
      <c r="AA10" s="1381"/>
      <c r="AB10" s="1381"/>
      <c r="AC10" s="1381"/>
      <c r="AD10" s="1381"/>
      <c r="AE10" s="1381"/>
      <c r="AF10" s="1381"/>
      <c r="AG10" s="1381"/>
      <c r="AH10" s="1381"/>
      <c r="AI10" s="1381"/>
      <c r="AJ10" s="1381"/>
      <c r="AK10" s="1381"/>
      <c r="AL10" s="1381"/>
      <c r="AM10" s="1381"/>
      <c r="AN10" s="1381"/>
      <c r="AO10" s="1381"/>
      <c r="AP10" s="1381"/>
      <c r="AQ10" s="1381"/>
      <c r="AR10" s="1381"/>
      <c r="AS10" s="1381"/>
      <c r="AT10" s="1381"/>
      <c r="AU10" s="1381"/>
      <c r="AV10" s="1381"/>
      <c r="AW10" s="1381"/>
      <c r="AX10" s="1381"/>
      <c r="AY10" s="1381"/>
      <c r="AZ10" s="1381"/>
      <c r="BA10" s="1381"/>
      <c r="BB10" s="1381"/>
      <c r="BC10" s="1381"/>
      <c r="BD10" s="1381"/>
      <c r="BE10" s="1381"/>
      <c r="BF10" s="1381"/>
      <c r="BG10" s="1381"/>
      <c r="BH10" s="1381"/>
      <c r="BI10" s="1381"/>
      <c r="BJ10" s="1381"/>
      <c r="BK10" s="1381"/>
      <c r="BL10" s="1381"/>
      <c r="BM10" s="1381"/>
      <c r="BN10" s="1381"/>
      <c r="BO10" s="1381"/>
      <c r="BP10" s="1381"/>
      <c r="BQ10" s="1381"/>
      <c r="BR10" s="1381"/>
      <c r="BS10" s="1381"/>
      <c r="BT10" s="1381"/>
      <c r="BU10" s="1381"/>
      <c r="BV10" s="1381"/>
      <c r="BW10" s="1381"/>
      <c r="BX10" s="1381"/>
      <c r="BY10" s="1381"/>
      <c r="BZ10" s="1381"/>
      <c r="CA10" s="1381"/>
      <c r="CB10" s="1381"/>
      <c r="CC10" s="1381"/>
      <c r="CD10" s="1381"/>
      <c r="CE10" s="1381"/>
      <c r="CF10" s="1381"/>
      <c r="CG10" s="1381"/>
      <c r="CH10" s="1381"/>
      <c r="CI10" s="1381"/>
      <c r="CJ10" s="1381"/>
      <c r="CK10" s="1381"/>
      <c r="CL10" s="1381"/>
      <c r="CM10" s="1381"/>
      <c r="CN10" s="1381"/>
      <c r="CO10" s="1381"/>
      <c r="CP10" s="1381"/>
      <c r="CQ10" s="1381"/>
      <c r="CR10" s="1381"/>
      <c r="CS10" s="1381"/>
      <c r="CT10" s="1381"/>
      <c r="CU10" s="1381"/>
      <c r="CV10" s="1381"/>
      <c r="CW10" s="1381"/>
      <c r="CX10" s="1381"/>
      <c r="CY10" s="1381"/>
      <c r="CZ10" s="1381"/>
      <c r="DA10" s="1381"/>
      <c r="DB10" s="1381"/>
      <c r="DC10" s="1381"/>
      <c r="DD10" s="1381"/>
      <c r="DE10" s="1381"/>
      <c r="DF10" s="1381"/>
      <c r="DG10" s="1381"/>
      <c r="DH10" s="1381"/>
      <c r="DI10" s="1381"/>
      <c r="DJ10" s="1381"/>
      <c r="DK10" s="1381"/>
      <c r="DL10" s="1381"/>
      <c r="DM10" s="1381"/>
      <c r="DN10" s="1381"/>
      <c r="DO10" s="1381"/>
      <c r="DP10" s="1381"/>
      <c r="DQ10" s="1381"/>
      <c r="DR10" s="1381"/>
      <c r="DS10" s="1381"/>
      <c r="DT10" s="1381"/>
      <c r="DU10" s="1381"/>
      <c r="DV10" s="1381"/>
      <c r="DW10" s="1381"/>
      <c r="DX10" s="1381"/>
      <c r="DY10" s="1381"/>
      <c r="DZ10" s="1381"/>
      <c r="EA10" s="1381"/>
      <c r="EB10" s="1381"/>
      <c r="EC10" s="1381"/>
      <c r="ED10" s="1381"/>
      <c r="EE10" s="1381"/>
      <c r="EF10" s="1381"/>
      <c r="EG10" s="1381"/>
      <c r="EH10" s="1381"/>
      <c r="EI10" s="1381"/>
      <c r="EJ10" s="1381"/>
      <c r="EK10" s="1381"/>
      <c r="EL10" s="1381"/>
      <c r="EM10" s="1381"/>
      <c r="EN10" s="1381"/>
      <c r="EO10" s="1381"/>
      <c r="EP10" s="1381"/>
      <c r="EQ10" s="1381"/>
      <c r="ER10" s="1381"/>
      <c r="ES10" s="1381"/>
      <c r="ET10" s="1381"/>
      <c r="EU10" s="1381"/>
      <c r="EV10" s="1381"/>
      <c r="EW10" s="1381"/>
      <c r="EX10" s="1381"/>
      <c r="EY10" s="1381"/>
      <c r="EZ10" s="1381"/>
      <c r="FA10" s="1381"/>
      <c r="FB10" s="1381"/>
      <c r="FC10" s="1381"/>
    </row>
    <row r="11" spans="1:159" ht="30" customHeight="1">
      <c r="A11" s="942"/>
      <c r="B11" s="1388">
        <f t="shared" ref="B11:B17" si="1">IF(P11="",B10,IF(P11&gt;0,B10+1))</f>
        <v>0</v>
      </c>
      <c r="C11" s="4126" t="str">
        <f>IF('Formula-I '!I205&gt;0,'Formula-I '!G205,"")</f>
        <v/>
      </c>
      <c r="D11" s="4126"/>
      <c r="E11" s="4126" t="str">
        <f>IF('Formula-I '!I205&gt;0,'Formula-I '!I205,"")</f>
        <v/>
      </c>
      <c r="F11" s="4126"/>
      <c r="G11" s="4126" t="str">
        <f>IF('Formula-I '!K205&gt;0,'Formula-I '!K205,"")</f>
        <v/>
      </c>
      <c r="H11" s="4126"/>
      <c r="I11" s="4126" t="str">
        <f>IF('Formula-I '!M205&gt;0,'Formula-I '!M205,"")</f>
        <v/>
      </c>
      <c r="J11" s="4126"/>
      <c r="K11" s="4126"/>
      <c r="L11" s="4126" t="str">
        <f>IF('Formula-I '!P205&gt;0,'Formula-I '!P205,"")</f>
        <v/>
      </c>
      <c r="M11" s="4126"/>
      <c r="N11" s="4126" t="str">
        <f>IF('Formula-I '!R205&gt;0,'Formula-I '!R205,"")</f>
        <v/>
      </c>
      <c r="O11" s="4126"/>
      <c r="P11" s="4126" t="str">
        <f>IF('Formula-I '!T205&gt;0,'Formula-I '!T205,"")</f>
        <v/>
      </c>
      <c r="Q11" s="4127"/>
      <c r="R11" s="1389">
        <f t="shared" si="0"/>
        <v>0</v>
      </c>
      <c r="S11" s="1381"/>
      <c r="T11" s="1381"/>
      <c r="U11" s="1381"/>
      <c r="V11" s="1381"/>
      <c r="W11" s="1381"/>
      <c r="X11" s="1381"/>
      <c r="Y11" s="1381"/>
      <c r="Z11" s="1381"/>
      <c r="AA11" s="1381"/>
      <c r="AB11" s="1381"/>
      <c r="AC11" s="1381"/>
      <c r="AD11" s="1381"/>
      <c r="AE11" s="1381"/>
      <c r="AF11" s="1381"/>
      <c r="AG11" s="1381"/>
      <c r="AH11" s="1381"/>
      <c r="AI11" s="1381"/>
      <c r="AJ11" s="1381"/>
      <c r="AK11" s="1381"/>
      <c r="AL11" s="1381"/>
      <c r="AM11" s="1381"/>
      <c r="AN11" s="1381"/>
      <c r="AO11" s="1381"/>
      <c r="AP11" s="1381"/>
      <c r="AQ11" s="1381"/>
      <c r="AR11" s="1381"/>
      <c r="AS11" s="1381"/>
      <c r="AT11" s="1381"/>
      <c r="AU11" s="1381"/>
      <c r="AV11" s="1381"/>
      <c r="AW11" s="1381"/>
      <c r="AX11" s="1381"/>
      <c r="AY11" s="1381"/>
      <c r="AZ11" s="1381"/>
      <c r="BA11" s="1381"/>
      <c r="BB11" s="1381"/>
      <c r="BC11" s="1381"/>
      <c r="BD11" s="1381"/>
      <c r="BE11" s="1381"/>
      <c r="BF11" s="1381"/>
      <c r="BG11" s="1381"/>
      <c r="BH11" s="1381"/>
      <c r="BI11" s="1381"/>
      <c r="BJ11" s="1381"/>
      <c r="BK11" s="1381"/>
      <c r="BL11" s="1381"/>
      <c r="BM11" s="1381"/>
      <c r="BN11" s="1381"/>
      <c r="BO11" s="1381"/>
      <c r="BP11" s="1381"/>
      <c r="BQ11" s="1381"/>
      <c r="BR11" s="1381"/>
      <c r="BS11" s="1381"/>
      <c r="BT11" s="1381"/>
      <c r="BU11" s="1381"/>
      <c r="BV11" s="1381"/>
      <c r="BW11" s="1381"/>
      <c r="BX11" s="1381"/>
      <c r="BY11" s="1381"/>
      <c r="BZ11" s="1381"/>
      <c r="CA11" s="1381"/>
      <c r="CB11" s="1381"/>
      <c r="CC11" s="1381"/>
      <c r="CD11" s="1381"/>
      <c r="CE11" s="1381"/>
      <c r="CF11" s="1381"/>
      <c r="CG11" s="1381"/>
      <c r="CH11" s="1381"/>
      <c r="CI11" s="1381"/>
      <c r="CJ11" s="1381"/>
      <c r="CK11" s="1381"/>
      <c r="CL11" s="1381"/>
      <c r="CM11" s="1381"/>
      <c r="CN11" s="1381"/>
      <c r="CO11" s="1381"/>
      <c r="CP11" s="1381"/>
      <c r="CQ11" s="1381"/>
      <c r="CR11" s="1381"/>
      <c r="CS11" s="1381"/>
      <c r="CT11" s="1381"/>
      <c r="CU11" s="1381"/>
      <c r="CV11" s="1381"/>
      <c r="CW11" s="1381"/>
      <c r="CX11" s="1381"/>
      <c r="CY11" s="1381"/>
      <c r="CZ11" s="1381"/>
      <c r="DA11" s="1381"/>
      <c r="DB11" s="1381"/>
      <c r="DC11" s="1381"/>
      <c r="DD11" s="1381"/>
      <c r="DE11" s="1381"/>
      <c r="DF11" s="1381"/>
      <c r="DG11" s="1381"/>
      <c r="DH11" s="1381"/>
      <c r="DI11" s="1381"/>
      <c r="DJ11" s="1381"/>
      <c r="DK11" s="1381"/>
      <c r="DL11" s="1381"/>
      <c r="DM11" s="1381"/>
      <c r="DN11" s="1381"/>
      <c r="DO11" s="1381"/>
      <c r="DP11" s="1381"/>
      <c r="DQ11" s="1381"/>
      <c r="DR11" s="1381"/>
      <c r="DS11" s="1381"/>
      <c r="DT11" s="1381"/>
      <c r="DU11" s="1381"/>
      <c r="DV11" s="1381"/>
      <c r="DW11" s="1381"/>
      <c r="DX11" s="1381"/>
      <c r="DY11" s="1381"/>
      <c r="DZ11" s="1381"/>
      <c r="EA11" s="1381"/>
      <c r="EB11" s="1381"/>
      <c r="EC11" s="1381"/>
      <c r="ED11" s="1381"/>
      <c r="EE11" s="1381"/>
      <c r="EF11" s="1381"/>
      <c r="EG11" s="1381"/>
      <c r="EH11" s="1381"/>
      <c r="EI11" s="1381"/>
      <c r="EJ11" s="1381"/>
      <c r="EK11" s="1381"/>
      <c r="EL11" s="1381"/>
      <c r="EM11" s="1381"/>
      <c r="EN11" s="1381"/>
      <c r="EO11" s="1381"/>
      <c r="EP11" s="1381"/>
      <c r="EQ11" s="1381"/>
      <c r="ER11" s="1381"/>
      <c r="ES11" s="1381"/>
      <c r="ET11" s="1381"/>
      <c r="EU11" s="1381"/>
      <c r="EV11" s="1381"/>
      <c r="EW11" s="1381"/>
      <c r="EX11" s="1381"/>
      <c r="EY11" s="1381"/>
      <c r="EZ11" s="1381"/>
      <c r="FA11" s="1381"/>
      <c r="FB11" s="1381"/>
      <c r="FC11" s="1381"/>
    </row>
    <row r="12" spans="1:159" ht="30" customHeight="1">
      <c r="A12" s="942"/>
      <c r="B12" s="1388">
        <f t="shared" si="1"/>
        <v>0</v>
      </c>
      <c r="C12" s="4126" t="str">
        <f>IF('Formula-I '!I206&gt;0,'Formula-I '!G206,"")</f>
        <v/>
      </c>
      <c r="D12" s="4126"/>
      <c r="E12" s="4126" t="str">
        <f>IF('Formula-I '!I206&gt;0,'Formula-I '!I206,"")</f>
        <v/>
      </c>
      <c r="F12" s="4126"/>
      <c r="G12" s="4126" t="str">
        <f>IF('Formula-I '!K206&gt;0,'Formula-I '!K206,"")</f>
        <v/>
      </c>
      <c r="H12" s="4126"/>
      <c r="I12" s="4126" t="str">
        <f>IF('Formula-I '!M206&gt;0,'Formula-I '!M206,"")</f>
        <v/>
      </c>
      <c r="J12" s="4126"/>
      <c r="K12" s="4126"/>
      <c r="L12" s="4126" t="str">
        <f>IF('Formula-I '!P206&gt;0,'Formula-I '!P206,"")</f>
        <v/>
      </c>
      <c r="M12" s="4126"/>
      <c r="N12" s="4126" t="str">
        <f>IF('Formula-I '!R206&gt;0,'Formula-I '!R206,"")</f>
        <v/>
      </c>
      <c r="O12" s="4126"/>
      <c r="P12" s="4126" t="str">
        <f>IF('Formula-I '!T206&gt;0,'Formula-I '!T206,"")</f>
        <v/>
      </c>
      <c r="Q12" s="4127"/>
      <c r="R12" s="1389">
        <f t="shared" si="0"/>
        <v>0</v>
      </c>
      <c r="S12" s="1381"/>
      <c r="T12" s="1381"/>
      <c r="U12" s="1381"/>
      <c r="V12" s="1381"/>
      <c r="W12" s="1381"/>
      <c r="X12" s="1381"/>
      <c r="Y12" s="1381"/>
      <c r="Z12" s="1381"/>
      <c r="AA12" s="1381"/>
      <c r="AB12" s="1381"/>
      <c r="AC12" s="1381"/>
      <c r="AD12" s="1381"/>
      <c r="AE12" s="1381"/>
      <c r="AF12" s="1381"/>
      <c r="AG12" s="1381"/>
      <c r="AH12" s="1381"/>
      <c r="AI12" s="1381"/>
      <c r="AJ12" s="1381"/>
      <c r="AK12" s="1381"/>
      <c r="AL12" s="1381"/>
      <c r="AM12" s="1381"/>
      <c r="AN12" s="1381"/>
      <c r="AO12" s="1381"/>
      <c r="AP12" s="1381"/>
      <c r="AQ12" s="1381"/>
      <c r="AR12" s="1381"/>
      <c r="AS12" s="1381"/>
      <c r="AT12" s="1381"/>
      <c r="AU12" s="1381"/>
      <c r="AV12" s="1381"/>
      <c r="AW12" s="1381"/>
      <c r="AX12" s="1381"/>
      <c r="AY12" s="1381"/>
      <c r="AZ12" s="1381"/>
      <c r="BA12" s="1381"/>
      <c r="BB12" s="1381"/>
      <c r="BC12" s="1381"/>
      <c r="BD12" s="1381"/>
      <c r="BE12" s="1381"/>
      <c r="BF12" s="1381"/>
      <c r="BG12" s="1381"/>
      <c r="BH12" s="1381"/>
      <c r="BI12" s="1381"/>
      <c r="BJ12" s="1381"/>
      <c r="BK12" s="1381"/>
      <c r="BL12" s="1381"/>
      <c r="BM12" s="1381"/>
      <c r="BN12" s="1381"/>
      <c r="BO12" s="1381"/>
      <c r="BP12" s="1381"/>
      <c r="BQ12" s="1381"/>
      <c r="BR12" s="1381"/>
      <c r="BS12" s="1381"/>
      <c r="BT12" s="1381"/>
      <c r="BU12" s="1381"/>
      <c r="BV12" s="1381"/>
      <c r="BW12" s="1381"/>
      <c r="BX12" s="1381"/>
      <c r="BY12" s="1381"/>
      <c r="BZ12" s="1381"/>
      <c r="CA12" s="1381"/>
      <c r="CB12" s="1381"/>
      <c r="CC12" s="1381"/>
      <c r="CD12" s="1381"/>
      <c r="CE12" s="1381"/>
      <c r="CF12" s="1381"/>
      <c r="CG12" s="1381"/>
      <c r="CH12" s="1381"/>
      <c r="CI12" s="1381"/>
      <c r="CJ12" s="1381"/>
      <c r="CK12" s="1381"/>
      <c r="CL12" s="1381"/>
      <c r="CM12" s="1381"/>
      <c r="CN12" s="1381"/>
      <c r="CO12" s="1381"/>
      <c r="CP12" s="1381"/>
      <c r="CQ12" s="1381"/>
      <c r="CR12" s="1381"/>
      <c r="CS12" s="1381"/>
      <c r="CT12" s="1381"/>
      <c r="CU12" s="1381"/>
      <c r="CV12" s="1381"/>
      <c r="CW12" s="1381"/>
      <c r="CX12" s="1381"/>
      <c r="CY12" s="1381"/>
      <c r="CZ12" s="1381"/>
      <c r="DA12" s="1381"/>
      <c r="DB12" s="1381"/>
      <c r="DC12" s="1381"/>
      <c r="DD12" s="1381"/>
      <c r="DE12" s="1381"/>
      <c r="DF12" s="1381"/>
      <c r="DG12" s="1381"/>
      <c r="DH12" s="1381"/>
      <c r="DI12" s="1381"/>
      <c r="DJ12" s="1381"/>
      <c r="DK12" s="1381"/>
      <c r="DL12" s="1381"/>
      <c r="DM12" s="1381"/>
      <c r="DN12" s="1381"/>
      <c r="DO12" s="1381"/>
      <c r="DP12" s="1381"/>
      <c r="DQ12" s="1381"/>
      <c r="DR12" s="1381"/>
      <c r="DS12" s="1381"/>
      <c r="DT12" s="1381"/>
      <c r="DU12" s="1381"/>
      <c r="DV12" s="1381"/>
      <c r="DW12" s="1381"/>
      <c r="DX12" s="1381"/>
      <c r="DY12" s="1381"/>
      <c r="DZ12" s="1381"/>
      <c r="EA12" s="1381"/>
      <c r="EB12" s="1381"/>
      <c r="EC12" s="1381"/>
      <c r="ED12" s="1381"/>
      <c r="EE12" s="1381"/>
      <c r="EF12" s="1381"/>
      <c r="EG12" s="1381"/>
      <c r="EH12" s="1381"/>
      <c r="EI12" s="1381"/>
      <c r="EJ12" s="1381"/>
      <c r="EK12" s="1381"/>
      <c r="EL12" s="1381"/>
      <c r="EM12" s="1381"/>
      <c r="EN12" s="1381"/>
      <c r="EO12" s="1381"/>
      <c r="EP12" s="1381"/>
      <c r="EQ12" s="1381"/>
      <c r="ER12" s="1381"/>
      <c r="ES12" s="1381"/>
      <c r="ET12" s="1381"/>
      <c r="EU12" s="1381"/>
      <c r="EV12" s="1381"/>
      <c r="EW12" s="1381"/>
      <c r="EX12" s="1381"/>
      <c r="EY12" s="1381"/>
      <c r="EZ12" s="1381"/>
      <c r="FA12" s="1381"/>
      <c r="FB12" s="1381"/>
      <c r="FC12" s="1381"/>
    </row>
    <row r="13" spans="1:159" ht="30" customHeight="1">
      <c r="A13" s="942"/>
      <c r="B13" s="1388">
        <f t="shared" si="1"/>
        <v>0</v>
      </c>
      <c r="C13" s="4126" t="str">
        <f>IF('Formula-I '!I207&gt;0,'Formula-I '!G207,"")</f>
        <v/>
      </c>
      <c r="D13" s="4126"/>
      <c r="E13" s="4126" t="str">
        <f>IF('Formula-I '!I207&gt;0,'Formula-I '!I207,"")</f>
        <v/>
      </c>
      <c r="F13" s="4126"/>
      <c r="G13" s="4126" t="str">
        <f>IF('Formula-I '!K207&gt;0,'Formula-I '!K207,"")</f>
        <v/>
      </c>
      <c r="H13" s="4126"/>
      <c r="I13" s="4126" t="str">
        <f>IF('Formula-I '!M207&gt;0,'Formula-I '!M207,"")</f>
        <v/>
      </c>
      <c r="J13" s="4126"/>
      <c r="K13" s="4126"/>
      <c r="L13" s="4126" t="str">
        <f>IF('Formula-I '!P207&gt;0,'Formula-I '!P207,"")</f>
        <v/>
      </c>
      <c r="M13" s="4126"/>
      <c r="N13" s="4126" t="str">
        <f>IF('Formula-I '!R207&gt;0,'Formula-I '!R207,"")</f>
        <v/>
      </c>
      <c r="O13" s="4126"/>
      <c r="P13" s="4126" t="str">
        <f>IF('Formula-I '!T207&gt;0,'Formula-I '!T207,"")</f>
        <v/>
      </c>
      <c r="Q13" s="4127"/>
      <c r="R13" s="1389">
        <f t="shared" si="0"/>
        <v>0</v>
      </c>
      <c r="S13" s="1381"/>
      <c r="T13" s="1381"/>
      <c r="U13" s="1381"/>
      <c r="V13" s="1381"/>
      <c r="W13" s="1381"/>
      <c r="X13" s="1381"/>
      <c r="Y13" s="1381"/>
      <c r="Z13" s="1381"/>
      <c r="AA13" s="1381"/>
      <c r="AB13" s="1381"/>
      <c r="AC13" s="1381"/>
      <c r="AD13" s="1381"/>
      <c r="AE13" s="1381"/>
      <c r="AF13" s="1381"/>
      <c r="AG13" s="1381"/>
      <c r="AH13" s="1381"/>
      <c r="AI13" s="1381"/>
      <c r="AJ13" s="1381"/>
      <c r="AK13" s="1381"/>
      <c r="AL13" s="1381"/>
      <c r="AM13" s="1381"/>
      <c r="AN13" s="1381"/>
      <c r="AO13" s="1381"/>
      <c r="AP13" s="1381"/>
      <c r="AQ13" s="1381"/>
      <c r="AR13" s="1381"/>
      <c r="AS13" s="1381"/>
      <c r="AT13" s="1381"/>
      <c r="AU13" s="1381"/>
      <c r="AV13" s="1381"/>
      <c r="AW13" s="1381"/>
      <c r="AX13" s="1381"/>
      <c r="AY13" s="1381"/>
      <c r="AZ13" s="1381"/>
      <c r="BA13" s="1381"/>
      <c r="BB13" s="1381"/>
      <c r="BC13" s="1381"/>
      <c r="BD13" s="1381"/>
      <c r="BE13" s="1381"/>
      <c r="BF13" s="1381"/>
      <c r="BG13" s="1381"/>
      <c r="BH13" s="1381"/>
      <c r="BI13" s="1381"/>
      <c r="BJ13" s="1381"/>
      <c r="BK13" s="1381"/>
      <c r="BL13" s="1381"/>
      <c r="BM13" s="1381"/>
      <c r="BN13" s="1381"/>
      <c r="BO13" s="1381"/>
      <c r="BP13" s="1381"/>
      <c r="BQ13" s="1381"/>
      <c r="BR13" s="1381"/>
      <c r="BS13" s="1381"/>
      <c r="BT13" s="1381"/>
      <c r="BU13" s="1381"/>
      <c r="BV13" s="1381"/>
      <c r="BW13" s="1381"/>
      <c r="BX13" s="1381"/>
      <c r="BY13" s="1381"/>
      <c r="BZ13" s="1381"/>
      <c r="CA13" s="1381"/>
      <c r="CB13" s="1381"/>
      <c r="CC13" s="1381"/>
      <c r="CD13" s="1381"/>
      <c r="CE13" s="1381"/>
      <c r="CF13" s="1381"/>
      <c r="CG13" s="1381"/>
      <c r="CH13" s="1381"/>
      <c r="CI13" s="1381"/>
      <c r="CJ13" s="1381"/>
      <c r="CK13" s="1381"/>
      <c r="CL13" s="1381"/>
      <c r="CM13" s="1381"/>
      <c r="CN13" s="1381"/>
      <c r="CO13" s="1381"/>
      <c r="CP13" s="1381"/>
      <c r="CQ13" s="1381"/>
      <c r="CR13" s="1381"/>
      <c r="CS13" s="1381"/>
      <c r="CT13" s="1381"/>
      <c r="CU13" s="1381"/>
      <c r="CV13" s="1381"/>
      <c r="CW13" s="1381"/>
      <c r="CX13" s="1381"/>
      <c r="CY13" s="1381"/>
      <c r="CZ13" s="1381"/>
      <c r="DA13" s="1381"/>
      <c r="DB13" s="1381"/>
      <c r="DC13" s="1381"/>
      <c r="DD13" s="1381"/>
      <c r="DE13" s="1381"/>
      <c r="DF13" s="1381"/>
      <c r="DG13" s="1381"/>
      <c r="DH13" s="1381"/>
      <c r="DI13" s="1381"/>
      <c r="DJ13" s="1381"/>
      <c r="DK13" s="1381"/>
      <c r="DL13" s="1381"/>
      <c r="DM13" s="1381"/>
      <c r="DN13" s="1381"/>
      <c r="DO13" s="1381"/>
      <c r="DP13" s="1381"/>
      <c r="DQ13" s="1381"/>
      <c r="DR13" s="1381"/>
      <c r="DS13" s="1381"/>
      <c r="DT13" s="1381"/>
      <c r="DU13" s="1381"/>
      <c r="DV13" s="1381"/>
      <c r="DW13" s="1381"/>
      <c r="DX13" s="1381"/>
      <c r="DY13" s="1381"/>
      <c r="DZ13" s="1381"/>
      <c r="EA13" s="1381"/>
      <c r="EB13" s="1381"/>
      <c r="EC13" s="1381"/>
      <c r="ED13" s="1381"/>
      <c r="EE13" s="1381"/>
      <c r="EF13" s="1381"/>
      <c r="EG13" s="1381"/>
      <c r="EH13" s="1381"/>
      <c r="EI13" s="1381"/>
      <c r="EJ13" s="1381"/>
      <c r="EK13" s="1381"/>
      <c r="EL13" s="1381"/>
      <c r="EM13" s="1381"/>
      <c r="EN13" s="1381"/>
      <c r="EO13" s="1381"/>
      <c r="EP13" s="1381"/>
      <c r="EQ13" s="1381"/>
      <c r="ER13" s="1381"/>
      <c r="ES13" s="1381"/>
      <c r="ET13" s="1381"/>
      <c r="EU13" s="1381"/>
      <c r="EV13" s="1381"/>
      <c r="EW13" s="1381"/>
      <c r="EX13" s="1381"/>
      <c r="EY13" s="1381"/>
      <c r="EZ13" s="1381"/>
      <c r="FA13" s="1381"/>
      <c r="FB13" s="1381"/>
      <c r="FC13" s="1381"/>
    </row>
    <row r="14" spans="1:159" ht="30" customHeight="1">
      <c r="A14" s="942"/>
      <c r="B14" s="1388">
        <f t="shared" si="1"/>
        <v>0</v>
      </c>
      <c r="C14" s="4126" t="str">
        <f>IF('Formula-I '!I208&gt;0,'Formula-I '!G208,"")</f>
        <v/>
      </c>
      <c r="D14" s="4126"/>
      <c r="E14" s="4126" t="str">
        <f>IF('Formula-I '!I208&gt;0,'Formula-I '!I208,"")</f>
        <v/>
      </c>
      <c r="F14" s="4126"/>
      <c r="G14" s="4126" t="str">
        <f>IF('Formula-I '!K208&gt;0,'Formula-I '!K208,"")</f>
        <v/>
      </c>
      <c r="H14" s="4126"/>
      <c r="I14" s="4126" t="str">
        <f>IF('Formula-I '!M208&gt;0,'Formula-I '!M208,"")</f>
        <v/>
      </c>
      <c r="J14" s="4126"/>
      <c r="K14" s="4126"/>
      <c r="L14" s="4126" t="str">
        <f>IF('Formula-I '!P208&gt;0,'Formula-I '!P208,"")</f>
        <v/>
      </c>
      <c r="M14" s="4126"/>
      <c r="N14" s="4126" t="str">
        <f>IF('Formula-I '!R208&gt;0,'Formula-I '!R208,"")</f>
        <v/>
      </c>
      <c r="O14" s="4126"/>
      <c r="P14" s="4126" t="str">
        <f>IF('Formula-I '!T208&gt;0,'Formula-I '!T208,"")</f>
        <v/>
      </c>
      <c r="Q14" s="4127"/>
      <c r="R14" s="1389">
        <f t="shared" si="0"/>
        <v>0</v>
      </c>
      <c r="S14" s="1381"/>
      <c r="T14" s="1381"/>
      <c r="U14" s="1381"/>
      <c r="V14" s="1381"/>
      <c r="W14" s="1381"/>
      <c r="X14" s="1381"/>
      <c r="Y14" s="1381"/>
      <c r="Z14" s="1381"/>
      <c r="AA14" s="1381"/>
      <c r="AB14" s="1381"/>
      <c r="AC14" s="1381"/>
      <c r="AD14" s="1381"/>
      <c r="AE14" s="1381"/>
      <c r="AF14" s="1381"/>
      <c r="AG14" s="1381"/>
      <c r="AH14" s="1381"/>
      <c r="AI14" s="1381"/>
      <c r="AJ14" s="1381"/>
      <c r="AK14" s="1381"/>
      <c r="AL14" s="1381"/>
      <c r="AM14" s="1381"/>
      <c r="AN14" s="1381"/>
      <c r="AO14" s="1381"/>
      <c r="AP14" s="1381"/>
      <c r="AQ14" s="1381"/>
      <c r="AR14" s="1381"/>
      <c r="AS14" s="1381"/>
      <c r="AT14" s="1381"/>
      <c r="AU14" s="1381"/>
      <c r="AV14" s="1381"/>
      <c r="AW14" s="1381"/>
      <c r="AX14" s="1381"/>
      <c r="AY14" s="1381"/>
      <c r="AZ14" s="1381"/>
      <c r="BA14" s="1381"/>
      <c r="BB14" s="1381"/>
      <c r="BC14" s="1381"/>
      <c r="BD14" s="1381"/>
      <c r="BE14" s="1381"/>
      <c r="BF14" s="1381"/>
      <c r="BG14" s="1381"/>
      <c r="BH14" s="1381"/>
      <c r="BI14" s="1381"/>
      <c r="BJ14" s="1381"/>
      <c r="BK14" s="1381"/>
      <c r="BL14" s="1381"/>
      <c r="BM14" s="1381"/>
      <c r="BN14" s="1381"/>
      <c r="BO14" s="1381"/>
      <c r="BP14" s="1381"/>
      <c r="BQ14" s="1381"/>
      <c r="BR14" s="1381"/>
      <c r="BS14" s="1381"/>
      <c r="BT14" s="1381"/>
      <c r="BU14" s="1381"/>
      <c r="BV14" s="1381"/>
      <c r="BW14" s="1381"/>
      <c r="BX14" s="1381"/>
      <c r="BY14" s="1381"/>
      <c r="BZ14" s="1381"/>
      <c r="CA14" s="1381"/>
      <c r="CB14" s="1381"/>
      <c r="CC14" s="1381"/>
      <c r="CD14" s="1381"/>
      <c r="CE14" s="1381"/>
      <c r="CF14" s="1381"/>
      <c r="CG14" s="1381"/>
      <c r="CH14" s="1381"/>
      <c r="CI14" s="1381"/>
      <c r="CJ14" s="1381"/>
      <c r="CK14" s="1381"/>
      <c r="CL14" s="1381"/>
      <c r="CM14" s="1381"/>
      <c r="CN14" s="1381"/>
      <c r="CO14" s="1381"/>
      <c r="CP14" s="1381"/>
      <c r="CQ14" s="1381"/>
      <c r="CR14" s="1381"/>
      <c r="CS14" s="1381"/>
      <c r="CT14" s="1381"/>
      <c r="CU14" s="1381"/>
      <c r="CV14" s="1381"/>
      <c r="CW14" s="1381"/>
      <c r="CX14" s="1381"/>
      <c r="CY14" s="1381"/>
      <c r="CZ14" s="1381"/>
      <c r="DA14" s="1381"/>
      <c r="DB14" s="1381"/>
      <c r="DC14" s="1381"/>
      <c r="DD14" s="1381"/>
      <c r="DE14" s="1381"/>
      <c r="DF14" s="1381"/>
      <c r="DG14" s="1381"/>
      <c r="DH14" s="1381"/>
      <c r="DI14" s="1381"/>
      <c r="DJ14" s="1381"/>
      <c r="DK14" s="1381"/>
      <c r="DL14" s="1381"/>
      <c r="DM14" s="1381"/>
      <c r="DN14" s="1381"/>
      <c r="DO14" s="1381"/>
      <c r="DP14" s="1381"/>
      <c r="DQ14" s="1381"/>
      <c r="DR14" s="1381"/>
      <c r="DS14" s="1381"/>
      <c r="DT14" s="1381"/>
      <c r="DU14" s="1381"/>
      <c r="DV14" s="1381"/>
      <c r="DW14" s="1381"/>
      <c r="DX14" s="1381"/>
      <c r="DY14" s="1381"/>
      <c r="DZ14" s="1381"/>
      <c r="EA14" s="1381"/>
      <c r="EB14" s="1381"/>
      <c r="EC14" s="1381"/>
      <c r="ED14" s="1381"/>
      <c r="EE14" s="1381"/>
      <c r="EF14" s="1381"/>
      <c r="EG14" s="1381"/>
      <c r="EH14" s="1381"/>
      <c r="EI14" s="1381"/>
      <c r="EJ14" s="1381"/>
      <c r="EK14" s="1381"/>
      <c r="EL14" s="1381"/>
      <c r="EM14" s="1381"/>
      <c r="EN14" s="1381"/>
      <c r="EO14" s="1381"/>
      <c r="EP14" s="1381"/>
      <c r="EQ14" s="1381"/>
      <c r="ER14" s="1381"/>
      <c r="ES14" s="1381"/>
      <c r="ET14" s="1381"/>
      <c r="EU14" s="1381"/>
      <c r="EV14" s="1381"/>
      <c r="EW14" s="1381"/>
      <c r="EX14" s="1381"/>
      <c r="EY14" s="1381"/>
      <c r="EZ14" s="1381"/>
      <c r="FA14" s="1381"/>
      <c r="FB14" s="1381"/>
      <c r="FC14" s="1381"/>
    </row>
    <row r="15" spans="1:159" ht="30" customHeight="1">
      <c r="A15" s="942"/>
      <c r="B15" s="1388">
        <f t="shared" si="1"/>
        <v>0</v>
      </c>
      <c r="C15" s="4126" t="str">
        <f>IF('Formula-I '!I209&gt;0,'Formula-I '!G209,"")</f>
        <v/>
      </c>
      <c r="D15" s="4126"/>
      <c r="E15" s="4126" t="str">
        <f>IF('Formula-I '!I209&gt;0,'Formula-I '!I209,"")</f>
        <v/>
      </c>
      <c r="F15" s="4126"/>
      <c r="G15" s="4126" t="str">
        <f>IF('Formula-I '!K209&gt;0,'Formula-I '!K209,"")</f>
        <v/>
      </c>
      <c r="H15" s="4126"/>
      <c r="I15" s="4126" t="str">
        <f>IF('Formula-I '!M209&gt;0,'Formula-I '!M209,"")</f>
        <v/>
      </c>
      <c r="J15" s="4126"/>
      <c r="K15" s="4126"/>
      <c r="L15" s="4126" t="str">
        <f>IF('Formula-I '!P209&gt;0,'Formula-I '!P209,"")</f>
        <v/>
      </c>
      <c r="M15" s="4126"/>
      <c r="N15" s="4126" t="str">
        <f>IF('Formula-I '!R209&gt;0,'Formula-I '!R209,"")</f>
        <v/>
      </c>
      <c r="O15" s="4126"/>
      <c r="P15" s="4126" t="str">
        <f>IF('Formula-I '!T209&gt;0,'Formula-I '!T209,"")</f>
        <v/>
      </c>
      <c r="Q15" s="4127"/>
      <c r="R15" s="1389">
        <f t="shared" si="0"/>
        <v>0</v>
      </c>
      <c r="S15" s="1381"/>
      <c r="T15" s="1381"/>
      <c r="U15" s="1381"/>
      <c r="V15" s="1381"/>
      <c r="W15" s="1381"/>
      <c r="X15" s="1381"/>
      <c r="Y15" s="1381"/>
      <c r="Z15" s="1381"/>
      <c r="AA15" s="1381"/>
      <c r="AB15" s="1381"/>
      <c r="AC15" s="1381"/>
      <c r="AD15" s="1381"/>
      <c r="AE15" s="1381"/>
      <c r="AF15" s="1381"/>
      <c r="AG15" s="1381"/>
      <c r="AH15" s="1381"/>
      <c r="AI15" s="1381"/>
      <c r="AJ15" s="1381"/>
      <c r="AK15" s="1381"/>
      <c r="AL15" s="1381"/>
      <c r="AM15" s="1381"/>
      <c r="AN15" s="1381"/>
      <c r="AO15" s="1381"/>
      <c r="AP15" s="1381"/>
      <c r="AQ15" s="1381"/>
      <c r="AR15" s="1381"/>
      <c r="AS15" s="1381"/>
      <c r="AT15" s="1381"/>
      <c r="AU15" s="1381"/>
      <c r="AV15" s="1381"/>
      <c r="AW15" s="1381"/>
      <c r="AX15" s="1381"/>
      <c r="AY15" s="1381"/>
      <c r="AZ15" s="1381"/>
      <c r="BA15" s="1381"/>
      <c r="BB15" s="1381"/>
      <c r="BC15" s="1381"/>
      <c r="BD15" s="1381"/>
      <c r="BE15" s="1381"/>
      <c r="BF15" s="1381"/>
      <c r="BG15" s="1381"/>
      <c r="BH15" s="1381"/>
      <c r="BI15" s="1381"/>
      <c r="BJ15" s="1381"/>
      <c r="BK15" s="1381"/>
      <c r="BL15" s="1381"/>
      <c r="BM15" s="1381"/>
      <c r="BN15" s="1381"/>
      <c r="BO15" s="1381"/>
      <c r="BP15" s="1381"/>
      <c r="BQ15" s="1381"/>
      <c r="BR15" s="1381"/>
      <c r="BS15" s="1381"/>
      <c r="BT15" s="1381"/>
      <c r="BU15" s="1381"/>
      <c r="BV15" s="1381"/>
      <c r="BW15" s="1381"/>
      <c r="BX15" s="1381"/>
      <c r="BY15" s="1381"/>
      <c r="BZ15" s="1381"/>
      <c r="CA15" s="1381"/>
      <c r="CB15" s="1381"/>
      <c r="CC15" s="1381"/>
      <c r="CD15" s="1381"/>
      <c r="CE15" s="1381"/>
      <c r="CF15" s="1381"/>
      <c r="CG15" s="1381"/>
      <c r="CH15" s="1381"/>
      <c r="CI15" s="1381"/>
      <c r="CJ15" s="1381"/>
      <c r="CK15" s="1381"/>
      <c r="CL15" s="1381"/>
      <c r="CM15" s="1381"/>
      <c r="CN15" s="1381"/>
      <c r="CO15" s="1381"/>
      <c r="CP15" s="1381"/>
      <c r="CQ15" s="1381"/>
      <c r="CR15" s="1381"/>
      <c r="CS15" s="1381"/>
      <c r="CT15" s="1381"/>
      <c r="CU15" s="1381"/>
      <c r="CV15" s="1381"/>
      <c r="CW15" s="1381"/>
      <c r="CX15" s="1381"/>
      <c r="CY15" s="1381"/>
      <c r="CZ15" s="1381"/>
      <c r="DA15" s="1381"/>
      <c r="DB15" s="1381"/>
      <c r="DC15" s="1381"/>
      <c r="DD15" s="1381"/>
      <c r="DE15" s="1381"/>
      <c r="DF15" s="1381"/>
      <c r="DG15" s="1381"/>
      <c r="DH15" s="1381"/>
      <c r="DI15" s="1381"/>
      <c r="DJ15" s="1381"/>
      <c r="DK15" s="1381"/>
      <c r="DL15" s="1381"/>
      <c r="DM15" s="1381"/>
      <c r="DN15" s="1381"/>
      <c r="DO15" s="1381"/>
      <c r="DP15" s="1381"/>
      <c r="DQ15" s="1381"/>
      <c r="DR15" s="1381"/>
      <c r="DS15" s="1381"/>
      <c r="DT15" s="1381"/>
      <c r="DU15" s="1381"/>
      <c r="DV15" s="1381"/>
      <c r="DW15" s="1381"/>
      <c r="DX15" s="1381"/>
      <c r="DY15" s="1381"/>
      <c r="DZ15" s="1381"/>
      <c r="EA15" s="1381"/>
      <c r="EB15" s="1381"/>
      <c r="EC15" s="1381"/>
      <c r="ED15" s="1381"/>
      <c r="EE15" s="1381"/>
      <c r="EF15" s="1381"/>
      <c r="EG15" s="1381"/>
      <c r="EH15" s="1381"/>
      <c r="EI15" s="1381"/>
      <c r="EJ15" s="1381"/>
      <c r="EK15" s="1381"/>
      <c r="EL15" s="1381"/>
      <c r="EM15" s="1381"/>
      <c r="EN15" s="1381"/>
      <c r="EO15" s="1381"/>
      <c r="EP15" s="1381"/>
      <c r="EQ15" s="1381"/>
      <c r="ER15" s="1381"/>
      <c r="ES15" s="1381"/>
      <c r="ET15" s="1381"/>
      <c r="EU15" s="1381"/>
      <c r="EV15" s="1381"/>
      <c r="EW15" s="1381"/>
      <c r="EX15" s="1381"/>
      <c r="EY15" s="1381"/>
      <c r="EZ15" s="1381"/>
      <c r="FA15" s="1381"/>
      <c r="FB15" s="1381"/>
      <c r="FC15" s="1381"/>
    </row>
    <row r="16" spans="1:159" ht="30" customHeight="1">
      <c r="A16" s="942"/>
      <c r="B16" s="1388">
        <f t="shared" si="1"/>
        <v>0</v>
      </c>
      <c r="C16" s="4126" t="str">
        <f>IF('Formula-I '!I210&gt;0,'Formula-I '!G210,"")</f>
        <v/>
      </c>
      <c r="D16" s="4126"/>
      <c r="E16" s="4126" t="str">
        <f>IF('Formula-I '!I210&gt;0,'Formula-I '!I210,"")</f>
        <v/>
      </c>
      <c r="F16" s="4126"/>
      <c r="G16" s="4126" t="str">
        <f>IF('Formula-I '!K210&gt;0,'Formula-I '!K210,"")</f>
        <v/>
      </c>
      <c r="H16" s="4126"/>
      <c r="I16" s="4126" t="str">
        <f>IF('Formula-I '!M210&gt;0,'Formula-I '!M210,"")</f>
        <v/>
      </c>
      <c r="J16" s="4126"/>
      <c r="K16" s="4126"/>
      <c r="L16" s="4126" t="str">
        <f>IF('Formula-I '!P210&gt;0,'Formula-I '!P210,"")</f>
        <v/>
      </c>
      <c r="M16" s="4126"/>
      <c r="N16" s="4126" t="str">
        <f>IF('Formula-I '!R210&gt;0,'Formula-I '!R210,"")</f>
        <v/>
      </c>
      <c r="O16" s="4126"/>
      <c r="P16" s="4126" t="str">
        <f>IF('Formula-I '!T210&gt;0,'Formula-I '!T210,"")</f>
        <v/>
      </c>
      <c r="Q16" s="4127"/>
      <c r="R16" s="1389">
        <f t="shared" si="0"/>
        <v>0</v>
      </c>
      <c r="S16" s="1381"/>
      <c r="T16" s="1381"/>
      <c r="U16" s="1381"/>
      <c r="V16" s="1381"/>
      <c r="W16" s="1381"/>
      <c r="X16" s="1381"/>
      <c r="Y16" s="1381"/>
      <c r="Z16" s="1381"/>
      <c r="AA16" s="1381"/>
      <c r="AB16" s="1381"/>
      <c r="AC16" s="1381"/>
      <c r="AD16" s="1381"/>
      <c r="AE16" s="1381"/>
      <c r="AF16" s="1381"/>
      <c r="AG16" s="1381"/>
      <c r="AH16" s="1381"/>
      <c r="AI16" s="1381"/>
      <c r="AJ16" s="1381"/>
      <c r="AK16" s="1381"/>
      <c r="AL16" s="1381"/>
      <c r="AM16" s="1381"/>
      <c r="AN16" s="1381"/>
      <c r="AO16" s="1381"/>
      <c r="AP16" s="1381"/>
      <c r="AQ16" s="1381"/>
      <c r="AR16" s="1381"/>
      <c r="AS16" s="1381"/>
      <c r="AT16" s="1381"/>
      <c r="AU16" s="1381"/>
      <c r="AV16" s="1381"/>
      <c r="AW16" s="1381"/>
      <c r="AX16" s="1381"/>
      <c r="AY16" s="1381"/>
      <c r="AZ16" s="1381"/>
      <c r="BA16" s="1381"/>
      <c r="BB16" s="1381"/>
      <c r="BC16" s="1381"/>
      <c r="BD16" s="1381"/>
      <c r="BE16" s="1381"/>
      <c r="BF16" s="1381"/>
      <c r="BG16" s="1381"/>
      <c r="BH16" s="1381"/>
      <c r="BI16" s="1381"/>
      <c r="BJ16" s="1381"/>
      <c r="BK16" s="1381"/>
      <c r="BL16" s="1381"/>
      <c r="BM16" s="1381"/>
      <c r="BN16" s="1381"/>
      <c r="BO16" s="1381"/>
      <c r="BP16" s="1381"/>
      <c r="BQ16" s="1381"/>
      <c r="BR16" s="1381"/>
      <c r="BS16" s="1381"/>
      <c r="BT16" s="1381"/>
      <c r="BU16" s="1381"/>
      <c r="BV16" s="1381"/>
      <c r="BW16" s="1381"/>
      <c r="BX16" s="1381"/>
      <c r="BY16" s="1381"/>
      <c r="BZ16" s="1381"/>
      <c r="CA16" s="1381"/>
      <c r="CB16" s="1381"/>
      <c r="CC16" s="1381"/>
      <c r="CD16" s="1381"/>
      <c r="CE16" s="1381"/>
      <c r="CF16" s="1381"/>
      <c r="CG16" s="1381"/>
      <c r="CH16" s="1381"/>
      <c r="CI16" s="1381"/>
      <c r="CJ16" s="1381"/>
      <c r="CK16" s="1381"/>
      <c r="CL16" s="1381"/>
      <c r="CM16" s="1381"/>
      <c r="CN16" s="1381"/>
      <c r="CO16" s="1381"/>
      <c r="CP16" s="1381"/>
      <c r="CQ16" s="1381"/>
      <c r="CR16" s="1381"/>
      <c r="CS16" s="1381"/>
      <c r="CT16" s="1381"/>
      <c r="CU16" s="1381"/>
      <c r="CV16" s="1381"/>
      <c r="CW16" s="1381"/>
      <c r="CX16" s="1381"/>
      <c r="CY16" s="1381"/>
      <c r="CZ16" s="1381"/>
      <c r="DA16" s="1381"/>
      <c r="DB16" s="1381"/>
      <c r="DC16" s="1381"/>
      <c r="DD16" s="1381"/>
      <c r="DE16" s="1381"/>
      <c r="DF16" s="1381"/>
      <c r="DG16" s="1381"/>
      <c r="DH16" s="1381"/>
      <c r="DI16" s="1381"/>
      <c r="DJ16" s="1381"/>
      <c r="DK16" s="1381"/>
      <c r="DL16" s="1381"/>
      <c r="DM16" s="1381"/>
      <c r="DN16" s="1381"/>
      <c r="DO16" s="1381"/>
      <c r="DP16" s="1381"/>
      <c r="DQ16" s="1381"/>
      <c r="DR16" s="1381"/>
      <c r="DS16" s="1381"/>
      <c r="DT16" s="1381"/>
      <c r="DU16" s="1381"/>
      <c r="DV16" s="1381"/>
      <c r="DW16" s="1381"/>
      <c r="DX16" s="1381"/>
      <c r="DY16" s="1381"/>
      <c r="DZ16" s="1381"/>
      <c r="EA16" s="1381"/>
      <c r="EB16" s="1381"/>
      <c r="EC16" s="1381"/>
      <c r="ED16" s="1381"/>
      <c r="EE16" s="1381"/>
      <c r="EF16" s="1381"/>
      <c r="EG16" s="1381"/>
      <c r="EH16" s="1381"/>
      <c r="EI16" s="1381"/>
      <c r="EJ16" s="1381"/>
      <c r="EK16" s="1381"/>
      <c r="EL16" s="1381"/>
      <c r="EM16" s="1381"/>
      <c r="EN16" s="1381"/>
      <c r="EO16" s="1381"/>
      <c r="EP16" s="1381"/>
      <c r="EQ16" s="1381"/>
      <c r="ER16" s="1381"/>
      <c r="ES16" s="1381"/>
      <c r="ET16" s="1381"/>
      <c r="EU16" s="1381"/>
      <c r="EV16" s="1381"/>
      <c r="EW16" s="1381"/>
      <c r="EX16" s="1381"/>
      <c r="EY16" s="1381"/>
      <c r="EZ16" s="1381"/>
      <c r="FA16" s="1381"/>
      <c r="FB16" s="1381"/>
      <c r="FC16" s="1381"/>
    </row>
    <row r="17" spans="1:159" ht="30" customHeight="1">
      <c r="A17" s="942"/>
      <c r="B17" s="1388">
        <f t="shared" si="1"/>
        <v>0</v>
      </c>
      <c r="C17" s="4126" t="str">
        <f>IF('Formula-I '!I211&gt;0,'Formula-I '!G211,"")</f>
        <v/>
      </c>
      <c r="D17" s="4126"/>
      <c r="E17" s="4126" t="str">
        <f>IF('Formula-I '!I211&gt;0,'Formula-I '!I211,"")</f>
        <v/>
      </c>
      <c r="F17" s="4126"/>
      <c r="G17" s="4126" t="str">
        <f>IF('Formula-I '!K211&gt;0,'Formula-I '!K211,"")</f>
        <v/>
      </c>
      <c r="H17" s="4126"/>
      <c r="I17" s="4126" t="str">
        <f>IF('Formula-I '!M211&gt;0,'Formula-I '!M211,"")</f>
        <v/>
      </c>
      <c r="J17" s="4126"/>
      <c r="K17" s="4126"/>
      <c r="L17" s="4126" t="str">
        <f>IF('Formula-I '!P211&gt;0,'Formula-I '!P211,"")</f>
        <v/>
      </c>
      <c r="M17" s="4126"/>
      <c r="N17" s="4126" t="str">
        <f>IF('Formula-I '!R211&gt;0,'Formula-I '!R211,"")</f>
        <v/>
      </c>
      <c r="O17" s="4126"/>
      <c r="P17" s="4126" t="str">
        <f>IF('Formula-I '!T211&gt;0,'Formula-I '!T211,"")</f>
        <v/>
      </c>
      <c r="Q17" s="4127"/>
      <c r="R17" s="1389"/>
      <c r="S17" s="1381"/>
      <c r="T17" s="1381"/>
      <c r="U17" s="1381"/>
      <c r="V17" s="1381"/>
      <c r="W17" s="1381"/>
      <c r="X17" s="1381"/>
      <c r="Y17" s="1381"/>
      <c r="Z17" s="1381"/>
      <c r="AA17" s="1381"/>
      <c r="AB17" s="1381"/>
      <c r="AC17" s="1381"/>
      <c r="AD17" s="1381"/>
      <c r="AE17" s="1381"/>
      <c r="AF17" s="1381"/>
      <c r="AG17" s="1381"/>
      <c r="AH17" s="1381"/>
      <c r="AI17" s="1381"/>
      <c r="AJ17" s="1381"/>
      <c r="AK17" s="1381"/>
      <c r="AL17" s="1381"/>
      <c r="AM17" s="1381"/>
      <c r="AN17" s="1381"/>
      <c r="AO17" s="1381"/>
      <c r="AP17" s="1381"/>
      <c r="AQ17" s="1381"/>
      <c r="AR17" s="1381"/>
      <c r="AS17" s="1381"/>
      <c r="AT17" s="1381"/>
      <c r="AU17" s="1381"/>
      <c r="AV17" s="1381"/>
      <c r="AW17" s="1381"/>
      <c r="AX17" s="1381"/>
      <c r="AY17" s="1381"/>
      <c r="AZ17" s="1381"/>
      <c r="BA17" s="1381"/>
      <c r="BB17" s="1381"/>
      <c r="BC17" s="1381"/>
      <c r="BD17" s="1381"/>
      <c r="BE17" s="1381"/>
      <c r="BF17" s="1381"/>
      <c r="BG17" s="1381"/>
      <c r="BH17" s="1381"/>
      <c r="BI17" s="1381"/>
      <c r="BJ17" s="1381"/>
      <c r="BK17" s="1381"/>
      <c r="BL17" s="1381"/>
      <c r="BM17" s="1381"/>
      <c r="BN17" s="1381"/>
      <c r="BO17" s="1381"/>
      <c r="BP17" s="1381"/>
      <c r="BQ17" s="1381"/>
      <c r="BR17" s="1381"/>
      <c r="BS17" s="1381"/>
      <c r="BT17" s="1381"/>
      <c r="BU17" s="1381"/>
      <c r="BV17" s="1381"/>
      <c r="BW17" s="1381"/>
      <c r="BX17" s="1381"/>
      <c r="BY17" s="1381"/>
      <c r="BZ17" s="1381"/>
      <c r="CA17" s="1381"/>
      <c r="CB17" s="1381"/>
      <c r="CC17" s="1381"/>
      <c r="CD17" s="1381"/>
      <c r="CE17" s="1381"/>
      <c r="CF17" s="1381"/>
      <c r="CG17" s="1381"/>
      <c r="CH17" s="1381"/>
      <c r="CI17" s="1381"/>
      <c r="CJ17" s="1381"/>
      <c r="CK17" s="1381"/>
      <c r="CL17" s="1381"/>
      <c r="CM17" s="1381"/>
      <c r="CN17" s="1381"/>
      <c r="CO17" s="1381"/>
      <c r="CP17" s="1381"/>
      <c r="CQ17" s="1381"/>
      <c r="CR17" s="1381"/>
      <c r="CS17" s="1381"/>
      <c r="CT17" s="1381"/>
      <c r="CU17" s="1381"/>
      <c r="CV17" s="1381"/>
      <c r="CW17" s="1381"/>
      <c r="CX17" s="1381"/>
      <c r="CY17" s="1381"/>
      <c r="CZ17" s="1381"/>
      <c r="DA17" s="1381"/>
      <c r="DB17" s="1381"/>
      <c r="DC17" s="1381"/>
      <c r="DD17" s="1381"/>
      <c r="DE17" s="1381"/>
      <c r="DF17" s="1381"/>
      <c r="DG17" s="1381"/>
      <c r="DH17" s="1381"/>
      <c r="DI17" s="1381"/>
      <c r="DJ17" s="1381"/>
      <c r="DK17" s="1381"/>
      <c r="DL17" s="1381"/>
      <c r="DM17" s="1381"/>
      <c r="DN17" s="1381"/>
      <c r="DO17" s="1381"/>
      <c r="DP17" s="1381"/>
      <c r="DQ17" s="1381"/>
      <c r="DR17" s="1381"/>
      <c r="DS17" s="1381"/>
      <c r="DT17" s="1381"/>
      <c r="DU17" s="1381"/>
      <c r="DV17" s="1381"/>
      <c r="DW17" s="1381"/>
      <c r="DX17" s="1381"/>
      <c r="DY17" s="1381"/>
      <c r="DZ17" s="1381"/>
      <c r="EA17" s="1381"/>
      <c r="EB17" s="1381"/>
      <c r="EC17" s="1381"/>
      <c r="ED17" s="1381"/>
      <c r="EE17" s="1381"/>
      <c r="EF17" s="1381"/>
      <c r="EG17" s="1381"/>
      <c r="EH17" s="1381"/>
      <c r="EI17" s="1381"/>
      <c r="EJ17" s="1381"/>
      <c r="EK17" s="1381"/>
      <c r="EL17" s="1381"/>
      <c r="EM17" s="1381"/>
      <c r="EN17" s="1381"/>
      <c r="EO17" s="1381"/>
      <c r="EP17" s="1381"/>
      <c r="EQ17" s="1381"/>
      <c r="ER17" s="1381"/>
      <c r="ES17" s="1381"/>
      <c r="ET17" s="1381"/>
      <c r="EU17" s="1381"/>
      <c r="EV17" s="1381"/>
      <c r="EW17" s="1381"/>
      <c r="EX17" s="1381"/>
      <c r="EY17" s="1381"/>
      <c r="EZ17" s="1381"/>
      <c r="FA17" s="1381"/>
      <c r="FB17" s="1381"/>
      <c r="FC17" s="1381"/>
    </row>
    <row r="18" spans="1:159" ht="30" customHeight="1">
      <c r="A18" s="942"/>
      <c r="B18" s="1390"/>
      <c r="C18" s="4131" t="s">
        <v>22</v>
      </c>
      <c r="D18" s="4131"/>
      <c r="E18" s="4129" t="str">
        <f>IF('Formula-I '!I212&gt;0,'Formula-I '!I212,"")</f>
        <v/>
      </c>
      <c r="F18" s="4129"/>
      <c r="G18" s="4129" t="str">
        <f>IF('Formula-I '!K212&gt;0,'Formula-I '!K212,"")</f>
        <v/>
      </c>
      <c r="H18" s="4129"/>
      <c r="I18" s="4129" t="str">
        <f>IF('Formula-I '!M212&gt;0,'Formula-I '!M212,"")</f>
        <v/>
      </c>
      <c r="J18" s="4129"/>
      <c r="K18" s="4129"/>
      <c r="L18" s="4129" t="str">
        <f>IF('Formula-I '!P212&gt;0,'Formula-I '!P212,"")</f>
        <v/>
      </c>
      <c r="M18" s="4129"/>
      <c r="N18" s="4129" t="str">
        <f>IF('Formula-I '!R212&gt;0,'Formula-I '!R212,"")</f>
        <v/>
      </c>
      <c r="O18" s="4129"/>
      <c r="P18" s="4129" t="str">
        <f>IF('Formula-I '!T212&gt;0,'Formula-I '!T212,"")</f>
        <v/>
      </c>
      <c r="Q18" s="4130"/>
      <c r="R18" s="1389"/>
      <c r="S18" s="1381"/>
      <c r="T18" s="1381"/>
      <c r="U18" s="1381"/>
      <c r="V18" s="1381"/>
      <c r="W18" s="1381"/>
      <c r="X18" s="1381"/>
      <c r="Y18" s="1381"/>
      <c r="Z18" s="1381"/>
      <c r="AA18" s="1381"/>
      <c r="AB18" s="1381"/>
      <c r="AC18" s="1381"/>
      <c r="AD18" s="1381"/>
      <c r="AE18" s="1381"/>
      <c r="AF18" s="1381"/>
      <c r="AG18" s="1381"/>
      <c r="AH18" s="1381"/>
      <c r="AI18" s="1381"/>
      <c r="AJ18" s="1381"/>
      <c r="AK18" s="1381"/>
      <c r="AL18" s="1381"/>
      <c r="AM18" s="1381"/>
      <c r="AN18" s="1381"/>
      <c r="AO18" s="1381"/>
      <c r="AP18" s="1381"/>
      <c r="AQ18" s="1381"/>
      <c r="AR18" s="1381"/>
      <c r="AS18" s="1381"/>
      <c r="AT18" s="1381"/>
      <c r="AU18" s="1381"/>
      <c r="AV18" s="1381"/>
      <c r="AW18" s="1381"/>
      <c r="AX18" s="1381"/>
      <c r="AY18" s="1381"/>
      <c r="AZ18" s="1381"/>
      <c r="BA18" s="1381"/>
      <c r="BB18" s="1381"/>
      <c r="BC18" s="1381"/>
      <c r="BD18" s="1381"/>
      <c r="BE18" s="1381"/>
      <c r="BF18" s="1381"/>
      <c r="BG18" s="1381"/>
      <c r="BH18" s="1381"/>
      <c r="BI18" s="1381"/>
      <c r="BJ18" s="1381"/>
      <c r="BK18" s="1381"/>
      <c r="BL18" s="1381"/>
      <c r="BM18" s="1381"/>
      <c r="BN18" s="1381"/>
      <c r="BO18" s="1381"/>
      <c r="BP18" s="1381"/>
      <c r="BQ18" s="1381"/>
      <c r="BR18" s="1381"/>
      <c r="BS18" s="1381"/>
      <c r="BT18" s="1381"/>
      <c r="BU18" s="1381"/>
      <c r="BV18" s="1381"/>
      <c r="BW18" s="1381"/>
      <c r="BX18" s="1381"/>
      <c r="BY18" s="1381"/>
      <c r="BZ18" s="1381"/>
      <c r="CA18" s="1381"/>
      <c r="CB18" s="1381"/>
      <c r="CC18" s="1381"/>
      <c r="CD18" s="1381"/>
      <c r="CE18" s="1381"/>
      <c r="CF18" s="1381"/>
      <c r="CG18" s="1381"/>
      <c r="CH18" s="1381"/>
      <c r="CI18" s="1381"/>
      <c r="CJ18" s="1381"/>
      <c r="CK18" s="1381"/>
      <c r="CL18" s="1381"/>
      <c r="CM18" s="1381"/>
      <c r="CN18" s="1381"/>
      <c r="CO18" s="1381"/>
      <c r="CP18" s="1381"/>
      <c r="CQ18" s="1381"/>
      <c r="CR18" s="1381"/>
      <c r="CS18" s="1381"/>
      <c r="CT18" s="1381"/>
      <c r="CU18" s="1381"/>
      <c r="CV18" s="1381"/>
      <c r="CW18" s="1381"/>
      <c r="CX18" s="1381"/>
      <c r="CY18" s="1381"/>
      <c r="CZ18" s="1381"/>
      <c r="DA18" s="1381"/>
      <c r="DB18" s="1381"/>
      <c r="DC18" s="1381"/>
      <c r="DD18" s="1381"/>
      <c r="DE18" s="1381"/>
      <c r="DF18" s="1381"/>
      <c r="DG18" s="1381"/>
      <c r="DH18" s="1381"/>
      <c r="DI18" s="1381"/>
      <c r="DJ18" s="1381"/>
      <c r="DK18" s="1381"/>
      <c r="DL18" s="1381"/>
      <c r="DM18" s="1381"/>
      <c r="DN18" s="1381"/>
      <c r="DO18" s="1381"/>
      <c r="DP18" s="1381"/>
      <c r="DQ18" s="1381"/>
      <c r="DR18" s="1381"/>
      <c r="DS18" s="1381"/>
      <c r="DT18" s="1381"/>
      <c r="DU18" s="1381"/>
      <c r="DV18" s="1381"/>
      <c r="DW18" s="1381"/>
      <c r="DX18" s="1381"/>
      <c r="DY18" s="1381"/>
      <c r="DZ18" s="1381"/>
      <c r="EA18" s="1381"/>
      <c r="EB18" s="1381"/>
      <c r="EC18" s="1381"/>
      <c r="ED18" s="1381"/>
      <c r="EE18" s="1381"/>
      <c r="EF18" s="1381"/>
      <c r="EG18" s="1381"/>
      <c r="EH18" s="1381"/>
      <c r="EI18" s="1381"/>
      <c r="EJ18" s="1381"/>
      <c r="EK18" s="1381"/>
      <c r="EL18" s="1381"/>
      <c r="EM18" s="1381"/>
      <c r="EN18" s="1381"/>
      <c r="EO18" s="1381"/>
      <c r="EP18" s="1381"/>
      <c r="EQ18" s="1381"/>
      <c r="ER18" s="1381"/>
      <c r="ES18" s="1381"/>
      <c r="ET18" s="1381"/>
      <c r="EU18" s="1381"/>
      <c r="EV18" s="1381"/>
      <c r="EW18" s="1381"/>
      <c r="EX18" s="1381"/>
      <c r="EY18" s="1381"/>
      <c r="EZ18" s="1381"/>
      <c r="FA18" s="1381"/>
      <c r="FB18" s="1381"/>
      <c r="FC18" s="1381"/>
    </row>
    <row r="19" spans="1:159" ht="15">
      <c r="A19" s="942"/>
      <c r="B19" s="1385"/>
      <c r="C19" s="4042"/>
      <c r="D19" s="4042"/>
      <c r="E19" s="4085"/>
      <c r="F19" s="4085"/>
      <c r="G19" s="4085"/>
      <c r="H19" s="4085"/>
      <c r="I19" s="4085"/>
      <c r="J19" s="4085"/>
      <c r="K19" s="4085"/>
      <c r="L19" s="4085"/>
      <c r="M19" s="4085"/>
      <c r="N19" s="4085"/>
      <c r="O19" s="4085"/>
      <c r="P19" s="4085"/>
      <c r="Q19" s="4128"/>
      <c r="R19" s="1381"/>
      <c r="S19" s="1381"/>
      <c r="T19" s="1381"/>
      <c r="U19" s="1381"/>
      <c r="V19" s="1381"/>
      <c r="W19" s="1381"/>
      <c r="X19" s="1381"/>
      <c r="Y19" s="1381"/>
      <c r="Z19" s="1381"/>
      <c r="AA19" s="1381"/>
      <c r="AB19" s="1381"/>
      <c r="AC19" s="1381"/>
      <c r="AD19" s="1381"/>
      <c r="AE19" s="1381"/>
      <c r="AF19" s="1381"/>
      <c r="AG19" s="1381"/>
      <c r="AH19" s="1381"/>
      <c r="AI19" s="1381"/>
      <c r="AJ19" s="1381"/>
      <c r="AK19" s="1381"/>
      <c r="AL19" s="1381"/>
      <c r="AM19" s="1381"/>
      <c r="AN19" s="1381"/>
      <c r="AO19" s="1381"/>
      <c r="AP19" s="1381"/>
      <c r="AQ19" s="1381"/>
      <c r="AR19" s="1381"/>
      <c r="AS19" s="1381"/>
      <c r="AT19" s="1381"/>
      <c r="AU19" s="1381"/>
      <c r="AV19" s="1381"/>
      <c r="AW19" s="1381"/>
      <c r="AX19" s="1381"/>
      <c r="AY19" s="1381"/>
      <c r="AZ19" s="1381"/>
      <c r="BA19" s="1381"/>
      <c r="BB19" s="1381"/>
      <c r="BC19" s="1381"/>
      <c r="BD19" s="1381"/>
      <c r="BE19" s="1381"/>
      <c r="BF19" s="1381"/>
      <c r="BG19" s="1381"/>
      <c r="BH19" s="1381"/>
      <c r="BI19" s="1381"/>
      <c r="BJ19" s="1381"/>
      <c r="BK19" s="1381"/>
      <c r="BL19" s="1381"/>
      <c r="BM19" s="1381"/>
      <c r="BN19" s="1381"/>
      <c r="BO19" s="1381"/>
      <c r="BP19" s="1381"/>
      <c r="BQ19" s="1381"/>
      <c r="BR19" s="1381"/>
      <c r="BS19" s="1381"/>
      <c r="BT19" s="1381"/>
      <c r="BU19" s="1381"/>
      <c r="BV19" s="1381"/>
      <c r="BW19" s="1381"/>
      <c r="BX19" s="1381"/>
      <c r="BY19" s="1381"/>
      <c r="BZ19" s="1381"/>
      <c r="CA19" s="1381"/>
      <c r="CB19" s="1381"/>
      <c r="CC19" s="1381"/>
      <c r="CD19" s="1381"/>
      <c r="CE19" s="1381"/>
      <c r="CF19" s="1381"/>
      <c r="CG19" s="1381"/>
      <c r="CH19" s="1381"/>
      <c r="CI19" s="1381"/>
      <c r="CJ19" s="1381"/>
      <c r="CK19" s="1381"/>
      <c r="CL19" s="1381"/>
      <c r="CM19" s="1381"/>
      <c r="CN19" s="1381"/>
      <c r="CO19" s="1381"/>
      <c r="CP19" s="1381"/>
      <c r="CQ19" s="1381"/>
      <c r="CR19" s="1381"/>
      <c r="CS19" s="1381"/>
      <c r="CT19" s="1381"/>
      <c r="CU19" s="1381"/>
      <c r="CV19" s="1381"/>
      <c r="CW19" s="1381"/>
      <c r="CX19" s="1381"/>
      <c r="CY19" s="1381"/>
      <c r="CZ19" s="1381"/>
      <c r="DA19" s="1381"/>
      <c r="DB19" s="1381"/>
      <c r="DC19" s="1381"/>
      <c r="DD19" s="1381"/>
      <c r="DE19" s="1381"/>
      <c r="DF19" s="1381"/>
      <c r="DG19" s="1381"/>
      <c r="DH19" s="1381"/>
      <c r="DI19" s="1381"/>
      <c r="DJ19" s="1381"/>
      <c r="DK19" s="1381"/>
      <c r="DL19" s="1381"/>
      <c r="DM19" s="1381"/>
      <c r="DN19" s="1381"/>
      <c r="DO19" s="1381"/>
      <c r="DP19" s="1381"/>
      <c r="DQ19" s="1381"/>
      <c r="DR19" s="1381"/>
      <c r="DS19" s="1381"/>
      <c r="DT19" s="1381"/>
      <c r="DU19" s="1381"/>
      <c r="DV19" s="1381"/>
      <c r="DW19" s="1381"/>
      <c r="DX19" s="1381"/>
      <c r="DY19" s="1381"/>
      <c r="DZ19" s="1381"/>
      <c r="EA19" s="1381"/>
      <c r="EB19" s="1381"/>
      <c r="EC19" s="1381"/>
      <c r="ED19" s="1381"/>
      <c r="EE19" s="1381"/>
      <c r="EF19" s="1381"/>
      <c r="EG19" s="1381"/>
      <c r="EH19" s="1381"/>
      <c r="EI19" s="1381"/>
      <c r="EJ19" s="1381"/>
      <c r="EK19" s="1381"/>
      <c r="EL19" s="1381"/>
      <c r="EM19" s="1381"/>
      <c r="EN19" s="1381"/>
      <c r="EO19" s="1381"/>
      <c r="EP19" s="1381"/>
      <c r="EQ19" s="1381"/>
      <c r="ER19" s="1381"/>
      <c r="ES19" s="1381"/>
      <c r="ET19" s="1381"/>
      <c r="EU19" s="1381"/>
      <c r="EV19" s="1381"/>
      <c r="EW19" s="1381"/>
      <c r="EX19" s="1381"/>
      <c r="EY19" s="1381"/>
      <c r="EZ19" s="1381"/>
      <c r="FA19" s="1381"/>
      <c r="FB19" s="1381"/>
      <c r="FC19" s="1381"/>
    </row>
    <row r="20" spans="1:159" ht="15">
      <c r="A20" s="942"/>
      <c r="B20" s="1391"/>
      <c r="C20" s="1392"/>
      <c r="D20" s="1392"/>
      <c r="E20" s="1270"/>
      <c r="F20" s="1270"/>
      <c r="G20" s="1270"/>
      <c r="H20" s="1270"/>
      <c r="I20" s="1270"/>
      <c r="J20" s="1270"/>
      <c r="K20" s="1270"/>
      <c r="L20" s="1270"/>
      <c r="M20" s="1270"/>
      <c r="N20" s="1270"/>
      <c r="O20" s="1270"/>
      <c r="P20" s="1270"/>
      <c r="Q20" s="1393"/>
      <c r="R20" s="1381"/>
      <c r="S20" s="1381"/>
      <c r="T20" s="1381"/>
      <c r="U20" s="1381"/>
      <c r="V20" s="1381"/>
      <c r="W20" s="1381"/>
      <c r="X20" s="1381"/>
      <c r="Y20" s="1381"/>
      <c r="Z20" s="1381"/>
      <c r="AA20" s="1381"/>
      <c r="AB20" s="1381"/>
      <c r="AC20" s="1381"/>
      <c r="AD20" s="1381"/>
      <c r="AE20" s="1381"/>
      <c r="AF20" s="1381"/>
      <c r="AG20" s="1381"/>
      <c r="AH20" s="1381"/>
      <c r="AI20" s="1381"/>
      <c r="AJ20" s="1381"/>
      <c r="AK20" s="1381"/>
      <c r="AL20" s="1381"/>
      <c r="AM20" s="1381"/>
      <c r="AN20" s="1381"/>
      <c r="AO20" s="1381"/>
      <c r="AP20" s="1381"/>
      <c r="AQ20" s="1381"/>
      <c r="AR20" s="1381"/>
      <c r="AS20" s="1381"/>
      <c r="AT20" s="1381"/>
      <c r="AU20" s="1381"/>
      <c r="AV20" s="1381"/>
      <c r="AW20" s="1381"/>
      <c r="AX20" s="1381"/>
      <c r="AY20" s="1381"/>
      <c r="AZ20" s="1381"/>
      <c r="BA20" s="1381"/>
      <c r="BB20" s="1381"/>
      <c r="BC20" s="1381"/>
      <c r="BD20" s="1381"/>
      <c r="BE20" s="1381"/>
      <c r="BF20" s="1381"/>
      <c r="BG20" s="1381"/>
      <c r="BH20" s="1381"/>
      <c r="BI20" s="1381"/>
      <c r="BJ20" s="1381"/>
      <c r="BK20" s="1381"/>
      <c r="BL20" s="1381"/>
      <c r="BM20" s="1381"/>
      <c r="BN20" s="1381"/>
      <c r="BO20" s="1381"/>
      <c r="BP20" s="1381"/>
      <c r="BQ20" s="1381"/>
      <c r="BR20" s="1381"/>
      <c r="BS20" s="1381"/>
      <c r="BT20" s="1381"/>
      <c r="BU20" s="1381"/>
      <c r="BV20" s="1381"/>
      <c r="BW20" s="1381"/>
      <c r="BX20" s="1381"/>
      <c r="BY20" s="1381"/>
      <c r="BZ20" s="1381"/>
      <c r="CA20" s="1381"/>
      <c r="CB20" s="1381"/>
      <c r="CC20" s="1381"/>
      <c r="CD20" s="1381"/>
      <c r="CE20" s="1381"/>
      <c r="CF20" s="1381"/>
      <c r="CG20" s="1381"/>
      <c r="CH20" s="1381"/>
      <c r="CI20" s="1381"/>
      <c r="CJ20" s="1381"/>
      <c r="CK20" s="1381"/>
      <c r="CL20" s="1381"/>
      <c r="CM20" s="1381"/>
      <c r="CN20" s="1381"/>
      <c r="CO20" s="1381"/>
      <c r="CP20" s="1381"/>
      <c r="CQ20" s="1381"/>
      <c r="CR20" s="1381"/>
      <c r="CS20" s="1381"/>
      <c r="CT20" s="1381"/>
      <c r="CU20" s="1381"/>
      <c r="CV20" s="1381"/>
      <c r="CW20" s="1381"/>
      <c r="CX20" s="1381"/>
      <c r="CY20" s="1381"/>
      <c r="CZ20" s="1381"/>
      <c r="DA20" s="1381"/>
      <c r="DB20" s="1381"/>
      <c r="DC20" s="1381"/>
      <c r="DD20" s="1381"/>
      <c r="DE20" s="1381"/>
      <c r="DF20" s="1381"/>
      <c r="DG20" s="1381"/>
      <c r="DH20" s="1381"/>
      <c r="DI20" s="1381"/>
      <c r="DJ20" s="1381"/>
      <c r="DK20" s="1381"/>
      <c r="DL20" s="1381"/>
      <c r="DM20" s="1381"/>
      <c r="DN20" s="1381"/>
      <c r="DO20" s="1381"/>
      <c r="DP20" s="1381"/>
      <c r="DQ20" s="1381"/>
      <c r="DR20" s="1381"/>
      <c r="DS20" s="1381"/>
      <c r="DT20" s="1381"/>
      <c r="DU20" s="1381"/>
      <c r="DV20" s="1381"/>
      <c r="DW20" s="1381"/>
      <c r="DX20" s="1381"/>
      <c r="DY20" s="1381"/>
      <c r="DZ20" s="1381"/>
      <c r="EA20" s="1381"/>
      <c r="EB20" s="1381"/>
      <c r="EC20" s="1381"/>
      <c r="ED20" s="1381"/>
      <c r="EE20" s="1381"/>
      <c r="EF20" s="1381"/>
      <c r="EG20" s="1381"/>
      <c r="EH20" s="1381"/>
      <c r="EI20" s="1381"/>
      <c r="EJ20" s="1381"/>
      <c r="EK20" s="1381"/>
      <c r="EL20" s="1381"/>
      <c r="EM20" s="1381"/>
      <c r="EN20" s="1381"/>
      <c r="EO20" s="1381"/>
      <c r="EP20" s="1381"/>
      <c r="EQ20" s="1381"/>
      <c r="ER20" s="1381"/>
      <c r="ES20" s="1381"/>
      <c r="ET20" s="1381"/>
      <c r="EU20" s="1381"/>
      <c r="EV20" s="1381"/>
      <c r="EW20" s="1381"/>
      <c r="EX20" s="1381"/>
      <c r="EY20" s="1381"/>
      <c r="EZ20" s="1381"/>
      <c r="FA20" s="1381"/>
      <c r="FB20" s="1381"/>
      <c r="FC20" s="1381"/>
    </row>
    <row r="21" spans="1:159" ht="15">
      <c r="A21" s="942"/>
      <c r="B21" s="1391"/>
      <c r="C21" s="1392"/>
      <c r="D21" s="1392"/>
      <c r="E21" s="1270"/>
      <c r="F21" s="1270"/>
      <c r="G21" s="1270"/>
      <c r="H21" s="1270"/>
      <c r="I21" s="1270"/>
      <c r="J21" s="1270"/>
      <c r="K21" s="1270"/>
      <c r="L21" s="1270"/>
      <c r="M21" s="1270"/>
      <c r="N21" s="1270"/>
      <c r="O21" s="1270"/>
      <c r="P21" s="1270"/>
      <c r="Q21" s="1393"/>
      <c r="R21" s="1381"/>
      <c r="S21" s="1381"/>
      <c r="T21" s="1381"/>
      <c r="U21" s="1381"/>
      <c r="V21" s="1381"/>
      <c r="W21" s="1381"/>
      <c r="X21" s="1381"/>
      <c r="Y21" s="1381"/>
      <c r="Z21" s="1381"/>
      <c r="AA21" s="1381"/>
      <c r="AB21" s="1381"/>
      <c r="AC21" s="1381"/>
      <c r="AD21" s="1381"/>
      <c r="AE21" s="1381"/>
      <c r="AF21" s="1381"/>
      <c r="AG21" s="1381"/>
      <c r="AH21" s="1381"/>
      <c r="AI21" s="1381"/>
      <c r="AJ21" s="1381"/>
      <c r="AK21" s="1381"/>
      <c r="AL21" s="1381"/>
      <c r="AM21" s="1381"/>
      <c r="AN21" s="1381"/>
      <c r="AO21" s="1381"/>
      <c r="AP21" s="1381"/>
      <c r="AQ21" s="1381"/>
      <c r="AR21" s="1381"/>
      <c r="AS21" s="1381"/>
      <c r="AT21" s="1381"/>
      <c r="AU21" s="1381"/>
      <c r="AV21" s="1381"/>
      <c r="AW21" s="1381"/>
      <c r="AX21" s="1381"/>
      <c r="AY21" s="1381"/>
      <c r="AZ21" s="1381"/>
      <c r="BA21" s="1381"/>
      <c r="BB21" s="1381"/>
      <c r="BC21" s="1381"/>
      <c r="BD21" s="1381"/>
      <c r="BE21" s="1381"/>
      <c r="BF21" s="1381"/>
      <c r="BG21" s="1381"/>
      <c r="BH21" s="1381"/>
      <c r="BI21" s="1381"/>
      <c r="BJ21" s="1381"/>
      <c r="BK21" s="1381"/>
      <c r="BL21" s="1381"/>
      <c r="BM21" s="1381"/>
      <c r="BN21" s="1381"/>
      <c r="BO21" s="1381"/>
      <c r="BP21" s="1381"/>
      <c r="BQ21" s="1381"/>
      <c r="BR21" s="1381"/>
      <c r="BS21" s="1381"/>
      <c r="BT21" s="1381"/>
      <c r="BU21" s="1381"/>
      <c r="BV21" s="1381"/>
      <c r="BW21" s="1381"/>
      <c r="BX21" s="1381"/>
      <c r="BY21" s="1381"/>
      <c r="BZ21" s="1381"/>
      <c r="CA21" s="1381"/>
      <c r="CB21" s="1381"/>
      <c r="CC21" s="1381"/>
      <c r="CD21" s="1381"/>
      <c r="CE21" s="1381"/>
      <c r="CF21" s="1381"/>
      <c r="CG21" s="1381"/>
      <c r="CH21" s="1381"/>
      <c r="CI21" s="1381"/>
      <c r="CJ21" s="1381"/>
      <c r="CK21" s="1381"/>
      <c r="CL21" s="1381"/>
      <c r="CM21" s="1381"/>
      <c r="CN21" s="1381"/>
      <c r="CO21" s="1381"/>
      <c r="CP21" s="1381"/>
      <c r="CQ21" s="1381"/>
      <c r="CR21" s="1381"/>
      <c r="CS21" s="1381"/>
      <c r="CT21" s="1381"/>
      <c r="CU21" s="1381"/>
      <c r="CV21" s="1381"/>
      <c r="CW21" s="1381"/>
      <c r="CX21" s="1381"/>
      <c r="CY21" s="1381"/>
      <c r="CZ21" s="1381"/>
      <c r="DA21" s="1381"/>
      <c r="DB21" s="1381"/>
      <c r="DC21" s="1381"/>
      <c r="DD21" s="1381"/>
      <c r="DE21" s="1381"/>
      <c r="DF21" s="1381"/>
      <c r="DG21" s="1381"/>
      <c r="DH21" s="1381"/>
      <c r="DI21" s="1381"/>
      <c r="DJ21" s="1381"/>
      <c r="DK21" s="1381"/>
      <c r="DL21" s="1381"/>
      <c r="DM21" s="1381"/>
      <c r="DN21" s="1381"/>
      <c r="DO21" s="1381"/>
      <c r="DP21" s="1381"/>
      <c r="DQ21" s="1381"/>
      <c r="DR21" s="1381"/>
      <c r="DS21" s="1381"/>
      <c r="DT21" s="1381"/>
      <c r="DU21" s="1381"/>
      <c r="DV21" s="1381"/>
      <c r="DW21" s="1381"/>
      <c r="DX21" s="1381"/>
      <c r="DY21" s="1381"/>
      <c r="DZ21" s="1381"/>
      <c r="EA21" s="1381"/>
      <c r="EB21" s="1381"/>
      <c r="EC21" s="1381"/>
      <c r="ED21" s="1381"/>
      <c r="EE21" s="1381"/>
      <c r="EF21" s="1381"/>
      <c r="EG21" s="1381"/>
      <c r="EH21" s="1381"/>
      <c r="EI21" s="1381"/>
      <c r="EJ21" s="1381"/>
      <c r="EK21" s="1381"/>
      <c r="EL21" s="1381"/>
      <c r="EM21" s="1381"/>
      <c r="EN21" s="1381"/>
      <c r="EO21" s="1381"/>
      <c r="EP21" s="1381"/>
      <c r="EQ21" s="1381"/>
      <c r="ER21" s="1381"/>
      <c r="ES21" s="1381"/>
      <c r="ET21" s="1381"/>
      <c r="EU21" s="1381"/>
      <c r="EV21" s="1381"/>
      <c r="EW21" s="1381"/>
      <c r="EX21" s="1381"/>
      <c r="EY21" s="1381"/>
      <c r="EZ21" s="1381"/>
      <c r="FA21" s="1381"/>
      <c r="FB21" s="1381"/>
      <c r="FC21" s="1381"/>
    </row>
    <row r="22" spans="1:159" ht="15">
      <c r="A22" s="942"/>
      <c r="B22" s="1391"/>
      <c r="C22" s="1392"/>
      <c r="D22" s="1392"/>
      <c r="E22" s="1270"/>
      <c r="F22" s="1270"/>
      <c r="G22" s="1270"/>
      <c r="H22" s="1270"/>
      <c r="I22" s="1270"/>
      <c r="J22" s="1270"/>
      <c r="K22" s="1270"/>
      <c r="L22" s="1270"/>
      <c r="M22" s="1270"/>
      <c r="N22" s="1270"/>
      <c r="O22" s="1270"/>
      <c r="P22" s="1270"/>
      <c r="Q22" s="1393"/>
      <c r="R22" s="1381"/>
      <c r="S22" s="1381"/>
      <c r="T22" s="1381"/>
      <c r="U22" s="1381"/>
      <c r="V22" s="1381"/>
      <c r="W22" s="1381"/>
      <c r="X22" s="1381"/>
      <c r="Y22" s="1381"/>
      <c r="Z22" s="1381"/>
      <c r="AA22" s="1381"/>
      <c r="AB22" s="1381"/>
      <c r="AC22" s="1381"/>
      <c r="AD22" s="1381"/>
      <c r="AE22" s="1381"/>
      <c r="AF22" s="1381"/>
      <c r="AG22" s="1381"/>
      <c r="AH22" s="1381"/>
      <c r="AI22" s="1381"/>
      <c r="AJ22" s="1381"/>
      <c r="AK22" s="1381"/>
      <c r="AL22" s="1381"/>
      <c r="AM22" s="1381"/>
      <c r="AN22" s="1381"/>
      <c r="AO22" s="1381"/>
      <c r="AP22" s="1381"/>
      <c r="AQ22" s="1381"/>
      <c r="AR22" s="1381"/>
      <c r="AS22" s="1381"/>
      <c r="AT22" s="1381"/>
      <c r="AU22" s="1381"/>
      <c r="AV22" s="1381"/>
      <c r="AW22" s="1381"/>
      <c r="AX22" s="1381"/>
      <c r="AY22" s="1381"/>
      <c r="AZ22" s="1381"/>
      <c r="BA22" s="1381"/>
      <c r="BB22" s="1381"/>
      <c r="BC22" s="1381"/>
      <c r="BD22" s="1381"/>
      <c r="BE22" s="1381"/>
      <c r="BF22" s="1381"/>
      <c r="BG22" s="1381"/>
      <c r="BH22" s="1381"/>
      <c r="BI22" s="1381"/>
      <c r="BJ22" s="1381"/>
      <c r="BK22" s="1381"/>
      <c r="BL22" s="1381"/>
      <c r="BM22" s="1381"/>
      <c r="BN22" s="1381"/>
      <c r="BO22" s="1381"/>
      <c r="BP22" s="1381"/>
      <c r="BQ22" s="1381"/>
      <c r="BR22" s="1381"/>
      <c r="BS22" s="1381"/>
      <c r="BT22" s="1381"/>
      <c r="BU22" s="1381"/>
      <c r="BV22" s="1381"/>
      <c r="BW22" s="1381"/>
      <c r="BX22" s="1381"/>
      <c r="BY22" s="1381"/>
      <c r="BZ22" s="1381"/>
      <c r="CA22" s="1381"/>
      <c r="CB22" s="1381"/>
      <c r="CC22" s="1381"/>
      <c r="CD22" s="1381"/>
      <c r="CE22" s="1381"/>
      <c r="CF22" s="1381"/>
      <c r="CG22" s="1381"/>
      <c r="CH22" s="1381"/>
      <c r="CI22" s="1381"/>
      <c r="CJ22" s="1381"/>
      <c r="CK22" s="1381"/>
      <c r="CL22" s="1381"/>
      <c r="CM22" s="1381"/>
      <c r="CN22" s="1381"/>
      <c r="CO22" s="1381"/>
      <c r="CP22" s="1381"/>
      <c r="CQ22" s="1381"/>
      <c r="CR22" s="1381"/>
      <c r="CS22" s="1381"/>
      <c r="CT22" s="1381"/>
      <c r="CU22" s="1381"/>
      <c r="CV22" s="1381"/>
      <c r="CW22" s="1381"/>
      <c r="CX22" s="1381"/>
      <c r="CY22" s="1381"/>
      <c r="CZ22" s="1381"/>
      <c r="DA22" s="1381"/>
      <c r="DB22" s="1381"/>
      <c r="DC22" s="1381"/>
      <c r="DD22" s="1381"/>
      <c r="DE22" s="1381"/>
      <c r="DF22" s="1381"/>
      <c r="DG22" s="1381"/>
      <c r="DH22" s="1381"/>
      <c r="DI22" s="1381"/>
      <c r="DJ22" s="1381"/>
      <c r="DK22" s="1381"/>
      <c r="DL22" s="1381"/>
      <c r="DM22" s="1381"/>
      <c r="DN22" s="1381"/>
      <c r="DO22" s="1381"/>
      <c r="DP22" s="1381"/>
      <c r="DQ22" s="1381"/>
      <c r="DR22" s="1381"/>
      <c r="DS22" s="1381"/>
      <c r="DT22" s="1381"/>
      <c r="DU22" s="1381"/>
      <c r="DV22" s="1381"/>
      <c r="DW22" s="1381"/>
      <c r="DX22" s="1381"/>
      <c r="DY22" s="1381"/>
      <c r="DZ22" s="1381"/>
      <c r="EA22" s="1381"/>
      <c r="EB22" s="1381"/>
      <c r="EC22" s="1381"/>
      <c r="ED22" s="1381"/>
      <c r="EE22" s="1381"/>
      <c r="EF22" s="1381"/>
      <c r="EG22" s="1381"/>
      <c r="EH22" s="1381"/>
      <c r="EI22" s="1381"/>
      <c r="EJ22" s="1381"/>
      <c r="EK22" s="1381"/>
      <c r="EL22" s="1381"/>
      <c r="EM22" s="1381"/>
      <c r="EN22" s="1381"/>
      <c r="EO22" s="1381"/>
      <c r="EP22" s="1381"/>
      <c r="EQ22" s="1381"/>
      <c r="ER22" s="1381"/>
      <c r="ES22" s="1381"/>
      <c r="ET22" s="1381"/>
      <c r="EU22" s="1381"/>
      <c r="EV22" s="1381"/>
      <c r="EW22" s="1381"/>
      <c r="EX22" s="1381"/>
      <c r="EY22" s="1381"/>
      <c r="EZ22" s="1381"/>
      <c r="FA22" s="1381"/>
      <c r="FB22" s="1381"/>
      <c r="FC22" s="1381"/>
    </row>
    <row r="23" spans="1:159" ht="15">
      <c r="A23" s="942"/>
      <c r="B23" s="1391"/>
      <c r="C23" s="1270"/>
      <c r="D23" s="1270"/>
      <c r="E23" s="1270"/>
      <c r="F23" s="1270"/>
      <c r="G23" s="1270"/>
      <c r="H23" s="1270"/>
      <c r="I23" s="1270"/>
      <c r="J23" s="1270"/>
      <c r="K23" s="1270"/>
      <c r="L23" s="1270"/>
      <c r="M23" s="1270"/>
      <c r="N23" s="1270"/>
      <c r="O23" s="1270"/>
      <c r="P23" s="1270"/>
      <c r="Q23" s="1393"/>
      <c r="R23" s="1381"/>
      <c r="S23" s="1381"/>
      <c r="T23" s="1381"/>
      <c r="U23" s="1381"/>
      <c r="V23" s="1381"/>
      <c r="W23" s="1381"/>
      <c r="X23" s="1381"/>
      <c r="Y23" s="1381"/>
      <c r="Z23" s="1381"/>
      <c r="AA23" s="1381"/>
      <c r="AB23" s="1381"/>
      <c r="AC23" s="1381"/>
      <c r="AD23" s="1381"/>
      <c r="AE23" s="1381"/>
      <c r="AF23" s="1381"/>
      <c r="AG23" s="1381"/>
      <c r="AH23" s="1381"/>
      <c r="AI23" s="1381"/>
      <c r="AJ23" s="1381"/>
      <c r="AK23" s="1381"/>
      <c r="AL23" s="1381"/>
      <c r="AM23" s="1381"/>
      <c r="AN23" s="1381"/>
      <c r="AO23" s="1381"/>
      <c r="AP23" s="1381"/>
      <c r="AQ23" s="1381"/>
      <c r="AR23" s="1381"/>
      <c r="AS23" s="1381"/>
      <c r="AT23" s="1381"/>
      <c r="AU23" s="1381"/>
      <c r="AV23" s="1381"/>
      <c r="AW23" s="1381"/>
      <c r="AX23" s="1381"/>
      <c r="AY23" s="1381"/>
      <c r="AZ23" s="1381"/>
      <c r="BA23" s="1381"/>
      <c r="BB23" s="1381"/>
      <c r="BC23" s="1381"/>
      <c r="BD23" s="1381"/>
      <c r="BE23" s="1381"/>
      <c r="BF23" s="1381"/>
      <c r="BG23" s="1381"/>
      <c r="BH23" s="1381"/>
      <c r="BI23" s="1381"/>
      <c r="BJ23" s="1381"/>
      <c r="BK23" s="1381"/>
      <c r="BL23" s="1381"/>
      <c r="BM23" s="1381"/>
      <c r="BN23" s="1381"/>
      <c r="BO23" s="1381"/>
      <c r="BP23" s="1381"/>
      <c r="BQ23" s="1381"/>
      <c r="BR23" s="1381"/>
      <c r="BS23" s="1381"/>
      <c r="BT23" s="1381"/>
      <c r="BU23" s="1381"/>
      <c r="BV23" s="1381"/>
      <c r="BW23" s="1381"/>
      <c r="BX23" s="1381"/>
      <c r="BY23" s="1381"/>
      <c r="BZ23" s="1381"/>
      <c r="CA23" s="1381"/>
      <c r="CB23" s="1381"/>
      <c r="CC23" s="1381"/>
      <c r="CD23" s="1381"/>
      <c r="CE23" s="1381"/>
      <c r="CF23" s="1381"/>
      <c r="CG23" s="1381"/>
      <c r="CH23" s="1381"/>
      <c r="CI23" s="1381"/>
      <c r="CJ23" s="1381"/>
      <c r="CK23" s="1381"/>
      <c r="CL23" s="1381"/>
      <c r="CM23" s="1381"/>
      <c r="CN23" s="1381"/>
      <c r="CO23" s="1381"/>
      <c r="CP23" s="1381"/>
      <c r="CQ23" s="1381"/>
      <c r="CR23" s="1381"/>
      <c r="CS23" s="1381"/>
      <c r="CT23" s="1381"/>
      <c r="CU23" s="1381"/>
      <c r="CV23" s="1381"/>
      <c r="CW23" s="1381"/>
      <c r="CX23" s="1381"/>
      <c r="CY23" s="1381"/>
      <c r="CZ23" s="1381"/>
      <c r="DA23" s="1381"/>
      <c r="DB23" s="1381"/>
      <c r="DC23" s="1381"/>
      <c r="DD23" s="1381"/>
      <c r="DE23" s="1381"/>
      <c r="DF23" s="1381"/>
      <c r="DG23" s="1381"/>
      <c r="DH23" s="1381"/>
      <c r="DI23" s="1381"/>
      <c r="DJ23" s="1381"/>
      <c r="DK23" s="1381"/>
      <c r="DL23" s="1381"/>
      <c r="DM23" s="1381"/>
      <c r="DN23" s="1381"/>
      <c r="DO23" s="1381"/>
      <c r="DP23" s="1381"/>
      <c r="DQ23" s="1381"/>
      <c r="DR23" s="1381"/>
      <c r="DS23" s="1381"/>
      <c r="DT23" s="1381"/>
      <c r="DU23" s="1381"/>
      <c r="DV23" s="1381"/>
      <c r="DW23" s="1381"/>
      <c r="DX23" s="1381"/>
      <c r="DY23" s="1381"/>
      <c r="DZ23" s="1381"/>
      <c r="EA23" s="1381"/>
      <c r="EB23" s="1381"/>
      <c r="EC23" s="1381"/>
      <c r="ED23" s="1381"/>
      <c r="EE23" s="1381"/>
      <c r="EF23" s="1381"/>
      <c r="EG23" s="1381"/>
      <c r="EH23" s="1381"/>
      <c r="EI23" s="1381"/>
      <c r="EJ23" s="1381"/>
      <c r="EK23" s="1381"/>
      <c r="EL23" s="1381"/>
      <c r="EM23" s="1381"/>
      <c r="EN23" s="1381"/>
      <c r="EO23" s="1381"/>
      <c r="EP23" s="1381"/>
      <c r="EQ23" s="1381"/>
      <c r="ER23" s="1381"/>
      <c r="ES23" s="1381"/>
      <c r="ET23" s="1381"/>
      <c r="EU23" s="1381"/>
      <c r="EV23" s="1381"/>
      <c r="EW23" s="1381"/>
      <c r="EX23" s="1381"/>
      <c r="EY23" s="1381"/>
      <c r="EZ23" s="1381"/>
      <c r="FA23" s="1381"/>
      <c r="FB23" s="1381"/>
      <c r="FC23" s="1381"/>
    </row>
    <row r="24" spans="1:159" ht="15">
      <c r="A24" s="942"/>
      <c r="B24" s="1391"/>
      <c r="C24" s="1270"/>
      <c r="D24" s="1270"/>
      <c r="E24" s="1270"/>
      <c r="F24" s="1270"/>
      <c r="G24" s="1270"/>
      <c r="H24" s="1270"/>
      <c r="I24" s="1270"/>
      <c r="J24" s="1270"/>
      <c r="K24" s="1270"/>
      <c r="L24" s="1270"/>
      <c r="M24" s="1270"/>
      <c r="N24" s="1270"/>
      <c r="O24" s="1270"/>
      <c r="P24" s="1270"/>
      <c r="Q24" s="1393"/>
      <c r="R24" s="1381"/>
      <c r="S24" s="1381"/>
      <c r="T24" s="1381"/>
      <c r="U24" s="1381"/>
      <c r="V24" s="1381"/>
      <c r="W24" s="1381"/>
      <c r="X24" s="1381"/>
      <c r="Y24" s="1381"/>
      <c r="Z24" s="1381"/>
      <c r="AA24" s="1381"/>
      <c r="AB24" s="1381"/>
      <c r="AC24" s="1381"/>
      <c r="AD24" s="1381"/>
      <c r="AE24" s="1381"/>
      <c r="AF24" s="1381"/>
      <c r="AG24" s="1381"/>
      <c r="AH24" s="1381"/>
      <c r="AI24" s="1381"/>
      <c r="AJ24" s="1381"/>
      <c r="AK24" s="1381"/>
      <c r="AL24" s="1381"/>
      <c r="AM24" s="1381"/>
      <c r="AN24" s="1381"/>
      <c r="AO24" s="1381"/>
      <c r="AP24" s="1381"/>
      <c r="AQ24" s="1381"/>
      <c r="AR24" s="1381"/>
      <c r="AS24" s="1381"/>
      <c r="AT24" s="1381"/>
      <c r="AU24" s="1381"/>
      <c r="AV24" s="1381"/>
      <c r="AW24" s="1381"/>
      <c r="AX24" s="1381"/>
      <c r="AY24" s="1381"/>
      <c r="AZ24" s="1381"/>
      <c r="BA24" s="1381"/>
      <c r="BB24" s="1381"/>
      <c r="BC24" s="1381"/>
      <c r="BD24" s="1381"/>
      <c r="BE24" s="1381"/>
      <c r="BF24" s="1381"/>
      <c r="BG24" s="1381"/>
      <c r="BH24" s="1381"/>
      <c r="BI24" s="1381"/>
      <c r="BJ24" s="1381"/>
      <c r="BK24" s="1381"/>
      <c r="BL24" s="1381"/>
      <c r="BM24" s="1381"/>
      <c r="BN24" s="1381"/>
      <c r="BO24" s="1381"/>
      <c r="BP24" s="1381"/>
      <c r="BQ24" s="1381"/>
      <c r="BR24" s="1381"/>
      <c r="BS24" s="1381"/>
      <c r="BT24" s="1381"/>
      <c r="BU24" s="1381"/>
      <c r="BV24" s="1381"/>
      <c r="BW24" s="1381"/>
      <c r="BX24" s="1381"/>
      <c r="BY24" s="1381"/>
      <c r="BZ24" s="1381"/>
      <c r="CA24" s="1381"/>
      <c r="CB24" s="1381"/>
      <c r="CC24" s="1381"/>
      <c r="CD24" s="1381"/>
      <c r="CE24" s="1381"/>
      <c r="CF24" s="1381"/>
      <c r="CG24" s="1381"/>
      <c r="CH24" s="1381"/>
      <c r="CI24" s="1381"/>
      <c r="CJ24" s="1381"/>
      <c r="CK24" s="1381"/>
      <c r="CL24" s="1381"/>
      <c r="CM24" s="1381"/>
      <c r="CN24" s="1381"/>
      <c r="CO24" s="1381"/>
      <c r="CP24" s="1381"/>
      <c r="CQ24" s="1381"/>
      <c r="CR24" s="1381"/>
      <c r="CS24" s="1381"/>
      <c r="CT24" s="1381"/>
      <c r="CU24" s="1381"/>
      <c r="CV24" s="1381"/>
      <c r="CW24" s="1381"/>
      <c r="CX24" s="1381"/>
      <c r="CY24" s="1381"/>
      <c r="CZ24" s="1381"/>
      <c r="DA24" s="1381"/>
      <c r="DB24" s="1381"/>
      <c r="DC24" s="1381"/>
      <c r="DD24" s="1381"/>
      <c r="DE24" s="1381"/>
      <c r="DF24" s="1381"/>
      <c r="DG24" s="1381"/>
      <c r="DH24" s="1381"/>
      <c r="DI24" s="1381"/>
      <c r="DJ24" s="1381"/>
      <c r="DK24" s="1381"/>
      <c r="DL24" s="1381"/>
      <c r="DM24" s="1381"/>
      <c r="DN24" s="1381"/>
      <c r="DO24" s="1381"/>
      <c r="DP24" s="1381"/>
      <c r="DQ24" s="1381"/>
      <c r="DR24" s="1381"/>
      <c r="DS24" s="1381"/>
      <c r="DT24" s="1381"/>
      <c r="DU24" s="1381"/>
      <c r="DV24" s="1381"/>
      <c r="DW24" s="1381"/>
      <c r="DX24" s="1381"/>
      <c r="DY24" s="1381"/>
      <c r="DZ24" s="1381"/>
      <c r="EA24" s="1381"/>
      <c r="EB24" s="1381"/>
      <c r="EC24" s="1381"/>
      <c r="ED24" s="1381"/>
      <c r="EE24" s="1381"/>
      <c r="EF24" s="1381"/>
      <c r="EG24" s="1381"/>
      <c r="EH24" s="1381"/>
      <c r="EI24" s="1381"/>
      <c r="EJ24" s="1381"/>
      <c r="EK24" s="1381"/>
      <c r="EL24" s="1381"/>
      <c r="EM24" s="1381"/>
      <c r="EN24" s="1381"/>
      <c r="EO24" s="1381"/>
      <c r="EP24" s="1381"/>
      <c r="EQ24" s="1381"/>
      <c r="ER24" s="1381"/>
      <c r="ES24" s="1381"/>
      <c r="ET24" s="1381"/>
      <c r="EU24" s="1381"/>
      <c r="EV24" s="1381"/>
      <c r="EW24" s="1381"/>
      <c r="EX24" s="1381"/>
      <c r="EY24" s="1381"/>
      <c r="EZ24" s="1381"/>
      <c r="FA24" s="1381"/>
      <c r="FB24" s="1381"/>
      <c r="FC24" s="1381"/>
    </row>
    <row r="25" spans="1:159" ht="18.75">
      <c r="A25" s="942"/>
      <c r="B25" s="1391"/>
      <c r="C25" s="1394" t="s">
        <v>30</v>
      </c>
      <c r="D25" s="1270"/>
      <c r="E25" s="1270"/>
      <c r="F25" s="1270"/>
      <c r="G25" s="1270"/>
      <c r="H25" s="1270"/>
      <c r="I25" s="1270"/>
      <c r="J25" s="1270"/>
      <c r="K25" s="1270"/>
      <c r="L25" s="1394"/>
      <c r="M25" s="1270"/>
      <c r="N25" s="1394" t="s">
        <v>32</v>
      </c>
      <c r="O25" s="1270"/>
      <c r="P25" s="1270"/>
      <c r="Q25" s="1393"/>
      <c r="R25" s="1381"/>
      <c r="S25" s="1381"/>
      <c r="T25" s="1381"/>
      <c r="U25" s="1381"/>
      <c r="V25" s="1381"/>
      <c r="W25" s="1381"/>
      <c r="X25" s="1381"/>
      <c r="Y25" s="1381"/>
      <c r="Z25" s="1381"/>
      <c r="AA25" s="1381"/>
      <c r="AB25" s="1381"/>
      <c r="AC25" s="1381"/>
      <c r="AD25" s="1381"/>
      <c r="AE25" s="1381"/>
      <c r="AF25" s="1381"/>
      <c r="AG25" s="1381"/>
      <c r="AH25" s="1381"/>
      <c r="AI25" s="1381"/>
      <c r="AJ25" s="1381"/>
      <c r="AK25" s="1381"/>
      <c r="AL25" s="1381"/>
      <c r="AM25" s="1381"/>
      <c r="AN25" s="1381"/>
      <c r="AO25" s="1381"/>
      <c r="AP25" s="1381"/>
      <c r="AQ25" s="1381"/>
      <c r="AR25" s="1381"/>
      <c r="AS25" s="1381"/>
      <c r="AT25" s="1381"/>
      <c r="AU25" s="1381"/>
      <c r="AV25" s="1381"/>
      <c r="AW25" s="1381"/>
      <c r="AX25" s="1381"/>
      <c r="AY25" s="1381"/>
      <c r="AZ25" s="1381"/>
      <c r="BA25" s="1381"/>
      <c r="BB25" s="1381"/>
      <c r="BC25" s="1381"/>
      <c r="BD25" s="1381"/>
      <c r="BE25" s="1381"/>
      <c r="BF25" s="1381"/>
      <c r="BG25" s="1381"/>
      <c r="BH25" s="1381"/>
      <c r="BI25" s="1381"/>
      <c r="BJ25" s="1381"/>
      <c r="BK25" s="1381"/>
      <c r="BL25" s="1381"/>
      <c r="BM25" s="1381"/>
      <c r="BN25" s="1381"/>
      <c r="BO25" s="1381"/>
      <c r="BP25" s="1381"/>
      <c r="BQ25" s="1381"/>
      <c r="BR25" s="1381"/>
      <c r="BS25" s="1381"/>
      <c r="BT25" s="1381"/>
      <c r="BU25" s="1381"/>
      <c r="BV25" s="1381"/>
      <c r="BW25" s="1381"/>
      <c r="BX25" s="1381"/>
      <c r="BY25" s="1381"/>
      <c r="BZ25" s="1381"/>
      <c r="CA25" s="1381"/>
      <c r="CB25" s="1381"/>
      <c r="CC25" s="1381"/>
      <c r="CD25" s="1381"/>
      <c r="CE25" s="1381"/>
      <c r="CF25" s="1381"/>
      <c r="CG25" s="1381"/>
      <c r="CH25" s="1381"/>
      <c r="CI25" s="1381"/>
      <c r="CJ25" s="1381"/>
      <c r="CK25" s="1381"/>
      <c r="CL25" s="1381"/>
      <c r="CM25" s="1381"/>
      <c r="CN25" s="1381"/>
      <c r="CO25" s="1381"/>
      <c r="CP25" s="1381"/>
      <c r="CQ25" s="1381"/>
      <c r="CR25" s="1381"/>
      <c r="CS25" s="1381"/>
      <c r="CT25" s="1381"/>
      <c r="CU25" s="1381"/>
      <c r="CV25" s="1381"/>
      <c r="CW25" s="1381"/>
      <c r="CX25" s="1381"/>
      <c r="CY25" s="1381"/>
      <c r="CZ25" s="1381"/>
      <c r="DA25" s="1381"/>
      <c r="DB25" s="1381"/>
      <c r="DC25" s="1381"/>
      <c r="DD25" s="1381"/>
      <c r="DE25" s="1381"/>
      <c r="DF25" s="1381"/>
      <c r="DG25" s="1381"/>
      <c r="DH25" s="1381"/>
      <c r="DI25" s="1381"/>
      <c r="DJ25" s="1381"/>
      <c r="DK25" s="1381"/>
      <c r="DL25" s="1381"/>
      <c r="DM25" s="1381"/>
      <c r="DN25" s="1381"/>
      <c r="DO25" s="1381"/>
      <c r="DP25" s="1381"/>
      <c r="DQ25" s="1381"/>
      <c r="DR25" s="1381"/>
      <c r="DS25" s="1381"/>
      <c r="DT25" s="1381"/>
      <c r="DU25" s="1381"/>
      <c r="DV25" s="1381"/>
      <c r="DW25" s="1381"/>
      <c r="DX25" s="1381"/>
      <c r="DY25" s="1381"/>
      <c r="DZ25" s="1381"/>
      <c r="EA25" s="1381"/>
      <c r="EB25" s="1381"/>
      <c r="EC25" s="1381"/>
      <c r="ED25" s="1381"/>
      <c r="EE25" s="1381"/>
      <c r="EF25" s="1381"/>
      <c r="EG25" s="1381"/>
      <c r="EH25" s="1381"/>
      <c r="EI25" s="1381"/>
      <c r="EJ25" s="1381"/>
      <c r="EK25" s="1381"/>
      <c r="EL25" s="1381"/>
      <c r="EM25" s="1381"/>
      <c r="EN25" s="1381"/>
      <c r="EO25" s="1381"/>
      <c r="EP25" s="1381"/>
      <c r="EQ25" s="1381"/>
      <c r="ER25" s="1381"/>
      <c r="ES25" s="1381"/>
      <c r="ET25" s="1381"/>
      <c r="EU25" s="1381"/>
      <c r="EV25" s="1381"/>
      <c r="EW25" s="1381"/>
      <c r="EX25" s="1381"/>
      <c r="EY25" s="1381"/>
      <c r="EZ25" s="1381"/>
      <c r="FA25" s="1381"/>
      <c r="FB25" s="1381"/>
      <c r="FC25" s="1381"/>
    </row>
    <row r="26" spans="1:159" ht="15">
      <c r="A26" s="942"/>
      <c r="B26" s="1391"/>
      <c r="C26" s="1270"/>
      <c r="D26" s="1270"/>
      <c r="E26" s="1270"/>
      <c r="F26" s="1270"/>
      <c r="G26" s="1270"/>
      <c r="H26" s="1270"/>
      <c r="I26" s="1270"/>
      <c r="J26" s="1270"/>
      <c r="K26" s="1270"/>
      <c r="L26" s="1270"/>
      <c r="M26" s="1270"/>
      <c r="N26" s="1270"/>
      <c r="O26" s="1270"/>
      <c r="P26" s="1270"/>
      <c r="Q26" s="1393"/>
      <c r="R26" s="1381"/>
      <c r="S26" s="1381"/>
      <c r="T26" s="1381"/>
      <c r="U26" s="1381"/>
      <c r="V26" s="1381"/>
      <c r="W26" s="1381"/>
      <c r="X26" s="1381"/>
      <c r="Y26" s="1381"/>
      <c r="Z26" s="1381"/>
      <c r="AA26" s="1381"/>
      <c r="AB26" s="1381"/>
      <c r="AC26" s="1381"/>
      <c r="AD26" s="1381"/>
      <c r="AE26" s="1381"/>
      <c r="AF26" s="1381"/>
      <c r="AG26" s="1381"/>
      <c r="AH26" s="1381"/>
      <c r="AI26" s="1381"/>
      <c r="AJ26" s="1381"/>
      <c r="AK26" s="1381"/>
      <c r="AL26" s="1381"/>
      <c r="AM26" s="1381"/>
      <c r="AN26" s="1381"/>
      <c r="AO26" s="1381"/>
      <c r="AP26" s="1381"/>
      <c r="AQ26" s="1381"/>
      <c r="AR26" s="1381"/>
      <c r="AS26" s="1381"/>
      <c r="AT26" s="1381"/>
      <c r="AU26" s="1381"/>
      <c r="AV26" s="1381"/>
      <c r="AW26" s="1381"/>
      <c r="AX26" s="1381"/>
      <c r="AY26" s="1381"/>
      <c r="AZ26" s="1381"/>
      <c r="BA26" s="1381"/>
      <c r="BB26" s="1381"/>
      <c r="BC26" s="1381"/>
      <c r="BD26" s="1381"/>
      <c r="BE26" s="1381"/>
      <c r="BF26" s="1381"/>
      <c r="BG26" s="1381"/>
      <c r="BH26" s="1381"/>
      <c r="BI26" s="1381"/>
      <c r="BJ26" s="1381"/>
      <c r="BK26" s="1381"/>
      <c r="BL26" s="1381"/>
      <c r="BM26" s="1381"/>
      <c r="BN26" s="1381"/>
      <c r="BO26" s="1381"/>
      <c r="BP26" s="1381"/>
      <c r="BQ26" s="1381"/>
      <c r="BR26" s="1381"/>
      <c r="BS26" s="1381"/>
      <c r="BT26" s="1381"/>
      <c r="BU26" s="1381"/>
      <c r="BV26" s="1381"/>
      <c r="BW26" s="1381"/>
      <c r="BX26" s="1381"/>
      <c r="BY26" s="1381"/>
      <c r="BZ26" s="1381"/>
      <c r="CA26" s="1381"/>
      <c r="CB26" s="1381"/>
      <c r="CC26" s="1381"/>
      <c r="CD26" s="1381"/>
      <c r="CE26" s="1381"/>
      <c r="CF26" s="1381"/>
      <c r="CG26" s="1381"/>
      <c r="CH26" s="1381"/>
      <c r="CI26" s="1381"/>
      <c r="CJ26" s="1381"/>
      <c r="CK26" s="1381"/>
      <c r="CL26" s="1381"/>
      <c r="CM26" s="1381"/>
      <c r="CN26" s="1381"/>
      <c r="CO26" s="1381"/>
      <c r="CP26" s="1381"/>
      <c r="CQ26" s="1381"/>
      <c r="CR26" s="1381"/>
      <c r="CS26" s="1381"/>
      <c r="CT26" s="1381"/>
      <c r="CU26" s="1381"/>
      <c r="CV26" s="1381"/>
      <c r="CW26" s="1381"/>
      <c r="CX26" s="1381"/>
      <c r="CY26" s="1381"/>
      <c r="CZ26" s="1381"/>
      <c r="DA26" s="1381"/>
      <c r="DB26" s="1381"/>
      <c r="DC26" s="1381"/>
      <c r="DD26" s="1381"/>
      <c r="DE26" s="1381"/>
      <c r="DF26" s="1381"/>
      <c r="DG26" s="1381"/>
      <c r="DH26" s="1381"/>
      <c r="DI26" s="1381"/>
      <c r="DJ26" s="1381"/>
      <c r="DK26" s="1381"/>
      <c r="DL26" s="1381"/>
      <c r="DM26" s="1381"/>
      <c r="DN26" s="1381"/>
      <c r="DO26" s="1381"/>
      <c r="DP26" s="1381"/>
      <c r="DQ26" s="1381"/>
      <c r="DR26" s="1381"/>
      <c r="DS26" s="1381"/>
      <c r="DT26" s="1381"/>
      <c r="DU26" s="1381"/>
      <c r="DV26" s="1381"/>
      <c r="DW26" s="1381"/>
      <c r="DX26" s="1381"/>
      <c r="DY26" s="1381"/>
      <c r="DZ26" s="1381"/>
      <c r="EA26" s="1381"/>
      <c r="EB26" s="1381"/>
      <c r="EC26" s="1381"/>
      <c r="ED26" s="1381"/>
      <c r="EE26" s="1381"/>
      <c r="EF26" s="1381"/>
      <c r="EG26" s="1381"/>
      <c r="EH26" s="1381"/>
      <c r="EI26" s="1381"/>
      <c r="EJ26" s="1381"/>
      <c r="EK26" s="1381"/>
      <c r="EL26" s="1381"/>
      <c r="EM26" s="1381"/>
      <c r="EN26" s="1381"/>
      <c r="EO26" s="1381"/>
      <c r="EP26" s="1381"/>
      <c r="EQ26" s="1381"/>
      <c r="ER26" s="1381"/>
      <c r="ES26" s="1381"/>
      <c r="ET26" s="1381"/>
      <c r="EU26" s="1381"/>
      <c r="EV26" s="1381"/>
      <c r="EW26" s="1381"/>
      <c r="EX26" s="1381"/>
      <c r="EY26" s="1381"/>
      <c r="EZ26" s="1381"/>
      <c r="FA26" s="1381"/>
      <c r="FB26" s="1381"/>
      <c r="FC26" s="1381"/>
    </row>
    <row r="27" spans="1:159" ht="15">
      <c r="A27" s="942"/>
      <c r="B27" s="1391"/>
      <c r="C27" s="1270"/>
      <c r="D27" s="1270"/>
      <c r="E27" s="1270"/>
      <c r="F27" s="1270"/>
      <c r="G27" s="1270"/>
      <c r="H27" s="1270"/>
      <c r="I27" s="1270"/>
      <c r="J27" s="1270"/>
      <c r="K27" s="1270"/>
      <c r="L27" s="1270"/>
      <c r="M27" s="1270"/>
      <c r="N27" s="1270"/>
      <c r="O27" s="1270"/>
      <c r="P27" s="1270"/>
      <c r="Q27" s="1393"/>
      <c r="R27" s="1381"/>
      <c r="S27" s="1381"/>
      <c r="T27" s="1381"/>
      <c r="U27" s="1381"/>
      <c r="V27" s="1381"/>
      <c r="W27" s="1381"/>
      <c r="X27" s="1381"/>
      <c r="Y27" s="1381"/>
      <c r="Z27" s="1381"/>
      <c r="AA27" s="1381"/>
      <c r="AB27" s="1381"/>
      <c r="AC27" s="1381"/>
      <c r="AD27" s="1381"/>
      <c r="AE27" s="1381"/>
      <c r="AF27" s="1381"/>
      <c r="AG27" s="1381"/>
      <c r="AH27" s="1381"/>
      <c r="AI27" s="1381"/>
      <c r="AJ27" s="1381"/>
      <c r="AK27" s="1381"/>
      <c r="AL27" s="1381"/>
      <c r="AM27" s="1381"/>
      <c r="AN27" s="1381"/>
      <c r="AO27" s="1381"/>
      <c r="AP27" s="1381"/>
      <c r="AQ27" s="1381"/>
      <c r="AR27" s="1381"/>
      <c r="AS27" s="1381"/>
      <c r="AT27" s="1381"/>
      <c r="AU27" s="1381"/>
      <c r="AV27" s="1381"/>
      <c r="AW27" s="1381"/>
      <c r="AX27" s="1381"/>
      <c r="AY27" s="1381"/>
      <c r="AZ27" s="1381"/>
      <c r="BA27" s="1381"/>
      <c r="BB27" s="1381"/>
      <c r="BC27" s="1381"/>
      <c r="BD27" s="1381"/>
      <c r="BE27" s="1381"/>
      <c r="BF27" s="1381"/>
      <c r="BG27" s="1381"/>
      <c r="BH27" s="1381"/>
      <c r="BI27" s="1381"/>
      <c r="BJ27" s="1381"/>
      <c r="BK27" s="1381"/>
      <c r="BL27" s="1381"/>
      <c r="BM27" s="1381"/>
      <c r="BN27" s="1381"/>
      <c r="BO27" s="1381"/>
      <c r="BP27" s="1381"/>
      <c r="BQ27" s="1381"/>
      <c r="BR27" s="1381"/>
      <c r="BS27" s="1381"/>
      <c r="BT27" s="1381"/>
      <c r="BU27" s="1381"/>
      <c r="BV27" s="1381"/>
      <c r="BW27" s="1381"/>
      <c r="BX27" s="1381"/>
      <c r="BY27" s="1381"/>
      <c r="BZ27" s="1381"/>
      <c r="CA27" s="1381"/>
      <c r="CB27" s="1381"/>
      <c r="CC27" s="1381"/>
      <c r="CD27" s="1381"/>
      <c r="CE27" s="1381"/>
      <c r="CF27" s="1381"/>
      <c r="CG27" s="1381"/>
      <c r="CH27" s="1381"/>
      <c r="CI27" s="1381"/>
      <c r="CJ27" s="1381"/>
      <c r="CK27" s="1381"/>
      <c r="CL27" s="1381"/>
      <c r="CM27" s="1381"/>
      <c r="CN27" s="1381"/>
      <c r="CO27" s="1381"/>
      <c r="CP27" s="1381"/>
      <c r="CQ27" s="1381"/>
      <c r="CR27" s="1381"/>
      <c r="CS27" s="1381"/>
      <c r="CT27" s="1381"/>
      <c r="CU27" s="1381"/>
      <c r="CV27" s="1381"/>
      <c r="CW27" s="1381"/>
      <c r="CX27" s="1381"/>
      <c r="CY27" s="1381"/>
      <c r="CZ27" s="1381"/>
      <c r="DA27" s="1381"/>
      <c r="DB27" s="1381"/>
      <c r="DC27" s="1381"/>
      <c r="DD27" s="1381"/>
      <c r="DE27" s="1381"/>
      <c r="DF27" s="1381"/>
      <c r="DG27" s="1381"/>
      <c r="DH27" s="1381"/>
      <c r="DI27" s="1381"/>
      <c r="DJ27" s="1381"/>
      <c r="DK27" s="1381"/>
      <c r="DL27" s="1381"/>
      <c r="DM27" s="1381"/>
      <c r="DN27" s="1381"/>
      <c r="DO27" s="1381"/>
      <c r="DP27" s="1381"/>
      <c r="DQ27" s="1381"/>
      <c r="DR27" s="1381"/>
      <c r="DS27" s="1381"/>
      <c r="DT27" s="1381"/>
      <c r="DU27" s="1381"/>
      <c r="DV27" s="1381"/>
      <c r="DW27" s="1381"/>
      <c r="DX27" s="1381"/>
      <c r="DY27" s="1381"/>
      <c r="DZ27" s="1381"/>
      <c r="EA27" s="1381"/>
      <c r="EB27" s="1381"/>
      <c r="EC27" s="1381"/>
      <c r="ED27" s="1381"/>
      <c r="EE27" s="1381"/>
      <c r="EF27" s="1381"/>
      <c r="EG27" s="1381"/>
      <c r="EH27" s="1381"/>
      <c r="EI27" s="1381"/>
      <c r="EJ27" s="1381"/>
      <c r="EK27" s="1381"/>
      <c r="EL27" s="1381"/>
      <c r="EM27" s="1381"/>
      <c r="EN27" s="1381"/>
      <c r="EO27" s="1381"/>
      <c r="EP27" s="1381"/>
      <c r="EQ27" s="1381"/>
      <c r="ER27" s="1381"/>
      <c r="ES27" s="1381"/>
      <c r="ET27" s="1381"/>
      <c r="EU27" s="1381"/>
      <c r="EV27" s="1381"/>
      <c r="EW27" s="1381"/>
      <c r="EX27" s="1381"/>
      <c r="EY27" s="1381"/>
      <c r="EZ27" s="1381"/>
      <c r="FA27" s="1381"/>
      <c r="FB27" s="1381"/>
      <c r="FC27" s="1381"/>
    </row>
    <row r="28" spans="1:159" ht="15">
      <c r="A28" s="942"/>
      <c r="B28" s="1391"/>
      <c r="C28" s="1270"/>
      <c r="D28" s="1270"/>
      <c r="E28" s="1270"/>
      <c r="F28" s="1270"/>
      <c r="G28" s="1270"/>
      <c r="H28" s="1270"/>
      <c r="I28" s="1270"/>
      <c r="J28" s="1270"/>
      <c r="K28" s="1270"/>
      <c r="L28" s="1270"/>
      <c r="M28" s="1270"/>
      <c r="N28" s="1270"/>
      <c r="O28" s="1270"/>
      <c r="P28" s="1270"/>
      <c r="Q28" s="1393"/>
      <c r="R28" s="1381"/>
      <c r="S28" s="1381"/>
      <c r="T28" s="1381"/>
      <c r="U28" s="1381"/>
      <c r="V28" s="1381"/>
      <c r="W28" s="1381"/>
      <c r="X28" s="1381"/>
      <c r="Y28" s="1381"/>
      <c r="Z28" s="1381"/>
      <c r="AA28" s="1381"/>
      <c r="AB28" s="1381"/>
      <c r="AC28" s="1381"/>
      <c r="AD28" s="1381"/>
      <c r="AE28" s="1381"/>
      <c r="AF28" s="1381"/>
      <c r="AG28" s="1381"/>
      <c r="AH28" s="1381"/>
      <c r="AI28" s="1381"/>
      <c r="AJ28" s="1381"/>
      <c r="AK28" s="1381"/>
      <c r="AL28" s="1381"/>
      <c r="AM28" s="1381"/>
      <c r="AN28" s="1381"/>
      <c r="AO28" s="1381"/>
      <c r="AP28" s="1381"/>
      <c r="AQ28" s="1381"/>
      <c r="AR28" s="1381"/>
      <c r="AS28" s="1381"/>
      <c r="AT28" s="1381"/>
      <c r="AU28" s="1381"/>
      <c r="AV28" s="1381"/>
      <c r="AW28" s="1381"/>
      <c r="AX28" s="1381"/>
      <c r="AY28" s="1381"/>
      <c r="AZ28" s="1381"/>
      <c r="BA28" s="1381"/>
      <c r="BB28" s="1381"/>
      <c r="BC28" s="1381"/>
      <c r="BD28" s="1381"/>
      <c r="BE28" s="1381"/>
      <c r="BF28" s="1381"/>
      <c r="BG28" s="1381"/>
      <c r="BH28" s="1381"/>
      <c r="BI28" s="1381"/>
      <c r="BJ28" s="1381"/>
      <c r="BK28" s="1381"/>
      <c r="BL28" s="1381"/>
      <c r="BM28" s="1381"/>
      <c r="BN28" s="1381"/>
      <c r="BO28" s="1381"/>
      <c r="BP28" s="1381"/>
      <c r="BQ28" s="1381"/>
      <c r="BR28" s="1381"/>
      <c r="BS28" s="1381"/>
      <c r="BT28" s="1381"/>
      <c r="BU28" s="1381"/>
      <c r="BV28" s="1381"/>
      <c r="BW28" s="1381"/>
      <c r="BX28" s="1381"/>
      <c r="BY28" s="1381"/>
      <c r="BZ28" s="1381"/>
      <c r="CA28" s="1381"/>
      <c r="CB28" s="1381"/>
      <c r="CC28" s="1381"/>
      <c r="CD28" s="1381"/>
      <c r="CE28" s="1381"/>
      <c r="CF28" s="1381"/>
      <c r="CG28" s="1381"/>
      <c r="CH28" s="1381"/>
      <c r="CI28" s="1381"/>
      <c r="CJ28" s="1381"/>
      <c r="CK28" s="1381"/>
      <c r="CL28" s="1381"/>
      <c r="CM28" s="1381"/>
      <c r="CN28" s="1381"/>
      <c r="CO28" s="1381"/>
      <c r="CP28" s="1381"/>
      <c r="CQ28" s="1381"/>
      <c r="CR28" s="1381"/>
      <c r="CS28" s="1381"/>
      <c r="CT28" s="1381"/>
      <c r="CU28" s="1381"/>
      <c r="CV28" s="1381"/>
      <c r="CW28" s="1381"/>
      <c r="CX28" s="1381"/>
      <c r="CY28" s="1381"/>
      <c r="CZ28" s="1381"/>
      <c r="DA28" s="1381"/>
      <c r="DB28" s="1381"/>
      <c r="DC28" s="1381"/>
      <c r="DD28" s="1381"/>
      <c r="DE28" s="1381"/>
      <c r="DF28" s="1381"/>
      <c r="DG28" s="1381"/>
      <c r="DH28" s="1381"/>
      <c r="DI28" s="1381"/>
      <c r="DJ28" s="1381"/>
      <c r="DK28" s="1381"/>
      <c r="DL28" s="1381"/>
      <c r="DM28" s="1381"/>
      <c r="DN28" s="1381"/>
      <c r="DO28" s="1381"/>
      <c r="DP28" s="1381"/>
      <c r="DQ28" s="1381"/>
      <c r="DR28" s="1381"/>
      <c r="DS28" s="1381"/>
      <c r="DT28" s="1381"/>
      <c r="DU28" s="1381"/>
      <c r="DV28" s="1381"/>
      <c r="DW28" s="1381"/>
      <c r="DX28" s="1381"/>
      <c r="DY28" s="1381"/>
      <c r="DZ28" s="1381"/>
      <c r="EA28" s="1381"/>
      <c r="EB28" s="1381"/>
      <c r="EC28" s="1381"/>
      <c r="ED28" s="1381"/>
      <c r="EE28" s="1381"/>
      <c r="EF28" s="1381"/>
      <c r="EG28" s="1381"/>
      <c r="EH28" s="1381"/>
      <c r="EI28" s="1381"/>
      <c r="EJ28" s="1381"/>
      <c r="EK28" s="1381"/>
      <c r="EL28" s="1381"/>
      <c r="EM28" s="1381"/>
      <c r="EN28" s="1381"/>
      <c r="EO28" s="1381"/>
      <c r="EP28" s="1381"/>
      <c r="EQ28" s="1381"/>
      <c r="ER28" s="1381"/>
      <c r="ES28" s="1381"/>
      <c r="ET28" s="1381"/>
      <c r="EU28" s="1381"/>
      <c r="EV28" s="1381"/>
      <c r="EW28" s="1381"/>
      <c r="EX28" s="1381"/>
      <c r="EY28" s="1381"/>
      <c r="EZ28" s="1381"/>
      <c r="FA28" s="1381"/>
      <c r="FB28" s="1381"/>
      <c r="FC28" s="1381"/>
    </row>
    <row r="29" spans="1:159" ht="15.75" thickBot="1">
      <c r="A29" s="942"/>
      <c r="B29" s="1396"/>
      <c r="C29" s="1397"/>
      <c r="D29" s="1397"/>
      <c r="E29" s="1397"/>
      <c r="F29" s="1397"/>
      <c r="G29" s="1397"/>
      <c r="H29" s="1397"/>
      <c r="I29" s="1397"/>
      <c r="J29" s="1397"/>
      <c r="K29" s="1397"/>
      <c r="L29" s="1397"/>
      <c r="M29" s="1397"/>
      <c r="N29" s="1397"/>
      <c r="O29" s="1397"/>
      <c r="P29" s="1397"/>
      <c r="Q29" s="1398"/>
      <c r="R29" s="1381"/>
      <c r="S29" s="1381"/>
      <c r="T29" s="1381"/>
      <c r="U29" s="1381"/>
      <c r="V29" s="1381"/>
      <c r="W29" s="1381"/>
      <c r="X29" s="1381"/>
      <c r="Y29" s="1381"/>
      <c r="Z29" s="1381"/>
      <c r="AA29" s="1381"/>
      <c r="AB29" s="1381"/>
      <c r="AC29" s="1381"/>
      <c r="AD29" s="1381"/>
      <c r="AE29" s="1381"/>
      <c r="AF29" s="1381"/>
      <c r="AG29" s="1381"/>
      <c r="AH29" s="1381"/>
      <c r="AI29" s="1381"/>
      <c r="AJ29" s="1381"/>
      <c r="AK29" s="1381"/>
      <c r="AL29" s="1381"/>
      <c r="AM29" s="1381"/>
      <c r="AN29" s="1381"/>
      <c r="AO29" s="1381"/>
      <c r="AP29" s="1381"/>
      <c r="AQ29" s="1381"/>
      <c r="AR29" s="1381"/>
      <c r="AS29" s="1381"/>
      <c r="AT29" s="1381"/>
      <c r="AU29" s="1381"/>
      <c r="AV29" s="1381"/>
      <c r="AW29" s="1381"/>
      <c r="AX29" s="1381"/>
      <c r="AY29" s="1381"/>
      <c r="AZ29" s="1381"/>
      <c r="BA29" s="1381"/>
      <c r="BB29" s="1381"/>
      <c r="BC29" s="1381"/>
      <c r="BD29" s="1381"/>
      <c r="BE29" s="1381"/>
      <c r="BF29" s="1381"/>
      <c r="BG29" s="1381"/>
      <c r="BH29" s="1381"/>
      <c r="BI29" s="1381"/>
      <c r="BJ29" s="1381"/>
      <c r="BK29" s="1381"/>
      <c r="BL29" s="1381"/>
      <c r="BM29" s="1381"/>
      <c r="BN29" s="1381"/>
      <c r="BO29" s="1381"/>
      <c r="BP29" s="1381"/>
      <c r="BQ29" s="1381"/>
      <c r="BR29" s="1381"/>
      <c r="BS29" s="1381"/>
      <c r="BT29" s="1381"/>
      <c r="BU29" s="1381"/>
      <c r="BV29" s="1381"/>
      <c r="BW29" s="1381"/>
      <c r="BX29" s="1381"/>
      <c r="BY29" s="1381"/>
      <c r="BZ29" s="1381"/>
      <c r="CA29" s="1381"/>
      <c r="CB29" s="1381"/>
      <c r="CC29" s="1381"/>
      <c r="CD29" s="1381"/>
      <c r="CE29" s="1381"/>
      <c r="CF29" s="1381"/>
      <c r="CG29" s="1381"/>
      <c r="CH29" s="1381"/>
      <c r="CI29" s="1381"/>
      <c r="CJ29" s="1381"/>
      <c r="CK29" s="1381"/>
      <c r="CL29" s="1381"/>
      <c r="CM29" s="1381"/>
      <c r="CN29" s="1381"/>
      <c r="CO29" s="1381"/>
      <c r="CP29" s="1381"/>
      <c r="CQ29" s="1381"/>
      <c r="CR29" s="1381"/>
      <c r="CS29" s="1381"/>
      <c r="CT29" s="1381"/>
      <c r="CU29" s="1381"/>
      <c r="CV29" s="1381"/>
      <c r="CW29" s="1381"/>
      <c r="CX29" s="1381"/>
      <c r="CY29" s="1381"/>
      <c r="CZ29" s="1381"/>
      <c r="DA29" s="1381"/>
      <c r="DB29" s="1381"/>
      <c r="DC29" s="1381"/>
      <c r="DD29" s="1381"/>
      <c r="DE29" s="1381"/>
      <c r="DF29" s="1381"/>
      <c r="DG29" s="1381"/>
      <c r="DH29" s="1381"/>
      <c r="DI29" s="1381"/>
      <c r="DJ29" s="1381"/>
      <c r="DK29" s="1381"/>
      <c r="DL29" s="1381"/>
      <c r="DM29" s="1381"/>
      <c r="DN29" s="1381"/>
      <c r="DO29" s="1381"/>
      <c r="DP29" s="1381"/>
      <c r="DQ29" s="1381"/>
      <c r="DR29" s="1381"/>
      <c r="DS29" s="1381"/>
      <c r="DT29" s="1381"/>
      <c r="DU29" s="1381"/>
      <c r="DV29" s="1381"/>
      <c r="DW29" s="1381"/>
      <c r="DX29" s="1381"/>
      <c r="DY29" s="1381"/>
      <c r="DZ29" s="1381"/>
      <c r="EA29" s="1381"/>
      <c r="EB29" s="1381"/>
      <c r="EC29" s="1381"/>
      <c r="ED29" s="1381"/>
      <c r="EE29" s="1381"/>
      <c r="EF29" s="1381"/>
      <c r="EG29" s="1381"/>
      <c r="EH29" s="1381"/>
      <c r="EI29" s="1381"/>
      <c r="EJ29" s="1381"/>
      <c r="EK29" s="1381"/>
      <c r="EL29" s="1381"/>
      <c r="EM29" s="1381"/>
      <c r="EN29" s="1381"/>
      <c r="EO29" s="1381"/>
      <c r="EP29" s="1381"/>
      <c r="EQ29" s="1381"/>
      <c r="ER29" s="1381"/>
      <c r="ES29" s="1381"/>
      <c r="ET29" s="1381"/>
      <c r="EU29" s="1381"/>
      <c r="EV29" s="1381"/>
      <c r="EW29" s="1381"/>
      <c r="EX29" s="1381"/>
      <c r="EY29" s="1381"/>
      <c r="EZ29" s="1381"/>
      <c r="FA29" s="1381"/>
      <c r="FB29" s="1381"/>
      <c r="FC29" s="1381"/>
    </row>
    <row r="30" spans="1:159" ht="15.75" thickTop="1">
      <c r="A30" s="942"/>
      <c r="B30" s="942"/>
      <c r="C30" s="942"/>
      <c r="D30" s="942"/>
      <c r="E30" s="942"/>
      <c r="F30" s="942"/>
      <c r="G30" s="942"/>
      <c r="H30" s="942"/>
      <c r="I30" s="942"/>
      <c r="J30" s="942"/>
      <c r="K30" s="942"/>
      <c r="L30" s="942"/>
      <c r="M30" s="942"/>
      <c r="N30" s="942"/>
      <c r="O30" s="942"/>
      <c r="P30" s="942"/>
      <c r="Q30" s="942"/>
      <c r="R30" s="1381"/>
      <c r="S30" s="1381"/>
      <c r="T30" s="1381"/>
      <c r="U30" s="1381"/>
      <c r="V30" s="1381"/>
      <c r="W30" s="1381"/>
      <c r="X30" s="1381"/>
      <c r="Y30" s="1381"/>
      <c r="Z30" s="1381"/>
      <c r="AA30" s="1381"/>
      <c r="AB30" s="1381"/>
      <c r="AC30" s="1381"/>
      <c r="AD30" s="1381"/>
      <c r="AE30" s="1381"/>
      <c r="AF30" s="1381"/>
      <c r="AG30" s="1381"/>
      <c r="AH30" s="1381"/>
      <c r="AI30" s="1381"/>
      <c r="AJ30" s="1381"/>
      <c r="AK30" s="1381"/>
      <c r="AL30" s="1381"/>
      <c r="AM30" s="1381"/>
      <c r="AN30" s="1381"/>
      <c r="AO30" s="1381"/>
      <c r="AP30" s="1381"/>
      <c r="AQ30" s="1381"/>
      <c r="AR30" s="1381"/>
      <c r="AS30" s="1381"/>
      <c r="AT30" s="1381"/>
      <c r="AU30" s="1381"/>
      <c r="AV30" s="1381"/>
      <c r="AW30" s="1381"/>
      <c r="AX30" s="1381"/>
      <c r="AY30" s="1381"/>
      <c r="AZ30" s="1381"/>
      <c r="BA30" s="1381"/>
      <c r="BB30" s="1381"/>
      <c r="BC30" s="1381"/>
      <c r="BD30" s="1381"/>
      <c r="BE30" s="1381"/>
      <c r="BF30" s="1381"/>
      <c r="BG30" s="1381"/>
      <c r="BH30" s="1381"/>
      <c r="BI30" s="1381"/>
      <c r="BJ30" s="1381"/>
      <c r="BK30" s="1381"/>
      <c r="BL30" s="1381"/>
      <c r="BM30" s="1381"/>
      <c r="BN30" s="1381"/>
      <c r="BO30" s="1381"/>
      <c r="BP30" s="1381"/>
      <c r="BQ30" s="1381"/>
      <c r="BR30" s="1381"/>
      <c r="BS30" s="1381"/>
      <c r="BT30" s="1381"/>
      <c r="BU30" s="1381"/>
      <c r="BV30" s="1381"/>
      <c r="BW30" s="1381"/>
      <c r="BX30" s="1381"/>
      <c r="BY30" s="1381"/>
      <c r="BZ30" s="1381"/>
      <c r="CA30" s="1381"/>
      <c r="CB30" s="1381"/>
      <c r="CC30" s="1381"/>
      <c r="CD30" s="1381"/>
      <c r="CE30" s="1381"/>
      <c r="CF30" s="1381"/>
      <c r="CG30" s="1381"/>
      <c r="CH30" s="1381"/>
      <c r="CI30" s="1381"/>
      <c r="CJ30" s="1381"/>
      <c r="CK30" s="1381"/>
      <c r="CL30" s="1381"/>
      <c r="CM30" s="1381"/>
      <c r="CN30" s="1381"/>
      <c r="CO30" s="1381"/>
      <c r="CP30" s="1381"/>
      <c r="CQ30" s="1381"/>
      <c r="CR30" s="1381"/>
      <c r="CS30" s="1381"/>
      <c r="CT30" s="1381"/>
      <c r="CU30" s="1381"/>
      <c r="CV30" s="1381"/>
      <c r="CW30" s="1381"/>
      <c r="CX30" s="1381"/>
      <c r="CY30" s="1381"/>
      <c r="CZ30" s="1381"/>
      <c r="DA30" s="1381"/>
      <c r="DB30" s="1381"/>
      <c r="DC30" s="1381"/>
      <c r="DD30" s="1381"/>
      <c r="DE30" s="1381"/>
      <c r="DF30" s="1381"/>
      <c r="DG30" s="1381"/>
      <c r="DH30" s="1381"/>
      <c r="DI30" s="1381"/>
      <c r="DJ30" s="1381"/>
      <c r="DK30" s="1381"/>
      <c r="DL30" s="1381"/>
      <c r="DM30" s="1381"/>
      <c r="DN30" s="1381"/>
      <c r="DO30" s="1381"/>
      <c r="DP30" s="1381"/>
      <c r="DQ30" s="1381"/>
      <c r="DR30" s="1381"/>
      <c r="DS30" s="1381"/>
      <c r="DT30" s="1381"/>
      <c r="DU30" s="1381"/>
      <c r="DV30" s="1381"/>
      <c r="DW30" s="1381"/>
      <c r="DX30" s="1381"/>
      <c r="DY30" s="1381"/>
      <c r="DZ30" s="1381"/>
      <c r="EA30" s="1381"/>
      <c r="EB30" s="1381"/>
      <c r="EC30" s="1381"/>
      <c r="ED30" s="1381"/>
      <c r="EE30" s="1381"/>
      <c r="EF30" s="1381"/>
      <c r="EG30" s="1381"/>
      <c r="EH30" s="1381"/>
      <c r="EI30" s="1381"/>
      <c r="EJ30" s="1381"/>
      <c r="EK30" s="1381"/>
      <c r="EL30" s="1381"/>
      <c r="EM30" s="1381"/>
      <c r="EN30" s="1381"/>
      <c r="EO30" s="1381"/>
      <c r="EP30" s="1381"/>
      <c r="EQ30" s="1381"/>
      <c r="ER30" s="1381"/>
      <c r="ES30" s="1381"/>
      <c r="ET30" s="1381"/>
      <c r="EU30" s="1381"/>
      <c r="EV30" s="1381"/>
      <c r="EW30" s="1381"/>
      <c r="EX30" s="1381"/>
      <c r="EY30" s="1381"/>
      <c r="EZ30" s="1381"/>
      <c r="FA30" s="1381"/>
      <c r="FB30" s="1381"/>
      <c r="FC30" s="1381"/>
    </row>
    <row r="31" spans="1:159" ht="15" hidden="1">
      <c r="A31" s="942"/>
      <c r="B31" s="942"/>
      <c r="C31" s="942"/>
      <c r="D31" s="942"/>
      <c r="E31" s="942"/>
      <c r="F31" s="942"/>
      <c r="G31" s="942"/>
      <c r="H31" s="942"/>
      <c r="I31" s="942"/>
      <c r="J31" s="942"/>
      <c r="K31" s="942"/>
      <c r="L31" s="942"/>
      <c r="M31" s="942"/>
      <c r="N31" s="942"/>
      <c r="O31" s="942"/>
      <c r="P31" s="942"/>
      <c r="Q31" s="942"/>
      <c r="R31" s="1381"/>
      <c r="S31" s="1381"/>
      <c r="T31" s="1381"/>
      <c r="U31" s="1381"/>
      <c r="V31" s="1381"/>
      <c r="W31" s="1381"/>
      <c r="X31" s="1381"/>
      <c r="Y31" s="1381"/>
      <c r="Z31" s="1381"/>
      <c r="AA31" s="1381"/>
      <c r="AB31" s="1381"/>
      <c r="AC31" s="1381"/>
      <c r="AD31" s="1381"/>
      <c r="AE31" s="1381"/>
      <c r="AF31" s="1381"/>
      <c r="AG31" s="1381"/>
      <c r="AH31" s="1381"/>
      <c r="AI31" s="1381"/>
      <c r="AJ31" s="1381"/>
      <c r="AK31" s="1381"/>
      <c r="AL31" s="1381"/>
      <c r="AM31" s="1381"/>
      <c r="AN31" s="1381"/>
      <c r="AO31" s="1381"/>
      <c r="AP31" s="1381"/>
      <c r="AQ31" s="1381"/>
      <c r="AR31" s="1381"/>
      <c r="AS31" s="1381"/>
      <c r="AT31" s="1381"/>
      <c r="AU31" s="1381"/>
      <c r="AV31" s="1381"/>
      <c r="AW31" s="1381"/>
      <c r="AX31" s="1381"/>
      <c r="AY31" s="1381"/>
      <c r="AZ31" s="1381"/>
      <c r="BA31" s="1381"/>
      <c r="BB31" s="1381"/>
      <c r="BC31" s="1381"/>
      <c r="BD31" s="1381"/>
      <c r="BE31" s="1381"/>
      <c r="BF31" s="1381"/>
      <c r="BG31" s="1381"/>
      <c r="BH31" s="1381"/>
      <c r="BI31" s="1381"/>
      <c r="BJ31" s="1381"/>
      <c r="BK31" s="1381"/>
      <c r="BL31" s="1381"/>
      <c r="BM31" s="1381"/>
      <c r="BN31" s="1381"/>
      <c r="BO31" s="1381"/>
      <c r="BP31" s="1381"/>
      <c r="BQ31" s="1381"/>
      <c r="BR31" s="1381"/>
      <c r="BS31" s="1381"/>
      <c r="BT31" s="1381"/>
      <c r="BU31" s="1381"/>
      <c r="BV31" s="1381"/>
      <c r="BW31" s="1381"/>
      <c r="BX31" s="1381"/>
      <c r="BY31" s="1381"/>
      <c r="BZ31" s="1381"/>
      <c r="CA31" s="1381"/>
      <c r="CB31" s="1381"/>
      <c r="CC31" s="1381"/>
      <c r="CD31" s="1381"/>
      <c r="CE31" s="1381"/>
      <c r="CF31" s="1381"/>
      <c r="CG31" s="1381"/>
      <c r="CH31" s="1381"/>
      <c r="CI31" s="1381"/>
      <c r="CJ31" s="1381"/>
      <c r="CK31" s="1381"/>
      <c r="CL31" s="1381"/>
      <c r="CM31" s="1381"/>
      <c r="CN31" s="1381"/>
      <c r="CO31" s="1381"/>
      <c r="CP31" s="1381"/>
      <c r="CQ31" s="1381"/>
      <c r="CR31" s="1381"/>
      <c r="CS31" s="1381"/>
      <c r="CT31" s="1381"/>
      <c r="CU31" s="1381"/>
      <c r="CV31" s="1381"/>
      <c r="CW31" s="1381"/>
      <c r="CX31" s="1381"/>
      <c r="CY31" s="1381"/>
      <c r="CZ31" s="1381"/>
      <c r="DA31" s="1381"/>
      <c r="DB31" s="1381"/>
      <c r="DC31" s="1381"/>
      <c r="DD31" s="1381"/>
      <c r="DE31" s="1381"/>
      <c r="DF31" s="1381"/>
      <c r="DG31" s="1381"/>
      <c r="DH31" s="1381"/>
      <c r="DI31" s="1381"/>
      <c r="DJ31" s="1381"/>
      <c r="DK31" s="1381"/>
      <c r="DL31" s="1381"/>
      <c r="DM31" s="1381"/>
      <c r="DN31" s="1381"/>
      <c r="DO31" s="1381"/>
      <c r="DP31" s="1381"/>
      <c r="DQ31" s="1381"/>
      <c r="DR31" s="1381"/>
      <c r="DS31" s="1381"/>
      <c r="DT31" s="1381"/>
      <c r="DU31" s="1381"/>
      <c r="DV31" s="1381"/>
      <c r="DW31" s="1381"/>
      <c r="DX31" s="1381"/>
      <c r="DY31" s="1381"/>
      <c r="DZ31" s="1381"/>
      <c r="EA31" s="1381"/>
      <c r="EB31" s="1381"/>
      <c r="EC31" s="1381"/>
      <c r="ED31" s="1381"/>
      <c r="EE31" s="1381"/>
      <c r="EF31" s="1381"/>
      <c r="EG31" s="1381"/>
      <c r="EH31" s="1381"/>
      <c r="EI31" s="1381"/>
      <c r="EJ31" s="1381"/>
      <c r="EK31" s="1381"/>
      <c r="EL31" s="1381"/>
      <c r="EM31" s="1381"/>
      <c r="EN31" s="1381"/>
      <c r="EO31" s="1381"/>
      <c r="EP31" s="1381"/>
      <c r="EQ31" s="1381"/>
      <c r="ER31" s="1381"/>
      <c r="ES31" s="1381"/>
      <c r="ET31" s="1381"/>
      <c r="EU31" s="1381"/>
      <c r="EV31" s="1381"/>
      <c r="EW31" s="1381"/>
      <c r="EX31" s="1381"/>
      <c r="EY31" s="1381"/>
      <c r="EZ31" s="1381"/>
      <c r="FA31" s="1381"/>
      <c r="FB31" s="1381"/>
      <c r="FC31" s="1381"/>
    </row>
    <row r="32" spans="1:159" ht="15" hidden="1">
      <c r="A32" s="942"/>
      <c r="B32" s="942"/>
      <c r="C32" s="942"/>
      <c r="D32" s="942"/>
      <c r="E32" s="942"/>
      <c r="F32" s="942"/>
      <c r="G32" s="942"/>
      <c r="H32" s="942"/>
      <c r="I32" s="942"/>
      <c r="J32" s="942"/>
      <c r="K32" s="942"/>
      <c r="L32" s="942"/>
      <c r="M32" s="942"/>
      <c r="N32" s="942"/>
      <c r="O32" s="942"/>
      <c r="P32" s="942"/>
      <c r="Q32" s="942"/>
      <c r="R32" s="1381"/>
      <c r="S32" s="1381"/>
      <c r="T32" s="1381"/>
      <c r="U32" s="1381"/>
      <c r="V32" s="1381"/>
      <c r="W32" s="1381"/>
      <c r="X32" s="1381"/>
      <c r="Y32" s="1381"/>
      <c r="Z32" s="1381"/>
      <c r="AA32" s="1381"/>
      <c r="AB32" s="1381"/>
      <c r="AC32" s="1381"/>
      <c r="AD32" s="1381"/>
      <c r="AE32" s="1381"/>
      <c r="AF32" s="1381"/>
      <c r="AG32" s="1381"/>
      <c r="AH32" s="1381"/>
      <c r="AI32" s="1381"/>
      <c r="AJ32" s="1381"/>
      <c r="AK32" s="1381"/>
      <c r="AL32" s="1381"/>
      <c r="AM32" s="1381"/>
      <c r="AN32" s="1381"/>
      <c r="AO32" s="1381"/>
      <c r="AP32" s="1381"/>
      <c r="AQ32" s="1381"/>
      <c r="AR32" s="1381"/>
      <c r="AS32" s="1381"/>
      <c r="AT32" s="1381"/>
      <c r="AU32" s="1381"/>
      <c r="AV32" s="1381"/>
      <c r="AW32" s="1381"/>
      <c r="AX32" s="1381"/>
      <c r="AY32" s="1381"/>
      <c r="AZ32" s="1381"/>
      <c r="BA32" s="1381"/>
      <c r="BB32" s="1381"/>
      <c r="BC32" s="1381"/>
      <c r="BD32" s="1381"/>
      <c r="BE32" s="1381"/>
      <c r="BF32" s="1381"/>
      <c r="BG32" s="1381"/>
      <c r="BH32" s="1381"/>
      <c r="BI32" s="1381"/>
      <c r="BJ32" s="1381"/>
      <c r="BK32" s="1381"/>
      <c r="BL32" s="1381"/>
      <c r="BM32" s="1381"/>
      <c r="BN32" s="1381"/>
      <c r="BO32" s="1381"/>
      <c r="BP32" s="1381"/>
      <c r="BQ32" s="1381"/>
      <c r="BR32" s="1381"/>
      <c r="BS32" s="1381"/>
      <c r="BT32" s="1381"/>
      <c r="BU32" s="1381"/>
      <c r="BV32" s="1381"/>
      <c r="BW32" s="1381"/>
      <c r="BX32" s="1381"/>
      <c r="BY32" s="1381"/>
      <c r="BZ32" s="1381"/>
      <c r="CA32" s="1381"/>
      <c r="CB32" s="1381"/>
      <c r="CC32" s="1381"/>
      <c r="CD32" s="1381"/>
      <c r="CE32" s="1381"/>
      <c r="CF32" s="1381"/>
      <c r="CG32" s="1381"/>
      <c r="CH32" s="1381"/>
      <c r="CI32" s="1381"/>
      <c r="CJ32" s="1381"/>
      <c r="CK32" s="1381"/>
      <c r="CL32" s="1381"/>
      <c r="CM32" s="1381"/>
      <c r="CN32" s="1381"/>
      <c r="CO32" s="1381"/>
      <c r="CP32" s="1381"/>
      <c r="CQ32" s="1381"/>
      <c r="CR32" s="1381"/>
      <c r="CS32" s="1381"/>
      <c r="CT32" s="1381"/>
      <c r="CU32" s="1381"/>
      <c r="CV32" s="1381"/>
      <c r="CW32" s="1381"/>
      <c r="CX32" s="1381"/>
      <c r="CY32" s="1381"/>
      <c r="CZ32" s="1381"/>
      <c r="DA32" s="1381"/>
      <c r="DB32" s="1381"/>
      <c r="DC32" s="1381"/>
      <c r="DD32" s="1381"/>
      <c r="DE32" s="1381"/>
      <c r="DF32" s="1381"/>
      <c r="DG32" s="1381"/>
      <c r="DH32" s="1381"/>
      <c r="DI32" s="1381"/>
      <c r="DJ32" s="1381"/>
      <c r="DK32" s="1381"/>
      <c r="DL32" s="1381"/>
      <c r="DM32" s="1381"/>
      <c r="DN32" s="1381"/>
      <c r="DO32" s="1381"/>
      <c r="DP32" s="1381"/>
      <c r="DQ32" s="1381"/>
      <c r="DR32" s="1381"/>
      <c r="DS32" s="1381"/>
      <c r="DT32" s="1381"/>
      <c r="DU32" s="1381"/>
      <c r="DV32" s="1381"/>
      <c r="DW32" s="1381"/>
      <c r="DX32" s="1381"/>
      <c r="DY32" s="1381"/>
      <c r="DZ32" s="1381"/>
      <c r="EA32" s="1381"/>
      <c r="EB32" s="1381"/>
      <c r="EC32" s="1381"/>
      <c r="ED32" s="1381"/>
      <c r="EE32" s="1381"/>
      <c r="EF32" s="1381"/>
      <c r="EG32" s="1381"/>
      <c r="EH32" s="1381"/>
      <c r="EI32" s="1381"/>
      <c r="EJ32" s="1381"/>
      <c r="EK32" s="1381"/>
      <c r="EL32" s="1381"/>
      <c r="EM32" s="1381"/>
      <c r="EN32" s="1381"/>
      <c r="EO32" s="1381"/>
      <c r="EP32" s="1381"/>
      <c r="EQ32" s="1381"/>
      <c r="ER32" s="1381"/>
      <c r="ES32" s="1381"/>
      <c r="ET32" s="1381"/>
      <c r="EU32" s="1381"/>
      <c r="EV32" s="1381"/>
      <c r="EW32" s="1381"/>
      <c r="EX32" s="1381"/>
      <c r="EY32" s="1381"/>
      <c r="EZ32" s="1381"/>
      <c r="FA32" s="1381"/>
      <c r="FB32" s="1381"/>
      <c r="FC32" s="1381"/>
    </row>
    <row r="33" spans="1:159" ht="15" hidden="1">
      <c r="A33" s="942"/>
      <c r="B33" s="942"/>
      <c r="C33" s="942"/>
      <c r="D33" s="942"/>
      <c r="E33" s="942"/>
      <c r="F33" s="942"/>
      <c r="G33" s="942"/>
      <c r="H33" s="942"/>
      <c r="I33" s="942"/>
      <c r="J33" s="942"/>
      <c r="K33" s="942"/>
      <c r="L33" s="942"/>
      <c r="M33" s="942"/>
      <c r="N33" s="942"/>
      <c r="O33" s="942"/>
      <c r="P33" s="942"/>
      <c r="Q33" s="942"/>
      <c r="R33" s="1381"/>
      <c r="S33" s="1381"/>
      <c r="T33" s="1381"/>
      <c r="U33" s="1381"/>
      <c r="V33" s="1381"/>
      <c r="W33" s="1381"/>
      <c r="X33" s="1381"/>
      <c r="Y33" s="1381"/>
      <c r="Z33" s="1381"/>
      <c r="AA33" s="1381"/>
      <c r="AB33" s="1381"/>
      <c r="AC33" s="1381"/>
      <c r="AD33" s="1381"/>
      <c r="AE33" s="1381"/>
      <c r="AF33" s="1381"/>
      <c r="AG33" s="1381"/>
      <c r="AH33" s="1381"/>
      <c r="AI33" s="1381"/>
      <c r="AJ33" s="1381"/>
      <c r="AK33" s="1381"/>
      <c r="AL33" s="1381"/>
      <c r="AM33" s="1381"/>
      <c r="AN33" s="1381"/>
      <c r="AO33" s="1381"/>
      <c r="AP33" s="1381"/>
      <c r="AQ33" s="1381"/>
      <c r="AR33" s="1381"/>
      <c r="AS33" s="1381"/>
      <c r="AT33" s="1381"/>
      <c r="AU33" s="1381"/>
      <c r="AV33" s="1381"/>
      <c r="AW33" s="1381"/>
      <c r="AX33" s="1381"/>
      <c r="AY33" s="1381"/>
      <c r="AZ33" s="1381"/>
      <c r="BA33" s="1381"/>
      <c r="BB33" s="1381"/>
      <c r="BC33" s="1381"/>
      <c r="BD33" s="1381"/>
      <c r="BE33" s="1381"/>
      <c r="BF33" s="1381"/>
      <c r="BG33" s="1381"/>
      <c r="BH33" s="1381"/>
      <c r="BI33" s="1381"/>
      <c r="BJ33" s="1381"/>
      <c r="BK33" s="1381"/>
      <c r="BL33" s="1381"/>
      <c r="BM33" s="1381"/>
      <c r="BN33" s="1381"/>
      <c r="BO33" s="1381"/>
      <c r="BP33" s="1381"/>
      <c r="BQ33" s="1381"/>
      <c r="BR33" s="1381"/>
      <c r="BS33" s="1381"/>
      <c r="BT33" s="1381"/>
      <c r="BU33" s="1381"/>
      <c r="BV33" s="1381"/>
      <c r="BW33" s="1381"/>
      <c r="BX33" s="1381"/>
      <c r="BY33" s="1381"/>
      <c r="BZ33" s="1381"/>
      <c r="CA33" s="1381"/>
      <c r="CB33" s="1381"/>
      <c r="CC33" s="1381"/>
      <c r="CD33" s="1381"/>
      <c r="CE33" s="1381"/>
      <c r="CF33" s="1381"/>
      <c r="CG33" s="1381"/>
      <c r="CH33" s="1381"/>
      <c r="CI33" s="1381"/>
      <c r="CJ33" s="1381"/>
      <c r="CK33" s="1381"/>
      <c r="CL33" s="1381"/>
      <c r="CM33" s="1381"/>
      <c r="CN33" s="1381"/>
      <c r="CO33" s="1381"/>
      <c r="CP33" s="1381"/>
      <c r="CQ33" s="1381"/>
      <c r="CR33" s="1381"/>
      <c r="CS33" s="1381"/>
      <c r="CT33" s="1381"/>
      <c r="CU33" s="1381"/>
      <c r="CV33" s="1381"/>
      <c r="CW33" s="1381"/>
      <c r="CX33" s="1381"/>
      <c r="CY33" s="1381"/>
      <c r="CZ33" s="1381"/>
      <c r="DA33" s="1381"/>
      <c r="DB33" s="1381"/>
      <c r="DC33" s="1381"/>
      <c r="DD33" s="1381"/>
      <c r="DE33" s="1381"/>
      <c r="DF33" s="1381"/>
      <c r="DG33" s="1381"/>
      <c r="DH33" s="1381"/>
      <c r="DI33" s="1381"/>
      <c r="DJ33" s="1381"/>
      <c r="DK33" s="1381"/>
      <c r="DL33" s="1381"/>
      <c r="DM33" s="1381"/>
      <c r="DN33" s="1381"/>
      <c r="DO33" s="1381"/>
      <c r="DP33" s="1381"/>
      <c r="DQ33" s="1381"/>
      <c r="DR33" s="1381"/>
      <c r="DS33" s="1381"/>
      <c r="DT33" s="1381"/>
      <c r="DU33" s="1381"/>
      <c r="DV33" s="1381"/>
      <c r="DW33" s="1381"/>
      <c r="DX33" s="1381"/>
      <c r="DY33" s="1381"/>
      <c r="DZ33" s="1381"/>
      <c r="EA33" s="1381"/>
      <c r="EB33" s="1381"/>
      <c r="EC33" s="1381"/>
      <c r="ED33" s="1381"/>
      <c r="EE33" s="1381"/>
      <c r="EF33" s="1381"/>
      <c r="EG33" s="1381"/>
      <c r="EH33" s="1381"/>
      <c r="EI33" s="1381"/>
      <c r="EJ33" s="1381"/>
      <c r="EK33" s="1381"/>
      <c r="EL33" s="1381"/>
      <c r="EM33" s="1381"/>
      <c r="EN33" s="1381"/>
      <c r="EO33" s="1381"/>
      <c r="EP33" s="1381"/>
      <c r="EQ33" s="1381"/>
      <c r="ER33" s="1381"/>
      <c r="ES33" s="1381"/>
      <c r="ET33" s="1381"/>
      <c r="EU33" s="1381"/>
      <c r="EV33" s="1381"/>
      <c r="EW33" s="1381"/>
      <c r="EX33" s="1381"/>
      <c r="EY33" s="1381"/>
      <c r="EZ33" s="1381"/>
      <c r="FA33" s="1381"/>
      <c r="FB33" s="1381"/>
      <c r="FC33" s="1381"/>
    </row>
    <row r="34" spans="1:159" ht="15" hidden="1">
      <c r="A34" s="942"/>
      <c r="B34" s="942"/>
      <c r="C34" s="942"/>
      <c r="D34" s="942"/>
      <c r="E34" s="942"/>
      <c r="F34" s="942"/>
      <c r="G34" s="942"/>
      <c r="H34" s="942"/>
      <c r="I34" s="942"/>
      <c r="J34" s="942"/>
      <c r="K34" s="942"/>
      <c r="L34" s="942"/>
      <c r="M34" s="942"/>
      <c r="N34" s="942"/>
      <c r="O34" s="942"/>
      <c r="P34" s="942"/>
      <c r="Q34" s="942"/>
      <c r="R34" s="1381"/>
      <c r="S34" s="1381"/>
      <c r="T34" s="1381"/>
      <c r="U34" s="1381"/>
      <c r="V34" s="1381"/>
      <c r="W34" s="1381"/>
      <c r="X34" s="1381"/>
      <c r="Y34" s="1381"/>
      <c r="Z34" s="1381"/>
      <c r="AA34" s="1381"/>
      <c r="AB34" s="1381"/>
      <c r="AC34" s="1381"/>
      <c r="AD34" s="1381"/>
      <c r="AE34" s="1381"/>
      <c r="AF34" s="1381"/>
      <c r="AG34" s="1381"/>
      <c r="AH34" s="1381"/>
      <c r="AI34" s="1381"/>
      <c r="AJ34" s="1381"/>
      <c r="AK34" s="1381"/>
      <c r="AL34" s="1381"/>
      <c r="AM34" s="1381"/>
      <c r="AN34" s="1381"/>
      <c r="AO34" s="1381"/>
      <c r="AP34" s="1381"/>
      <c r="AQ34" s="1381"/>
      <c r="AR34" s="1381"/>
      <c r="AS34" s="1381"/>
      <c r="AT34" s="1381"/>
      <c r="AU34" s="1381"/>
      <c r="AV34" s="1381"/>
      <c r="AW34" s="1381"/>
      <c r="AX34" s="1381"/>
      <c r="AY34" s="1381"/>
      <c r="AZ34" s="1381"/>
      <c r="BA34" s="1381"/>
      <c r="BB34" s="1381"/>
      <c r="BC34" s="1381"/>
      <c r="BD34" s="1381"/>
      <c r="BE34" s="1381"/>
      <c r="BF34" s="1381"/>
      <c r="BG34" s="1381"/>
      <c r="BH34" s="1381"/>
      <c r="BI34" s="1381"/>
      <c r="BJ34" s="1381"/>
      <c r="BK34" s="1381"/>
      <c r="BL34" s="1381"/>
      <c r="BM34" s="1381"/>
      <c r="BN34" s="1381"/>
      <c r="BO34" s="1381"/>
      <c r="BP34" s="1381"/>
      <c r="BQ34" s="1381"/>
      <c r="BR34" s="1381"/>
      <c r="BS34" s="1381"/>
      <c r="BT34" s="1381"/>
      <c r="BU34" s="1381"/>
      <c r="BV34" s="1381"/>
      <c r="BW34" s="1381"/>
      <c r="BX34" s="1381"/>
      <c r="BY34" s="1381"/>
      <c r="BZ34" s="1381"/>
      <c r="CA34" s="1381"/>
      <c r="CB34" s="1381"/>
      <c r="CC34" s="1381"/>
      <c r="CD34" s="1381"/>
      <c r="CE34" s="1381"/>
      <c r="CF34" s="1381"/>
      <c r="CG34" s="1381"/>
      <c r="CH34" s="1381"/>
      <c r="CI34" s="1381"/>
      <c r="CJ34" s="1381"/>
      <c r="CK34" s="1381"/>
      <c r="CL34" s="1381"/>
      <c r="CM34" s="1381"/>
      <c r="CN34" s="1381"/>
      <c r="CO34" s="1381"/>
      <c r="CP34" s="1381"/>
      <c r="CQ34" s="1381"/>
      <c r="CR34" s="1381"/>
      <c r="CS34" s="1381"/>
      <c r="CT34" s="1381"/>
      <c r="CU34" s="1381"/>
      <c r="CV34" s="1381"/>
      <c r="CW34" s="1381"/>
      <c r="CX34" s="1381"/>
      <c r="CY34" s="1381"/>
      <c r="CZ34" s="1381"/>
      <c r="DA34" s="1381"/>
      <c r="DB34" s="1381"/>
      <c r="DC34" s="1381"/>
      <c r="DD34" s="1381"/>
      <c r="DE34" s="1381"/>
      <c r="DF34" s="1381"/>
      <c r="DG34" s="1381"/>
      <c r="DH34" s="1381"/>
      <c r="DI34" s="1381"/>
      <c r="DJ34" s="1381"/>
      <c r="DK34" s="1381"/>
      <c r="DL34" s="1381"/>
      <c r="DM34" s="1381"/>
      <c r="DN34" s="1381"/>
      <c r="DO34" s="1381"/>
      <c r="DP34" s="1381"/>
      <c r="DQ34" s="1381"/>
      <c r="DR34" s="1381"/>
      <c r="DS34" s="1381"/>
      <c r="DT34" s="1381"/>
      <c r="DU34" s="1381"/>
      <c r="DV34" s="1381"/>
      <c r="DW34" s="1381"/>
      <c r="DX34" s="1381"/>
      <c r="DY34" s="1381"/>
      <c r="DZ34" s="1381"/>
      <c r="EA34" s="1381"/>
      <c r="EB34" s="1381"/>
      <c r="EC34" s="1381"/>
      <c r="ED34" s="1381"/>
      <c r="EE34" s="1381"/>
      <c r="EF34" s="1381"/>
      <c r="EG34" s="1381"/>
      <c r="EH34" s="1381"/>
      <c r="EI34" s="1381"/>
      <c r="EJ34" s="1381"/>
      <c r="EK34" s="1381"/>
      <c r="EL34" s="1381"/>
      <c r="EM34" s="1381"/>
      <c r="EN34" s="1381"/>
      <c r="EO34" s="1381"/>
      <c r="EP34" s="1381"/>
      <c r="EQ34" s="1381"/>
      <c r="ER34" s="1381"/>
      <c r="ES34" s="1381"/>
      <c r="ET34" s="1381"/>
      <c r="EU34" s="1381"/>
      <c r="EV34" s="1381"/>
      <c r="EW34" s="1381"/>
      <c r="EX34" s="1381"/>
      <c r="EY34" s="1381"/>
      <c r="EZ34" s="1381"/>
      <c r="FA34" s="1381"/>
      <c r="FB34" s="1381"/>
      <c r="FC34" s="1381"/>
    </row>
    <row r="35" spans="1:159" ht="15" hidden="1">
      <c r="A35" s="942"/>
      <c r="B35" s="942"/>
      <c r="C35" s="942"/>
      <c r="D35" s="942"/>
      <c r="E35" s="942"/>
      <c r="F35" s="942"/>
      <c r="G35" s="942"/>
      <c r="H35" s="942"/>
      <c r="I35" s="942"/>
      <c r="J35" s="942"/>
      <c r="K35" s="942"/>
      <c r="L35" s="942"/>
      <c r="M35" s="942"/>
      <c r="N35" s="942"/>
      <c r="O35" s="942"/>
      <c r="P35" s="942"/>
      <c r="Q35" s="942"/>
      <c r="R35" s="1381"/>
      <c r="S35" s="1381"/>
      <c r="T35" s="1381"/>
      <c r="U35" s="1381"/>
      <c r="V35" s="1381"/>
      <c r="W35" s="1381"/>
      <c r="X35" s="1381"/>
      <c r="Y35" s="1381"/>
      <c r="Z35" s="1381"/>
      <c r="AA35" s="1381"/>
      <c r="AB35" s="1381"/>
      <c r="AC35" s="1381"/>
      <c r="AD35" s="1381"/>
      <c r="AE35" s="1381"/>
      <c r="AF35" s="1381"/>
      <c r="AG35" s="1381"/>
      <c r="AH35" s="1381"/>
      <c r="AI35" s="1381"/>
      <c r="AJ35" s="1381"/>
      <c r="AK35" s="1381"/>
      <c r="AL35" s="1381"/>
      <c r="AM35" s="1381"/>
      <c r="AN35" s="1381"/>
      <c r="AO35" s="1381"/>
      <c r="AP35" s="1381"/>
      <c r="AQ35" s="1381"/>
      <c r="AR35" s="1381"/>
      <c r="AS35" s="1381"/>
      <c r="AT35" s="1381"/>
      <c r="AU35" s="1381"/>
      <c r="AV35" s="1381"/>
      <c r="AW35" s="1381"/>
      <c r="AX35" s="1381"/>
      <c r="AY35" s="1381"/>
      <c r="AZ35" s="1381"/>
      <c r="BA35" s="1381"/>
      <c r="BB35" s="1381"/>
      <c r="BC35" s="1381"/>
      <c r="BD35" s="1381"/>
      <c r="BE35" s="1381"/>
      <c r="BF35" s="1381"/>
      <c r="BG35" s="1381"/>
      <c r="BH35" s="1381"/>
      <c r="BI35" s="1381"/>
      <c r="BJ35" s="1381"/>
      <c r="BK35" s="1381"/>
      <c r="BL35" s="1381"/>
      <c r="BM35" s="1381"/>
      <c r="BN35" s="1381"/>
      <c r="BO35" s="1381"/>
      <c r="BP35" s="1381"/>
      <c r="BQ35" s="1381"/>
      <c r="BR35" s="1381"/>
      <c r="BS35" s="1381"/>
      <c r="BT35" s="1381"/>
      <c r="BU35" s="1381"/>
      <c r="BV35" s="1381"/>
      <c r="BW35" s="1381"/>
      <c r="BX35" s="1381"/>
      <c r="BY35" s="1381"/>
      <c r="BZ35" s="1381"/>
      <c r="CA35" s="1381"/>
      <c r="CB35" s="1381"/>
      <c r="CC35" s="1381"/>
      <c r="CD35" s="1381"/>
      <c r="CE35" s="1381"/>
      <c r="CF35" s="1381"/>
      <c r="CG35" s="1381"/>
      <c r="CH35" s="1381"/>
      <c r="CI35" s="1381"/>
      <c r="CJ35" s="1381"/>
      <c r="CK35" s="1381"/>
      <c r="CL35" s="1381"/>
      <c r="CM35" s="1381"/>
      <c r="CN35" s="1381"/>
      <c r="CO35" s="1381"/>
      <c r="CP35" s="1381"/>
      <c r="CQ35" s="1381"/>
      <c r="CR35" s="1381"/>
      <c r="CS35" s="1381"/>
      <c r="CT35" s="1381"/>
      <c r="CU35" s="1381"/>
      <c r="CV35" s="1381"/>
      <c r="CW35" s="1381"/>
      <c r="CX35" s="1381"/>
      <c r="CY35" s="1381"/>
      <c r="CZ35" s="1381"/>
      <c r="DA35" s="1381"/>
      <c r="DB35" s="1381"/>
      <c r="DC35" s="1381"/>
      <c r="DD35" s="1381"/>
      <c r="DE35" s="1381"/>
      <c r="DF35" s="1381"/>
      <c r="DG35" s="1381"/>
      <c r="DH35" s="1381"/>
      <c r="DI35" s="1381"/>
      <c r="DJ35" s="1381"/>
      <c r="DK35" s="1381"/>
      <c r="DL35" s="1381"/>
      <c r="DM35" s="1381"/>
      <c r="DN35" s="1381"/>
      <c r="DO35" s="1381"/>
      <c r="DP35" s="1381"/>
      <c r="DQ35" s="1381"/>
      <c r="DR35" s="1381"/>
      <c r="DS35" s="1381"/>
      <c r="DT35" s="1381"/>
      <c r="DU35" s="1381"/>
      <c r="DV35" s="1381"/>
      <c r="DW35" s="1381"/>
      <c r="DX35" s="1381"/>
      <c r="DY35" s="1381"/>
      <c r="DZ35" s="1381"/>
      <c r="EA35" s="1381"/>
      <c r="EB35" s="1381"/>
      <c r="EC35" s="1381"/>
      <c r="ED35" s="1381"/>
      <c r="EE35" s="1381"/>
      <c r="EF35" s="1381"/>
      <c r="EG35" s="1381"/>
      <c r="EH35" s="1381"/>
      <c r="EI35" s="1381"/>
      <c r="EJ35" s="1381"/>
      <c r="EK35" s="1381"/>
      <c r="EL35" s="1381"/>
      <c r="EM35" s="1381"/>
      <c r="EN35" s="1381"/>
      <c r="EO35" s="1381"/>
      <c r="EP35" s="1381"/>
      <c r="EQ35" s="1381"/>
      <c r="ER35" s="1381"/>
      <c r="ES35" s="1381"/>
      <c r="ET35" s="1381"/>
      <c r="EU35" s="1381"/>
      <c r="EV35" s="1381"/>
      <c r="EW35" s="1381"/>
      <c r="EX35" s="1381"/>
      <c r="EY35" s="1381"/>
      <c r="EZ35" s="1381"/>
      <c r="FA35" s="1381"/>
      <c r="FB35" s="1381"/>
      <c r="FC35" s="1381"/>
    </row>
    <row r="36" spans="1:159" ht="15" hidden="1">
      <c r="A36" s="942"/>
      <c r="B36" s="942"/>
      <c r="C36" s="942"/>
      <c r="D36" s="942"/>
      <c r="E36" s="942"/>
      <c r="F36" s="942"/>
      <c r="G36" s="942"/>
      <c r="H36" s="942"/>
      <c r="I36" s="942"/>
      <c r="J36" s="942"/>
      <c r="K36" s="942"/>
      <c r="L36" s="942"/>
      <c r="M36" s="942"/>
      <c r="N36" s="942"/>
      <c r="O36" s="942"/>
      <c r="P36" s="942"/>
      <c r="Q36" s="942"/>
      <c r="R36" s="1381"/>
      <c r="S36" s="1381"/>
      <c r="T36" s="1381"/>
      <c r="U36" s="1381"/>
      <c r="V36" s="1381"/>
      <c r="W36" s="1381"/>
      <c r="X36" s="1381"/>
      <c r="Y36" s="1381"/>
      <c r="Z36" s="1381"/>
      <c r="AA36" s="1381"/>
      <c r="AB36" s="1381"/>
      <c r="AC36" s="1381"/>
      <c r="AD36" s="1381"/>
      <c r="AE36" s="1381"/>
      <c r="AF36" s="1381"/>
      <c r="AG36" s="1381"/>
      <c r="AH36" s="1381"/>
      <c r="AI36" s="1381"/>
      <c r="AJ36" s="1381"/>
      <c r="AK36" s="1381"/>
      <c r="AL36" s="1381"/>
      <c r="AM36" s="1381"/>
      <c r="AN36" s="1381"/>
      <c r="AO36" s="1381"/>
      <c r="AP36" s="1381"/>
      <c r="AQ36" s="1381"/>
      <c r="AR36" s="1381"/>
      <c r="AS36" s="1381"/>
      <c r="AT36" s="1381"/>
      <c r="AU36" s="1381"/>
      <c r="AV36" s="1381"/>
      <c r="AW36" s="1381"/>
      <c r="AX36" s="1381"/>
      <c r="AY36" s="1381"/>
      <c r="AZ36" s="1381"/>
      <c r="BA36" s="1381"/>
      <c r="BB36" s="1381"/>
      <c r="BC36" s="1381"/>
      <c r="BD36" s="1381"/>
      <c r="BE36" s="1381"/>
      <c r="BF36" s="1381"/>
      <c r="BG36" s="1381"/>
      <c r="BH36" s="1381"/>
      <c r="BI36" s="1381"/>
      <c r="BJ36" s="1381"/>
      <c r="BK36" s="1381"/>
      <c r="BL36" s="1381"/>
      <c r="BM36" s="1381"/>
      <c r="BN36" s="1381"/>
      <c r="BO36" s="1381"/>
      <c r="BP36" s="1381"/>
      <c r="BQ36" s="1381"/>
      <c r="BR36" s="1381"/>
      <c r="BS36" s="1381"/>
      <c r="BT36" s="1381"/>
      <c r="BU36" s="1381"/>
      <c r="BV36" s="1381"/>
      <c r="BW36" s="1381"/>
      <c r="BX36" s="1381"/>
      <c r="BY36" s="1381"/>
      <c r="BZ36" s="1381"/>
      <c r="CA36" s="1381"/>
      <c r="CB36" s="1381"/>
      <c r="CC36" s="1381"/>
      <c r="CD36" s="1381"/>
      <c r="CE36" s="1381"/>
      <c r="CF36" s="1381"/>
      <c r="CG36" s="1381"/>
      <c r="CH36" s="1381"/>
      <c r="CI36" s="1381"/>
      <c r="CJ36" s="1381"/>
      <c r="CK36" s="1381"/>
      <c r="CL36" s="1381"/>
      <c r="CM36" s="1381"/>
      <c r="CN36" s="1381"/>
      <c r="CO36" s="1381"/>
      <c r="CP36" s="1381"/>
      <c r="CQ36" s="1381"/>
      <c r="CR36" s="1381"/>
      <c r="CS36" s="1381"/>
      <c r="CT36" s="1381"/>
      <c r="CU36" s="1381"/>
      <c r="CV36" s="1381"/>
      <c r="CW36" s="1381"/>
      <c r="CX36" s="1381"/>
      <c r="CY36" s="1381"/>
      <c r="CZ36" s="1381"/>
      <c r="DA36" s="1381"/>
      <c r="DB36" s="1381"/>
      <c r="DC36" s="1381"/>
      <c r="DD36" s="1381"/>
      <c r="DE36" s="1381"/>
      <c r="DF36" s="1381"/>
      <c r="DG36" s="1381"/>
      <c r="DH36" s="1381"/>
      <c r="DI36" s="1381"/>
      <c r="DJ36" s="1381"/>
      <c r="DK36" s="1381"/>
      <c r="DL36" s="1381"/>
      <c r="DM36" s="1381"/>
      <c r="DN36" s="1381"/>
      <c r="DO36" s="1381"/>
      <c r="DP36" s="1381"/>
      <c r="DQ36" s="1381"/>
      <c r="DR36" s="1381"/>
      <c r="DS36" s="1381"/>
      <c r="DT36" s="1381"/>
      <c r="DU36" s="1381"/>
      <c r="DV36" s="1381"/>
      <c r="DW36" s="1381"/>
      <c r="DX36" s="1381"/>
      <c r="DY36" s="1381"/>
      <c r="DZ36" s="1381"/>
      <c r="EA36" s="1381"/>
      <c r="EB36" s="1381"/>
      <c r="EC36" s="1381"/>
      <c r="ED36" s="1381"/>
      <c r="EE36" s="1381"/>
      <c r="EF36" s="1381"/>
      <c r="EG36" s="1381"/>
      <c r="EH36" s="1381"/>
      <c r="EI36" s="1381"/>
      <c r="EJ36" s="1381"/>
      <c r="EK36" s="1381"/>
      <c r="EL36" s="1381"/>
      <c r="EM36" s="1381"/>
      <c r="EN36" s="1381"/>
      <c r="EO36" s="1381"/>
      <c r="EP36" s="1381"/>
      <c r="EQ36" s="1381"/>
      <c r="ER36" s="1381"/>
      <c r="ES36" s="1381"/>
      <c r="ET36" s="1381"/>
      <c r="EU36" s="1381"/>
      <c r="EV36" s="1381"/>
      <c r="EW36" s="1381"/>
      <c r="EX36" s="1381"/>
      <c r="EY36" s="1381"/>
      <c r="EZ36" s="1381"/>
      <c r="FA36" s="1381"/>
      <c r="FB36" s="1381"/>
      <c r="FC36" s="1381"/>
    </row>
    <row r="37" spans="1:159" ht="15" hidden="1">
      <c r="A37" s="942"/>
      <c r="B37" s="942"/>
      <c r="C37" s="942"/>
      <c r="D37" s="942"/>
      <c r="E37" s="942"/>
      <c r="F37" s="942"/>
      <c r="G37" s="942"/>
      <c r="H37" s="942"/>
      <c r="I37" s="942"/>
      <c r="J37" s="942"/>
      <c r="K37" s="942"/>
      <c r="L37" s="942"/>
      <c r="M37" s="942"/>
      <c r="N37" s="942"/>
      <c r="O37" s="942"/>
      <c r="P37" s="942"/>
      <c r="Q37" s="942"/>
      <c r="R37" s="1381"/>
      <c r="S37" s="1381"/>
      <c r="T37" s="1381"/>
      <c r="U37" s="1381"/>
      <c r="V37" s="1381"/>
      <c r="W37" s="1381"/>
      <c r="X37" s="1381"/>
      <c r="Y37" s="1381"/>
      <c r="Z37" s="1381"/>
      <c r="AA37" s="1381"/>
      <c r="AB37" s="1381"/>
      <c r="AC37" s="1381"/>
      <c r="AD37" s="1381"/>
      <c r="AE37" s="1381"/>
      <c r="AF37" s="1381"/>
      <c r="AG37" s="1381"/>
      <c r="AH37" s="1381"/>
      <c r="AI37" s="1381"/>
      <c r="AJ37" s="1381"/>
      <c r="AK37" s="1381"/>
      <c r="AL37" s="1381"/>
      <c r="AM37" s="1381"/>
      <c r="AN37" s="1381"/>
      <c r="AO37" s="1381"/>
      <c r="AP37" s="1381"/>
      <c r="AQ37" s="1381"/>
      <c r="AR37" s="1381"/>
      <c r="AS37" s="1381"/>
      <c r="AT37" s="1381"/>
      <c r="AU37" s="1381"/>
      <c r="AV37" s="1381"/>
      <c r="AW37" s="1381"/>
      <c r="AX37" s="1381"/>
      <c r="AY37" s="1381"/>
      <c r="AZ37" s="1381"/>
      <c r="BA37" s="1381"/>
      <c r="BB37" s="1381"/>
      <c r="BC37" s="1381"/>
      <c r="BD37" s="1381"/>
      <c r="BE37" s="1381"/>
      <c r="BF37" s="1381"/>
      <c r="BG37" s="1381"/>
      <c r="BH37" s="1381"/>
      <c r="BI37" s="1381"/>
      <c r="BJ37" s="1381"/>
      <c r="BK37" s="1381"/>
      <c r="BL37" s="1381"/>
      <c r="BM37" s="1381"/>
      <c r="BN37" s="1381"/>
      <c r="BO37" s="1381"/>
      <c r="BP37" s="1381"/>
      <c r="BQ37" s="1381"/>
      <c r="BR37" s="1381"/>
      <c r="BS37" s="1381"/>
      <c r="BT37" s="1381"/>
      <c r="BU37" s="1381"/>
      <c r="BV37" s="1381"/>
      <c r="BW37" s="1381"/>
      <c r="BX37" s="1381"/>
      <c r="BY37" s="1381"/>
      <c r="BZ37" s="1381"/>
      <c r="CA37" s="1381"/>
      <c r="CB37" s="1381"/>
      <c r="CC37" s="1381"/>
      <c r="CD37" s="1381"/>
      <c r="CE37" s="1381"/>
      <c r="CF37" s="1381"/>
      <c r="CG37" s="1381"/>
      <c r="CH37" s="1381"/>
      <c r="CI37" s="1381"/>
      <c r="CJ37" s="1381"/>
      <c r="CK37" s="1381"/>
      <c r="CL37" s="1381"/>
      <c r="CM37" s="1381"/>
      <c r="CN37" s="1381"/>
      <c r="CO37" s="1381"/>
      <c r="CP37" s="1381"/>
      <c r="CQ37" s="1381"/>
      <c r="CR37" s="1381"/>
      <c r="CS37" s="1381"/>
      <c r="CT37" s="1381"/>
      <c r="CU37" s="1381"/>
      <c r="CV37" s="1381"/>
      <c r="CW37" s="1381"/>
      <c r="CX37" s="1381"/>
      <c r="CY37" s="1381"/>
      <c r="CZ37" s="1381"/>
      <c r="DA37" s="1381"/>
      <c r="DB37" s="1381"/>
      <c r="DC37" s="1381"/>
      <c r="DD37" s="1381"/>
      <c r="DE37" s="1381"/>
      <c r="DF37" s="1381"/>
      <c r="DG37" s="1381"/>
      <c r="DH37" s="1381"/>
      <c r="DI37" s="1381"/>
      <c r="DJ37" s="1381"/>
      <c r="DK37" s="1381"/>
      <c r="DL37" s="1381"/>
      <c r="DM37" s="1381"/>
      <c r="DN37" s="1381"/>
      <c r="DO37" s="1381"/>
      <c r="DP37" s="1381"/>
      <c r="DQ37" s="1381"/>
      <c r="DR37" s="1381"/>
      <c r="DS37" s="1381"/>
      <c r="DT37" s="1381"/>
      <c r="DU37" s="1381"/>
      <c r="DV37" s="1381"/>
      <c r="DW37" s="1381"/>
      <c r="DX37" s="1381"/>
      <c r="DY37" s="1381"/>
      <c r="DZ37" s="1381"/>
      <c r="EA37" s="1381"/>
      <c r="EB37" s="1381"/>
      <c r="EC37" s="1381"/>
      <c r="ED37" s="1381"/>
      <c r="EE37" s="1381"/>
      <c r="EF37" s="1381"/>
      <c r="EG37" s="1381"/>
      <c r="EH37" s="1381"/>
      <c r="EI37" s="1381"/>
      <c r="EJ37" s="1381"/>
      <c r="EK37" s="1381"/>
      <c r="EL37" s="1381"/>
      <c r="EM37" s="1381"/>
      <c r="EN37" s="1381"/>
      <c r="EO37" s="1381"/>
      <c r="EP37" s="1381"/>
      <c r="EQ37" s="1381"/>
      <c r="ER37" s="1381"/>
      <c r="ES37" s="1381"/>
      <c r="ET37" s="1381"/>
      <c r="EU37" s="1381"/>
      <c r="EV37" s="1381"/>
      <c r="EW37" s="1381"/>
      <c r="EX37" s="1381"/>
      <c r="EY37" s="1381"/>
      <c r="EZ37" s="1381"/>
      <c r="FA37" s="1381"/>
      <c r="FB37" s="1381"/>
      <c r="FC37" s="1381"/>
    </row>
    <row r="38" spans="1:159" ht="15" hidden="1">
      <c r="A38" s="942"/>
      <c r="B38" s="942"/>
      <c r="C38" s="942"/>
      <c r="D38" s="942"/>
      <c r="E38" s="942"/>
      <c r="F38" s="942"/>
      <c r="G38" s="942"/>
      <c r="H38" s="942"/>
      <c r="I38" s="942"/>
      <c r="J38" s="942"/>
      <c r="K38" s="942"/>
      <c r="L38" s="942"/>
      <c r="M38" s="942"/>
      <c r="N38" s="942"/>
      <c r="O38" s="942"/>
      <c r="P38" s="942"/>
      <c r="Q38" s="942"/>
      <c r="R38" s="1381"/>
      <c r="S38" s="1381"/>
      <c r="T38" s="1381"/>
      <c r="U38" s="1381"/>
      <c r="V38" s="1381"/>
      <c r="W38" s="1381"/>
      <c r="X38" s="1381"/>
      <c r="Y38" s="1381"/>
      <c r="Z38" s="1381"/>
      <c r="AA38" s="1381"/>
      <c r="AB38" s="1381"/>
      <c r="AC38" s="1381"/>
      <c r="AD38" s="1381"/>
      <c r="AE38" s="1381"/>
      <c r="AF38" s="1381"/>
      <c r="AG38" s="1381"/>
      <c r="AH38" s="1381"/>
      <c r="AI38" s="1381"/>
      <c r="AJ38" s="1381"/>
      <c r="AK38" s="1381"/>
      <c r="AL38" s="1381"/>
      <c r="AM38" s="1381"/>
      <c r="AN38" s="1381"/>
      <c r="AO38" s="1381"/>
      <c r="AP38" s="1381"/>
      <c r="AQ38" s="1381"/>
      <c r="AR38" s="1381"/>
      <c r="AS38" s="1381"/>
      <c r="AT38" s="1381"/>
      <c r="AU38" s="1381"/>
      <c r="AV38" s="1381"/>
      <c r="AW38" s="1381"/>
      <c r="AX38" s="1381"/>
      <c r="AY38" s="1381"/>
      <c r="AZ38" s="1381"/>
      <c r="BA38" s="1381"/>
      <c r="BB38" s="1381"/>
      <c r="BC38" s="1381"/>
      <c r="BD38" s="1381"/>
      <c r="BE38" s="1381"/>
      <c r="BF38" s="1381"/>
      <c r="BG38" s="1381"/>
      <c r="BH38" s="1381"/>
      <c r="BI38" s="1381"/>
      <c r="BJ38" s="1381"/>
      <c r="BK38" s="1381"/>
      <c r="BL38" s="1381"/>
      <c r="BM38" s="1381"/>
      <c r="BN38" s="1381"/>
      <c r="BO38" s="1381"/>
      <c r="BP38" s="1381"/>
      <c r="BQ38" s="1381"/>
      <c r="BR38" s="1381"/>
      <c r="BS38" s="1381"/>
      <c r="BT38" s="1381"/>
      <c r="BU38" s="1381"/>
      <c r="BV38" s="1381"/>
      <c r="BW38" s="1381"/>
      <c r="BX38" s="1381"/>
      <c r="BY38" s="1381"/>
      <c r="BZ38" s="1381"/>
      <c r="CA38" s="1381"/>
      <c r="CB38" s="1381"/>
      <c r="CC38" s="1381"/>
      <c r="CD38" s="1381"/>
      <c r="CE38" s="1381"/>
      <c r="CF38" s="1381"/>
      <c r="CG38" s="1381"/>
      <c r="CH38" s="1381"/>
      <c r="CI38" s="1381"/>
      <c r="CJ38" s="1381"/>
      <c r="CK38" s="1381"/>
      <c r="CL38" s="1381"/>
      <c r="CM38" s="1381"/>
      <c r="CN38" s="1381"/>
      <c r="CO38" s="1381"/>
      <c r="CP38" s="1381"/>
      <c r="CQ38" s="1381"/>
      <c r="CR38" s="1381"/>
      <c r="CS38" s="1381"/>
      <c r="CT38" s="1381"/>
      <c r="CU38" s="1381"/>
      <c r="CV38" s="1381"/>
      <c r="CW38" s="1381"/>
      <c r="CX38" s="1381"/>
      <c r="CY38" s="1381"/>
      <c r="CZ38" s="1381"/>
      <c r="DA38" s="1381"/>
      <c r="DB38" s="1381"/>
      <c r="DC38" s="1381"/>
      <c r="DD38" s="1381"/>
      <c r="DE38" s="1381"/>
      <c r="DF38" s="1381"/>
      <c r="DG38" s="1381"/>
      <c r="DH38" s="1381"/>
      <c r="DI38" s="1381"/>
      <c r="DJ38" s="1381"/>
      <c r="DK38" s="1381"/>
      <c r="DL38" s="1381"/>
      <c r="DM38" s="1381"/>
      <c r="DN38" s="1381"/>
      <c r="DO38" s="1381"/>
      <c r="DP38" s="1381"/>
      <c r="DQ38" s="1381"/>
      <c r="DR38" s="1381"/>
      <c r="DS38" s="1381"/>
      <c r="DT38" s="1381"/>
      <c r="DU38" s="1381"/>
      <c r="DV38" s="1381"/>
      <c r="DW38" s="1381"/>
      <c r="DX38" s="1381"/>
      <c r="DY38" s="1381"/>
      <c r="DZ38" s="1381"/>
      <c r="EA38" s="1381"/>
      <c r="EB38" s="1381"/>
      <c r="EC38" s="1381"/>
      <c r="ED38" s="1381"/>
      <c r="EE38" s="1381"/>
      <c r="EF38" s="1381"/>
      <c r="EG38" s="1381"/>
      <c r="EH38" s="1381"/>
      <c r="EI38" s="1381"/>
      <c r="EJ38" s="1381"/>
      <c r="EK38" s="1381"/>
      <c r="EL38" s="1381"/>
      <c r="EM38" s="1381"/>
      <c r="EN38" s="1381"/>
      <c r="EO38" s="1381"/>
      <c r="EP38" s="1381"/>
      <c r="EQ38" s="1381"/>
      <c r="ER38" s="1381"/>
      <c r="ES38" s="1381"/>
      <c r="ET38" s="1381"/>
      <c r="EU38" s="1381"/>
      <c r="EV38" s="1381"/>
      <c r="EW38" s="1381"/>
      <c r="EX38" s="1381"/>
      <c r="EY38" s="1381"/>
      <c r="EZ38" s="1381"/>
      <c r="FA38" s="1381"/>
      <c r="FB38" s="1381"/>
      <c r="FC38" s="1381"/>
    </row>
    <row r="39" spans="1:159" ht="15" hidden="1">
      <c r="A39" s="942"/>
      <c r="B39" s="942"/>
      <c r="C39" s="942"/>
      <c r="D39" s="942"/>
      <c r="E39" s="942"/>
      <c r="F39" s="942"/>
      <c r="G39" s="942"/>
      <c r="H39" s="942"/>
      <c r="I39" s="942"/>
      <c r="J39" s="942"/>
      <c r="K39" s="942"/>
      <c r="L39" s="942"/>
      <c r="M39" s="942"/>
      <c r="N39" s="942"/>
      <c r="O39" s="942"/>
      <c r="P39" s="942"/>
      <c r="Q39" s="942"/>
      <c r="R39" s="1381"/>
      <c r="S39" s="1381"/>
      <c r="T39" s="1381"/>
      <c r="U39" s="1381"/>
      <c r="V39" s="1381"/>
      <c r="W39" s="1381"/>
      <c r="X39" s="1381"/>
      <c r="Y39" s="1381"/>
      <c r="Z39" s="1381"/>
      <c r="AA39" s="1381"/>
      <c r="AB39" s="1381"/>
      <c r="AC39" s="1381"/>
      <c r="AD39" s="1381"/>
      <c r="AE39" s="1381"/>
      <c r="AF39" s="1381"/>
      <c r="AG39" s="1381"/>
      <c r="AH39" s="1381"/>
      <c r="AI39" s="1381"/>
      <c r="AJ39" s="1381"/>
      <c r="AK39" s="1381"/>
      <c r="AL39" s="1381"/>
      <c r="AM39" s="1381"/>
      <c r="AN39" s="1381"/>
      <c r="AO39" s="1381"/>
      <c r="AP39" s="1381"/>
      <c r="AQ39" s="1381"/>
      <c r="AR39" s="1381"/>
      <c r="AS39" s="1381"/>
      <c r="AT39" s="1381"/>
      <c r="AU39" s="1381"/>
      <c r="AV39" s="1381"/>
      <c r="AW39" s="1381"/>
      <c r="AX39" s="1381"/>
      <c r="AY39" s="1381"/>
      <c r="AZ39" s="1381"/>
      <c r="BA39" s="1381"/>
      <c r="BB39" s="1381"/>
      <c r="BC39" s="1381"/>
      <c r="BD39" s="1381"/>
      <c r="BE39" s="1381"/>
      <c r="BF39" s="1381"/>
      <c r="BG39" s="1381"/>
      <c r="BH39" s="1381"/>
      <c r="BI39" s="1381"/>
      <c r="BJ39" s="1381"/>
      <c r="BK39" s="1381"/>
      <c r="BL39" s="1381"/>
      <c r="BM39" s="1381"/>
      <c r="BN39" s="1381"/>
      <c r="BO39" s="1381"/>
      <c r="BP39" s="1381"/>
      <c r="BQ39" s="1381"/>
      <c r="BR39" s="1381"/>
      <c r="BS39" s="1381"/>
      <c r="BT39" s="1381"/>
      <c r="BU39" s="1381"/>
      <c r="BV39" s="1381"/>
      <c r="BW39" s="1381"/>
      <c r="BX39" s="1381"/>
      <c r="BY39" s="1381"/>
      <c r="BZ39" s="1381"/>
      <c r="CA39" s="1381"/>
      <c r="CB39" s="1381"/>
      <c r="CC39" s="1381"/>
      <c r="CD39" s="1381"/>
      <c r="CE39" s="1381"/>
      <c r="CF39" s="1381"/>
      <c r="CG39" s="1381"/>
      <c r="CH39" s="1381"/>
      <c r="CI39" s="1381"/>
      <c r="CJ39" s="1381"/>
      <c r="CK39" s="1381"/>
      <c r="CL39" s="1381"/>
      <c r="CM39" s="1381"/>
      <c r="CN39" s="1381"/>
      <c r="CO39" s="1381"/>
      <c r="CP39" s="1381"/>
      <c r="CQ39" s="1381"/>
      <c r="CR39" s="1381"/>
      <c r="CS39" s="1381"/>
      <c r="CT39" s="1381"/>
      <c r="CU39" s="1381"/>
      <c r="CV39" s="1381"/>
      <c r="CW39" s="1381"/>
      <c r="CX39" s="1381"/>
      <c r="CY39" s="1381"/>
      <c r="CZ39" s="1381"/>
      <c r="DA39" s="1381"/>
      <c r="DB39" s="1381"/>
      <c r="DC39" s="1381"/>
      <c r="DD39" s="1381"/>
      <c r="DE39" s="1381"/>
      <c r="DF39" s="1381"/>
      <c r="DG39" s="1381"/>
      <c r="DH39" s="1381"/>
      <c r="DI39" s="1381"/>
      <c r="DJ39" s="1381"/>
      <c r="DK39" s="1381"/>
      <c r="DL39" s="1381"/>
      <c r="DM39" s="1381"/>
      <c r="DN39" s="1381"/>
      <c r="DO39" s="1381"/>
      <c r="DP39" s="1381"/>
      <c r="DQ39" s="1381"/>
      <c r="DR39" s="1381"/>
      <c r="DS39" s="1381"/>
      <c r="DT39" s="1381"/>
      <c r="DU39" s="1381"/>
      <c r="DV39" s="1381"/>
      <c r="DW39" s="1381"/>
      <c r="DX39" s="1381"/>
      <c r="DY39" s="1381"/>
      <c r="DZ39" s="1381"/>
      <c r="EA39" s="1381"/>
      <c r="EB39" s="1381"/>
      <c r="EC39" s="1381"/>
      <c r="ED39" s="1381"/>
      <c r="EE39" s="1381"/>
      <c r="EF39" s="1381"/>
      <c r="EG39" s="1381"/>
      <c r="EH39" s="1381"/>
      <c r="EI39" s="1381"/>
      <c r="EJ39" s="1381"/>
      <c r="EK39" s="1381"/>
      <c r="EL39" s="1381"/>
      <c r="EM39" s="1381"/>
      <c r="EN39" s="1381"/>
      <c r="EO39" s="1381"/>
      <c r="EP39" s="1381"/>
      <c r="EQ39" s="1381"/>
      <c r="ER39" s="1381"/>
      <c r="ES39" s="1381"/>
      <c r="ET39" s="1381"/>
      <c r="EU39" s="1381"/>
      <c r="EV39" s="1381"/>
      <c r="EW39" s="1381"/>
      <c r="EX39" s="1381"/>
      <c r="EY39" s="1381"/>
      <c r="EZ39" s="1381"/>
      <c r="FA39" s="1381"/>
      <c r="FB39" s="1381"/>
      <c r="FC39" s="1381"/>
    </row>
    <row r="40" spans="1:159" ht="15" hidden="1">
      <c r="A40" s="942"/>
      <c r="B40" s="942"/>
      <c r="C40" s="942"/>
      <c r="D40" s="942"/>
      <c r="E40" s="942"/>
      <c r="F40" s="942"/>
      <c r="G40" s="942"/>
      <c r="H40" s="942"/>
      <c r="I40" s="942"/>
      <c r="J40" s="942"/>
      <c r="K40" s="942"/>
      <c r="L40" s="942"/>
      <c r="M40" s="942"/>
      <c r="N40" s="942"/>
      <c r="O40" s="942"/>
      <c r="P40" s="942"/>
      <c r="Q40" s="942"/>
      <c r="R40" s="1381"/>
      <c r="S40" s="1381"/>
      <c r="T40" s="1381"/>
      <c r="U40" s="1381"/>
      <c r="V40" s="1381"/>
      <c r="W40" s="1381"/>
      <c r="X40" s="1381"/>
      <c r="Y40" s="1381"/>
      <c r="Z40" s="1381"/>
      <c r="AA40" s="1381"/>
      <c r="AB40" s="1381"/>
      <c r="AC40" s="1381"/>
      <c r="AD40" s="1381"/>
      <c r="AE40" s="1381"/>
      <c r="AF40" s="1381"/>
      <c r="AG40" s="1381"/>
      <c r="AH40" s="1381"/>
      <c r="AI40" s="1381"/>
      <c r="AJ40" s="1381"/>
      <c r="AK40" s="1381"/>
      <c r="AL40" s="1381"/>
      <c r="AM40" s="1381"/>
      <c r="AN40" s="1381"/>
      <c r="AO40" s="1381"/>
      <c r="AP40" s="1381"/>
      <c r="AQ40" s="1381"/>
      <c r="AR40" s="1381"/>
      <c r="AS40" s="1381"/>
      <c r="AT40" s="1381"/>
      <c r="AU40" s="1381"/>
      <c r="AV40" s="1381"/>
      <c r="AW40" s="1381"/>
      <c r="AX40" s="1381"/>
      <c r="AY40" s="1381"/>
      <c r="AZ40" s="1381"/>
      <c r="BA40" s="1381"/>
      <c r="BB40" s="1381"/>
      <c r="BC40" s="1381"/>
      <c r="BD40" s="1381"/>
      <c r="BE40" s="1381"/>
      <c r="BF40" s="1381"/>
      <c r="BG40" s="1381"/>
      <c r="BH40" s="1381"/>
      <c r="BI40" s="1381"/>
      <c r="BJ40" s="1381"/>
      <c r="BK40" s="1381"/>
      <c r="BL40" s="1381"/>
      <c r="BM40" s="1381"/>
      <c r="BN40" s="1381"/>
      <c r="BO40" s="1381"/>
      <c r="BP40" s="1381"/>
      <c r="BQ40" s="1381"/>
      <c r="BR40" s="1381"/>
      <c r="BS40" s="1381"/>
      <c r="BT40" s="1381"/>
      <c r="BU40" s="1381"/>
      <c r="BV40" s="1381"/>
      <c r="BW40" s="1381"/>
      <c r="BX40" s="1381"/>
      <c r="BY40" s="1381"/>
      <c r="BZ40" s="1381"/>
      <c r="CA40" s="1381"/>
      <c r="CB40" s="1381"/>
      <c r="CC40" s="1381"/>
      <c r="CD40" s="1381"/>
      <c r="CE40" s="1381"/>
      <c r="CF40" s="1381"/>
      <c r="CG40" s="1381"/>
      <c r="CH40" s="1381"/>
      <c r="CI40" s="1381"/>
      <c r="CJ40" s="1381"/>
      <c r="CK40" s="1381"/>
      <c r="CL40" s="1381"/>
      <c r="CM40" s="1381"/>
      <c r="CN40" s="1381"/>
      <c r="CO40" s="1381"/>
      <c r="CP40" s="1381"/>
      <c r="CQ40" s="1381"/>
      <c r="CR40" s="1381"/>
      <c r="CS40" s="1381"/>
      <c r="CT40" s="1381"/>
      <c r="CU40" s="1381"/>
      <c r="CV40" s="1381"/>
      <c r="CW40" s="1381"/>
      <c r="CX40" s="1381"/>
      <c r="CY40" s="1381"/>
      <c r="CZ40" s="1381"/>
      <c r="DA40" s="1381"/>
      <c r="DB40" s="1381"/>
      <c r="DC40" s="1381"/>
      <c r="DD40" s="1381"/>
      <c r="DE40" s="1381"/>
      <c r="DF40" s="1381"/>
      <c r="DG40" s="1381"/>
      <c r="DH40" s="1381"/>
      <c r="DI40" s="1381"/>
      <c r="DJ40" s="1381"/>
      <c r="DK40" s="1381"/>
      <c r="DL40" s="1381"/>
      <c r="DM40" s="1381"/>
      <c r="DN40" s="1381"/>
      <c r="DO40" s="1381"/>
      <c r="DP40" s="1381"/>
      <c r="DQ40" s="1381"/>
      <c r="DR40" s="1381"/>
      <c r="DS40" s="1381"/>
      <c r="DT40" s="1381"/>
      <c r="DU40" s="1381"/>
      <c r="DV40" s="1381"/>
      <c r="DW40" s="1381"/>
      <c r="DX40" s="1381"/>
      <c r="DY40" s="1381"/>
      <c r="DZ40" s="1381"/>
      <c r="EA40" s="1381"/>
      <c r="EB40" s="1381"/>
      <c r="EC40" s="1381"/>
      <c r="ED40" s="1381"/>
      <c r="EE40" s="1381"/>
      <c r="EF40" s="1381"/>
      <c r="EG40" s="1381"/>
      <c r="EH40" s="1381"/>
      <c r="EI40" s="1381"/>
      <c r="EJ40" s="1381"/>
      <c r="EK40" s="1381"/>
      <c r="EL40" s="1381"/>
      <c r="EM40" s="1381"/>
      <c r="EN40" s="1381"/>
      <c r="EO40" s="1381"/>
      <c r="EP40" s="1381"/>
      <c r="EQ40" s="1381"/>
      <c r="ER40" s="1381"/>
      <c r="ES40" s="1381"/>
      <c r="ET40" s="1381"/>
      <c r="EU40" s="1381"/>
      <c r="EV40" s="1381"/>
      <c r="EW40" s="1381"/>
      <c r="EX40" s="1381"/>
      <c r="EY40" s="1381"/>
      <c r="EZ40" s="1381"/>
      <c r="FA40" s="1381"/>
      <c r="FB40" s="1381"/>
      <c r="FC40" s="1381"/>
    </row>
    <row r="41" spans="1:159" ht="15" hidden="1">
      <c r="A41" s="942"/>
      <c r="B41" s="942"/>
      <c r="C41" s="942"/>
      <c r="D41" s="942"/>
      <c r="E41" s="942"/>
      <c r="F41" s="942"/>
      <c r="G41" s="942"/>
      <c r="H41" s="942"/>
      <c r="I41" s="942"/>
      <c r="J41" s="942"/>
      <c r="K41" s="942"/>
      <c r="L41" s="942"/>
      <c r="M41" s="942"/>
      <c r="N41" s="942"/>
      <c r="O41" s="942"/>
      <c r="P41" s="942"/>
      <c r="Q41" s="942"/>
      <c r="R41" s="1381"/>
      <c r="S41" s="1381"/>
      <c r="T41" s="1381"/>
      <c r="U41" s="1381"/>
      <c r="V41" s="1381"/>
      <c r="W41" s="1381"/>
      <c r="X41" s="1381"/>
      <c r="Y41" s="1381"/>
      <c r="Z41" s="1381"/>
      <c r="AA41" s="1381"/>
      <c r="AB41" s="1381"/>
      <c r="AC41" s="1381"/>
      <c r="AD41" s="1381"/>
      <c r="AE41" s="1381"/>
      <c r="AF41" s="1381"/>
      <c r="AG41" s="1381"/>
      <c r="AH41" s="1381"/>
      <c r="AI41" s="1381"/>
      <c r="AJ41" s="1381"/>
      <c r="AK41" s="1381"/>
      <c r="AL41" s="1381"/>
      <c r="AM41" s="1381"/>
      <c r="AN41" s="1381"/>
      <c r="AO41" s="1381"/>
      <c r="AP41" s="1381"/>
      <c r="AQ41" s="1381"/>
      <c r="AR41" s="1381"/>
      <c r="AS41" s="1381"/>
      <c r="AT41" s="1381"/>
      <c r="AU41" s="1381"/>
      <c r="AV41" s="1381"/>
      <c r="AW41" s="1381"/>
      <c r="AX41" s="1381"/>
      <c r="AY41" s="1381"/>
      <c r="AZ41" s="1381"/>
      <c r="BA41" s="1381"/>
      <c r="BB41" s="1381"/>
      <c r="BC41" s="1381"/>
      <c r="BD41" s="1381"/>
      <c r="BE41" s="1381"/>
      <c r="BF41" s="1381"/>
      <c r="BG41" s="1381"/>
      <c r="BH41" s="1381"/>
      <c r="BI41" s="1381"/>
      <c r="BJ41" s="1381"/>
      <c r="BK41" s="1381"/>
      <c r="BL41" s="1381"/>
      <c r="BM41" s="1381"/>
      <c r="BN41" s="1381"/>
      <c r="BO41" s="1381"/>
      <c r="BP41" s="1381"/>
      <c r="BQ41" s="1381"/>
      <c r="BR41" s="1381"/>
      <c r="BS41" s="1381"/>
      <c r="BT41" s="1381"/>
      <c r="BU41" s="1381"/>
      <c r="BV41" s="1381"/>
      <c r="BW41" s="1381"/>
      <c r="BX41" s="1381"/>
      <c r="BY41" s="1381"/>
      <c r="BZ41" s="1381"/>
      <c r="CA41" s="1381"/>
      <c r="CB41" s="1381"/>
      <c r="CC41" s="1381"/>
      <c r="CD41" s="1381"/>
      <c r="CE41" s="1381"/>
      <c r="CF41" s="1381"/>
      <c r="CG41" s="1381"/>
      <c r="CH41" s="1381"/>
      <c r="CI41" s="1381"/>
      <c r="CJ41" s="1381"/>
      <c r="CK41" s="1381"/>
      <c r="CL41" s="1381"/>
      <c r="CM41" s="1381"/>
      <c r="CN41" s="1381"/>
      <c r="CO41" s="1381"/>
      <c r="CP41" s="1381"/>
      <c r="CQ41" s="1381"/>
      <c r="CR41" s="1381"/>
      <c r="CS41" s="1381"/>
      <c r="CT41" s="1381"/>
      <c r="CU41" s="1381"/>
      <c r="CV41" s="1381"/>
      <c r="CW41" s="1381"/>
      <c r="CX41" s="1381"/>
      <c r="CY41" s="1381"/>
      <c r="CZ41" s="1381"/>
      <c r="DA41" s="1381"/>
      <c r="DB41" s="1381"/>
      <c r="DC41" s="1381"/>
      <c r="DD41" s="1381"/>
      <c r="DE41" s="1381"/>
      <c r="DF41" s="1381"/>
      <c r="DG41" s="1381"/>
      <c r="DH41" s="1381"/>
      <c r="DI41" s="1381"/>
      <c r="DJ41" s="1381"/>
      <c r="DK41" s="1381"/>
      <c r="DL41" s="1381"/>
      <c r="DM41" s="1381"/>
      <c r="DN41" s="1381"/>
      <c r="DO41" s="1381"/>
      <c r="DP41" s="1381"/>
      <c r="DQ41" s="1381"/>
      <c r="DR41" s="1381"/>
      <c r="DS41" s="1381"/>
      <c r="DT41" s="1381"/>
      <c r="DU41" s="1381"/>
      <c r="DV41" s="1381"/>
      <c r="DW41" s="1381"/>
      <c r="DX41" s="1381"/>
      <c r="DY41" s="1381"/>
      <c r="DZ41" s="1381"/>
      <c r="EA41" s="1381"/>
      <c r="EB41" s="1381"/>
      <c r="EC41" s="1381"/>
      <c r="ED41" s="1381"/>
      <c r="EE41" s="1381"/>
      <c r="EF41" s="1381"/>
      <c r="EG41" s="1381"/>
      <c r="EH41" s="1381"/>
      <c r="EI41" s="1381"/>
      <c r="EJ41" s="1381"/>
      <c r="EK41" s="1381"/>
      <c r="EL41" s="1381"/>
      <c r="EM41" s="1381"/>
      <c r="EN41" s="1381"/>
      <c r="EO41" s="1381"/>
      <c r="EP41" s="1381"/>
      <c r="EQ41" s="1381"/>
      <c r="ER41" s="1381"/>
      <c r="ES41" s="1381"/>
      <c r="ET41" s="1381"/>
      <c r="EU41" s="1381"/>
      <c r="EV41" s="1381"/>
      <c r="EW41" s="1381"/>
      <c r="EX41" s="1381"/>
      <c r="EY41" s="1381"/>
      <c r="EZ41" s="1381"/>
      <c r="FA41" s="1381"/>
      <c r="FB41" s="1381"/>
      <c r="FC41" s="1381"/>
    </row>
    <row r="42" spans="1:159" ht="15" hidden="1">
      <c r="A42" s="942"/>
      <c r="B42" s="942"/>
      <c r="C42" s="942"/>
      <c r="D42" s="942"/>
      <c r="E42" s="942"/>
      <c r="F42" s="942"/>
      <c r="G42" s="942"/>
      <c r="H42" s="942"/>
      <c r="I42" s="942"/>
      <c r="J42" s="942"/>
      <c r="K42" s="942"/>
      <c r="L42" s="942"/>
      <c r="M42" s="942"/>
      <c r="N42" s="942"/>
      <c r="O42" s="942"/>
      <c r="P42" s="942"/>
      <c r="Q42" s="942"/>
      <c r="R42" s="1381"/>
      <c r="S42" s="1381"/>
      <c r="T42" s="1381"/>
      <c r="U42" s="1381"/>
      <c r="V42" s="1381"/>
      <c r="W42" s="1381"/>
      <c r="X42" s="1381"/>
      <c r="Y42" s="1381"/>
      <c r="Z42" s="1381"/>
      <c r="AA42" s="1381"/>
      <c r="AB42" s="1381"/>
      <c r="AC42" s="1381"/>
      <c r="AD42" s="1381"/>
      <c r="AE42" s="1381"/>
      <c r="AF42" s="1381"/>
      <c r="AG42" s="1381"/>
      <c r="AH42" s="1381"/>
      <c r="AI42" s="1381"/>
      <c r="AJ42" s="1381"/>
      <c r="AK42" s="1381"/>
      <c r="AL42" s="1381"/>
      <c r="AM42" s="1381"/>
      <c r="AN42" s="1381"/>
      <c r="AO42" s="1381"/>
      <c r="AP42" s="1381"/>
      <c r="AQ42" s="1381"/>
      <c r="AR42" s="1381"/>
      <c r="AS42" s="1381"/>
      <c r="AT42" s="1381"/>
      <c r="AU42" s="1381"/>
      <c r="AV42" s="1381"/>
      <c r="AW42" s="1381"/>
      <c r="AX42" s="1381"/>
      <c r="AY42" s="1381"/>
      <c r="AZ42" s="1381"/>
      <c r="BA42" s="1381"/>
      <c r="BB42" s="1381"/>
      <c r="BC42" s="1381"/>
      <c r="BD42" s="1381"/>
      <c r="BE42" s="1381"/>
      <c r="BF42" s="1381"/>
      <c r="BG42" s="1381"/>
      <c r="BH42" s="1381"/>
      <c r="BI42" s="1381"/>
      <c r="BJ42" s="1381"/>
      <c r="BK42" s="1381"/>
      <c r="BL42" s="1381"/>
      <c r="BM42" s="1381"/>
      <c r="BN42" s="1381"/>
      <c r="BO42" s="1381"/>
      <c r="BP42" s="1381"/>
      <c r="BQ42" s="1381"/>
      <c r="BR42" s="1381"/>
      <c r="BS42" s="1381"/>
      <c r="BT42" s="1381"/>
      <c r="BU42" s="1381"/>
      <c r="BV42" s="1381"/>
      <c r="BW42" s="1381"/>
      <c r="BX42" s="1381"/>
      <c r="BY42" s="1381"/>
      <c r="BZ42" s="1381"/>
      <c r="CA42" s="1381"/>
      <c r="CB42" s="1381"/>
      <c r="CC42" s="1381"/>
      <c r="CD42" s="1381"/>
      <c r="CE42" s="1381"/>
      <c r="CF42" s="1381"/>
      <c r="CG42" s="1381"/>
      <c r="CH42" s="1381"/>
      <c r="CI42" s="1381"/>
      <c r="CJ42" s="1381"/>
      <c r="CK42" s="1381"/>
      <c r="CL42" s="1381"/>
      <c r="CM42" s="1381"/>
      <c r="CN42" s="1381"/>
      <c r="CO42" s="1381"/>
      <c r="CP42" s="1381"/>
      <c r="CQ42" s="1381"/>
      <c r="CR42" s="1381"/>
      <c r="CS42" s="1381"/>
      <c r="CT42" s="1381"/>
      <c r="CU42" s="1381"/>
      <c r="CV42" s="1381"/>
      <c r="CW42" s="1381"/>
      <c r="CX42" s="1381"/>
      <c r="CY42" s="1381"/>
      <c r="CZ42" s="1381"/>
      <c r="DA42" s="1381"/>
      <c r="DB42" s="1381"/>
      <c r="DC42" s="1381"/>
      <c r="DD42" s="1381"/>
      <c r="DE42" s="1381"/>
      <c r="DF42" s="1381"/>
      <c r="DG42" s="1381"/>
      <c r="DH42" s="1381"/>
      <c r="DI42" s="1381"/>
      <c r="DJ42" s="1381"/>
      <c r="DK42" s="1381"/>
      <c r="DL42" s="1381"/>
      <c r="DM42" s="1381"/>
      <c r="DN42" s="1381"/>
      <c r="DO42" s="1381"/>
      <c r="DP42" s="1381"/>
      <c r="DQ42" s="1381"/>
      <c r="DR42" s="1381"/>
      <c r="DS42" s="1381"/>
      <c r="DT42" s="1381"/>
      <c r="DU42" s="1381"/>
      <c r="DV42" s="1381"/>
      <c r="DW42" s="1381"/>
      <c r="DX42" s="1381"/>
      <c r="DY42" s="1381"/>
      <c r="DZ42" s="1381"/>
      <c r="EA42" s="1381"/>
      <c r="EB42" s="1381"/>
      <c r="EC42" s="1381"/>
      <c r="ED42" s="1381"/>
      <c r="EE42" s="1381"/>
      <c r="EF42" s="1381"/>
      <c r="EG42" s="1381"/>
      <c r="EH42" s="1381"/>
      <c r="EI42" s="1381"/>
      <c r="EJ42" s="1381"/>
      <c r="EK42" s="1381"/>
      <c r="EL42" s="1381"/>
      <c r="EM42" s="1381"/>
      <c r="EN42" s="1381"/>
      <c r="EO42" s="1381"/>
      <c r="EP42" s="1381"/>
      <c r="EQ42" s="1381"/>
      <c r="ER42" s="1381"/>
      <c r="ES42" s="1381"/>
      <c r="ET42" s="1381"/>
      <c r="EU42" s="1381"/>
      <c r="EV42" s="1381"/>
      <c r="EW42" s="1381"/>
      <c r="EX42" s="1381"/>
      <c r="EY42" s="1381"/>
      <c r="EZ42" s="1381"/>
      <c r="FA42" s="1381"/>
      <c r="FB42" s="1381"/>
      <c r="FC42" s="1381"/>
    </row>
    <row r="43" spans="1:159" ht="15" hidden="1">
      <c r="A43" s="942"/>
      <c r="B43" s="942"/>
      <c r="C43" s="942"/>
      <c r="D43" s="942"/>
      <c r="E43" s="942"/>
      <c r="F43" s="942"/>
      <c r="G43" s="942"/>
      <c r="H43" s="942"/>
      <c r="I43" s="942"/>
      <c r="J43" s="942"/>
      <c r="K43" s="942"/>
      <c r="L43" s="942"/>
      <c r="M43" s="942"/>
      <c r="N43" s="942"/>
      <c r="O43" s="942"/>
      <c r="P43" s="942"/>
      <c r="Q43" s="942"/>
      <c r="R43" s="1381"/>
      <c r="S43" s="1381"/>
      <c r="T43" s="1381"/>
      <c r="U43" s="1381"/>
      <c r="V43" s="1381"/>
      <c r="W43" s="1381"/>
      <c r="X43" s="1381"/>
      <c r="Y43" s="1381"/>
      <c r="Z43" s="1381"/>
      <c r="AA43" s="1381"/>
      <c r="AB43" s="1381"/>
      <c r="AC43" s="1381"/>
      <c r="AD43" s="1381"/>
      <c r="AE43" s="1381"/>
      <c r="AF43" s="1381"/>
      <c r="AG43" s="1381"/>
      <c r="AH43" s="1381"/>
      <c r="AI43" s="1381"/>
      <c r="AJ43" s="1381"/>
      <c r="AK43" s="1381"/>
      <c r="AL43" s="1381"/>
      <c r="AM43" s="1381"/>
      <c r="AN43" s="1381"/>
      <c r="AO43" s="1381"/>
      <c r="AP43" s="1381"/>
      <c r="AQ43" s="1381"/>
      <c r="AR43" s="1381"/>
      <c r="AS43" s="1381"/>
      <c r="AT43" s="1381"/>
      <c r="AU43" s="1381"/>
      <c r="AV43" s="1381"/>
      <c r="AW43" s="1381"/>
      <c r="AX43" s="1381"/>
      <c r="AY43" s="1381"/>
      <c r="AZ43" s="1381"/>
      <c r="BA43" s="1381"/>
      <c r="BB43" s="1381"/>
      <c r="BC43" s="1381"/>
      <c r="BD43" s="1381"/>
      <c r="BE43" s="1381"/>
      <c r="BF43" s="1381"/>
      <c r="BG43" s="1381"/>
      <c r="BH43" s="1381"/>
      <c r="BI43" s="1381"/>
      <c r="BJ43" s="1381"/>
      <c r="BK43" s="1381"/>
      <c r="BL43" s="1381"/>
      <c r="BM43" s="1381"/>
      <c r="BN43" s="1381"/>
      <c r="BO43" s="1381"/>
      <c r="BP43" s="1381"/>
      <c r="BQ43" s="1381"/>
      <c r="BR43" s="1381"/>
      <c r="BS43" s="1381"/>
      <c r="BT43" s="1381"/>
      <c r="BU43" s="1381"/>
      <c r="BV43" s="1381"/>
      <c r="BW43" s="1381"/>
      <c r="BX43" s="1381"/>
      <c r="BY43" s="1381"/>
      <c r="BZ43" s="1381"/>
      <c r="CA43" s="1381"/>
      <c r="CB43" s="1381"/>
      <c r="CC43" s="1381"/>
      <c r="CD43" s="1381"/>
      <c r="CE43" s="1381"/>
      <c r="CF43" s="1381"/>
      <c r="CG43" s="1381"/>
      <c r="CH43" s="1381"/>
      <c r="CI43" s="1381"/>
      <c r="CJ43" s="1381"/>
      <c r="CK43" s="1381"/>
      <c r="CL43" s="1381"/>
      <c r="CM43" s="1381"/>
      <c r="CN43" s="1381"/>
      <c r="CO43" s="1381"/>
      <c r="CP43" s="1381"/>
      <c r="CQ43" s="1381"/>
      <c r="CR43" s="1381"/>
      <c r="CS43" s="1381"/>
      <c r="CT43" s="1381"/>
      <c r="CU43" s="1381"/>
      <c r="CV43" s="1381"/>
      <c r="CW43" s="1381"/>
      <c r="CX43" s="1381"/>
      <c r="CY43" s="1381"/>
      <c r="CZ43" s="1381"/>
      <c r="DA43" s="1381"/>
      <c r="DB43" s="1381"/>
      <c r="DC43" s="1381"/>
      <c r="DD43" s="1381"/>
      <c r="DE43" s="1381"/>
      <c r="DF43" s="1381"/>
      <c r="DG43" s="1381"/>
      <c r="DH43" s="1381"/>
      <c r="DI43" s="1381"/>
      <c r="DJ43" s="1381"/>
      <c r="DK43" s="1381"/>
      <c r="DL43" s="1381"/>
      <c r="DM43" s="1381"/>
      <c r="DN43" s="1381"/>
      <c r="DO43" s="1381"/>
      <c r="DP43" s="1381"/>
      <c r="DQ43" s="1381"/>
      <c r="DR43" s="1381"/>
      <c r="DS43" s="1381"/>
      <c r="DT43" s="1381"/>
      <c r="DU43" s="1381"/>
      <c r="DV43" s="1381"/>
      <c r="DW43" s="1381"/>
      <c r="DX43" s="1381"/>
      <c r="DY43" s="1381"/>
      <c r="DZ43" s="1381"/>
      <c r="EA43" s="1381"/>
      <c r="EB43" s="1381"/>
      <c r="EC43" s="1381"/>
      <c r="ED43" s="1381"/>
      <c r="EE43" s="1381"/>
      <c r="EF43" s="1381"/>
      <c r="EG43" s="1381"/>
      <c r="EH43" s="1381"/>
      <c r="EI43" s="1381"/>
      <c r="EJ43" s="1381"/>
      <c r="EK43" s="1381"/>
      <c r="EL43" s="1381"/>
      <c r="EM43" s="1381"/>
      <c r="EN43" s="1381"/>
      <c r="EO43" s="1381"/>
      <c r="EP43" s="1381"/>
      <c r="EQ43" s="1381"/>
      <c r="ER43" s="1381"/>
      <c r="ES43" s="1381"/>
      <c r="ET43" s="1381"/>
      <c r="EU43" s="1381"/>
      <c r="EV43" s="1381"/>
      <c r="EW43" s="1381"/>
      <c r="EX43" s="1381"/>
      <c r="EY43" s="1381"/>
      <c r="EZ43" s="1381"/>
      <c r="FA43" s="1381"/>
      <c r="FB43" s="1381"/>
      <c r="FC43" s="1381"/>
    </row>
    <row r="44" spans="1:159" ht="15" hidden="1">
      <c r="A44" s="942"/>
      <c r="B44" s="942"/>
      <c r="C44" s="942"/>
      <c r="D44" s="942"/>
      <c r="E44" s="942"/>
      <c r="F44" s="942"/>
      <c r="G44" s="942"/>
      <c r="H44" s="942"/>
      <c r="I44" s="942"/>
      <c r="J44" s="942"/>
      <c r="K44" s="942"/>
      <c r="L44" s="942"/>
      <c r="M44" s="942"/>
      <c r="N44" s="942"/>
      <c r="O44" s="942"/>
      <c r="P44" s="942"/>
      <c r="Q44" s="942"/>
      <c r="R44" s="1381"/>
      <c r="S44" s="1381"/>
      <c r="T44" s="1381"/>
      <c r="U44" s="1381"/>
      <c r="V44" s="1381"/>
      <c r="W44" s="1381"/>
      <c r="X44" s="1381"/>
      <c r="Y44" s="1381"/>
      <c r="Z44" s="1381"/>
      <c r="AA44" s="1381"/>
      <c r="AB44" s="1381"/>
      <c r="AC44" s="1381"/>
      <c r="AD44" s="1381"/>
      <c r="AE44" s="1381"/>
      <c r="AF44" s="1381"/>
      <c r="AG44" s="1381"/>
      <c r="AH44" s="1381"/>
      <c r="AI44" s="1381"/>
      <c r="AJ44" s="1381"/>
      <c r="AK44" s="1381"/>
      <c r="AL44" s="1381"/>
      <c r="AM44" s="1381"/>
      <c r="AN44" s="1381"/>
      <c r="AO44" s="1381"/>
      <c r="AP44" s="1381"/>
      <c r="AQ44" s="1381"/>
      <c r="AR44" s="1381"/>
      <c r="AS44" s="1381"/>
      <c r="AT44" s="1381"/>
      <c r="AU44" s="1381"/>
      <c r="AV44" s="1381"/>
      <c r="AW44" s="1381"/>
      <c r="AX44" s="1381"/>
      <c r="AY44" s="1381"/>
      <c r="AZ44" s="1381"/>
      <c r="BA44" s="1381"/>
      <c r="BB44" s="1381"/>
      <c r="BC44" s="1381"/>
      <c r="BD44" s="1381"/>
      <c r="BE44" s="1381"/>
      <c r="BF44" s="1381"/>
      <c r="BG44" s="1381"/>
      <c r="BH44" s="1381"/>
      <c r="BI44" s="1381"/>
      <c r="BJ44" s="1381"/>
      <c r="BK44" s="1381"/>
      <c r="BL44" s="1381"/>
      <c r="BM44" s="1381"/>
      <c r="BN44" s="1381"/>
      <c r="BO44" s="1381"/>
      <c r="BP44" s="1381"/>
      <c r="BQ44" s="1381"/>
      <c r="BR44" s="1381"/>
      <c r="BS44" s="1381"/>
      <c r="BT44" s="1381"/>
      <c r="BU44" s="1381"/>
      <c r="BV44" s="1381"/>
      <c r="BW44" s="1381"/>
      <c r="BX44" s="1381"/>
      <c r="BY44" s="1381"/>
      <c r="BZ44" s="1381"/>
      <c r="CA44" s="1381"/>
      <c r="CB44" s="1381"/>
      <c r="CC44" s="1381"/>
      <c r="CD44" s="1381"/>
      <c r="CE44" s="1381"/>
      <c r="CF44" s="1381"/>
      <c r="CG44" s="1381"/>
      <c r="CH44" s="1381"/>
      <c r="CI44" s="1381"/>
      <c r="CJ44" s="1381"/>
      <c r="CK44" s="1381"/>
      <c r="CL44" s="1381"/>
      <c r="CM44" s="1381"/>
      <c r="CN44" s="1381"/>
      <c r="CO44" s="1381"/>
      <c r="CP44" s="1381"/>
      <c r="CQ44" s="1381"/>
      <c r="CR44" s="1381"/>
      <c r="CS44" s="1381"/>
      <c r="CT44" s="1381"/>
      <c r="CU44" s="1381"/>
      <c r="CV44" s="1381"/>
      <c r="CW44" s="1381"/>
      <c r="CX44" s="1381"/>
      <c r="CY44" s="1381"/>
      <c r="CZ44" s="1381"/>
      <c r="DA44" s="1381"/>
      <c r="DB44" s="1381"/>
      <c r="DC44" s="1381"/>
      <c r="DD44" s="1381"/>
      <c r="DE44" s="1381"/>
      <c r="DF44" s="1381"/>
      <c r="DG44" s="1381"/>
      <c r="DH44" s="1381"/>
      <c r="DI44" s="1381"/>
      <c r="DJ44" s="1381"/>
      <c r="DK44" s="1381"/>
      <c r="DL44" s="1381"/>
      <c r="DM44" s="1381"/>
      <c r="DN44" s="1381"/>
      <c r="DO44" s="1381"/>
      <c r="DP44" s="1381"/>
      <c r="DQ44" s="1381"/>
      <c r="DR44" s="1381"/>
      <c r="DS44" s="1381"/>
      <c r="DT44" s="1381"/>
      <c r="DU44" s="1381"/>
      <c r="DV44" s="1381"/>
      <c r="DW44" s="1381"/>
      <c r="DX44" s="1381"/>
      <c r="DY44" s="1381"/>
      <c r="DZ44" s="1381"/>
      <c r="EA44" s="1381"/>
      <c r="EB44" s="1381"/>
      <c r="EC44" s="1381"/>
      <c r="ED44" s="1381"/>
      <c r="EE44" s="1381"/>
      <c r="EF44" s="1381"/>
      <c r="EG44" s="1381"/>
      <c r="EH44" s="1381"/>
      <c r="EI44" s="1381"/>
      <c r="EJ44" s="1381"/>
      <c r="EK44" s="1381"/>
      <c r="EL44" s="1381"/>
      <c r="EM44" s="1381"/>
      <c r="EN44" s="1381"/>
      <c r="EO44" s="1381"/>
      <c r="EP44" s="1381"/>
      <c r="EQ44" s="1381"/>
      <c r="ER44" s="1381"/>
      <c r="ES44" s="1381"/>
      <c r="ET44" s="1381"/>
      <c r="EU44" s="1381"/>
      <c r="EV44" s="1381"/>
      <c r="EW44" s="1381"/>
      <c r="EX44" s="1381"/>
      <c r="EY44" s="1381"/>
      <c r="EZ44" s="1381"/>
      <c r="FA44" s="1381"/>
      <c r="FB44" s="1381"/>
      <c r="FC44" s="1381"/>
    </row>
    <row r="45" spans="1:159" ht="15" hidden="1">
      <c r="A45" s="942"/>
      <c r="B45" s="942"/>
      <c r="C45" s="942"/>
      <c r="D45" s="942"/>
      <c r="E45" s="942"/>
      <c r="F45" s="942"/>
      <c r="G45" s="942"/>
      <c r="H45" s="942"/>
      <c r="I45" s="942"/>
      <c r="J45" s="942"/>
      <c r="K45" s="942"/>
      <c r="L45" s="942"/>
      <c r="M45" s="942"/>
      <c r="N45" s="942"/>
      <c r="O45" s="942"/>
      <c r="P45" s="942"/>
      <c r="Q45" s="942"/>
      <c r="R45" s="1381"/>
      <c r="S45" s="1381"/>
      <c r="T45" s="1381"/>
      <c r="U45" s="1381"/>
      <c r="V45" s="1381"/>
      <c r="W45" s="1381"/>
      <c r="X45" s="1381"/>
      <c r="Y45" s="1381"/>
      <c r="Z45" s="1381"/>
      <c r="AA45" s="1381"/>
      <c r="AB45" s="1381"/>
      <c r="AC45" s="1381"/>
      <c r="AD45" s="1381"/>
      <c r="AE45" s="1381"/>
      <c r="AF45" s="1381"/>
      <c r="AG45" s="1381"/>
      <c r="AH45" s="1381"/>
      <c r="AI45" s="1381"/>
      <c r="AJ45" s="1381"/>
      <c r="AK45" s="1381"/>
      <c r="AL45" s="1381"/>
      <c r="AM45" s="1381"/>
      <c r="AN45" s="1381"/>
      <c r="AO45" s="1381"/>
      <c r="AP45" s="1381"/>
      <c r="AQ45" s="1381"/>
      <c r="AR45" s="1381"/>
      <c r="AS45" s="1381"/>
      <c r="AT45" s="1381"/>
      <c r="AU45" s="1381"/>
      <c r="AV45" s="1381"/>
      <c r="AW45" s="1381"/>
      <c r="AX45" s="1381"/>
      <c r="AY45" s="1381"/>
      <c r="AZ45" s="1381"/>
      <c r="BA45" s="1381"/>
      <c r="BB45" s="1381"/>
      <c r="BC45" s="1381"/>
      <c r="BD45" s="1381"/>
      <c r="BE45" s="1381"/>
      <c r="BF45" s="1381"/>
      <c r="BG45" s="1381"/>
      <c r="BH45" s="1381"/>
      <c r="BI45" s="1381"/>
      <c r="BJ45" s="1381"/>
      <c r="BK45" s="1381"/>
      <c r="BL45" s="1381"/>
      <c r="BM45" s="1381"/>
      <c r="BN45" s="1381"/>
      <c r="BO45" s="1381"/>
      <c r="BP45" s="1381"/>
      <c r="BQ45" s="1381"/>
      <c r="BR45" s="1381"/>
      <c r="BS45" s="1381"/>
      <c r="BT45" s="1381"/>
      <c r="BU45" s="1381"/>
      <c r="BV45" s="1381"/>
      <c r="BW45" s="1381"/>
      <c r="BX45" s="1381"/>
      <c r="BY45" s="1381"/>
      <c r="BZ45" s="1381"/>
      <c r="CA45" s="1381"/>
      <c r="CB45" s="1381"/>
      <c r="CC45" s="1381"/>
      <c r="CD45" s="1381"/>
      <c r="CE45" s="1381"/>
      <c r="CF45" s="1381"/>
      <c r="CG45" s="1381"/>
      <c r="CH45" s="1381"/>
      <c r="CI45" s="1381"/>
      <c r="CJ45" s="1381"/>
      <c r="CK45" s="1381"/>
      <c r="CL45" s="1381"/>
      <c r="CM45" s="1381"/>
      <c r="CN45" s="1381"/>
      <c r="CO45" s="1381"/>
      <c r="CP45" s="1381"/>
      <c r="CQ45" s="1381"/>
      <c r="CR45" s="1381"/>
      <c r="CS45" s="1381"/>
      <c r="CT45" s="1381"/>
      <c r="CU45" s="1381"/>
      <c r="CV45" s="1381"/>
      <c r="CW45" s="1381"/>
      <c r="CX45" s="1381"/>
      <c r="CY45" s="1381"/>
      <c r="CZ45" s="1381"/>
      <c r="DA45" s="1381"/>
      <c r="DB45" s="1381"/>
      <c r="DC45" s="1381"/>
      <c r="DD45" s="1381"/>
      <c r="DE45" s="1381"/>
      <c r="DF45" s="1381"/>
      <c r="DG45" s="1381"/>
      <c r="DH45" s="1381"/>
      <c r="DI45" s="1381"/>
      <c r="DJ45" s="1381"/>
      <c r="DK45" s="1381"/>
      <c r="DL45" s="1381"/>
      <c r="DM45" s="1381"/>
      <c r="DN45" s="1381"/>
      <c r="DO45" s="1381"/>
      <c r="DP45" s="1381"/>
      <c r="DQ45" s="1381"/>
      <c r="DR45" s="1381"/>
      <c r="DS45" s="1381"/>
      <c r="DT45" s="1381"/>
      <c r="DU45" s="1381"/>
      <c r="DV45" s="1381"/>
      <c r="DW45" s="1381"/>
      <c r="DX45" s="1381"/>
      <c r="DY45" s="1381"/>
      <c r="DZ45" s="1381"/>
      <c r="EA45" s="1381"/>
      <c r="EB45" s="1381"/>
      <c r="EC45" s="1381"/>
      <c r="ED45" s="1381"/>
      <c r="EE45" s="1381"/>
      <c r="EF45" s="1381"/>
      <c r="EG45" s="1381"/>
      <c r="EH45" s="1381"/>
      <c r="EI45" s="1381"/>
      <c r="EJ45" s="1381"/>
      <c r="EK45" s="1381"/>
      <c r="EL45" s="1381"/>
      <c r="EM45" s="1381"/>
      <c r="EN45" s="1381"/>
      <c r="EO45" s="1381"/>
      <c r="EP45" s="1381"/>
      <c r="EQ45" s="1381"/>
      <c r="ER45" s="1381"/>
      <c r="ES45" s="1381"/>
      <c r="ET45" s="1381"/>
      <c r="EU45" s="1381"/>
      <c r="EV45" s="1381"/>
      <c r="EW45" s="1381"/>
      <c r="EX45" s="1381"/>
      <c r="EY45" s="1381"/>
      <c r="EZ45" s="1381"/>
      <c r="FA45" s="1381"/>
      <c r="FB45" s="1381"/>
      <c r="FC45" s="1381"/>
    </row>
    <row r="46" spans="1:159" ht="15" hidden="1">
      <c r="A46" s="942"/>
      <c r="B46" s="942"/>
      <c r="C46" s="942"/>
      <c r="D46" s="942"/>
      <c r="E46" s="942"/>
      <c r="F46" s="942"/>
      <c r="G46" s="942"/>
      <c r="H46" s="942"/>
      <c r="I46" s="942"/>
      <c r="J46" s="942"/>
      <c r="K46" s="942"/>
      <c r="L46" s="942"/>
      <c r="M46" s="942"/>
      <c r="N46" s="942"/>
      <c r="O46" s="942"/>
      <c r="P46" s="942"/>
      <c r="Q46" s="942"/>
      <c r="R46" s="1381"/>
      <c r="S46" s="1381"/>
      <c r="T46" s="1381"/>
      <c r="U46" s="1381"/>
      <c r="V46" s="1381"/>
      <c r="W46" s="1381"/>
      <c r="X46" s="1381"/>
      <c r="Y46" s="1381"/>
      <c r="Z46" s="1381"/>
      <c r="AA46" s="1381"/>
      <c r="AB46" s="1381"/>
      <c r="AC46" s="1381"/>
      <c r="AD46" s="1381"/>
      <c r="AE46" s="1381"/>
      <c r="AF46" s="1381"/>
      <c r="AG46" s="1381"/>
      <c r="AH46" s="1381"/>
      <c r="AI46" s="1381"/>
      <c r="AJ46" s="1381"/>
      <c r="AK46" s="1381"/>
      <c r="AL46" s="1381"/>
      <c r="AM46" s="1381"/>
      <c r="AN46" s="1381"/>
      <c r="AO46" s="1381"/>
      <c r="AP46" s="1381"/>
      <c r="AQ46" s="1381"/>
      <c r="AR46" s="1381"/>
      <c r="AS46" s="1381"/>
      <c r="AT46" s="1381"/>
      <c r="AU46" s="1381"/>
      <c r="AV46" s="1381"/>
      <c r="AW46" s="1381"/>
      <c r="AX46" s="1381"/>
      <c r="AY46" s="1381"/>
      <c r="AZ46" s="1381"/>
      <c r="BA46" s="1381"/>
      <c r="BB46" s="1381"/>
      <c r="BC46" s="1381"/>
      <c r="BD46" s="1381"/>
      <c r="BE46" s="1381"/>
      <c r="BF46" s="1381"/>
      <c r="BG46" s="1381"/>
      <c r="BH46" s="1381"/>
      <c r="BI46" s="1381"/>
      <c r="BJ46" s="1381"/>
      <c r="BK46" s="1381"/>
      <c r="BL46" s="1381"/>
      <c r="BM46" s="1381"/>
      <c r="BN46" s="1381"/>
      <c r="BO46" s="1381"/>
      <c r="BP46" s="1381"/>
      <c r="BQ46" s="1381"/>
      <c r="BR46" s="1381"/>
      <c r="BS46" s="1381"/>
      <c r="BT46" s="1381"/>
      <c r="BU46" s="1381"/>
      <c r="BV46" s="1381"/>
      <c r="BW46" s="1381"/>
      <c r="BX46" s="1381"/>
      <c r="BY46" s="1381"/>
      <c r="BZ46" s="1381"/>
      <c r="CA46" s="1381"/>
      <c r="CB46" s="1381"/>
      <c r="CC46" s="1381"/>
      <c r="CD46" s="1381"/>
      <c r="CE46" s="1381"/>
      <c r="CF46" s="1381"/>
      <c r="CG46" s="1381"/>
      <c r="CH46" s="1381"/>
      <c r="CI46" s="1381"/>
      <c r="CJ46" s="1381"/>
      <c r="CK46" s="1381"/>
      <c r="CL46" s="1381"/>
      <c r="CM46" s="1381"/>
      <c r="CN46" s="1381"/>
      <c r="CO46" s="1381"/>
      <c r="CP46" s="1381"/>
      <c r="CQ46" s="1381"/>
      <c r="CR46" s="1381"/>
      <c r="CS46" s="1381"/>
      <c r="CT46" s="1381"/>
      <c r="CU46" s="1381"/>
      <c r="CV46" s="1381"/>
      <c r="CW46" s="1381"/>
      <c r="CX46" s="1381"/>
      <c r="CY46" s="1381"/>
      <c r="CZ46" s="1381"/>
      <c r="DA46" s="1381"/>
      <c r="DB46" s="1381"/>
      <c r="DC46" s="1381"/>
      <c r="DD46" s="1381"/>
      <c r="DE46" s="1381"/>
      <c r="DF46" s="1381"/>
      <c r="DG46" s="1381"/>
      <c r="DH46" s="1381"/>
      <c r="DI46" s="1381"/>
      <c r="DJ46" s="1381"/>
      <c r="DK46" s="1381"/>
      <c r="DL46" s="1381"/>
      <c r="DM46" s="1381"/>
      <c r="DN46" s="1381"/>
      <c r="DO46" s="1381"/>
      <c r="DP46" s="1381"/>
      <c r="DQ46" s="1381"/>
      <c r="DR46" s="1381"/>
      <c r="DS46" s="1381"/>
      <c r="DT46" s="1381"/>
      <c r="DU46" s="1381"/>
      <c r="DV46" s="1381"/>
      <c r="DW46" s="1381"/>
      <c r="DX46" s="1381"/>
      <c r="DY46" s="1381"/>
      <c r="DZ46" s="1381"/>
      <c r="EA46" s="1381"/>
      <c r="EB46" s="1381"/>
      <c r="EC46" s="1381"/>
      <c r="ED46" s="1381"/>
      <c r="EE46" s="1381"/>
      <c r="EF46" s="1381"/>
      <c r="EG46" s="1381"/>
      <c r="EH46" s="1381"/>
      <c r="EI46" s="1381"/>
      <c r="EJ46" s="1381"/>
      <c r="EK46" s="1381"/>
      <c r="EL46" s="1381"/>
      <c r="EM46" s="1381"/>
      <c r="EN46" s="1381"/>
      <c r="EO46" s="1381"/>
      <c r="EP46" s="1381"/>
      <c r="EQ46" s="1381"/>
      <c r="ER46" s="1381"/>
      <c r="ES46" s="1381"/>
      <c r="ET46" s="1381"/>
      <c r="EU46" s="1381"/>
      <c r="EV46" s="1381"/>
      <c r="EW46" s="1381"/>
      <c r="EX46" s="1381"/>
      <c r="EY46" s="1381"/>
      <c r="EZ46" s="1381"/>
      <c r="FA46" s="1381"/>
      <c r="FB46" s="1381"/>
      <c r="FC46" s="1381"/>
    </row>
    <row r="47" spans="1:159" ht="15" hidden="1">
      <c r="A47" s="942"/>
      <c r="B47" s="942"/>
      <c r="C47" s="942"/>
      <c r="D47" s="942"/>
      <c r="E47" s="942"/>
      <c r="F47" s="942"/>
      <c r="G47" s="942"/>
      <c r="H47" s="942"/>
      <c r="I47" s="942"/>
      <c r="J47" s="942"/>
      <c r="K47" s="942"/>
      <c r="L47" s="942"/>
      <c r="M47" s="942"/>
      <c r="N47" s="942"/>
      <c r="O47" s="942"/>
      <c r="P47" s="942"/>
      <c r="Q47" s="942"/>
      <c r="R47" s="1381"/>
      <c r="S47" s="1381"/>
      <c r="T47" s="1381"/>
      <c r="U47" s="1381"/>
      <c r="V47" s="1381"/>
      <c r="W47" s="1381"/>
      <c r="X47" s="1381"/>
      <c r="Y47" s="1381"/>
      <c r="Z47" s="1381"/>
      <c r="AA47" s="1381"/>
      <c r="AB47" s="1381"/>
      <c r="AC47" s="1381"/>
      <c r="AD47" s="1381"/>
      <c r="AE47" s="1381"/>
      <c r="AF47" s="1381"/>
      <c r="AG47" s="1381"/>
      <c r="AH47" s="1381"/>
      <c r="AI47" s="1381"/>
      <c r="AJ47" s="1381"/>
      <c r="AK47" s="1381"/>
      <c r="AL47" s="1381"/>
      <c r="AM47" s="1381"/>
      <c r="AN47" s="1381"/>
      <c r="AO47" s="1381"/>
      <c r="AP47" s="1381"/>
      <c r="AQ47" s="1381"/>
      <c r="AR47" s="1381"/>
      <c r="AS47" s="1381"/>
      <c r="AT47" s="1381"/>
      <c r="AU47" s="1381"/>
      <c r="AV47" s="1381"/>
      <c r="AW47" s="1381"/>
      <c r="AX47" s="1381"/>
      <c r="AY47" s="1381"/>
      <c r="AZ47" s="1381"/>
      <c r="BA47" s="1381"/>
      <c r="BB47" s="1381"/>
      <c r="BC47" s="1381"/>
      <c r="BD47" s="1381"/>
      <c r="BE47" s="1381"/>
      <c r="BF47" s="1381"/>
      <c r="BG47" s="1381"/>
      <c r="BH47" s="1381"/>
      <c r="BI47" s="1381"/>
      <c r="BJ47" s="1381"/>
      <c r="BK47" s="1381"/>
      <c r="BL47" s="1381"/>
      <c r="BM47" s="1381"/>
      <c r="BN47" s="1381"/>
      <c r="BO47" s="1381"/>
      <c r="BP47" s="1381"/>
      <c r="BQ47" s="1381"/>
      <c r="BR47" s="1381"/>
      <c r="BS47" s="1381"/>
      <c r="BT47" s="1381"/>
      <c r="BU47" s="1381"/>
      <c r="BV47" s="1381"/>
      <c r="BW47" s="1381"/>
      <c r="BX47" s="1381"/>
      <c r="BY47" s="1381"/>
      <c r="BZ47" s="1381"/>
      <c r="CA47" s="1381"/>
      <c r="CB47" s="1381"/>
      <c r="CC47" s="1381"/>
      <c r="CD47" s="1381"/>
      <c r="CE47" s="1381"/>
      <c r="CF47" s="1381"/>
      <c r="CG47" s="1381"/>
      <c r="CH47" s="1381"/>
      <c r="CI47" s="1381"/>
      <c r="CJ47" s="1381"/>
      <c r="CK47" s="1381"/>
      <c r="CL47" s="1381"/>
      <c r="CM47" s="1381"/>
      <c r="CN47" s="1381"/>
      <c r="CO47" s="1381"/>
      <c r="CP47" s="1381"/>
      <c r="CQ47" s="1381"/>
      <c r="CR47" s="1381"/>
      <c r="CS47" s="1381"/>
      <c r="CT47" s="1381"/>
      <c r="CU47" s="1381"/>
      <c r="CV47" s="1381"/>
      <c r="CW47" s="1381"/>
      <c r="CX47" s="1381"/>
      <c r="CY47" s="1381"/>
      <c r="CZ47" s="1381"/>
      <c r="DA47" s="1381"/>
      <c r="DB47" s="1381"/>
      <c r="DC47" s="1381"/>
      <c r="DD47" s="1381"/>
      <c r="DE47" s="1381"/>
      <c r="DF47" s="1381"/>
      <c r="DG47" s="1381"/>
      <c r="DH47" s="1381"/>
      <c r="DI47" s="1381"/>
      <c r="DJ47" s="1381"/>
      <c r="DK47" s="1381"/>
      <c r="DL47" s="1381"/>
      <c r="DM47" s="1381"/>
      <c r="DN47" s="1381"/>
      <c r="DO47" s="1381"/>
      <c r="DP47" s="1381"/>
      <c r="DQ47" s="1381"/>
      <c r="DR47" s="1381"/>
      <c r="DS47" s="1381"/>
      <c r="DT47" s="1381"/>
      <c r="DU47" s="1381"/>
      <c r="DV47" s="1381"/>
      <c r="DW47" s="1381"/>
      <c r="DX47" s="1381"/>
      <c r="DY47" s="1381"/>
      <c r="DZ47" s="1381"/>
      <c r="EA47" s="1381"/>
      <c r="EB47" s="1381"/>
      <c r="EC47" s="1381"/>
      <c r="ED47" s="1381"/>
      <c r="EE47" s="1381"/>
      <c r="EF47" s="1381"/>
      <c r="EG47" s="1381"/>
      <c r="EH47" s="1381"/>
      <c r="EI47" s="1381"/>
      <c r="EJ47" s="1381"/>
      <c r="EK47" s="1381"/>
      <c r="EL47" s="1381"/>
      <c r="EM47" s="1381"/>
      <c r="EN47" s="1381"/>
      <c r="EO47" s="1381"/>
      <c r="EP47" s="1381"/>
      <c r="EQ47" s="1381"/>
      <c r="ER47" s="1381"/>
      <c r="ES47" s="1381"/>
      <c r="ET47" s="1381"/>
      <c r="EU47" s="1381"/>
      <c r="EV47" s="1381"/>
      <c r="EW47" s="1381"/>
      <c r="EX47" s="1381"/>
      <c r="EY47" s="1381"/>
      <c r="EZ47" s="1381"/>
      <c r="FA47" s="1381"/>
      <c r="FB47" s="1381"/>
      <c r="FC47" s="1381"/>
    </row>
    <row r="48" spans="1:159" ht="15" hidden="1">
      <c r="A48" s="942"/>
      <c r="B48" s="942"/>
      <c r="C48" s="942"/>
      <c r="D48" s="942"/>
      <c r="E48" s="942"/>
      <c r="F48" s="942"/>
      <c r="G48" s="942"/>
      <c r="H48" s="942"/>
      <c r="I48" s="942"/>
      <c r="J48" s="942"/>
      <c r="K48" s="942"/>
      <c r="L48" s="942"/>
      <c r="M48" s="942"/>
      <c r="N48" s="942"/>
      <c r="O48" s="942"/>
      <c r="P48" s="942"/>
      <c r="Q48" s="942"/>
      <c r="R48" s="1381"/>
      <c r="S48" s="1381"/>
      <c r="T48" s="1381"/>
      <c r="U48" s="1381"/>
      <c r="V48" s="1381"/>
      <c r="W48" s="1381"/>
      <c r="X48" s="1381"/>
      <c r="Y48" s="1381"/>
      <c r="Z48" s="1381"/>
      <c r="AA48" s="1381"/>
      <c r="AB48" s="1381"/>
      <c r="AC48" s="1381"/>
      <c r="AD48" s="1381"/>
      <c r="AE48" s="1381"/>
      <c r="AF48" s="1381"/>
      <c r="AG48" s="1381"/>
      <c r="AH48" s="1381"/>
      <c r="AI48" s="1381"/>
      <c r="AJ48" s="1381"/>
      <c r="AK48" s="1381"/>
      <c r="AL48" s="1381"/>
      <c r="AM48" s="1381"/>
      <c r="AN48" s="1381"/>
      <c r="AO48" s="1381"/>
      <c r="AP48" s="1381"/>
      <c r="AQ48" s="1381"/>
      <c r="AR48" s="1381"/>
      <c r="AS48" s="1381"/>
      <c r="AT48" s="1381"/>
      <c r="AU48" s="1381"/>
      <c r="AV48" s="1381"/>
      <c r="AW48" s="1381"/>
      <c r="AX48" s="1381"/>
      <c r="AY48" s="1381"/>
      <c r="AZ48" s="1381"/>
      <c r="BA48" s="1381"/>
      <c r="BB48" s="1381"/>
      <c r="BC48" s="1381"/>
      <c r="BD48" s="1381"/>
      <c r="BE48" s="1381"/>
      <c r="BF48" s="1381"/>
      <c r="BG48" s="1381"/>
      <c r="BH48" s="1381"/>
      <c r="BI48" s="1381"/>
      <c r="BJ48" s="1381"/>
      <c r="BK48" s="1381"/>
      <c r="BL48" s="1381"/>
      <c r="BM48" s="1381"/>
      <c r="BN48" s="1381"/>
      <c r="BO48" s="1381"/>
      <c r="BP48" s="1381"/>
      <c r="BQ48" s="1381"/>
      <c r="BR48" s="1381"/>
      <c r="BS48" s="1381"/>
      <c r="BT48" s="1381"/>
      <c r="BU48" s="1381"/>
      <c r="BV48" s="1381"/>
      <c r="BW48" s="1381"/>
      <c r="BX48" s="1381"/>
      <c r="BY48" s="1381"/>
      <c r="BZ48" s="1381"/>
      <c r="CA48" s="1381"/>
      <c r="CB48" s="1381"/>
      <c r="CC48" s="1381"/>
      <c r="CD48" s="1381"/>
      <c r="CE48" s="1381"/>
      <c r="CF48" s="1381"/>
      <c r="CG48" s="1381"/>
      <c r="CH48" s="1381"/>
      <c r="CI48" s="1381"/>
      <c r="CJ48" s="1381"/>
      <c r="CK48" s="1381"/>
      <c r="CL48" s="1381"/>
      <c r="CM48" s="1381"/>
      <c r="CN48" s="1381"/>
      <c r="CO48" s="1381"/>
      <c r="CP48" s="1381"/>
      <c r="CQ48" s="1381"/>
      <c r="CR48" s="1381"/>
      <c r="CS48" s="1381"/>
      <c r="CT48" s="1381"/>
      <c r="CU48" s="1381"/>
      <c r="CV48" s="1381"/>
      <c r="CW48" s="1381"/>
      <c r="CX48" s="1381"/>
      <c r="CY48" s="1381"/>
      <c r="CZ48" s="1381"/>
      <c r="DA48" s="1381"/>
      <c r="DB48" s="1381"/>
      <c r="DC48" s="1381"/>
      <c r="DD48" s="1381"/>
      <c r="DE48" s="1381"/>
      <c r="DF48" s="1381"/>
      <c r="DG48" s="1381"/>
      <c r="DH48" s="1381"/>
      <c r="DI48" s="1381"/>
      <c r="DJ48" s="1381"/>
      <c r="DK48" s="1381"/>
      <c r="DL48" s="1381"/>
      <c r="DM48" s="1381"/>
      <c r="DN48" s="1381"/>
      <c r="DO48" s="1381"/>
      <c r="DP48" s="1381"/>
      <c r="DQ48" s="1381"/>
      <c r="DR48" s="1381"/>
      <c r="DS48" s="1381"/>
      <c r="DT48" s="1381"/>
      <c r="DU48" s="1381"/>
      <c r="DV48" s="1381"/>
      <c r="DW48" s="1381"/>
      <c r="DX48" s="1381"/>
      <c r="DY48" s="1381"/>
      <c r="DZ48" s="1381"/>
      <c r="EA48" s="1381"/>
      <c r="EB48" s="1381"/>
      <c r="EC48" s="1381"/>
      <c r="ED48" s="1381"/>
      <c r="EE48" s="1381"/>
      <c r="EF48" s="1381"/>
      <c r="EG48" s="1381"/>
      <c r="EH48" s="1381"/>
      <c r="EI48" s="1381"/>
      <c r="EJ48" s="1381"/>
      <c r="EK48" s="1381"/>
      <c r="EL48" s="1381"/>
      <c r="EM48" s="1381"/>
      <c r="EN48" s="1381"/>
      <c r="EO48" s="1381"/>
      <c r="EP48" s="1381"/>
      <c r="EQ48" s="1381"/>
      <c r="ER48" s="1381"/>
      <c r="ES48" s="1381"/>
      <c r="ET48" s="1381"/>
      <c r="EU48" s="1381"/>
      <c r="EV48" s="1381"/>
      <c r="EW48" s="1381"/>
      <c r="EX48" s="1381"/>
      <c r="EY48" s="1381"/>
      <c r="EZ48" s="1381"/>
      <c r="FA48" s="1381"/>
      <c r="FB48" s="1381"/>
      <c r="FC48" s="1381"/>
    </row>
    <row r="49" spans="1:159" ht="15" hidden="1">
      <c r="A49" s="942"/>
      <c r="B49" s="942"/>
      <c r="C49" s="942"/>
      <c r="D49" s="942"/>
      <c r="E49" s="942"/>
      <c r="F49" s="942"/>
      <c r="G49" s="942"/>
      <c r="H49" s="942"/>
      <c r="I49" s="942"/>
      <c r="J49" s="942"/>
      <c r="K49" s="942"/>
      <c r="L49" s="942"/>
      <c r="M49" s="942"/>
      <c r="N49" s="942"/>
      <c r="O49" s="942"/>
      <c r="P49" s="942"/>
      <c r="Q49" s="942"/>
      <c r="R49" s="1381"/>
      <c r="S49" s="1381"/>
      <c r="T49" s="1381"/>
      <c r="U49" s="1381"/>
      <c r="V49" s="1381"/>
      <c r="W49" s="1381"/>
      <c r="X49" s="1381"/>
      <c r="Y49" s="1381"/>
      <c r="Z49" s="1381"/>
      <c r="AA49" s="1381"/>
      <c r="AB49" s="1381"/>
      <c r="AC49" s="1381"/>
      <c r="AD49" s="1381"/>
      <c r="AE49" s="1381"/>
      <c r="AF49" s="1381"/>
      <c r="AG49" s="1381"/>
      <c r="AH49" s="1381"/>
      <c r="AI49" s="1381"/>
      <c r="AJ49" s="1381"/>
      <c r="AK49" s="1381"/>
      <c r="AL49" s="1381"/>
      <c r="AM49" s="1381"/>
      <c r="AN49" s="1381"/>
      <c r="AO49" s="1381"/>
      <c r="AP49" s="1381"/>
      <c r="AQ49" s="1381"/>
      <c r="AR49" s="1381"/>
      <c r="AS49" s="1381"/>
      <c r="AT49" s="1381"/>
      <c r="AU49" s="1381"/>
      <c r="AV49" s="1381"/>
      <c r="AW49" s="1381"/>
      <c r="AX49" s="1381"/>
      <c r="AY49" s="1381"/>
      <c r="AZ49" s="1381"/>
      <c r="BA49" s="1381"/>
      <c r="BB49" s="1381"/>
      <c r="BC49" s="1381"/>
      <c r="BD49" s="1381"/>
      <c r="BE49" s="1381"/>
      <c r="BF49" s="1381"/>
      <c r="BG49" s="1381"/>
      <c r="BH49" s="1381"/>
      <c r="BI49" s="1381"/>
      <c r="BJ49" s="1381"/>
      <c r="BK49" s="1381"/>
      <c r="BL49" s="1381"/>
      <c r="BM49" s="1381"/>
      <c r="BN49" s="1381"/>
      <c r="BO49" s="1381"/>
      <c r="BP49" s="1381"/>
      <c r="BQ49" s="1381"/>
      <c r="BR49" s="1381"/>
      <c r="BS49" s="1381"/>
      <c r="BT49" s="1381"/>
      <c r="BU49" s="1381"/>
      <c r="BV49" s="1381"/>
      <c r="BW49" s="1381"/>
      <c r="BX49" s="1381"/>
      <c r="BY49" s="1381"/>
      <c r="BZ49" s="1381"/>
      <c r="CA49" s="1381"/>
      <c r="CB49" s="1381"/>
      <c r="CC49" s="1381"/>
      <c r="CD49" s="1381"/>
      <c r="CE49" s="1381"/>
      <c r="CF49" s="1381"/>
      <c r="CG49" s="1381"/>
      <c r="CH49" s="1381"/>
      <c r="CI49" s="1381"/>
      <c r="CJ49" s="1381"/>
      <c r="CK49" s="1381"/>
      <c r="CL49" s="1381"/>
      <c r="CM49" s="1381"/>
      <c r="CN49" s="1381"/>
      <c r="CO49" s="1381"/>
      <c r="CP49" s="1381"/>
      <c r="CQ49" s="1381"/>
      <c r="CR49" s="1381"/>
      <c r="CS49" s="1381"/>
      <c r="CT49" s="1381"/>
      <c r="CU49" s="1381"/>
      <c r="CV49" s="1381"/>
      <c r="CW49" s="1381"/>
      <c r="CX49" s="1381"/>
      <c r="CY49" s="1381"/>
      <c r="CZ49" s="1381"/>
      <c r="DA49" s="1381"/>
      <c r="DB49" s="1381"/>
      <c r="DC49" s="1381"/>
      <c r="DD49" s="1381"/>
      <c r="DE49" s="1381"/>
      <c r="DF49" s="1381"/>
      <c r="DG49" s="1381"/>
      <c r="DH49" s="1381"/>
      <c r="DI49" s="1381"/>
      <c r="DJ49" s="1381"/>
      <c r="DK49" s="1381"/>
      <c r="DL49" s="1381"/>
      <c r="DM49" s="1381"/>
      <c r="DN49" s="1381"/>
      <c r="DO49" s="1381"/>
      <c r="DP49" s="1381"/>
      <c r="DQ49" s="1381"/>
      <c r="DR49" s="1381"/>
      <c r="DS49" s="1381"/>
      <c r="DT49" s="1381"/>
      <c r="DU49" s="1381"/>
      <c r="DV49" s="1381"/>
      <c r="DW49" s="1381"/>
      <c r="DX49" s="1381"/>
      <c r="DY49" s="1381"/>
      <c r="DZ49" s="1381"/>
      <c r="EA49" s="1381"/>
      <c r="EB49" s="1381"/>
      <c r="EC49" s="1381"/>
      <c r="ED49" s="1381"/>
      <c r="EE49" s="1381"/>
      <c r="EF49" s="1381"/>
      <c r="EG49" s="1381"/>
      <c r="EH49" s="1381"/>
      <c r="EI49" s="1381"/>
      <c r="EJ49" s="1381"/>
      <c r="EK49" s="1381"/>
      <c r="EL49" s="1381"/>
      <c r="EM49" s="1381"/>
      <c r="EN49" s="1381"/>
      <c r="EO49" s="1381"/>
      <c r="EP49" s="1381"/>
      <c r="EQ49" s="1381"/>
      <c r="ER49" s="1381"/>
      <c r="ES49" s="1381"/>
      <c r="ET49" s="1381"/>
      <c r="EU49" s="1381"/>
      <c r="EV49" s="1381"/>
      <c r="EW49" s="1381"/>
      <c r="EX49" s="1381"/>
      <c r="EY49" s="1381"/>
      <c r="EZ49" s="1381"/>
      <c r="FA49" s="1381"/>
      <c r="FB49" s="1381"/>
      <c r="FC49" s="1381"/>
    </row>
    <row r="50" spans="1:159" ht="15" hidden="1">
      <c r="A50" s="942"/>
      <c r="B50" s="942"/>
      <c r="C50" s="942"/>
      <c r="D50" s="942"/>
      <c r="E50" s="942"/>
      <c r="F50" s="942"/>
      <c r="G50" s="942"/>
      <c r="H50" s="942"/>
      <c r="I50" s="942"/>
      <c r="J50" s="942"/>
      <c r="K50" s="942"/>
      <c r="L50" s="942"/>
      <c r="M50" s="942"/>
      <c r="N50" s="942"/>
      <c r="O50" s="942"/>
      <c r="P50" s="942"/>
      <c r="Q50" s="942"/>
      <c r="R50" s="1381"/>
      <c r="S50" s="1381"/>
      <c r="T50" s="1381"/>
      <c r="U50" s="1381"/>
      <c r="V50" s="1381"/>
      <c r="W50" s="1381"/>
      <c r="X50" s="1381"/>
      <c r="Y50" s="1381"/>
      <c r="Z50" s="1381"/>
      <c r="AA50" s="1381"/>
      <c r="AB50" s="1381"/>
      <c r="AC50" s="1381"/>
      <c r="AD50" s="1381"/>
      <c r="AE50" s="1381"/>
      <c r="AF50" s="1381"/>
      <c r="AG50" s="1381"/>
      <c r="AH50" s="1381"/>
      <c r="AI50" s="1381"/>
      <c r="AJ50" s="1381"/>
      <c r="AK50" s="1381"/>
      <c r="AL50" s="1381"/>
      <c r="AM50" s="1381"/>
      <c r="AN50" s="1381"/>
      <c r="AO50" s="1381"/>
      <c r="AP50" s="1381"/>
      <c r="AQ50" s="1381"/>
      <c r="AR50" s="1381"/>
      <c r="AS50" s="1381"/>
      <c r="AT50" s="1381"/>
      <c r="AU50" s="1381"/>
      <c r="AV50" s="1381"/>
      <c r="AW50" s="1381"/>
      <c r="AX50" s="1381"/>
      <c r="AY50" s="1381"/>
      <c r="AZ50" s="1381"/>
      <c r="BA50" s="1381"/>
      <c r="BB50" s="1381"/>
      <c r="BC50" s="1381"/>
      <c r="BD50" s="1381"/>
      <c r="BE50" s="1381"/>
      <c r="BF50" s="1381"/>
      <c r="BG50" s="1381"/>
      <c r="BH50" s="1381"/>
      <c r="BI50" s="1381"/>
      <c r="BJ50" s="1381"/>
      <c r="BK50" s="1381"/>
      <c r="BL50" s="1381"/>
      <c r="BM50" s="1381"/>
      <c r="BN50" s="1381"/>
      <c r="BO50" s="1381"/>
      <c r="BP50" s="1381"/>
      <c r="BQ50" s="1381"/>
      <c r="BR50" s="1381"/>
      <c r="BS50" s="1381"/>
      <c r="BT50" s="1381"/>
      <c r="BU50" s="1381"/>
      <c r="BV50" s="1381"/>
      <c r="BW50" s="1381"/>
      <c r="BX50" s="1381"/>
      <c r="BY50" s="1381"/>
      <c r="BZ50" s="1381"/>
      <c r="CA50" s="1381"/>
      <c r="CB50" s="1381"/>
      <c r="CC50" s="1381"/>
      <c r="CD50" s="1381"/>
      <c r="CE50" s="1381"/>
      <c r="CF50" s="1381"/>
      <c r="CG50" s="1381"/>
      <c r="CH50" s="1381"/>
      <c r="CI50" s="1381"/>
      <c r="CJ50" s="1381"/>
      <c r="CK50" s="1381"/>
      <c r="CL50" s="1381"/>
      <c r="CM50" s="1381"/>
      <c r="CN50" s="1381"/>
      <c r="CO50" s="1381"/>
      <c r="CP50" s="1381"/>
      <c r="CQ50" s="1381"/>
      <c r="CR50" s="1381"/>
      <c r="CS50" s="1381"/>
      <c r="CT50" s="1381"/>
      <c r="CU50" s="1381"/>
      <c r="CV50" s="1381"/>
      <c r="CW50" s="1381"/>
      <c r="CX50" s="1381"/>
      <c r="CY50" s="1381"/>
      <c r="CZ50" s="1381"/>
      <c r="DA50" s="1381"/>
      <c r="DB50" s="1381"/>
      <c r="DC50" s="1381"/>
      <c r="DD50" s="1381"/>
      <c r="DE50" s="1381"/>
      <c r="DF50" s="1381"/>
      <c r="DG50" s="1381"/>
      <c r="DH50" s="1381"/>
      <c r="DI50" s="1381"/>
      <c r="DJ50" s="1381"/>
      <c r="DK50" s="1381"/>
      <c r="DL50" s="1381"/>
      <c r="DM50" s="1381"/>
      <c r="DN50" s="1381"/>
      <c r="DO50" s="1381"/>
      <c r="DP50" s="1381"/>
      <c r="DQ50" s="1381"/>
      <c r="DR50" s="1381"/>
      <c r="DS50" s="1381"/>
      <c r="DT50" s="1381"/>
      <c r="DU50" s="1381"/>
      <c r="DV50" s="1381"/>
      <c r="DW50" s="1381"/>
      <c r="DX50" s="1381"/>
      <c r="DY50" s="1381"/>
      <c r="DZ50" s="1381"/>
      <c r="EA50" s="1381"/>
      <c r="EB50" s="1381"/>
      <c r="EC50" s="1381"/>
      <c r="ED50" s="1381"/>
      <c r="EE50" s="1381"/>
      <c r="EF50" s="1381"/>
      <c r="EG50" s="1381"/>
      <c r="EH50" s="1381"/>
      <c r="EI50" s="1381"/>
      <c r="EJ50" s="1381"/>
      <c r="EK50" s="1381"/>
      <c r="EL50" s="1381"/>
      <c r="EM50" s="1381"/>
      <c r="EN50" s="1381"/>
      <c r="EO50" s="1381"/>
      <c r="EP50" s="1381"/>
      <c r="EQ50" s="1381"/>
      <c r="ER50" s="1381"/>
      <c r="ES50" s="1381"/>
      <c r="ET50" s="1381"/>
      <c r="EU50" s="1381"/>
      <c r="EV50" s="1381"/>
      <c r="EW50" s="1381"/>
      <c r="EX50" s="1381"/>
      <c r="EY50" s="1381"/>
      <c r="EZ50" s="1381"/>
      <c r="FA50" s="1381"/>
      <c r="FB50" s="1381"/>
      <c r="FC50" s="1381"/>
    </row>
    <row r="51" spans="1:159" ht="15" hidden="1">
      <c r="A51" s="942"/>
      <c r="B51" s="942"/>
      <c r="C51" s="942"/>
      <c r="D51" s="942"/>
      <c r="E51" s="942"/>
      <c r="F51" s="942"/>
      <c r="G51" s="942"/>
      <c r="H51" s="942"/>
      <c r="I51" s="942"/>
      <c r="J51" s="942"/>
      <c r="K51" s="942"/>
      <c r="L51" s="942"/>
      <c r="M51" s="942"/>
      <c r="N51" s="942"/>
      <c r="O51" s="942"/>
      <c r="P51" s="942"/>
      <c r="Q51" s="942"/>
      <c r="R51" s="1381"/>
      <c r="S51" s="1381"/>
      <c r="T51" s="1381"/>
      <c r="U51" s="1381"/>
      <c r="V51" s="1381"/>
      <c r="W51" s="1381"/>
      <c r="X51" s="1381"/>
      <c r="Y51" s="1381"/>
      <c r="Z51" s="1381"/>
      <c r="AA51" s="1381"/>
      <c r="AB51" s="1381"/>
      <c r="AC51" s="1381"/>
      <c r="AD51" s="1381"/>
      <c r="AE51" s="1381"/>
      <c r="AF51" s="1381"/>
      <c r="AG51" s="1381"/>
      <c r="AH51" s="1381"/>
      <c r="AI51" s="1381"/>
      <c r="AJ51" s="1381"/>
      <c r="AK51" s="1381"/>
      <c r="AL51" s="1381"/>
      <c r="AM51" s="1381"/>
      <c r="AN51" s="1381"/>
      <c r="AO51" s="1381"/>
      <c r="AP51" s="1381"/>
      <c r="AQ51" s="1381"/>
      <c r="AR51" s="1381"/>
      <c r="AS51" s="1381"/>
      <c r="AT51" s="1381"/>
      <c r="AU51" s="1381"/>
      <c r="AV51" s="1381"/>
      <c r="AW51" s="1381"/>
      <c r="AX51" s="1381"/>
      <c r="AY51" s="1381"/>
      <c r="AZ51" s="1381"/>
      <c r="BA51" s="1381"/>
      <c r="BB51" s="1381"/>
      <c r="BC51" s="1381"/>
      <c r="BD51" s="1381"/>
      <c r="BE51" s="1381"/>
      <c r="BF51" s="1381"/>
      <c r="BG51" s="1381"/>
      <c r="BH51" s="1381"/>
      <c r="BI51" s="1381"/>
      <c r="BJ51" s="1381"/>
      <c r="BK51" s="1381"/>
      <c r="BL51" s="1381"/>
      <c r="BM51" s="1381"/>
      <c r="BN51" s="1381"/>
      <c r="BO51" s="1381"/>
      <c r="BP51" s="1381"/>
      <c r="BQ51" s="1381"/>
      <c r="BR51" s="1381"/>
      <c r="BS51" s="1381"/>
      <c r="BT51" s="1381"/>
      <c r="BU51" s="1381"/>
      <c r="BV51" s="1381"/>
      <c r="BW51" s="1381"/>
      <c r="BX51" s="1381"/>
      <c r="BY51" s="1381"/>
      <c r="BZ51" s="1381"/>
      <c r="CA51" s="1381"/>
      <c r="CB51" s="1381"/>
      <c r="CC51" s="1381"/>
      <c r="CD51" s="1381"/>
      <c r="CE51" s="1381"/>
      <c r="CF51" s="1381"/>
      <c r="CG51" s="1381"/>
      <c r="CH51" s="1381"/>
      <c r="CI51" s="1381"/>
      <c r="CJ51" s="1381"/>
      <c r="CK51" s="1381"/>
      <c r="CL51" s="1381"/>
      <c r="CM51" s="1381"/>
      <c r="CN51" s="1381"/>
      <c r="CO51" s="1381"/>
      <c r="CP51" s="1381"/>
      <c r="CQ51" s="1381"/>
      <c r="CR51" s="1381"/>
      <c r="CS51" s="1381"/>
      <c r="CT51" s="1381"/>
      <c r="CU51" s="1381"/>
      <c r="CV51" s="1381"/>
      <c r="CW51" s="1381"/>
      <c r="CX51" s="1381"/>
      <c r="CY51" s="1381"/>
      <c r="CZ51" s="1381"/>
      <c r="DA51" s="1381"/>
      <c r="DB51" s="1381"/>
      <c r="DC51" s="1381"/>
      <c r="DD51" s="1381"/>
      <c r="DE51" s="1381"/>
      <c r="DF51" s="1381"/>
      <c r="DG51" s="1381"/>
      <c r="DH51" s="1381"/>
      <c r="DI51" s="1381"/>
      <c r="DJ51" s="1381"/>
      <c r="DK51" s="1381"/>
      <c r="DL51" s="1381"/>
      <c r="DM51" s="1381"/>
      <c r="DN51" s="1381"/>
      <c r="DO51" s="1381"/>
      <c r="DP51" s="1381"/>
      <c r="DQ51" s="1381"/>
      <c r="DR51" s="1381"/>
      <c r="DS51" s="1381"/>
      <c r="DT51" s="1381"/>
      <c r="DU51" s="1381"/>
      <c r="DV51" s="1381"/>
      <c r="DW51" s="1381"/>
      <c r="DX51" s="1381"/>
      <c r="DY51" s="1381"/>
      <c r="DZ51" s="1381"/>
      <c r="EA51" s="1381"/>
      <c r="EB51" s="1381"/>
      <c r="EC51" s="1381"/>
      <c r="ED51" s="1381"/>
      <c r="EE51" s="1381"/>
      <c r="EF51" s="1381"/>
      <c r="EG51" s="1381"/>
      <c r="EH51" s="1381"/>
      <c r="EI51" s="1381"/>
      <c r="EJ51" s="1381"/>
      <c r="EK51" s="1381"/>
      <c r="EL51" s="1381"/>
      <c r="EM51" s="1381"/>
      <c r="EN51" s="1381"/>
      <c r="EO51" s="1381"/>
      <c r="EP51" s="1381"/>
      <c r="EQ51" s="1381"/>
      <c r="ER51" s="1381"/>
      <c r="ES51" s="1381"/>
      <c r="ET51" s="1381"/>
      <c r="EU51" s="1381"/>
      <c r="EV51" s="1381"/>
      <c r="EW51" s="1381"/>
      <c r="EX51" s="1381"/>
      <c r="EY51" s="1381"/>
      <c r="EZ51" s="1381"/>
      <c r="FA51" s="1381"/>
      <c r="FB51" s="1381"/>
      <c r="FC51" s="1381"/>
    </row>
    <row r="52" spans="1:159" ht="15" hidden="1">
      <c r="A52" s="942"/>
      <c r="B52" s="942"/>
      <c r="C52" s="942"/>
      <c r="D52" s="942"/>
      <c r="E52" s="942"/>
      <c r="F52" s="942"/>
      <c r="G52" s="942"/>
      <c r="H52" s="942"/>
      <c r="I52" s="942"/>
      <c r="J52" s="942"/>
      <c r="K52" s="942"/>
      <c r="L52" s="942"/>
      <c r="M52" s="942"/>
      <c r="N52" s="942"/>
      <c r="O52" s="942"/>
      <c r="P52" s="942"/>
      <c r="Q52" s="942"/>
      <c r="R52" s="1381"/>
      <c r="S52" s="1381"/>
      <c r="T52" s="1381"/>
      <c r="U52" s="1381"/>
      <c r="V52" s="1381"/>
      <c r="W52" s="1381"/>
      <c r="X52" s="1381"/>
      <c r="Y52" s="1381"/>
      <c r="Z52" s="1381"/>
      <c r="AA52" s="1381"/>
      <c r="AB52" s="1381"/>
      <c r="AC52" s="1381"/>
      <c r="AD52" s="1381"/>
      <c r="AE52" s="1381"/>
      <c r="AF52" s="1381"/>
      <c r="AG52" s="1381"/>
      <c r="AH52" s="1381"/>
      <c r="AI52" s="1381"/>
      <c r="AJ52" s="1381"/>
      <c r="AK52" s="1381"/>
      <c r="AL52" s="1381"/>
      <c r="AM52" s="1381"/>
      <c r="AN52" s="1381"/>
      <c r="AO52" s="1381"/>
      <c r="AP52" s="1381"/>
      <c r="AQ52" s="1381"/>
      <c r="AR52" s="1381"/>
      <c r="AS52" s="1381"/>
      <c r="AT52" s="1381"/>
      <c r="AU52" s="1381"/>
      <c r="AV52" s="1381"/>
      <c r="AW52" s="1381"/>
      <c r="AX52" s="1381"/>
      <c r="AY52" s="1381"/>
      <c r="AZ52" s="1381"/>
      <c r="BA52" s="1381"/>
      <c r="BB52" s="1381"/>
      <c r="BC52" s="1381"/>
      <c r="BD52" s="1381"/>
      <c r="BE52" s="1381"/>
      <c r="BF52" s="1381"/>
      <c r="BG52" s="1381"/>
      <c r="BH52" s="1381"/>
      <c r="BI52" s="1381"/>
      <c r="BJ52" s="1381"/>
      <c r="BK52" s="1381"/>
      <c r="BL52" s="1381"/>
      <c r="BM52" s="1381"/>
      <c r="BN52" s="1381"/>
      <c r="BO52" s="1381"/>
      <c r="BP52" s="1381"/>
      <c r="BQ52" s="1381"/>
      <c r="BR52" s="1381"/>
      <c r="BS52" s="1381"/>
      <c r="BT52" s="1381"/>
      <c r="BU52" s="1381"/>
      <c r="BV52" s="1381"/>
      <c r="BW52" s="1381"/>
      <c r="BX52" s="1381"/>
      <c r="BY52" s="1381"/>
      <c r="BZ52" s="1381"/>
      <c r="CA52" s="1381"/>
      <c r="CB52" s="1381"/>
      <c r="CC52" s="1381"/>
      <c r="CD52" s="1381"/>
      <c r="CE52" s="1381"/>
      <c r="CF52" s="1381"/>
      <c r="CG52" s="1381"/>
      <c r="CH52" s="1381"/>
      <c r="CI52" s="1381"/>
      <c r="CJ52" s="1381"/>
      <c r="CK52" s="1381"/>
      <c r="CL52" s="1381"/>
      <c r="CM52" s="1381"/>
      <c r="CN52" s="1381"/>
      <c r="CO52" s="1381"/>
      <c r="CP52" s="1381"/>
      <c r="CQ52" s="1381"/>
      <c r="CR52" s="1381"/>
      <c r="CS52" s="1381"/>
      <c r="CT52" s="1381"/>
      <c r="CU52" s="1381"/>
      <c r="CV52" s="1381"/>
      <c r="CW52" s="1381"/>
      <c r="CX52" s="1381"/>
      <c r="CY52" s="1381"/>
      <c r="CZ52" s="1381"/>
      <c r="DA52" s="1381"/>
      <c r="DB52" s="1381"/>
      <c r="DC52" s="1381"/>
      <c r="DD52" s="1381"/>
      <c r="DE52" s="1381"/>
      <c r="DF52" s="1381"/>
      <c r="DG52" s="1381"/>
      <c r="DH52" s="1381"/>
      <c r="DI52" s="1381"/>
      <c r="DJ52" s="1381"/>
      <c r="DK52" s="1381"/>
      <c r="DL52" s="1381"/>
      <c r="DM52" s="1381"/>
      <c r="DN52" s="1381"/>
      <c r="DO52" s="1381"/>
      <c r="DP52" s="1381"/>
      <c r="DQ52" s="1381"/>
      <c r="DR52" s="1381"/>
      <c r="DS52" s="1381"/>
      <c r="DT52" s="1381"/>
      <c r="DU52" s="1381"/>
      <c r="DV52" s="1381"/>
      <c r="DW52" s="1381"/>
      <c r="DX52" s="1381"/>
      <c r="DY52" s="1381"/>
      <c r="DZ52" s="1381"/>
      <c r="EA52" s="1381"/>
      <c r="EB52" s="1381"/>
      <c r="EC52" s="1381"/>
      <c r="ED52" s="1381"/>
      <c r="EE52" s="1381"/>
      <c r="EF52" s="1381"/>
      <c r="EG52" s="1381"/>
      <c r="EH52" s="1381"/>
      <c r="EI52" s="1381"/>
      <c r="EJ52" s="1381"/>
      <c r="EK52" s="1381"/>
      <c r="EL52" s="1381"/>
      <c r="EM52" s="1381"/>
      <c r="EN52" s="1381"/>
      <c r="EO52" s="1381"/>
      <c r="EP52" s="1381"/>
      <c r="EQ52" s="1381"/>
      <c r="ER52" s="1381"/>
      <c r="ES52" s="1381"/>
      <c r="ET52" s="1381"/>
      <c r="EU52" s="1381"/>
      <c r="EV52" s="1381"/>
      <c r="EW52" s="1381"/>
      <c r="EX52" s="1381"/>
      <c r="EY52" s="1381"/>
      <c r="EZ52" s="1381"/>
      <c r="FA52" s="1381"/>
      <c r="FB52" s="1381"/>
      <c r="FC52" s="1381"/>
    </row>
    <row r="53" spans="1:159" ht="15" hidden="1">
      <c r="A53" s="942"/>
      <c r="B53" s="942"/>
      <c r="C53" s="942"/>
      <c r="D53" s="942"/>
      <c r="E53" s="942"/>
      <c r="F53" s="942"/>
      <c r="G53" s="942"/>
      <c r="H53" s="942"/>
      <c r="I53" s="942"/>
      <c r="J53" s="942"/>
      <c r="K53" s="942"/>
      <c r="L53" s="942"/>
      <c r="M53" s="942"/>
      <c r="N53" s="942"/>
      <c r="O53" s="942"/>
      <c r="P53" s="942"/>
      <c r="Q53" s="942"/>
      <c r="R53" s="1381"/>
      <c r="S53" s="1381"/>
      <c r="T53" s="1381"/>
      <c r="U53" s="1381"/>
      <c r="V53" s="1381"/>
      <c r="W53" s="1381"/>
      <c r="X53" s="1381"/>
      <c r="Y53" s="1381"/>
      <c r="Z53" s="1381"/>
      <c r="AA53" s="1381"/>
      <c r="AB53" s="1381"/>
      <c r="AC53" s="1381"/>
      <c r="AD53" s="1381"/>
      <c r="AE53" s="1381"/>
      <c r="AF53" s="1381"/>
      <c r="AG53" s="1381"/>
      <c r="AH53" s="1381"/>
      <c r="AI53" s="1381"/>
      <c r="AJ53" s="1381"/>
      <c r="AK53" s="1381"/>
      <c r="AL53" s="1381"/>
      <c r="AM53" s="1381"/>
      <c r="AN53" s="1381"/>
      <c r="AO53" s="1381"/>
      <c r="AP53" s="1381"/>
      <c r="AQ53" s="1381"/>
      <c r="AR53" s="1381"/>
      <c r="AS53" s="1381"/>
      <c r="AT53" s="1381"/>
      <c r="AU53" s="1381"/>
      <c r="AV53" s="1381"/>
      <c r="AW53" s="1381"/>
      <c r="AX53" s="1381"/>
      <c r="AY53" s="1381"/>
      <c r="AZ53" s="1381"/>
      <c r="BA53" s="1381"/>
      <c r="BB53" s="1381"/>
      <c r="BC53" s="1381"/>
      <c r="BD53" s="1381"/>
      <c r="BE53" s="1381"/>
      <c r="BF53" s="1381"/>
      <c r="BG53" s="1381"/>
      <c r="BH53" s="1381"/>
      <c r="BI53" s="1381"/>
      <c r="BJ53" s="1381"/>
      <c r="BK53" s="1381"/>
      <c r="BL53" s="1381"/>
      <c r="BM53" s="1381"/>
      <c r="BN53" s="1381"/>
      <c r="BO53" s="1381"/>
      <c r="BP53" s="1381"/>
      <c r="BQ53" s="1381"/>
      <c r="BR53" s="1381"/>
      <c r="BS53" s="1381"/>
      <c r="BT53" s="1381"/>
      <c r="BU53" s="1381"/>
      <c r="BV53" s="1381"/>
      <c r="BW53" s="1381"/>
      <c r="BX53" s="1381"/>
      <c r="BY53" s="1381"/>
      <c r="BZ53" s="1381"/>
      <c r="CA53" s="1381"/>
      <c r="CB53" s="1381"/>
      <c r="CC53" s="1381"/>
      <c r="CD53" s="1381"/>
      <c r="CE53" s="1381"/>
      <c r="CF53" s="1381"/>
      <c r="CG53" s="1381"/>
      <c r="CH53" s="1381"/>
      <c r="CI53" s="1381"/>
      <c r="CJ53" s="1381"/>
      <c r="CK53" s="1381"/>
      <c r="CL53" s="1381"/>
      <c r="CM53" s="1381"/>
      <c r="CN53" s="1381"/>
      <c r="CO53" s="1381"/>
      <c r="CP53" s="1381"/>
      <c r="CQ53" s="1381"/>
      <c r="CR53" s="1381"/>
      <c r="CS53" s="1381"/>
      <c r="CT53" s="1381"/>
      <c r="CU53" s="1381"/>
      <c r="CV53" s="1381"/>
      <c r="CW53" s="1381"/>
      <c r="CX53" s="1381"/>
      <c r="CY53" s="1381"/>
      <c r="CZ53" s="1381"/>
      <c r="DA53" s="1381"/>
      <c r="DB53" s="1381"/>
      <c r="DC53" s="1381"/>
      <c r="DD53" s="1381"/>
      <c r="DE53" s="1381"/>
      <c r="DF53" s="1381"/>
      <c r="DG53" s="1381"/>
      <c r="DH53" s="1381"/>
      <c r="DI53" s="1381"/>
      <c r="DJ53" s="1381"/>
      <c r="DK53" s="1381"/>
      <c r="DL53" s="1381"/>
      <c r="DM53" s="1381"/>
      <c r="DN53" s="1381"/>
      <c r="DO53" s="1381"/>
      <c r="DP53" s="1381"/>
      <c r="DQ53" s="1381"/>
      <c r="DR53" s="1381"/>
      <c r="DS53" s="1381"/>
      <c r="DT53" s="1381"/>
      <c r="DU53" s="1381"/>
      <c r="DV53" s="1381"/>
      <c r="DW53" s="1381"/>
      <c r="DX53" s="1381"/>
      <c r="DY53" s="1381"/>
      <c r="DZ53" s="1381"/>
      <c r="EA53" s="1381"/>
      <c r="EB53" s="1381"/>
      <c r="EC53" s="1381"/>
      <c r="ED53" s="1381"/>
      <c r="EE53" s="1381"/>
      <c r="EF53" s="1381"/>
      <c r="EG53" s="1381"/>
      <c r="EH53" s="1381"/>
      <c r="EI53" s="1381"/>
      <c r="EJ53" s="1381"/>
      <c r="EK53" s="1381"/>
      <c r="EL53" s="1381"/>
      <c r="EM53" s="1381"/>
      <c r="EN53" s="1381"/>
      <c r="EO53" s="1381"/>
      <c r="EP53" s="1381"/>
      <c r="EQ53" s="1381"/>
      <c r="ER53" s="1381"/>
      <c r="ES53" s="1381"/>
      <c r="ET53" s="1381"/>
      <c r="EU53" s="1381"/>
      <c r="EV53" s="1381"/>
      <c r="EW53" s="1381"/>
      <c r="EX53" s="1381"/>
      <c r="EY53" s="1381"/>
      <c r="EZ53" s="1381"/>
      <c r="FA53" s="1381"/>
      <c r="FB53" s="1381"/>
      <c r="FC53" s="1381"/>
    </row>
    <row r="54" spans="1:159" ht="15" hidden="1">
      <c r="A54" s="942"/>
      <c r="B54" s="942"/>
      <c r="C54" s="942"/>
      <c r="D54" s="942"/>
      <c r="E54" s="942"/>
      <c r="F54" s="942"/>
      <c r="G54" s="942"/>
      <c r="H54" s="942"/>
      <c r="I54" s="942"/>
      <c r="J54" s="942"/>
      <c r="K54" s="942"/>
      <c r="L54" s="942"/>
      <c r="M54" s="942"/>
      <c r="N54" s="942"/>
      <c r="O54" s="942"/>
      <c r="P54" s="942"/>
      <c r="Q54" s="942"/>
      <c r="R54" s="1381"/>
      <c r="S54" s="1381"/>
      <c r="T54" s="1381"/>
      <c r="U54" s="1381"/>
      <c r="V54" s="1381"/>
      <c r="W54" s="1381"/>
      <c r="X54" s="1381"/>
      <c r="Y54" s="1381"/>
      <c r="Z54" s="1381"/>
      <c r="AA54" s="1381"/>
      <c r="AB54" s="1381"/>
      <c r="AC54" s="1381"/>
      <c r="AD54" s="1381"/>
      <c r="AE54" s="1381"/>
      <c r="AF54" s="1381"/>
      <c r="AG54" s="1381"/>
      <c r="AH54" s="1381"/>
      <c r="AI54" s="1381"/>
      <c r="AJ54" s="1381"/>
      <c r="AK54" s="1381"/>
      <c r="AL54" s="1381"/>
      <c r="AM54" s="1381"/>
      <c r="AN54" s="1381"/>
      <c r="AO54" s="1381"/>
      <c r="AP54" s="1381"/>
      <c r="AQ54" s="1381"/>
      <c r="AR54" s="1381"/>
      <c r="AS54" s="1381"/>
      <c r="AT54" s="1381"/>
      <c r="AU54" s="1381"/>
      <c r="AV54" s="1381"/>
      <c r="AW54" s="1381"/>
      <c r="AX54" s="1381"/>
      <c r="AY54" s="1381"/>
      <c r="AZ54" s="1381"/>
      <c r="BA54" s="1381"/>
      <c r="BB54" s="1381"/>
      <c r="BC54" s="1381"/>
      <c r="BD54" s="1381"/>
      <c r="BE54" s="1381"/>
      <c r="BF54" s="1381"/>
      <c r="BG54" s="1381"/>
      <c r="BH54" s="1381"/>
      <c r="BI54" s="1381"/>
      <c r="BJ54" s="1381"/>
      <c r="BK54" s="1381"/>
      <c r="BL54" s="1381"/>
      <c r="BM54" s="1381"/>
      <c r="BN54" s="1381"/>
      <c r="BO54" s="1381"/>
      <c r="BP54" s="1381"/>
      <c r="BQ54" s="1381"/>
      <c r="BR54" s="1381"/>
      <c r="BS54" s="1381"/>
      <c r="BT54" s="1381"/>
      <c r="BU54" s="1381"/>
      <c r="BV54" s="1381"/>
      <c r="BW54" s="1381"/>
      <c r="BX54" s="1381"/>
      <c r="BY54" s="1381"/>
      <c r="BZ54" s="1381"/>
      <c r="CA54" s="1381"/>
      <c r="CB54" s="1381"/>
      <c r="CC54" s="1381"/>
      <c r="CD54" s="1381"/>
      <c r="CE54" s="1381"/>
      <c r="CF54" s="1381"/>
      <c r="CG54" s="1381"/>
      <c r="CH54" s="1381"/>
      <c r="CI54" s="1381"/>
      <c r="CJ54" s="1381"/>
      <c r="CK54" s="1381"/>
      <c r="CL54" s="1381"/>
      <c r="CM54" s="1381"/>
      <c r="CN54" s="1381"/>
      <c r="CO54" s="1381"/>
      <c r="CP54" s="1381"/>
      <c r="CQ54" s="1381"/>
      <c r="CR54" s="1381"/>
      <c r="CS54" s="1381"/>
      <c r="CT54" s="1381"/>
      <c r="CU54" s="1381"/>
      <c r="CV54" s="1381"/>
      <c r="CW54" s="1381"/>
      <c r="CX54" s="1381"/>
      <c r="CY54" s="1381"/>
      <c r="CZ54" s="1381"/>
      <c r="DA54" s="1381"/>
      <c r="DB54" s="1381"/>
      <c r="DC54" s="1381"/>
      <c r="DD54" s="1381"/>
      <c r="DE54" s="1381"/>
      <c r="DF54" s="1381"/>
      <c r="DG54" s="1381"/>
      <c r="DH54" s="1381"/>
      <c r="DI54" s="1381"/>
      <c r="DJ54" s="1381"/>
      <c r="DK54" s="1381"/>
      <c r="DL54" s="1381"/>
      <c r="DM54" s="1381"/>
      <c r="DN54" s="1381"/>
      <c r="DO54" s="1381"/>
      <c r="DP54" s="1381"/>
      <c r="DQ54" s="1381"/>
      <c r="DR54" s="1381"/>
      <c r="DS54" s="1381"/>
      <c r="DT54" s="1381"/>
      <c r="DU54" s="1381"/>
      <c r="DV54" s="1381"/>
      <c r="DW54" s="1381"/>
      <c r="DX54" s="1381"/>
      <c r="DY54" s="1381"/>
      <c r="DZ54" s="1381"/>
      <c r="EA54" s="1381"/>
      <c r="EB54" s="1381"/>
      <c r="EC54" s="1381"/>
      <c r="ED54" s="1381"/>
      <c r="EE54" s="1381"/>
      <c r="EF54" s="1381"/>
      <c r="EG54" s="1381"/>
      <c r="EH54" s="1381"/>
      <c r="EI54" s="1381"/>
      <c r="EJ54" s="1381"/>
      <c r="EK54" s="1381"/>
      <c r="EL54" s="1381"/>
      <c r="EM54" s="1381"/>
      <c r="EN54" s="1381"/>
      <c r="EO54" s="1381"/>
      <c r="EP54" s="1381"/>
      <c r="EQ54" s="1381"/>
      <c r="ER54" s="1381"/>
      <c r="ES54" s="1381"/>
      <c r="ET54" s="1381"/>
      <c r="EU54" s="1381"/>
      <c r="EV54" s="1381"/>
      <c r="EW54" s="1381"/>
      <c r="EX54" s="1381"/>
      <c r="EY54" s="1381"/>
      <c r="EZ54" s="1381"/>
      <c r="FA54" s="1381"/>
      <c r="FB54" s="1381"/>
      <c r="FC54" s="1381"/>
    </row>
    <row r="55" spans="1:159" ht="15" hidden="1">
      <c r="A55" s="942"/>
      <c r="B55" s="942"/>
      <c r="C55" s="942"/>
      <c r="D55" s="942"/>
      <c r="E55" s="942"/>
      <c r="F55" s="942"/>
      <c r="G55" s="942"/>
      <c r="H55" s="942"/>
      <c r="I55" s="942"/>
      <c r="J55" s="942"/>
      <c r="K55" s="942"/>
      <c r="L55" s="942"/>
      <c r="M55" s="942"/>
      <c r="N55" s="942"/>
      <c r="O55" s="942"/>
      <c r="P55" s="942"/>
      <c r="Q55" s="942"/>
      <c r="R55" s="1381"/>
      <c r="S55" s="1381"/>
      <c r="T55" s="1381"/>
      <c r="U55" s="1381"/>
      <c r="V55" s="1381"/>
      <c r="W55" s="1381"/>
      <c r="X55" s="1381"/>
      <c r="Y55" s="1381"/>
      <c r="Z55" s="1381"/>
      <c r="AA55" s="1381"/>
      <c r="AB55" s="1381"/>
      <c r="AC55" s="1381"/>
      <c r="AD55" s="1381"/>
      <c r="AE55" s="1381"/>
      <c r="AF55" s="1381"/>
      <c r="AG55" s="1381"/>
      <c r="AH55" s="1381"/>
      <c r="AI55" s="1381"/>
      <c r="AJ55" s="1381"/>
      <c r="AK55" s="1381"/>
      <c r="AL55" s="1381"/>
      <c r="AM55" s="1381"/>
      <c r="AN55" s="1381"/>
      <c r="AO55" s="1381"/>
      <c r="AP55" s="1381"/>
      <c r="AQ55" s="1381"/>
      <c r="AR55" s="1381"/>
      <c r="AS55" s="1381"/>
      <c r="AT55" s="1381"/>
      <c r="AU55" s="1381"/>
      <c r="AV55" s="1381"/>
      <c r="AW55" s="1381"/>
      <c r="AX55" s="1381"/>
      <c r="AY55" s="1381"/>
      <c r="AZ55" s="1381"/>
      <c r="BA55" s="1381"/>
      <c r="BB55" s="1381"/>
      <c r="BC55" s="1381"/>
      <c r="BD55" s="1381"/>
      <c r="BE55" s="1381"/>
      <c r="BF55" s="1381"/>
      <c r="BG55" s="1381"/>
      <c r="BH55" s="1381"/>
      <c r="BI55" s="1381"/>
      <c r="BJ55" s="1381"/>
      <c r="BK55" s="1381"/>
      <c r="BL55" s="1381"/>
      <c r="BM55" s="1381"/>
      <c r="BN55" s="1381"/>
      <c r="BO55" s="1381"/>
      <c r="BP55" s="1381"/>
      <c r="BQ55" s="1381"/>
      <c r="BR55" s="1381"/>
      <c r="BS55" s="1381"/>
      <c r="BT55" s="1381"/>
      <c r="BU55" s="1381"/>
      <c r="BV55" s="1381"/>
      <c r="BW55" s="1381"/>
      <c r="BX55" s="1381"/>
      <c r="BY55" s="1381"/>
      <c r="BZ55" s="1381"/>
      <c r="CA55" s="1381"/>
      <c r="CB55" s="1381"/>
      <c r="CC55" s="1381"/>
      <c r="CD55" s="1381"/>
      <c r="CE55" s="1381"/>
      <c r="CF55" s="1381"/>
      <c r="CG55" s="1381"/>
      <c r="CH55" s="1381"/>
      <c r="CI55" s="1381"/>
      <c r="CJ55" s="1381"/>
      <c r="CK55" s="1381"/>
      <c r="CL55" s="1381"/>
      <c r="CM55" s="1381"/>
      <c r="CN55" s="1381"/>
      <c r="CO55" s="1381"/>
      <c r="CP55" s="1381"/>
      <c r="CQ55" s="1381"/>
      <c r="CR55" s="1381"/>
      <c r="CS55" s="1381"/>
      <c r="CT55" s="1381"/>
      <c r="CU55" s="1381"/>
      <c r="CV55" s="1381"/>
      <c r="CW55" s="1381"/>
      <c r="CX55" s="1381"/>
      <c r="CY55" s="1381"/>
      <c r="CZ55" s="1381"/>
      <c r="DA55" s="1381"/>
      <c r="DB55" s="1381"/>
      <c r="DC55" s="1381"/>
      <c r="DD55" s="1381"/>
      <c r="DE55" s="1381"/>
      <c r="DF55" s="1381"/>
      <c r="DG55" s="1381"/>
      <c r="DH55" s="1381"/>
      <c r="DI55" s="1381"/>
      <c r="DJ55" s="1381"/>
      <c r="DK55" s="1381"/>
      <c r="DL55" s="1381"/>
      <c r="DM55" s="1381"/>
      <c r="DN55" s="1381"/>
      <c r="DO55" s="1381"/>
      <c r="DP55" s="1381"/>
      <c r="DQ55" s="1381"/>
      <c r="DR55" s="1381"/>
      <c r="DS55" s="1381"/>
      <c r="DT55" s="1381"/>
      <c r="DU55" s="1381"/>
      <c r="DV55" s="1381"/>
      <c r="DW55" s="1381"/>
      <c r="DX55" s="1381"/>
      <c r="DY55" s="1381"/>
      <c r="DZ55" s="1381"/>
      <c r="EA55" s="1381"/>
      <c r="EB55" s="1381"/>
      <c r="EC55" s="1381"/>
      <c r="ED55" s="1381"/>
      <c r="EE55" s="1381"/>
      <c r="EF55" s="1381"/>
      <c r="EG55" s="1381"/>
      <c r="EH55" s="1381"/>
      <c r="EI55" s="1381"/>
      <c r="EJ55" s="1381"/>
      <c r="EK55" s="1381"/>
      <c r="EL55" s="1381"/>
      <c r="EM55" s="1381"/>
      <c r="EN55" s="1381"/>
      <c r="EO55" s="1381"/>
      <c r="EP55" s="1381"/>
      <c r="EQ55" s="1381"/>
      <c r="ER55" s="1381"/>
      <c r="ES55" s="1381"/>
      <c r="ET55" s="1381"/>
      <c r="EU55" s="1381"/>
      <c r="EV55" s="1381"/>
      <c r="EW55" s="1381"/>
      <c r="EX55" s="1381"/>
      <c r="EY55" s="1381"/>
      <c r="EZ55" s="1381"/>
      <c r="FA55" s="1381"/>
      <c r="FB55" s="1381"/>
      <c r="FC55" s="1381"/>
    </row>
    <row r="56" spans="1:159" ht="15" hidden="1">
      <c r="A56" s="942"/>
      <c r="B56" s="942"/>
      <c r="C56" s="942"/>
      <c r="D56" s="942"/>
      <c r="E56" s="942"/>
      <c r="F56" s="942"/>
      <c r="G56" s="942"/>
      <c r="H56" s="942"/>
      <c r="I56" s="942"/>
      <c r="J56" s="942"/>
      <c r="K56" s="942"/>
      <c r="L56" s="942"/>
      <c r="M56" s="942"/>
      <c r="N56" s="942"/>
      <c r="O56" s="942"/>
      <c r="P56" s="942"/>
      <c r="Q56" s="942"/>
      <c r="R56" s="1381"/>
      <c r="S56" s="1381"/>
      <c r="T56" s="1381"/>
      <c r="U56" s="1381"/>
      <c r="V56" s="1381"/>
      <c r="W56" s="1381"/>
      <c r="X56" s="1381"/>
      <c r="Y56" s="1381"/>
      <c r="Z56" s="1381"/>
      <c r="AA56" s="1381"/>
      <c r="AB56" s="1381"/>
      <c r="AC56" s="1381"/>
      <c r="AD56" s="1381"/>
      <c r="AE56" s="1381"/>
      <c r="AF56" s="1381"/>
      <c r="AG56" s="1381"/>
      <c r="AH56" s="1381"/>
      <c r="AI56" s="1381"/>
      <c r="AJ56" s="1381"/>
      <c r="AK56" s="1381"/>
      <c r="AL56" s="1381"/>
      <c r="AM56" s="1381"/>
      <c r="AN56" s="1381"/>
      <c r="AO56" s="1381"/>
      <c r="AP56" s="1381"/>
      <c r="AQ56" s="1381"/>
      <c r="AR56" s="1381"/>
      <c r="AS56" s="1381"/>
      <c r="AT56" s="1381"/>
      <c r="AU56" s="1381"/>
      <c r="AV56" s="1381"/>
      <c r="AW56" s="1381"/>
      <c r="AX56" s="1381"/>
      <c r="AY56" s="1381"/>
      <c r="AZ56" s="1381"/>
      <c r="BA56" s="1381"/>
      <c r="BB56" s="1381"/>
      <c r="BC56" s="1381"/>
      <c r="BD56" s="1381"/>
      <c r="BE56" s="1381"/>
      <c r="BF56" s="1381"/>
      <c r="BG56" s="1381"/>
      <c r="BH56" s="1381"/>
      <c r="BI56" s="1381"/>
      <c r="BJ56" s="1381"/>
      <c r="BK56" s="1381"/>
      <c r="BL56" s="1381"/>
      <c r="BM56" s="1381"/>
      <c r="BN56" s="1381"/>
      <c r="BO56" s="1381"/>
      <c r="BP56" s="1381"/>
      <c r="BQ56" s="1381"/>
      <c r="BR56" s="1381"/>
      <c r="BS56" s="1381"/>
      <c r="BT56" s="1381"/>
      <c r="BU56" s="1381"/>
      <c r="BV56" s="1381"/>
      <c r="BW56" s="1381"/>
      <c r="BX56" s="1381"/>
      <c r="BY56" s="1381"/>
      <c r="BZ56" s="1381"/>
      <c r="CA56" s="1381"/>
      <c r="CB56" s="1381"/>
      <c r="CC56" s="1381"/>
      <c r="CD56" s="1381"/>
      <c r="CE56" s="1381"/>
      <c r="CF56" s="1381"/>
      <c r="CG56" s="1381"/>
      <c r="CH56" s="1381"/>
      <c r="CI56" s="1381"/>
      <c r="CJ56" s="1381"/>
      <c r="CK56" s="1381"/>
      <c r="CL56" s="1381"/>
      <c r="CM56" s="1381"/>
      <c r="CN56" s="1381"/>
      <c r="CO56" s="1381"/>
      <c r="CP56" s="1381"/>
      <c r="CQ56" s="1381"/>
      <c r="CR56" s="1381"/>
      <c r="CS56" s="1381"/>
      <c r="CT56" s="1381"/>
      <c r="CU56" s="1381"/>
      <c r="CV56" s="1381"/>
      <c r="CW56" s="1381"/>
      <c r="CX56" s="1381"/>
      <c r="CY56" s="1381"/>
      <c r="CZ56" s="1381"/>
      <c r="DA56" s="1381"/>
      <c r="DB56" s="1381"/>
      <c r="DC56" s="1381"/>
      <c r="DD56" s="1381"/>
      <c r="DE56" s="1381"/>
      <c r="DF56" s="1381"/>
      <c r="DG56" s="1381"/>
      <c r="DH56" s="1381"/>
      <c r="DI56" s="1381"/>
      <c r="DJ56" s="1381"/>
      <c r="DK56" s="1381"/>
      <c r="DL56" s="1381"/>
      <c r="DM56" s="1381"/>
      <c r="DN56" s="1381"/>
      <c r="DO56" s="1381"/>
      <c r="DP56" s="1381"/>
      <c r="DQ56" s="1381"/>
      <c r="DR56" s="1381"/>
      <c r="DS56" s="1381"/>
      <c r="DT56" s="1381"/>
      <c r="DU56" s="1381"/>
      <c r="DV56" s="1381"/>
      <c r="DW56" s="1381"/>
      <c r="DX56" s="1381"/>
      <c r="DY56" s="1381"/>
      <c r="DZ56" s="1381"/>
      <c r="EA56" s="1381"/>
      <c r="EB56" s="1381"/>
      <c r="EC56" s="1381"/>
      <c r="ED56" s="1381"/>
      <c r="EE56" s="1381"/>
      <c r="EF56" s="1381"/>
      <c r="EG56" s="1381"/>
      <c r="EH56" s="1381"/>
      <c r="EI56" s="1381"/>
      <c r="EJ56" s="1381"/>
      <c r="EK56" s="1381"/>
      <c r="EL56" s="1381"/>
      <c r="EM56" s="1381"/>
      <c r="EN56" s="1381"/>
      <c r="EO56" s="1381"/>
      <c r="EP56" s="1381"/>
      <c r="EQ56" s="1381"/>
      <c r="ER56" s="1381"/>
      <c r="ES56" s="1381"/>
      <c r="ET56" s="1381"/>
      <c r="EU56" s="1381"/>
      <c r="EV56" s="1381"/>
      <c r="EW56" s="1381"/>
      <c r="EX56" s="1381"/>
      <c r="EY56" s="1381"/>
      <c r="EZ56" s="1381"/>
      <c r="FA56" s="1381"/>
      <c r="FB56" s="1381"/>
      <c r="FC56" s="1381"/>
    </row>
    <row r="57" spans="1:159" ht="15" hidden="1">
      <c r="A57" s="942"/>
      <c r="B57" s="942"/>
      <c r="C57" s="942"/>
      <c r="D57" s="942"/>
      <c r="E57" s="942"/>
      <c r="F57" s="942"/>
      <c r="G57" s="942"/>
      <c r="H57" s="942"/>
      <c r="I57" s="942"/>
      <c r="J57" s="942"/>
      <c r="K57" s="942"/>
      <c r="L57" s="942"/>
      <c r="M57" s="942"/>
      <c r="N57" s="942"/>
      <c r="O57" s="942"/>
      <c r="P57" s="942"/>
      <c r="Q57" s="942"/>
      <c r="R57" s="1381"/>
      <c r="S57" s="1381"/>
      <c r="T57" s="1381"/>
      <c r="U57" s="1381"/>
      <c r="V57" s="1381"/>
      <c r="W57" s="1381"/>
      <c r="X57" s="1381"/>
      <c r="Y57" s="1381"/>
      <c r="Z57" s="1381"/>
      <c r="AA57" s="1381"/>
      <c r="AB57" s="1381"/>
      <c r="AC57" s="1381"/>
      <c r="AD57" s="1381"/>
      <c r="AE57" s="1381"/>
      <c r="AF57" s="1381"/>
      <c r="AG57" s="1381"/>
      <c r="AH57" s="1381"/>
      <c r="AI57" s="1381"/>
      <c r="AJ57" s="1381"/>
      <c r="AK57" s="1381"/>
      <c r="AL57" s="1381"/>
      <c r="AM57" s="1381"/>
      <c r="AN57" s="1381"/>
      <c r="AO57" s="1381"/>
      <c r="AP57" s="1381"/>
      <c r="AQ57" s="1381"/>
      <c r="AR57" s="1381"/>
      <c r="AS57" s="1381"/>
      <c r="AT57" s="1381"/>
      <c r="AU57" s="1381"/>
      <c r="AV57" s="1381"/>
      <c r="AW57" s="1381"/>
      <c r="AX57" s="1381"/>
      <c r="AY57" s="1381"/>
      <c r="AZ57" s="1381"/>
      <c r="BA57" s="1381"/>
      <c r="BB57" s="1381"/>
      <c r="BC57" s="1381"/>
      <c r="BD57" s="1381"/>
      <c r="BE57" s="1381"/>
      <c r="BF57" s="1381"/>
      <c r="BG57" s="1381"/>
      <c r="BH57" s="1381"/>
      <c r="BI57" s="1381"/>
      <c r="BJ57" s="1381"/>
      <c r="BK57" s="1381"/>
      <c r="BL57" s="1381"/>
      <c r="BM57" s="1381"/>
      <c r="BN57" s="1381"/>
      <c r="BO57" s="1381"/>
      <c r="BP57" s="1381"/>
      <c r="BQ57" s="1381"/>
      <c r="BR57" s="1381"/>
      <c r="BS57" s="1381"/>
      <c r="BT57" s="1381"/>
      <c r="BU57" s="1381"/>
      <c r="BV57" s="1381"/>
      <c r="BW57" s="1381"/>
      <c r="BX57" s="1381"/>
      <c r="BY57" s="1381"/>
      <c r="BZ57" s="1381"/>
      <c r="CA57" s="1381"/>
      <c r="CB57" s="1381"/>
      <c r="CC57" s="1381"/>
      <c r="CD57" s="1381"/>
      <c r="CE57" s="1381"/>
      <c r="CF57" s="1381"/>
      <c r="CG57" s="1381"/>
      <c r="CH57" s="1381"/>
      <c r="CI57" s="1381"/>
      <c r="CJ57" s="1381"/>
      <c r="CK57" s="1381"/>
      <c r="CL57" s="1381"/>
      <c r="CM57" s="1381"/>
      <c r="CN57" s="1381"/>
      <c r="CO57" s="1381"/>
      <c r="CP57" s="1381"/>
      <c r="CQ57" s="1381"/>
      <c r="CR57" s="1381"/>
      <c r="CS57" s="1381"/>
      <c r="CT57" s="1381"/>
      <c r="CU57" s="1381"/>
      <c r="CV57" s="1381"/>
      <c r="CW57" s="1381"/>
      <c r="CX57" s="1381"/>
      <c r="CY57" s="1381"/>
      <c r="CZ57" s="1381"/>
      <c r="DA57" s="1381"/>
      <c r="DB57" s="1381"/>
      <c r="DC57" s="1381"/>
      <c r="DD57" s="1381"/>
      <c r="DE57" s="1381"/>
      <c r="DF57" s="1381"/>
      <c r="DG57" s="1381"/>
      <c r="DH57" s="1381"/>
      <c r="DI57" s="1381"/>
      <c r="DJ57" s="1381"/>
      <c r="DK57" s="1381"/>
      <c r="DL57" s="1381"/>
      <c r="DM57" s="1381"/>
      <c r="DN57" s="1381"/>
      <c r="DO57" s="1381"/>
      <c r="DP57" s="1381"/>
      <c r="DQ57" s="1381"/>
      <c r="DR57" s="1381"/>
      <c r="DS57" s="1381"/>
      <c r="DT57" s="1381"/>
      <c r="DU57" s="1381"/>
      <c r="DV57" s="1381"/>
      <c r="DW57" s="1381"/>
      <c r="DX57" s="1381"/>
      <c r="DY57" s="1381"/>
      <c r="DZ57" s="1381"/>
      <c r="EA57" s="1381"/>
      <c r="EB57" s="1381"/>
      <c r="EC57" s="1381"/>
      <c r="ED57" s="1381"/>
      <c r="EE57" s="1381"/>
      <c r="EF57" s="1381"/>
      <c r="EG57" s="1381"/>
      <c r="EH57" s="1381"/>
      <c r="EI57" s="1381"/>
      <c r="EJ57" s="1381"/>
      <c r="EK57" s="1381"/>
      <c r="EL57" s="1381"/>
      <c r="EM57" s="1381"/>
      <c r="EN57" s="1381"/>
      <c r="EO57" s="1381"/>
      <c r="EP57" s="1381"/>
      <c r="EQ57" s="1381"/>
      <c r="ER57" s="1381"/>
      <c r="ES57" s="1381"/>
      <c r="ET57" s="1381"/>
      <c r="EU57" s="1381"/>
      <c r="EV57" s="1381"/>
      <c r="EW57" s="1381"/>
      <c r="EX57" s="1381"/>
      <c r="EY57" s="1381"/>
      <c r="EZ57" s="1381"/>
      <c r="FA57" s="1381"/>
      <c r="FB57" s="1381"/>
      <c r="FC57" s="1381"/>
    </row>
    <row r="58" spans="1:159" ht="15" hidden="1">
      <c r="A58" s="942"/>
      <c r="B58" s="942"/>
      <c r="C58" s="942"/>
      <c r="D58" s="942"/>
      <c r="E58" s="942"/>
      <c r="F58" s="942"/>
      <c r="G58" s="942"/>
      <c r="H58" s="942"/>
      <c r="I58" s="942"/>
      <c r="J58" s="942"/>
      <c r="K58" s="942"/>
      <c r="L58" s="942"/>
      <c r="M58" s="942"/>
      <c r="N58" s="942"/>
      <c r="O58" s="942"/>
      <c r="P58" s="942"/>
      <c r="Q58" s="942"/>
      <c r="R58" s="1381"/>
      <c r="S58" s="1381"/>
      <c r="T58" s="1381"/>
      <c r="U58" s="1381"/>
      <c r="V58" s="1381"/>
      <c r="W58" s="1381"/>
      <c r="X58" s="1381"/>
      <c r="Y58" s="1381"/>
      <c r="Z58" s="1381"/>
      <c r="AA58" s="1381"/>
      <c r="AB58" s="1381"/>
      <c r="AC58" s="1381"/>
      <c r="AD58" s="1381"/>
      <c r="AE58" s="1381"/>
      <c r="AF58" s="1381"/>
      <c r="AG58" s="1381"/>
      <c r="AH58" s="1381"/>
      <c r="AI58" s="1381"/>
      <c r="AJ58" s="1381"/>
      <c r="AK58" s="1381"/>
      <c r="AL58" s="1381"/>
      <c r="AM58" s="1381"/>
      <c r="AN58" s="1381"/>
      <c r="AO58" s="1381"/>
      <c r="AP58" s="1381"/>
      <c r="AQ58" s="1381"/>
      <c r="AR58" s="1381"/>
      <c r="AS58" s="1381"/>
      <c r="AT58" s="1381"/>
      <c r="AU58" s="1381"/>
      <c r="AV58" s="1381"/>
      <c r="AW58" s="1381"/>
      <c r="AX58" s="1381"/>
      <c r="AY58" s="1381"/>
      <c r="AZ58" s="1381"/>
      <c r="BA58" s="1381"/>
      <c r="BB58" s="1381"/>
      <c r="BC58" s="1381"/>
      <c r="BD58" s="1381"/>
      <c r="BE58" s="1381"/>
      <c r="BF58" s="1381"/>
      <c r="BG58" s="1381"/>
      <c r="BH58" s="1381"/>
      <c r="BI58" s="1381"/>
      <c r="BJ58" s="1381"/>
      <c r="BK58" s="1381"/>
      <c r="BL58" s="1381"/>
      <c r="BM58" s="1381"/>
      <c r="BN58" s="1381"/>
      <c r="BO58" s="1381"/>
      <c r="BP58" s="1381"/>
      <c r="BQ58" s="1381"/>
      <c r="BR58" s="1381"/>
      <c r="BS58" s="1381"/>
      <c r="BT58" s="1381"/>
      <c r="BU58" s="1381"/>
      <c r="BV58" s="1381"/>
      <c r="BW58" s="1381"/>
      <c r="BX58" s="1381"/>
      <c r="BY58" s="1381"/>
      <c r="BZ58" s="1381"/>
      <c r="CA58" s="1381"/>
      <c r="CB58" s="1381"/>
      <c r="CC58" s="1381"/>
      <c r="CD58" s="1381"/>
      <c r="CE58" s="1381"/>
      <c r="CF58" s="1381"/>
      <c r="CG58" s="1381"/>
      <c r="CH58" s="1381"/>
      <c r="CI58" s="1381"/>
      <c r="CJ58" s="1381"/>
      <c r="CK58" s="1381"/>
      <c r="CL58" s="1381"/>
      <c r="CM58" s="1381"/>
      <c r="CN58" s="1381"/>
      <c r="CO58" s="1381"/>
      <c r="CP58" s="1381"/>
      <c r="CQ58" s="1381"/>
      <c r="CR58" s="1381"/>
      <c r="CS58" s="1381"/>
      <c r="CT58" s="1381"/>
      <c r="CU58" s="1381"/>
      <c r="CV58" s="1381"/>
      <c r="CW58" s="1381"/>
      <c r="CX58" s="1381"/>
      <c r="CY58" s="1381"/>
      <c r="CZ58" s="1381"/>
      <c r="DA58" s="1381"/>
      <c r="DB58" s="1381"/>
      <c r="DC58" s="1381"/>
      <c r="DD58" s="1381"/>
      <c r="DE58" s="1381"/>
      <c r="DF58" s="1381"/>
      <c r="DG58" s="1381"/>
      <c r="DH58" s="1381"/>
      <c r="DI58" s="1381"/>
      <c r="DJ58" s="1381"/>
      <c r="DK58" s="1381"/>
      <c r="DL58" s="1381"/>
      <c r="DM58" s="1381"/>
      <c r="DN58" s="1381"/>
      <c r="DO58" s="1381"/>
      <c r="DP58" s="1381"/>
      <c r="DQ58" s="1381"/>
      <c r="DR58" s="1381"/>
      <c r="DS58" s="1381"/>
      <c r="DT58" s="1381"/>
      <c r="DU58" s="1381"/>
      <c r="DV58" s="1381"/>
      <c r="DW58" s="1381"/>
      <c r="DX58" s="1381"/>
      <c r="DY58" s="1381"/>
      <c r="DZ58" s="1381"/>
      <c r="EA58" s="1381"/>
      <c r="EB58" s="1381"/>
      <c r="EC58" s="1381"/>
      <c r="ED58" s="1381"/>
      <c r="EE58" s="1381"/>
      <c r="EF58" s="1381"/>
      <c r="EG58" s="1381"/>
      <c r="EH58" s="1381"/>
      <c r="EI58" s="1381"/>
      <c r="EJ58" s="1381"/>
      <c r="EK58" s="1381"/>
      <c r="EL58" s="1381"/>
      <c r="EM58" s="1381"/>
      <c r="EN58" s="1381"/>
      <c r="EO58" s="1381"/>
      <c r="EP58" s="1381"/>
      <c r="EQ58" s="1381"/>
      <c r="ER58" s="1381"/>
      <c r="ES58" s="1381"/>
      <c r="ET58" s="1381"/>
      <c r="EU58" s="1381"/>
      <c r="EV58" s="1381"/>
      <c r="EW58" s="1381"/>
      <c r="EX58" s="1381"/>
      <c r="EY58" s="1381"/>
      <c r="EZ58" s="1381"/>
      <c r="FA58" s="1381"/>
      <c r="FB58" s="1381"/>
      <c r="FC58" s="1381"/>
    </row>
    <row r="59" spans="1:159" ht="15" hidden="1">
      <c r="A59" s="942"/>
      <c r="B59" s="942"/>
      <c r="C59" s="942"/>
      <c r="D59" s="942"/>
      <c r="E59" s="942"/>
      <c r="F59" s="942"/>
      <c r="G59" s="942"/>
      <c r="H59" s="942"/>
      <c r="I59" s="942"/>
      <c r="J59" s="942"/>
      <c r="K59" s="942"/>
      <c r="L59" s="942"/>
      <c r="M59" s="942"/>
      <c r="N59" s="942"/>
      <c r="O59" s="942"/>
      <c r="P59" s="942"/>
      <c r="Q59" s="942"/>
      <c r="R59" s="1381"/>
      <c r="S59" s="1381"/>
      <c r="T59" s="1381"/>
      <c r="U59" s="1381"/>
      <c r="V59" s="1381"/>
      <c r="W59" s="1381"/>
      <c r="X59" s="1381"/>
      <c r="Y59" s="1381"/>
      <c r="Z59" s="1381"/>
      <c r="AA59" s="1381"/>
      <c r="AB59" s="1381"/>
      <c r="AC59" s="1381"/>
      <c r="AD59" s="1381"/>
      <c r="AE59" s="1381"/>
      <c r="AF59" s="1381"/>
      <c r="AG59" s="1381"/>
      <c r="AH59" s="1381"/>
      <c r="AI59" s="1381"/>
      <c r="AJ59" s="1381"/>
      <c r="AK59" s="1381"/>
      <c r="AL59" s="1381"/>
      <c r="AM59" s="1381"/>
      <c r="AN59" s="1381"/>
      <c r="AO59" s="1381"/>
      <c r="AP59" s="1381"/>
      <c r="AQ59" s="1381"/>
      <c r="AR59" s="1381"/>
      <c r="AS59" s="1381"/>
      <c r="AT59" s="1381"/>
      <c r="AU59" s="1381"/>
      <c r="AV59" s="1381"/>
      <c r="AW59" s="1381"/>
      <c r="AX59" s="1381"/>
      <c r="AY59" s="1381"/>
      <c r="AZ59" s="1381"/>
      <c r="BA59" s="1381"/>
      <c r="BB59" s="1381"/>
      <c r="BC59" s="1381"/>
      <c r="BD59" s="1381"/>
      <c r="BE59" s="1381"/>
      <c r="BF59" s="1381"/>
      <c r="BG59" s="1381"/>
      <c r="BH59" s="1381"/>
      <c r="BI59" s="1381"/>
      <c r="BJ59" s="1381"/>
      <c r="BK59" s="1381"/>
      <c r="BL59" s="1381"/>
      <c r="BM59" s="1381"/>
      <c r="BN59" s="1381"/>
      <c r="BO59" s="1381"/>
      <c r="BP59" s="1381"/>
      <c r="BQ59" s="1381"/>
      <c r="BR59" s="1381"/>
      <c r="BS59" s="1381"/>
      <c r="BT59" s="1381"/>
      <c r="BU59" s="1381"/>
      <c r="BV59" s="1381"/>
      <c r="BW59" s="1381"/>
      <c r="BX59" s="1381"/>
      <c r="BY59" s="1381"/>
      <c r="BZ59" s="1381"/>
      <c r="CA59" s="1381"/>
      <c r="CB59" s="1381"/>
      <c r="CC59" s="1381"/>
      <c r="CD59" s="1381"/>
      <c r="CE59" s="1381"/>
      <c r="CF59" s="1381"/>
      <c r="CG59" s="1381"/>
      <c r="CH59" s="1381"/>
      <c r="CI59" s="1381"/>
      <c r="CJ59" s="1381"/>
      <c r="CK59" s="1381"/>
      <c r="CL59" s="1381"/>
      <c r="CM59" s="1381"/>
      <c r="CN59" s="1381"/>
      <c r="CO59" s="1381"/>
      <c r="CP59" s="1381"/>
      <c r="CQ59" s="1381"/>
      <c r="CR59" s="1381"/>
      <c r="CS59" s="1381"/>
      <c r="CT59" s="1381"/>
      <c r="CU59" s="1381"/>
      <c r="CV59" s="1381"/>
      <c r="CW59" s="1381"/>
      <c r="CX59" s="1381"/>
      <c r="CY59" s="1381"/>
      <c r="CZ59" s="1381"/>
      <c r="DA59" s="1381"/>
      <c r="DB59" s="1381"/>
      <c r="DC59" s="1381"/>
      <c r="DD59" s="1381"/>
      <c r="DE59" s="1381"/>
      <c r="DF59" s="1381"/>
      <c r="DG59" s="1381"/>
      <c r="DH59" s="1381"/>
      <c r="DI59" s="1381"/>
      <c r="DJ59" s="1381"/>
      <c r="DK59" s="1381"/>
      <c r="DL59" s="1381"/>
      <c r="DM59" s="1381"/>
      <c r="DN59" s="1381"/>
      <c r="DO59" s="1381"/>
      <c r="DP59" s="1381"/>
      <c r="DQ59" s="1381"/>
      <c r="DR59" s="1381"/>
      <c r="DS59" s="1381"/>
      <c r="DT59" s="1381"/>
      <c r="DU59" s="1381"/>
      <c r="DV59" s="1381"/>
      <c r="DW59" s="1381"/>
      <c r="DX59" s="1381"/>
      <c r="DY59" s="1381"/>
      <c r="DZ59" s="1381"/>
      <c r="EA59" s="1381"/>
      <c r="EB59" s="1381"/>
      <c r="EC59" s="1381"/>
      <c r="ED59" s="1381"/>
      <c r="EE59" s="1381"/>
      <c r="EF59" s="1381"/>
      <c r="EG59" s="1381"/>
      <c r="EH59" s="1381"/>
      <c r="EI59" s="1381"/>
      <c r="EJ59" s="1381"/>
      <c r="EK59" s="1381"/>
      <c r="EL59" s="1381"/>
      <c r="EM59" s="1381"/>
      <c r="EN59" s="1381"/>
      <c r="EO59" s="1381"/>
      <c r="EP59" s="1381"/>
      <c r="EQ59" s="1381"/>
      <c r="ER59" s="1381"/>
      <c r="ES59" s="1381"/>
      <c r="ET59" s="1381"/>
      <c r="EU59" s="1381"/>
      <c r="EV59" s="1381"/>
      <c r="EW59" s="1381"/>
      <c r="EX59" s="1381"/>
      <c r="EY59" s="1381"/>
      <c r="EZ59" s="1381"/>
      <c r="FA59" s="1381"/>
      <c r="FB59" s="1381"/>
      <c r="FC59" s="1381"/>
    </row>
    <row r="60" spans="1:159" ht="15" hidden="1">
      <c r="A60" s="942"/>
      <c r="B60" s="942"/>
      <c r="C60" s="942"/>
      <c r="D60" s="942"/>
      <c r="E60" s="942"/>
      <c r="F60" s="942"/>
      <c r="G60" s="942"/>
      <c r="H60" s="942"/>
      <c r="I60" s="942"/>
      <c r="J60" s="942"/>
      <c r="K60" s="942"/>
      <c r="L60" s="942"/>
      <c r="M60" s="942"/>
      <c r="N60" s="942"/>
      <c r="O60" s="942"/>
      <c r="P60" s="942"/>
      <c r="Q60" s="942"/>
      <c r="R60" s="1381"/>
      <c r="S60" s="1381"/>
      <c r="T60" s="1381"/>
      <c r="U60" s="1381"/>
      <c r="V60" s="1381"/>
      <c r="W60" s="1381"/>
      <c r="X60" s="1381"/>
      <c r="Y60" s="1381"/>
      <c r="Z60" s="1381"/>
      <c r="AA60" s="1381"/>
      <c r="AB60" s="1381"/>
      <c r="AC60" s="1381"/>
      <c r="AD60" s="1381"/>
      <c r="AE60" s="1381"/>
      <c r="AF60" s="1381"/>
      <c r="AG60" s="1381"/>
      <c r="AH60" s="1381"/>
      <c r="AI60" s="1381"/>
      <c r="AJ60" s="1381"/>
      <c r="AK60" s="1381"/>
      <c r="AL60" s="1381"/>
      <c r="AM60" s="1381"/>
      <c r="AN60" s="1381"/>
      <c r="AO60" s="1381"/>
      <c r="AP60" s="1381"/>
      <c r="AQ60" s="1381"/>
      <c r="AR60" s="1381"/>
      <c r="AS60" s="1381"/>
      <c r="AT60" s="1381"/>
      <c r="AU60" s="1381"/>
      <c r="AV60" s="1381"/>
      <c r="AW60" s="1381"/>
      <c r="AX60" s="1381"/>
      <c r="AY60" s="1381"/>
      <c r="AZ60" s="1381"/>
      <c r="BA60" s="1381"/>
      <c r="BB60" s="1381"/>
      <c r="BC60" s="1381"/>
      <c r="BD60" s="1381"/>
      <c r="BE60" s="1381"/>
      <c r="BF60" s="1381"/>
      <c r="BG60" s="1381"/>
      <c r="BH60" s="1381"/>
      <c r="BI60" s="1381"/>
      <c r="BJ60" s="1381"/>
      <c r="BK60" s="1381"/>
      <c r="BL60" s="1381"/>
      <c r="BM60" s="1381"/>
      <c r="BN60" s="1381"/>
      <c r="BO60" s="1381"/>
      <c r="BP60" s="1381"/>
      <c r="BQ60" s="1381"/>
      <c r="BR60" s="1381"/>
      <c r="BS60" s="1381"/>
      <c r="BT60" s="1381"/>
      <c r="BU60" s="1381"/>
      <c r="BV60" s="1381"/>
      <c r="BW60" s="1381"/>
      <c r="BX60" s="1381"/>
      <c r="BY60" s="1381"/>
      <c r="BZ60" s="1381"/>
      <c r="CA60" s="1381"/>
      <c r="CB60" s="1381"/>
      <c r="CC60" s="1381"/>
      <c r="CD60" s="1381"/>
      <c r="CE60" s="1381"/>
      <c r="CF60" s="1381"/>
      <c r="CG60" s="1381"/>
      <c r="CH60" s="1381"/>
      <c r="CI60" s="1381"/>
      <c r="CJ60" s="1381"/>
      <c r="CK60" s="1381"/>
      <c r="CL60" s="1381"/>
      <c r="CM60" s="1381"/>
      <c r="CN60" s="1381"/>
      <c r="CO60" s="1381"/>
      <c r="CP60" s="1381"/>
      <c r="CQ60" s="1381"/>
      <c r="CR60" s="1381"/>
      <c r="CS60" s="1381"/>
      <c r="CT60" s="1381"/>
      <c r="CU60" s="1381"/>
      <c r="CV60" s="1381"/>
      <c r="CW60" s="1381"/>
      <c r="CX60" s="1381"/>
      <c r="CY60" s="1381"/>
      <c r="CZ60" s="1381"/>
      <c r="DA60" s="1381"/>
      <c r="DB60" s="1381"/>
      <c r="DC60" s="1381"/>
      <c r="DD60" s="1381"/>
      <c r="DE60" s="1381"/>
      <c r="DF60" s="1381"/>
      <c r="DG60" s="1381"/>
      <c r="DH60" s="1381"/>
      <c r="DI60" s="1381"/>
      <c r="DJ60" s="1381"/>
      <c r="DK60" s="1381"/>
      <c r="DL60" s="1381"/>
      <c r="DM60" s="1381"/>
      <c r="DN60" s="1381"/>
      <c r="DO60" s="1381"/>
      <c r="DP60" s="1381"/>
      <c r="DQ60" s="1381"/>
      <c r="DR60" s="1381"/>
      <c r="DS60" s="1381"/>
      <c r="DT60" s="1381"/>
      <c r="DU60" s="1381"/>
      <c r="DV60" s="1381"/>
      <c r="DW60" s="1381"/>
      <c r="DX60" s="1381"/>
      <c r="DY60" s="1381"/>
      <c r="DZ60" s="1381"/>
      <c r="EA60" s="1381"/>
      <c r="EB60" s="1381"/>
      <c r="EC60" s="1381"/>
      <c r="ED60" s="1381"/>
      <c r="EE60" s="1381"/>
      <c r="EF60" s="1381"/>
      <c r="EG60" s="1381"/>
      <c r="EH60" s="1381"/>
      <c r="EI60" s="1381"/>
      <c r="EJ60" s="1381"/>
      <c r="EK60" s="1381"/>
      <c r="EL60" s="1381"/>
      <c r="EM60" s="1381"/>
      <c r="EN60" s="1381"/>
      <c r="EO60" s="1381"/>
      <c r="EP60" s="1381"/>
      <c r="EQ60" s="1381"/>
      <c r="ER60" s="1381"/>
      <c r="ES60" s="1381"/>
      <c r="ET60" s="1381"/>
      <c r="EU60" s="1381"/>
      <c r="EV60" s="1381"/>
      <c r="EW60" s="1381"/>
      <c r="EX60" s="1381"/>
      <c r="EY60" s="1381"/>
      <c r="EZ60" s="1381"/>
      <c r="FA60" s="1381"/>
      <c r="FB60" s="1381"/>
      <c r="FC60" s="1381"/>
    </row>
    <row r="61" spans="1:159" ht="15" hidden="1">
      <c r="A61" s="942"/>
      <c r="B61" s="942"/>
      <c r="C61" s="942"/>
      <c r="D61" s="942"/>
      <c r="E61" s="942"/>
      <c r="F61" s="942"/>
      <c r="G61" s="942"/>
      <c r="H61" s="942"/>
      <c r="I61" s="942"/>
      <c r="J61" s="942"/>
      <c r="K61" s="942"/>
      <c r="L61" s="942"/>
      <c r="M61" s="942"/>
      <c r="N61" s="942"/>
      <c r="O61" s="942"/>
      <c r="P61" s="942"/>
      <c r="Q61" s="942"/>
      <c r="R61" s="1381"/>
      <c r="S61" s="1381"/>
      <c r="T61" s="1381"/>
      <c r="U61" s="1381"/>
      <c r="V61" s="1381"/>
      <c r="W61" s="1381"/>
      <c r="X61" s="1381"/>
      <c r="Y61" s="1381"/>
      <c r="Z61" s="1381"/>
      <c r="AA61" s="1381"/>
      <c r="AB61" s="1381"/>
      <c r="AC61" s="1381"/>
      <c r="AD61" s="1381"/>
      <c r="AE61" s="1381"/>
      <c r="AF61" s="1381"/>
      <c r="AG61" s="1381"/>
      <c r="AH61" s="1381"/>
      <c r="AI61" s="1381"/>
      <c r="AJ61" s="1381"/>
      <c r="AK61" s="1381"/>
      <c r="AL61" s="1381"/>
      <c r="AM61" s="1381"/>
      <c r="AN61" s="1381"/>
      <c r="AO61" s="1381"/>
      <c r="AP61" s="1381"/>
      <c r="AQ61" s="1381"/>
      <c r="AR61" s="1381"/>
      <c r="AS61" s="1381"/>
      <c r="AT61" s="1381"/>
      <c r="AU61" s="1381"/>
      <c r="AV61" s="1381"/>
      <c r="AW61" s="1381"/>
      <c r="AX61" s="1381"/>
      <c r="AY61" s="1381"/>
      <c r="AZ61" s="1381"/>
      <c r="BA61" s="1381"/>
      <c r="BB61" s="1381"/>
      <c r="BC61" s="1381"/>
      <c r="BD61" s="1381"/>
      <c r="BE61" s="1381"/>
      <c r="BF61" s="1381"/>
      <c r="BG61" s="1381"/>
      <c r="BH61" s="1381"/>
      <c r="BI61" s="1381"/>
      <c r="BJ61" s="1381"/>
      <c r="BK61" s="1381"/>
      <c r="BL61" s="1381"/>
      <c r="BM61" s="1381"/>
      <c r="BN61" s="1381"/>
      <c r="BO61" s="1381"/>
      <c r="BP61" s="1381"/>
      <c r="BQ61" s="1381"/>
      <c r="BR61" s="1381"/>
      <c r="BS61" s="1381"/>
      <c r="BT61" s="1381"/>
      <c r="BU61" s="1381"/>
      <c r="BV61" s="1381"/>
      <c r="BW61" s="1381"/>
      <c r="BX61" s="1381"/>
      <c r="BY61" s="1381"/>
      <c r="BZ61" s="1381"/>
      <c r="CA61" s="1381"/>
      <c r="CB61" s="1381"/>
      <c r="CC61" s="1381"/>
      <c r="CD61" s="1381"/>
      <c r="CE61" s="1381"/>
      <c r="CF61" s="1381"/>
      <c r="CG61" s="1381"/>
      <c r="CH61" s="1381"/>
      <c r="CI61" s="1381"/>
      <c r="CJ61" s="1381"/>
      <c r="CK61" s="1381"/>
      <c r="CL61" s="1381"/>
      <c r="CM61" s="1381"/>
      <c r="CN61" s="1381"/>
      <c r="CO61" s="1381"/>
      <c r="CP61" s="1381"/>
      <c r="CQ61" s="1381"/>
      <c r="CR61" s="1381"/>
      <c r="CS61" s="1381"/>
      <c r="CT61" s="1381"/>
      <c r="CU61" s="1381"/>
      <c r="CV61" s="1381"/>
      <c r="CW61" s="1381"/>
      <c r="CX61" s="1381"/>
      <c r="CY61" s="1381"/>
      <c r="CZ61" s="1381"/>
      <c r="DA61" s="1381"/>
      <c r="DB61" s="1381"/>
      <c r="DC61" s="1381"/>
      <c r="DD61" s="1381"/>
      <c r="DE61" s="1381"/>
      <c r="DF61" s="1381"/>
      <c r="DG61" s="1381"/>
      <c r="DH61" s="1381"/>
      <c r="DI61" s="1381"/>
      <c r="DJ61" s="1381"/>
      <c r="DK61" s="1381"/>
      <c r="DL61" s="1381"/>
      <c r="DM61" s="1381"/>
      <c r="DN61" s="1381"/>
      <c r="DO61" s="1381"/>
      <c r="DP61" s="1381"/>
      <c r="DQ61" s="1381"/>
      <c r="DR61" s="1381"/>
      <c r="DS61" s="1381"/>
      <c r="DT61" s="1381"/>
      <c r="DU61" s="1381"/>
      <c r="DV61" s="1381"/>
      <c r="DW61" s="1381"/>
      <c r="DX61" s="1381"/>
      <c r="DY61" s="1381"/>
      <c r="DZ61" s="1381"/>
      <c r="EA61" s="1381"/>
      <c r="EB61" s="1381"/>
      <c r="EC61" s="1381"/>
      <c r="ED61" s="1381"/>
      <c r="EE61" s="1381"/>
      <c r="EF61" s="1381"/>
      <c r="EG61" s="1381"/>
      <c r="EH61" s="1381"/>
      <c r="EI61" s="1381"/>
      <c r="EJ61" s="1381"/>
      <c r="EK61" s="1381"/>
      <c r="EL61" s="1381"/>
      <c r="EM61" s="1381"/>
      <c r="EN61" s="1381"/>
      <c r="EO61" s="1381"/>
      <c r="EP61" s="1381"/>
      <c r="EQ61" s="1381"/>
      <c r="ER61" s="1381"/>
      <c r="ES61" s="1381"/>
      <c r="ET61" s="1381"/>
      <c r="EU61" s="1381"/>
      <c r="EV61" s="1381"/>
      <c r="EW61" s="1381"/>
      <c r="EX61" s="1381"/>
      <c r="EY61" s="1381"/>
      <c r="EZ61" s="1381"/>
      <c r="FA61" s="1381"/>
      <c r="FB61" s="1381"/>
      <c r="FC61" s="1381"/>
    </row>
    <row r="62" spans="1:159" ht="15" hidden="1">
      <c r="A62" s="942"/>
      <c r="B62" s="942"/>
      <c r="C62" s="942"/>
      <c r="D62" s="942"/>
      <c r="E62" s="942"/>
      <c r="F62" s="942"/>
      <c r="G62" s="942"/>
      <c r="H62" s="942"/>
      <c r="I62" s="942"/>
      <c r="J62" s="942"/>
      <c r="K62" s="942"/>
      <c r="L62" s="942"/>
      <c r="M62" s="942"/>
      <c r="N62" s="942"/>
      <c r="O62" s="942"/>
      <c r="P62" s="942"/>
      <c r="Q62" s="942"/>
      <c r="R62" s="1381"/>
      <c r="S62" s="1381"/>
      <c r="T62" s="1381"/>
      <c r="U62" s="1381"/>
      <c r="V62" s="1381"/>
      <c r="W62" s="1381"/>
      <c r="X62" s="1381"/>
      <c r="Y62" s="1381"/>
      <c r="Z62" s="1381"/>
      <c r="AA62" s="1381"/>
      <c r="AB62" s="1381"/>
      <c r="AC62" s="1381"/>
      <c r="AD62" s="1381"/>
      <c r="AE62" s="1381"/>
      <c r="AF62" s="1381"/>
      <c r="AG62" s="1381"/>
      <c r="AH62" s="1381"/>
      <c r="AI62" s="1381"/>
      <c r="AJ62" s="1381"/>
      <c r="AK62" s="1381"/>
      <c r="AL62" s="1381"/>
      <c r="AM62" s="1381"/>
      <c r="AN62" s="1381"/>
      <c r="AO62" s="1381"/>
      <c r="AP62" s="1381"/>
      <c r="AQ62" s="1381"/>
      <c r="AR62" s="1381"/>
      <c r="AS62" s="1381"/>
      <c r="AT62" s="1381"/>
      <c r="AU62" s="1381"/>
      <c r="AV62" s="1381"/>
      <c r="AW62" s="1381"/>
      <c r="AX62" s="1381"/>
      <c r="AY62" s="1381"/>
      <c r="AZ62" s="1381"/>
      <c r="BA62" s="1381"/>
      <c r="BB62" s="1381"/>
      <c r="BC62" s="1381"/>
      <c r="BD62" s="1381"/>
      <c r="BE62" s="1381"/>
      <c r="BF62" s="1381"/>
      <c r="BG62" s="1381"/>
      <c r="BH62" s="1381"/>
      <c r="BI62" s="1381"/>
      <c r="BJ62" s="1381"/>
      <c r="BK62" s="1381"/>
      <c r="BL62" s="1381"/>
      <c r="BM62" s="1381"/>
      <c r="BN62" s="1381"/>
      <c r="BO62" s="1381"/>
      <c r="BP62" s="1381"/>
      <c r="BQ62" s="1381"/>
      <c r="BR62" s="1381"/>
      <c r="BS62" s="1381"/>
      <c r="BT62" s="1381"/>
      <c r="BU62" s="1381"/>
      <c r="BV62" s="1381"/>
      <c r="BW62" s="1381"/>
      <c r="BX62" s="1381"/>
      <c r="BY62" s="1381"/>
      <c r="BZ62" s="1381"/>
      <c r="CA62" s="1381"/>
      <c r="CB62" s="1381"/>
      <c r="CC62" s="1381"/>
      <c r="CD62" s="1381"/>
      <c r="CE62" s="1381"/>
      <c r="CF62" s="1381"/>
      <c r="CG62" s="1381"/>
      <c r="CH62" s="1381"/>
      <c r="CI62" s="1381"/>
      <c r="CJ62" s="1381"/>
      <c r="CK62" s="1381"/>
      <c r="CL62" s="1381"/>
      <c r="CM62" s="1381"/>
      <c r="CN62" s="1381"/>
      <c r="CO62" s="1381"/>
      <c r="CP62" s="1381"/>
      <c r="CQ62" s="1381"/>
      <c r="CR62" s="1381"/>
      <c r="CS62" s="1381"/>
      <c r="CT62" s="1381"/>
      <c r="CU62" s="1381"/>
      <c r="CV62" s="1381"/>
      <c r="CW62" s="1381"/>
      <c r="CX62" s="1381"/>
      <c r="CY62" s="1381"/>
      <c r="CZ62" s="1381"/>
      <c r="DA62" s="1381"/>
      <c r="DB62" s="1381"/>
      <c r="DC62" s="1381"/>
      <c r="DD62" s="1381"/>
      <c r="DE62" s="1381"/>
      <c r="DF62" s="1381"/>
      <c r="DG62" s="1381"/>
      <c r="DH62" s="1381"/>
      <c r="DI62" s="1381"/>
      <c r="DJ62" s="1381"/>
      <c r="DK62" s="1381"/>
      <c r="DL62" s="1381"/>
      <c r="DM62" s="1381"/>
      <c r="DN62" s="1381"/>
      <c r="DO62" s="1381"/>
      <c r="DP62" s="1381"/>
      <c r="DQ62" s="1381"/>
      <c r="DR62" s="1381"/>
      <c r="DS62" s="1381"/>
      <c r="DT62" s="1381"/>
      <c r="DU62" s="1381"/>
      <c r="DV62" s="1381"/>
      <c r="DW62" s="1381"/>
      <c r="DX62" s="1381"/>
      <c r="DY62" s="1381"/>
      <c r="DZ62" s="1381"/>
      <c r="EA62" s="1381"/>
      <c r="EB62" s="1381"/>
      <c r="EC62" s="1381"/>
      <c r="ED62" s="1381"/>
      <c r="EE62" s="1381"/>
      <c r="EF62" s="1381"/>
      <c r="EG62" s="1381"/>
      <c r="EH62" s="1381"/>
      <c r="EI62" s="1381"/>
      <c r="EJ62" s="1381"/>
      <c r="EK62" s="1381"/>
      <c r="EL62" s="1381"/>
      <c r="EM62" s="1381"/>
      <c r="EN62" s="1381"/>
      <c r="EO62" s="1381"/>
      <c r="EP62" s="1381"/>
      <c r="EQ62" s="1381"/>
      <c r="ER62" s="1381"/>
      <c r="ES62" s="1381"/>
      <c r="ET62" s="1381"/>
      <c r="EU62" s="1381"/>
      <c r="EV62" s="1381"/>
      <c r="EW62" s="1381"/>
      <c r="EX62" s="1381"/>
      <c r="EY62" s="1381"/>
      <c r="EZ62" s="1381"/>
      <c r="FA62" s="1381"/>
      <c r="FB62" s="1381"/>
      <c r="FC62" s="1381"/>
    </row>
    <row r="63" spans="1:159" ht="15" hidden="1">
      <c r="A63" s="942"/>
      <c r="B63" s="942"/>
      <c r="C63" s="942"/>
      <c r="D63" s="942"/>
      <c r="E63" s="942"/>
      <c r="F63" s="942"/>
      <c r="G63" s="942"/>
      <c r="H63" s="942"/>
      <c r="I63" s="942"/>
      <c r="J63" s="942"/>
      <c r="K63" s="942"/>
      <c r="L63" s="942"/>
      <c r="M63" s="942"/>
      <c r="N63" s="942"/>
      <c r="O63" s="942"/>
      <c r="P63" s="942"/>
      <c r="Q63" s="942"/>
      <c r="R63" s="1381"/>
      <c r="S63" s="1381"/>
      <c r="T63" s="1381"/>
      <c r="U63" s="1381"/>
      <c r="V63" s="1381"/>
      <c r="W63" s="1381"/>
      <c r="X63" s="1381"/>
      <c r="Y63" s="1381"/>
      <c r="Z63" s="1381"/>
      <c r="AA63" s="1381"/>
      <c r="AB63" s="1381"/>
      <c r="AC63" s="1381"/>
      <c r="AD63" s="1381"/>
      <c r="AE63" s="1381"/>
      <c r="AF63" s="1381"/>
      <c r="AG63" s="1381"/>
      <c r="AH63" s="1381"/>
      <c r="AI63" s="1381"/>
      <c r="AJ63" s="1381"/>
      <c r="AK63" s="1381"/>
      <c r="AL63" s="1381"/>
      <c r="AM63" s="1381"/>
      <c r="AN63" s="1381"/>
      <c r="AO63" s="1381"/>
      <c r="AP63" s="1381"/>
      <c r="AQ63" s="1381"/>
      <c r="AR63" s="1381"/>
      <c r="AS63" s="1381"/>
      <c r="AT63" s="1381"/>
      <c r="AU63" s="1381"/>
      <c r="AV63" s="1381"/>
      <c r="AW63" s="1381"/>
      <c r="AX63" s="1381"/>
      <c r="AY63" s="1381"/>
      <c r="AZ63" s="1381"/>
      <c r="BA63" s="1381"/>
      <c r="BB63" s="1381"/>
      <c r="BC63" s="1381"/>
      <c r="BD63" s="1381"/>
      <c r="BE63" s="1381"/>
      <c r="BF63" s="1381"/>
      <c r="BG63" s="1381"/>
      <c r="BH63" s="1381"/>
      <c r="BI63" s="1381"/>
      <c r="BJ63" s="1381"/>
      <c r="BK63" s="1381"/>
      <c r="BL63" s="1381"/>
      <c r="BM63" s="1381"/>
      <c r="BN63" s="1381"/>
      <c r="BO63" s="1381"/>
      <c r="BP63" s="1381"/>
      <c r="BQ63" s="1381"/>
      <c r="BR63" s="1381"/>
      <c r="BS63" s="1381"/>
      <c r="BT63" s="1381"/>
      <c r="BU63" s="1381"/>
      <c r="BV63" s="1381"/>
      <c r="BW63" s="1381"/>
      <c r="BX63" s="1381"/>
      <c r="BY63" s="1381"/>
      <c r="BZ63" s="1381"/>
      <c r="CA63" s="1381"/>
      <c r="CB63" s="1381"/>
      <c r="CC63" s="1381"/>
      <c r="CD63" s="1381"/>
      <c r="CE63" s="1381"/>
      <c r="CF63" s="1381"/>
      <c r="CG63" s="1381"/>
      <c r="CH63" s="1381"/>
      <c r="CI63" s="1381"/>
      <c r="CJ63" s="1381"/>
      <c r="CK63" s="1381"/>
      <c r="CL63" s="1381"/>
      <c r="CM63" s="1381"/>
      <c r="CN63" s="1381"/>
      <c r="CO63" s="1381"/>
      <c r="CP63" s="1381"/>
      <c r="CQ63" s="1381"/>
      <c r="CR63" s="1381"/>
      <c r="CS63" s="1381"/>
      <c r="CT63" s="1381"/>
      <c r="CU63" s="1381"/>
      <c r="CV63" s="1381"/>
      <c r="CW63" s="1381"/>
      <c r="CX63" s="1381"/>
      <c r="CY63" s="1381"/>
      <c r="CZ63" s="1381"/>
      <c r="DA63" s="1381"/>
      <c r="DB63" s="1381"/>
      <c r="DC63" s="1381"/>
      <c r="DD63" s="1381"/>
      <c r="DE63" s="1381"/>
      <c r="DF63" s="1381"/>
      <c r="DG63" s="1381"/>
      <c r="DH63" s="1381"/>
      <c r="DI63" s="1381"/>
      <c r="DJ63" s="1381"/>
      <c r="DK63" s="1381"/>
      <c r="DL63" s="1381"/>
      <c r="DM63" s="1381"/>
      <c r="DN63" s="1381"/>
      <c r="DO63" s="1381"/>
      <c r="DP63" s="1381"/>
      <c r="DQ63" s="1381"/>
      <c r="DR63" s="1381"/>
      <c r="DS63" s="1381"/>
      <c r="DT63" s="1381"/>
      <c r="DU63" s="1381"/>
      <c r="DV63" s="1381"/>
      <c r="DW63" s="1381"/>
      <c r="DX63" s="1381"/>
      <c r="DY63" s="1381"/>
      <c r="DZ63" s="1381"/>
      <c r="EA63" s="1381"/>
      <c r="EB63" s="1381"/>
      <c r="EC63" s="1381"/>
      <c r="ED63" s="1381"/>
      <c r="EE63" s="1381"/>
      <c r="EF63" s="1381"/>
      <c r="EG63" s="1381"/>
      <c r="EH63" s="1381"/>
      <c r="EI63" s="1381"/>
      <c r="EJ63" s="1381"/>
      <c r="EK63" s="1381"/>
      <c r="EL63" s="1381"/>
      <c r="EM63" s="1381"/>
      <c r="EN63" s="1381"/>
      <c r="EO63" s="1381"/>
      <c r="EP63" s="1381"/>
      <c r="EQ63" s="1381"/>
      <c r="ER63" s="1381"/>
      <c r="ES63" s="1381"/>
      <c r="ET63" s="1381"/>
      <c r="EU63" s="1381"/>
      <c r="EV63" s="1381"/>
      <c r="EW63" s="1381"/>
      <c r="EX63" s="1381"/>
      <c r="EY63" s="1381"/>
      <c r="EZ63" s="1381"/>
      <c r="FA63" s="1381"/>
      <c r="FB63" s="1381"/>
      <c r="FC63" s="1381"/>
    </row>
    <row r="64" spans="1:159" ht="15" hidden="1">
      <c r="A64" s="942"/>
      <c r="B64" s="942"/>
      <c r="C64" s="942"/>
      <c r="D64" s="942"/>
      <c r="E64" s="942"/>
      <c r="F64" s="942"/>
      <c r="G64" s="942"/>
      <c r="H64" s="942"/>
      <c r="I64" s="942"/>
      <c r="J64" s="942"/>
      <c r="K64" s="942"/>
      <c r="L64" s="942"/>
      <c r="M64" s="942"/>
      <c r="N64" s="942"/>
      <c r="O64" s="942"/>
      <c r="P64" s="942"/>
      <c r="Q64" s="942"/>
      <c r="R64" s="1381"/>
      <c r="S64" s="1381"/>
      <c r="T64" s="1381"/>
      <c r="U64" s="1381"/>
      <c r="V64" s="1381"/>
      <c r="W64" s="1381"/>
      <c r="X64" s="1381"/>
      <c r="Y64" s="1381"/>
      <c r="Z64" s="1381"/>
      <c r="AA64" s="1381"/>
      <c r="AB64" s="1381"/>
      <c r="AC64" s="1381"/>
      <c r="AD64" s="1381"/>
      <c r="AE64" s="1381"/>
      <c r="AF64" s="1381"/>
      <c r="AG64" s="1381"/>
      <c r="AH64" s="1381"/>
      <c r="AI64" s="1381"/>
      <c r="AJ64" s="1381"/>
      <c r="AK64" s="1381"/>
      <c r="AL64" s="1381"/>
      <c r="AM64" s="1381"/>
      <c r="AN64" s="1381"/>
      <c r="AO64" s="1381"/>
      <c r="AP64" s="1381"/>
      <c r="AQ64" s="1381"/>
      <c r="AR64" s="1381"/>
      <c r="AS64" s="1381"/>
      <c r="AT64" s="1381"/>
      <c r="AU64" s="1381"/>
      <c r="AV64" s="1381"/>
      <c r="AW64" s="1381"/>
      <c r="AX64" s="1381"/>
      <c r="AY64" s="1381"/>
      <c r="AZ64" s="1381"/>
      <c r="BA64" s="1381"/>
      <c r="BB64" s="1381"/>
      <c r="BC64" s="1381"/>
      <c r="BD64" s="1381"/>
      <c r="BE64" s="1381"/>
      <c r="BF64" s="1381"/>
      <c r="BG64" s="1381"/>
      <c r="BH64" s="1381"/>
      <c r="BI64" s="1381"/>
      <c r="BJ64" s="1381"/>
      <c r="BK64" s="1381"/>
      <c r="BL64" s="1381"/>
      <c r="BM64" s="1381"/>
      <c r="BN64" s="1381"/>
      <c r="BO64" s="1381"/>
      <c r="BP64" s="1381"/>
      <c r="BQ64" s="1381"/>
      <c r="BR64" s="1381"/>
      <c r="BS64" s="1381"/>
      <c r="BT64" s="1381"/>
      <c r="BU64" s="1381"/>
      <c r="BV64" s="1381"/>
      <c r="BW64" s="1381"/>
      <c r="BX64" s="1381"/>
      <c r="BY64" s="1381"/>
      <c r="BZ64" s="1381"/>
      <c r="CA64" s="1381"/>
      <c r="CB64" s="1381"/>
      <c r="CC64" s="1381"/>
      <c r="CD64" s="1381"/>
      <c r="CE64" s="1381"/>
      <c r="CF64" s="1381"/>
      <c r="CG64" s="1381"/>
      <c r="CH64" s="1381"/>
      <c r="CI64" s="1381"/>
      <c r="CJ64" s="1381"/>
      <c r="CK64" s="1381"/>
      <c r="CL64" s="1381"/>
      <c r="CM64" s="1381"/>
      <c r="CN64" s="1381"/>
      <c r="CO64" s="1381"/>
      <c r="CP64" s="1381"/>
      <c r="CQ64" s="1381"/>
      <c r="CR64" s="1381"/>
      <c r="CS64" s="1381"/>
      <c r="CT64" s="1381"/>
      <c r="CU64" s="1381"/>
      <c r="CV64" s="1381"/>
      <c r="CW64" s="1381"/>
      <c r="CX64" s="1381"/>
      <c r="CY64" s="1381"/>
      <c r="CZ64" s="1381"/>
      <c r="DA64" s="1381"/>
      <c r="DB64" s="1381"/>
      <c r="DC64" s="1381"/>
      <c r="DD64" s="1381"/>
      <c r="DE64" s="1381"/>
      <c r="DF64" s="1381"/>
      <c r="DG64" s="1381"/>
      <c r="DH64" s="1381"/>
      <c r="DI64" s="1381"/>
      <c r="DJ64" s="1381"/>
      <c r="DK64" s="1381"/>
      <c r="DL64" s="1381"/>
      <c r="DM64" s="1381"/>
      <c r="DN64" s="1381"/>
      <c r="DO64" s="1381"/>
      <c r="DP64" s="1381"/>
      <c r="DQ64" s="1381"/>
      <c r="DR64" s="1381"/>
      <c r="DS64" s="1381"/>
      <c r="DT64" s="1381"/>
      <c r="DU64" s="1381"/>
      <c r="DV64" s="1381"/>
      <c r="DW64" s="1381"/>
      <c r="DX64" s="1381"/>
      <c r="DY64" s="1381"/>
      <c r="DZ64" s="1381"/>
      <c r="EA64" s="1381"/>
      <c r="EB64" s="1381"/>
      <c r="EC64" s="1381"/>
      <c r="ED64" s="1381"/>
      <c r="EE64" s="1381"/>
      <c r="EF64" s="1381"/>
      <c r="EG64" s="1381"/>
      <c r="EH64" s="1381"/>
      <c r="EI64" s="1381"/>
      <c r="EJ64" s="1381"/>
      <c r="EK64" s="1381"/>
      <c r="EL64" s="1381"/>
      <c r="EM64" s="1381"/>
      <c r="EN64" s="1381"/>
      <c r="EO64" s="1381"/>
      <c r="EP64" s="1381"/>
      <c r="EQ64" s="1381"/>
      <c r="ER64" s="1381"/>
      <c r="ES64" s="1381"/>
      <c r="ET64" s="1381"/>
      <c r="EU64" s="1381"/>
      <c r="EV64" s="1381"/>
      <c r="EW64" s="1381"/>
      <c r="EX64" s="1381"/>
      <c r="EY64" s="1381"/>
      <c r="EZ64" s="1381"/>
      <c r="FA64" s="1381"/>
      <c r="FB64" s="1381"/>
      <c r="FC64" s="1381"/>
    </row>
    <row r="65" spans="1:159" ht="15" hidden="1">
      <c r="A65" s="942"/>
      <c r="B65" s="942"/>
      <c r="C65" s="942"/>
      <c r="D65" s="942"/>
      <c r="E65" s="942"/>
      <c r="F65" s="942"/>
      <c r="G65" s="942"/>
      <c r="H65" s="942"/>
      <c r="I65" s="942"/>
      <c r="J65" s="942"/>
      <c r="K65" s="942"/>
      <c r="L65" s="942"/>
      <c r="M65" s="942"/>
      <c r="N65" s="942"/>
      <c r="O65" s="942"/>
      <c r="P65" s="942"/>
      <c r="Q65" s="942"/>
      <c r="R65" s="1381"/>
      <c r="S65" s="1381"/>
      <c r="T65" s="1381"/>
      <c r="U65" s="1381"/>
      <c r="V65" s="1381"/>
      <c r="W65" s="1381"/>
      <c r="X65" s="1381"/>
      <c r="Y65" s="1381"/>
      <c r="Z65" s="1381"/>
      <c r="AA65" s="1381"/>
      <c r="AB65" s="1381"/>
      <c r="AC65" s="1381"/>
      <c r="AD65" s="1381"/>
      <c r="AE65" s="1381"/>
      <c r="AF65" s="1381"/>
      <c r="AG65" s="1381"/>
      <c r="AH65" s="1381"/>
      <c r="AI65" s="1381"/>
      <c r="AJ65" s="1381"/>
      <c r="AK65" s="1381"/>
      <c r="AL65" s="1381"/>
      <c r="AM65" s="1381"/>
      <c r="AN65" s="1381"/>
      <c r="AO65" s="1381"/>
      <c r="AP65" s="1381"/>
      <c r="AQ65" s="1381"/>
      <c r="AR65" s="1381"/>
      <c r="AS65" s="1381"/>
      <c r="AT65" s="1381"/>
      <c r="AU65" s="1381"/>
      <c r="AV65" s="1381"/>
      <c r="AW65" s="1381"/>
      <c r="AX65" s="1381"/>
      <c r="AY65" s="1381"/>
      <c r="AZ65" s="1381"/>
      <c r="BA65" s="1381"/>
      <c r="BB65" s="1381"/>
      <c r="BC65" s="1381"/>
      <c r="BD65" s="1381"/>
      <c r="BE65" s="1381"/>
      <c r="BF65" s="1381"/>
      <c r="BG65" s="1381"/>
      <c r="BH65" s="1381"/>
      <c r="BI65" s="1381"/>
      <c r="BJ65" s="1381"/>
      <c r="BK65" s="1381"/>
      <c r="BL65" s="1381"/>
      <c r="BM65" s="1381"/>
      <c r="BN65" s="1381"/>
      <c r="BO65" s="1381"/>
      <c r="BP65" s="1381"/>
      <c r="BQ65" s="1381"/>
      <c r="BR65" s="1381"/>
      <c r="BS65" s="1381"/>
      <c r="BT65" s="1381"/>
      <c r="BU65" s="1381"/>
      <c r="BV65" s="1381"/>
      <c r="BW65" s="1381"/>
      <c r="BX65" s="1381"/>
      <c r="BY65" s="1381"/>
      <c r="BZ65" s="1381"/>
      <c r="CA65" s="1381"/>
      <c r="CB65" s="1381"/>
      <c r="CC65" s="1381"/>
      <c r="CD65" s="1381"/>
      <c r="CE65" s="1381"/>
      <c r="CF65" s="1381"/>
      <c r="CG65" s="1381"/>
      <c r="CH65" s="1381"/>
      <c r="CI65" s="1381"/>
      <c r="CJ65" s="1381"/>
      <c r="CK65" s="1381"/>
      <c r="CL65" s="1381"/>
      <c r="CM65" s="1381"/>
      <c r="CN65" s="1381"/>
      <c r="CO65" s="1381"/>
      <c r="CP65" s="1381"/>
      <c r="CQ65" s="1381"/>
      <c r="CR65" s="1381"/>
      <c r="CS65" s="1381"/>
      <c r="CT65" s="1381"/>
      <c r="CU65" s="1381"/>
      <c r="CV65" s="1381"/>
      <c r="CW65" s="1381"/>
      <c r="CX65" s="1381"/>
      <c r="CY65" s="1381"/>
      <c r="CZ65" s="1381"/>
      <c r="DA65" s="1381"/>
      <c r="DB65" s="1381"/>
      <c r="DC65" s="1381"/>
      <c r="DD65" s="1381"/>
      <c r="DE65" s="1381"/>
      <c r="DF65" s="1381"/>
      <c r="DG65" s="1381"/>
      <c r="DH65" s="1381"/>
      <c r="DI65" s="1381"/>
      <c r="DJ65" s="1381"/>
      <c r="DK65" s="1381"/>
      <c r="DL65" s="1381"/>
      <c r="DM65" s="1381"/>
      <c r="DN65" s="1381"/>
      <c r="DO65" s="1381"/>
      <c r="DP65" s="1381"/>
      <c r="DQ65" s="1381"/>
      <c r="DR65" s="1381"/>
      <c r="DS65" s="1381"/>
      <c r="DT65" s="1381"/>
      <c r="DU65" s="1381"/>
      <c r="DV65" s="1381"/>
      <c r="DW65" s="1381"/>
      <c r="DX65" s="1381"/>
      <c r="DY65" s="1381"/>
      <c r="DZ65" s="1381"/>
      <c r="EA65" s="1381"/>
      <c r="EB65" s="1381"/>
      <c r="EC65" s="1381"/>
      <c r="ED65" s="1381"/>
      <c r="EE65" s="1381"/>
      <c r="EF65" s="1381"/>
      <c r="EG65" s="1381"/>
      <c r="EH65" s="1381"/>
      <c r="EI65" s="1381"/>
      <c r="EJ65" s="1381"/>
      <c r="EK65" s="1381"/>
      <c r="EL65" s="1381"/>
      <c r="EM65" s="1381"/>
      <c r="EN65" s="1381"/>
      <c r="EO65" s="1381"/>
      <c r="EP65" s="1381"/>
      <c r="EQ65" s="1381"/>
      <c r="ER65" s="1381"/>
      <c r="ES65" s="1381"/>
      <c r="ET65" s="1381"/>
      <c r="EU65" s="1381"/>
      <c r="EV65" s="1381"/>
      <c r="EW65" s="1381"/>
      <c r="EX65" s="1381"/>
      <c r="EY65" s="1381"/>
      <c r="EZ65" s="1381"/>
      <c r="FA65" s="1381"/>
      <c r="FB65" s="1381"/>
      <c r="FC65" s="1381"/>
    </row>
    <row r="66" spans="1:159" ht="15" hidden="1">
      <c r="A66" s="942"/>
      <c r="B66" s="942"/>
      <c r="C66" s="942"/>
      <c r="D66" s="942"/>
      <c r="E66" s="942"/>
      <c r="F66" s="942"/>
      <c r="G66" s="942"/>
      <c r="H66" s="942"/>
      <c r="I66" s="942"/>
      <c r="J66" s="942"/>
      <c r="K66" s="942"/>
      <c r="L66" s="942"/>
      <c r="M66" s="942"/>
      <c r="N66" s="942"/>
      <c r="O66" s="942"/>
      <c r="P66" s="942"/>
      <c r="Q66" s="942"/>
      <c r="R66" s="1381"/>
      <c r="S66" s="1381"/>
      <c r="T66" s="1381"/>
      <c r="U66" s="1381"/>
      <c r="V66" s="1381"/>
      <c r="W66" s="1381"/>
      <c r="X66" s="1381"/>
      <c r="Y66" s="1381"/>
      <c r="Z66" s="1381"/>
      <c r="AA66" s="1381"/>
      <c r="AB66" s="1381"/>
      <c r="AC66" s="1381"/>
      <c r="AD66" s="1381"/>
      <c r="AE66" s="1381"/>
      <c r="AF66" s="1381"/>
      <c r="AG66" s="1381"/>
      <c r="AH66" s="1381"/>
      <c r="AI66" s="1381"/>
      <c r="AJ66" s="1381"/>
      <c r="AK66" s="1381"/>
      <c r="AL66" s="1381"/>
      <c r="AM66" s="1381"/>
      <c r="AN66" s="1381"/>
      <c r="AO66" s="1381"/>
      <c r="AP66" s="1381"/>
      <c r="AQ66" s="1381"/>
      <c r="AR66" s="1381"/>
      <c r="AS66" s="1381"/>
      <c r="AT66" s="1381"/>
      <c r="AU66" s="1381"/>
      <c r="AV66" s="1381"/>
      <c r="AW66" s="1381"/>
      <c r="AX66" s="1381"/>
      <c r="AY66" s="1381"/>
      <c r="AZ66" s="1381"/>
      <c r="BA66" s="1381"/>
      <c r="BB66" s="1381"/>
      <c r="BC66" s="1381"/>
      <c r="BD66" s="1381"/>
      <c r="BE66" s="1381"/>
      <c r="BF66" s="1381"/>
      <c r="BG66" s="1381"/>
      <c r="BH66" s="1381"/>
      <c r="BI66" s="1381"/>
      <c r="BJ66" s="1381"/>
      <c r="BK66" s="1381"/>
      <c r="BL66" s="1381"/>
      <c r="BM66" s="1381"/>
      <c r="BN66" s="1381"/>
      <c r="BO66" s="1381"/>
      <c r="BP66" s="1381"/>
      <c r="BQ66" s="1381"/>
      <c r="BR66" s="1381"/>
      <c r="BS66" s="1381"/>
      <c r="BT66" s="1381"/>
      <c r="BU66" s="1381"/>
      <c r="BV66" s="1381"/>
      <c r="BW66" s="1381"/>
      <c r="BX66" s="1381"/>
      <c r="BY66" s="1381"/>
      <c r="BZ66" s="1381"/>
      <c r="CA66" s="1381"/>
      <c r="CB66" s="1381"/>
      <c r="CC66" s="1381"/>
      <c r="CD66" s="1381"/>
      <c r="CE66" s="1381"/>
      <c r="CF66" s="1381"/>
      <c r="CG66" s="1381"/>
      <c r="CH66" s="1381"/>
      <c r="CI66" s="1381"/>
      <c r="CJ66" s="1381"/>
      <c r="CK66" s="1381"/>
      <c r="CL66" s="1381"/>
      <c r="CM66" s="1381"/>
      <c r="CN66" s="1381"/>
      <c r="CO66" s="1381"/>
      <c r="CP66" s="1381"/>
      <c r="CQ66" s="1381"/>
      <c r="CR66" s="1381"/>
      <c r="CS66" s="1381"/>
      <c r="CT66" s="1381"/>
      <c r="CU66" s="1381"/>
      <c r="CV66" s="1381"/>
      <c r="CW66" s="1381"/>
      <c r="CX66" s="1381"/>
      <c r="CY66" s="1381"/>
      <c r="CZ66" s="1381"/>
      <c r="DA66" s="1381"/>
      <c r="DB66" s="1381"/>
      <c r="DC66" s="1381"/>
      <c r="DD66" s="1381"/>
      <c r="DE66" s="1381"/>
      <c r="DF66" s="1381"/>
      <c r="DG66" s="1381"/>
      <c r="DH66" s="1381"/>
      <c r="DI66" s="1381"/>
      <c r="DJ66" s="1381"/>
      <c r="DK66" s="1381"/>
      <c r="DL66" s="1381"/>
      <c r="DM66" s="1381"/>
      <c r="DN66" s="1381"/>
      <c r="DO66" s="1381"/>
      <c r="DP66" s="1381"/>
      <c r="DQ66" s="1381"/>
      <c r="DR66" s="1381"/>
      <c r="DS66" s="1381"/>
      <c r="DT66" s="1381"/>
      <c r="DU66" s="1381"/>
      <c r="DV66" s="1381"/>
      <c r="DW66" s="1381"/>
      <c r="DX66" s="1381"/>
      <c r="DY66" s="1381"/>
      <c r="DZ66" s="1381"/>
      <c r="EA66" s="1381"/>
      <c r="EB66" s="1381"/>
      <c r="EC66" s="1381"/>
      <c r="ED66" s="1381"/>
      <c r="EE66" s="1381"/>
      <c r="EF66" s="1381"/>
      <c r="EG66" s="1381"/>
      <c r="EH66" s="1381"/>
      <c r="EI66" s="1381"/>
      <c r="EJ66" s="1381"/>
      <c r="EK66" s="1381"/>
      <c r="EL66" s="1381"/>
      <c r="EM66" s="1381"/>
      <c r="EN66" s="1381"/>
      <c r="EO66" s="1381"/>
      <c r="EP66" s="1381"/>
      <c r="EQ66" s="1381"/>
      <c r="ER66" s="1381"/>
      <c r="ES66" s="1381"/>
      <c r="ET66" s="1381"/>
      <c r="EU66" s="1381"/>
      <c r="EV66" s="1381"/>
      <c r="EW66" s="1381"/>
      <c r="EX66" s="1381"/>
      <c r="EY66" s="1381"/>
      <c r="EZ66" s="1381"/>
      <c r="FA66" s="1381"/>
      <c r="FB66" s="1381"/>
      <c r="FC66" s="1381"/>
    </row>
    <row r="67" spans="1:159" ht="15" hidden="1">
      <c r="A67" s="942"/>
      <c r="B67" s="942"/>
      <c r="C67" s="942"/>
      <c r="D67" s="942"/>
      <c r="E67" s="942"/>
      <c r="F67" s="942"/>
      <c r="G67" s="942"/>
      <c r="H67" s="942"/>
      <c r="I67" s="942"/>
      <c r="J67" s="942"/>
      <c r="K67" s="942"/>
      <c r="L67" s="942"/>
      <c r="M67" s="942"/>
      <c r="N67" s="942"/>
      <c r="O67" s="942"/>
      <c r="P67" s="942"/>
      <c r="Q67" s="942"/>
      <c r="R67" s="1381"/>
      <c r="S67" s="1381"/>
      <c r="T67" s="1381"/>
      <c r="U67" s="1381"/>
      <c r="V67" s="1381"/>
      <c r="W67" s="1381"/>
      <c r="X67" s="1381"/>
      <c r="Y67" s="1381"/>
      <c r="Z67" s="1381"/>
      <c r="AA67" s="1381"/>
      <c r="AB67" s="1381"/>
      <c r="AC67" s="1381"/>
      <c r="AD67" s="1381"/>
      <c r="AE67" s="1381"/>
      <c r="AF67" s="1381"/>
      <c r="AG67" s="1381"/>
      <c r="AH67" s="1381"/>
      <c r="AI67" s="1381"/>
      <c r="AJ67" s="1381"/>
      <c r="AK67" s="1381"/>
      <c r="AL67" s="1381"/>
      <c r="AM67" s="1381"/>
      <c r="AN67" s="1381"/>
      <c r="AO67" s="1381"/>
      <c r="AP67" s="1381"/>
      <c r="AQ67" s="1381"/>
      <c r="AR67" s="1381"/>
      <c r="AS67" s="1381"/>
      <c r="AT67" s="1381"/>
      <c r="AU67" s="1381"/>
      <c r="AV67" s="1381"/>
      <c r="AW67" s="1381"/>
      <c r="AX67" s="1381"/>
      <c r="AY67" s="1381"/>
      <c r="AZ67" s="1381"/>
      <c r="BA67" s="1381"/>
      <c r="BB67" s="1381"/>
      <c r="BC67" s="1381"/>
      <c r="BD67" s="1381"/>
      <c r="BE67" s="1381"/>
      <c r="BF67" s="1381"/>
      <c r="BG67" s="1381"/>
      <c r="BH67" s="1381"/>
      <c r="BI67" s="1381"/>
      <c r="BJ67" s="1381"/>
      <c r="BK67" s="1381"/>
      <c r="BL67" s="1381"/>
      <c r="BM67" s="1381"/>
      <c r="BN67" s="1381"/>
      <c r="BO67" s="1381"/>
      <c r="BP67" s="1381"/>
      <c r="BQ67" s="1381"/>
      <c r="BR67" s="1381"/>
      <c r="BS67" s="1381"/>
      <c r="BT67" s="1381"/>
      <c r="BU67" s="1381"/>
      <c r="BV67" s="1381"/>
      <c r="BW67" s="1381"/>
      <c r="BX67" s="1381"/>
      <c r="BY67" s="1381"/>
      <c r="BZ67" s="1381"/>
      <c r="CA67" s="1381"/>
      <c r="CB67" s="1381"/>
      <c r="CC67" s="1381"/>
      <c r="CD67" s="1381"/>
      <c r="CE67" s="1381"/>
      <c r="CF67" s="1381"/>
      <c r="CG67" s="1381"/>
      <c r="CH67" s="1381"/>
      <c r="CI67" s="1381"/>
      <c r="CJ67" s="1381"/>
      <c r="CK67" s="1381"/>
      <c r="CL67" s="1381"/>
      <c r="CM67" s="1381"/>
      <c r="CN67" s="1381"/>
      <c r="CO67" s="1381"/>
      <c r="CP67" s="1381"/>
      <c r="CQ67" s="1381"/>
      <c r="CR67" s="1381"/>
      <c r="CS67" s="1381"/>
      <c r="CT67" s="1381"/>
      <c r="CU67" s="1381"/>
      <c r="CV67" s="1381"/>
      <c r="CW67" s="1381"/>
      <c r="CX67" s="1381"/>
      <c r="CY67" s="1381"/>
      <c r="CZ67" s="1381"/>
      <c r="DA67" s="1381"/>
      <c r="DB67" s="1381"/>
      <c r="DC67" s="1381"/>
      <c r="DD67" s="1381"/>
      <c r="DE67" s="1381"/>
      <c r="DF67" s="1381"/>
      <c r="DG67" s="1381"/>
      <c r="DH67" s="1381"/>
      <c r="DI67" s="1381"/>
      <c r="DJ67" s="1381"/>
      <c r="DK67" s="1381"/>
      <c r="DL67" s="1381"/>
      <c r="DM67" s="1381"/>
      <c r="DN67" s="1381"/>
      <c r="DO67" s="1381"/>
      <c r="DP67" s="1381"/>
      <c r="DQ67" s="1381"/>
      <c r="DR67" s="1381"/>
      <c r="DS67" s="1381"/>
      <c r="DT67" s="1381"/>
      <c r="DU67" s="1381"/>
      <c r="DV67" s="1381"/>
      <c r="DW67" s="1381"/>
      <c r="DX67" s="1381"/>
      <c r="DY67" s="1381"/>
      <c r="DZ67" s="1381"/>
      <c r="EA67" s="1381"/>
      <c r="EB67" s="1381"/>
      <c r="EC67" s="1381"/>
      <c r="ED67" s="1381"/>
      <c r="EE67" s="1381"/>
      <c r="EF67" s="1381"/>
      <c r="EG67" s="1381"/>
      <c r="EH67" s="1381"/>
      <c r="EI67" s="1381"/>
      <c r="EJ67" s="1381"/>
      <c r="EK67" s="1381"/>
      <c r="EL67" s="1381"/>
      <c r="EM67" s="1381"/>
      <c r="EN67" s="1381"/>
      <c r="EO67" s="1381"/>
      <c r="EP67" s="1381"/>
      <c r="EQ67" s="1381"/>
      <c r="ER67" s="1381"/>
      <c r="ES67" s="1381"/>
      <c r="ET67" s="1381"/>
      <c r="EU67" s="1381"/>
      <c r="EV67" s="1381"/>
      <c r="EW67" s="1381"/>
      <c r="EX67" s="1381"/>
      <c r="EY67" s="1381"/>
      <c r="EZ67" s="1381"/>
      <c r="FA67" s="1381"/>
      <c r="FB67" s="1381"/>
      <c r="FC67" s="1381"/>
    </row>
    <row r="68" spans="1:159" ht="15" hidden="1">
      <c r="A68" s="942"/>
      <c r="B68" s="942"/>
      <c r="C68" s="942"/>
      <c r="D68" s="942"/>
      <c r="E68" s="942"/>
      <c r="F68" s="942"/>
      <c r="G68" s="942"/>
      <c r="H68" s="942"/>
      <c r="I68" s="942"/>
      <c r="J68" s="942"/>
      <c r="K68" s="942"/>
      <c r="L68" s="942"/>
      <c r="M68" s="942"/>
      <c r="N68" s="942"/>
      <c r="O68" s="942"/>
      <c r="P68" s="942"/>
      <c r="Q68" s="942"/>
      <c r="R68" s="1381"/>
      <c r="S68" s="1381"/>
      <c r="T68" s="1381"/>
      <c r="U68" s="1381"/>
      <c r="V68" s="1381"/>
      <c r="W68" s="1381"/>
      <c r="X68" s="1381"/>
      <c r="Y68" s="1381"/>
      <c r="Z68" s="1381"/>
      <c r="AA68" s="1381"/>
      <c r="AB68" s="1381"/>
      <c r="AC68" s="1381"/>
      <c r="AD68" s="1381"/>
      <c r="AE68" s="1381"/>
      <c r="AF68" s="1381"/>
      <c r="AG68" s="1381"/>
      <c r="AH68" s="1381"/>
      <c r="AI68" s="1381"/>
      <c r="AJ68" s="1381"/>
      <c r="AK68" s="1381"/>
      <c r="AL68" s="1381"/>
      <c r="AM68" s="1381"/>
      <c r="AN68" s="1381"/>
      <c r="AO68" s="1381"/>
      <c r="AP68" s="1381"/>
      <c r="AQ68" s="1381"/>
      <c r="AR68" s="1381"/>
      <c r="AS68" s="1381"/>
      <c r="AT68" s="1381"/>
      <c r="AU68" s="1381"/>
      <c r="AV68" s="1381"/>
      <c r="AW68" s="1381"/>
      <c r="AX68" s="1381"/>
      <c r="AY68" s="1381"/>
      <c r="AZ68" s="1381"/>
      <c r="BA68" s="1381"/>
      <c r="BB68" s="1381"/>
      <c r="BC68" s="1381"/>
      <c r="BD68" s="1381"/>
      <c r="BE68" s="1381"/>
      <c r="BF68" s="1381"/>
      <c r="BG68" s="1381"/>
      <c r="BH68" s="1381"/>
      <c r="BI68" s="1381"/>
      <c r="BJ68" s="1381"/>
      <c r="BK68" s="1381"/>
      <c r="BL68" s="1381"/>
      <c r="BM68" s="1381"/>
      <c r="BN68" s="1381"/>
      <c r="BO68" s="1381"/>
      <c r="BP68" s="1381"/>
      <c r="BQ68" s="1381"/>
      <c r="BR68" s="1381"/>
      <c r="BS68" s="1381"/>
      <c r="BT68" s="1381"/>
      <c r="BU68" s="1381"/>
      <c r="BV68" s="1381"/>
      <c r="BW68" s="1381"/>
      <c r="BX68" s="1381"/>
      <c r="BY68" s="1381"/>
      <c r="BZ68" s="1381"/>
      <c r="CA68" s="1381"/>
      <c r="CB68" s="1381"/>
      <c r="CC68" s="1381"/>
      <c r="CD68" s="1381"/>
      <c r="CE68" s="1381"/>
      <c r="CF68" s="1381"/>
      <c r="CG68" s="1381"/>
      <c r="CH68" s="1381"/>
      <c r="CI68" s="1381"/>
      <c r="CJ68" s="1381"/>
      <c r="CK68" s="1381"/>
      <c r="CL68" s="1381"/>
      <c r="CM68" s="1381"/>
      <c r="CN68" s="1381"/>
      <c r="CO68" s="1381"/>
      <c r="CP68" s="1381"/>
      <c r="CQ68" s="1381"/>
      <c r="CR68" s="1381"/>
      <c r="CS68" s="1381"/>
      <c r="CT68" s="1381"/>
      <c r="CU68" s="1381"/>
      <c r="CV68" s="1381"/>
      <c r="CW68" s="1381"/>
      <c r="CX68" s="1381"/>
      <c r="CY68" s="1381"/>
      <c r="CZ68" s="1381"/>
      <c r="DA68" s="1381"/>
      <c r="DB68" s="1381"/>
      <c r="DC68" s="1381"/>
      <c r="DD68" s="1381"/>
      <c r="DE68" s="1381"/>
      <c r="DF68" s="1381"/>
      <c r="DG68" s="1381"/>
      <c r="DH68" s="1381"/>
      <c r="DI68" s="1381"/>
      <c r="DJ68" s="1381"/>
      <c r="DK68" s="1381"/>
      <c r="DL68" s="1381"/>
      <c r="DM68" s="1381"/>
      <c r="DN68" s="1381"/>
      <c r="DO68" s="1381"/>
      <c r="DP68" s="1381"/>
      <c r="DQ68" s="1381"/>
      <c r="DR68" s="1381"/>
      <c r="DS68" s="1381"/>
      <c r="DT68" s="1381"/>
      <c r="DU68" s="1381"/>
      <c r="DV68" s="1381"/>
      <c r="DW68" s="1381"/>
      <c r="DX68" s="1381"/>
      <c r="DY68" s="1381"/>
      <c r="DZ68" s="1381"/>
      <c r="EA68" s="1381"/>
      <c r="EB68" s="1381"/>
      <c r="EC68" s="1381"/>
      <c r="ED68" s="1381"/>
      <c r="EE68" s="1381"/>
      <c r="EF68" s="1381"/>
      <c r="EG68" s="1381"/>
      <c r="EH68" s="1381"/>
      <c r="EI68" s="1381"/>
      <c r="EJ68" s="1381"/>
      <c r="EK68" s="1381"/>
      <c r="EL68" s="1381"/>
      <c r="EM68" s="1381"/>
      <c r="EN68" s="1381"/>
      <c r="EO68" s="1381"/>
      <c r="EP68" s="1381"/>
      <c r="EQ68" s="1381"/>
      <c r="ER68" s="1381"/>
      <c r="ES68" s="1381"/>
      <c r="ET68" s="1381"/>
      <c r="EU68" s="1381"/>
      <c r="EV68" s="1381"/>
      <c r="EW68" s="1381"/>
      <c r="EX68" s="1381"/>
      <c r="EY68" s="1381"/>
      <c r="EZ68" s="1381"/>
      <c r="FA68" s="1381"/>
      <c r="FB68" s="1381"/>
      <c r="FC68" s="1381"/>
    </row>
    <row r="69" spans="1:159" ht="15" hidden="1">
      <c r="A69" s="942"/>
      <c r="B69" s="942"/>
      <c r="C69" s="942"/>
      <c r="D69" s="942"/>
      <c r="E69" s="942"/>
      <c r="F69" s="942"/>
      <c r="G69" s="942"/>
      <c r="H69" s="942"/>
      <c r="I69" s="942"/>
      <c r="J69" s="942"/>
      <c r="K69" s="942"/>
      <c r="L69" s="942"/>
      <c r="M69" s="942"/>
      <c r="N69" s="942"/>
      <c r="O69" s="942"/>
      <c r="P69" s="942"/>
      <c r="Q69" s="942"/>
      <c r="R69" s="1381"/>
      <c r="S69" s="1381"/>
      <c r="T69" s="1381"/>
      <c r="U69" s="1381"/>
      <c r="V69" s="1381"/>
      <c r="W69" s="1381"/>
      <c r="X69" s="1381"/>
      <c r="Y69" s="1381"/>
      <c r="Z69" s="1381"/>
      <c r="AA69" s="1381"/>
      <c r="AB69" s="1381"/>
      <c r="AC69" s="1381"/>
      <c r="AD69" s="1381"/>
      <c r="AE69" s="1381"/>
      <c r="AF69" s="1381"/>
      <c r="AG69" s="1381"/>
      <c r="AH69" s="1381"/>
      <c r="AI69" s="1381"/>
      <c r="AJ69" s="1381"/>
      <c r="AK69" s="1381"/>
      <c r="AL69" s="1381"/>
      <c r="AM69" s="1381"/>
      <c r="AN69" s="1381"/>
      <c r="AO69" s="1381"/>
      <c r="AP69" s="1381"/>
      <c r="AQ69" s="1381"/>
      <c r="AR69" s="1381"/>
      <c r="AS69" s="1381"/>
      <c r="AT69" s="1381"/>
      <c r="AU69" s="1381"/>
      <c r="AV69" s="1381"/>
      <c r="AW69" s="1381"/>
      <c r="AX69" s="1381"/>
      <c r="AY69" s="1381"/>
      <c r="AZ69" s="1381"/>
      <c r="BA69" s="1381"/>
      <c r="BB69" s="1381"/>
      <c r="BC69" s="1381"/>
      <c r="BD69" s="1381"/>
      <c r="BE69" s="1381"/>
      <c r="BF69" s="1381"/>
      <c r="BG69" s="1381"/>
      <c r="BH69" s="1381"/>
      <c r="BI69" s="1381"/>
      <c r="BJ69" s="1381"/>
      <c r="BK69" s="1381"/>
      <c r="BL69" s="1381"/>
      <c r="BM69" s="1381"/>
      <c r="BN69" s="1381"/>
      <c r="BO69" s="1381"/>
      <c r="BP69" s="1381"/>
      <c r="BQ69" s="1381"/>
      <c r="BR69" s="1381"/>
      <c r="BS69" s="1381"/>
      <c r="BT69" s="1381"/>
      <c r="BU69" s="1381"/>
      <c r="BV69" s="1381"/>
      <c r="BW69" s="1381"/>
      <c r="BX69" s="1381"/>
      <c r="BY69" s="1381"/>
      <c r="BZ69" s="1381"/>
      <c r="CA69" s="1381"/>
      <c r="CB69" s="1381"/>
      <c r="CC69" s="1381"/>
      <c r="CD69" s="1381"/>
      <c r="CE69" s="1381"/>
      <c r="CF69" s="1381"/>
      <c r="CG69" s="1381"/>
      <c r="CH69" s="1381"/>
      <c r="CI69" s="1381"/>
      <c r="CJ69" s="1381"/>
      <c r="CK69" s="1381"/>
      <c r="CL69" s="1381"/>
      <c r="CM69" s="1381"/>
      <c r="CN69" s="1381"/>
      <c r="CO69" s="1381"/>
      <c r="CP69" s="1381"/>
      <c r="CQ69" s="1381"/>
      <c r="CR69" s="1381"/>
      <c r="CS69" s="1381"/>
      <c r="CT69" s="1381"/>
      <c r="CU69" s="1381"/>
      <c r="CV69" s="1381"/>
      <c r="CW69" s="1381"/>
      <c r="CX69" s="1381"/>
      <c r="CY69" s="1381"/>
      <c r="CZ69" s="1381"/>
      <c r="DA69" s="1381"/>
      <c r="DB69" s="1381"/>
      <c r="DC69" s="1381"/>
      <c r="DD69" s="1381"/>
      <c r="DE69" s="1381"/>
      <c r="DF69" s="1381"/>
      <c r="DG69" s="1381"/>
      <c r="DH69" s="1381"/>
      <c r="DI69" s="1381"/>
      <c r="DJ69" s="1381"/>
      <c r="DK69" s="1381"/>
      <c r="DL69" s="1381"/>
      <c r="DM69" s="1381"/>
      <c r="DN69" s="1381"/>
      <c r="DO69" s="1381"/>
      <c r="DP69" s="1381"/>
      <c r="DQ69" s="1381"/>
      <c r="DR69" s="1381"/>
      <c r="DS69" s="1381"/>
      <c r="DT69" s="1381"/>
      <c r="DU69" s="1381"/>
      <c r="DV69" s="1381"/>
      <c r="DW69" s="1381"/>
      <c r="DX69" s="1381"/>
      <c r="DY69" s="1381"/>
      <c r="DZ69" s="1381"/>
      <c r="EA69" s="1381"/>
      <c r="EB69" s="1381"/>
      <c r="EC69" s="1381"/>
      <c r="ED69" s="1381"/>
      <c r="EE69" s="1381"/>
      <c r="EF69" s="1381"/>
      <c r="EG69" s="1381"/>
      <c r="EH69" s="1381"/>
      <c r="EI69" s="1381"/>
      <c r="EJ69" s="1381"/>
      <c r="EK69" s="1381"/>
      <c r="EL69" s="1381"/>
      <c r="EM69" s="1381"/>
      <c r="EN69" s="1381"/>
      <c r="EO69" s="1381"/>
      <c r="EP69" s="1381"/>
      <c r="EQ69" s="1381"/>
      <c r="ER69" s="1381"/>
      <c r="ES69" s="1381"/>
      <c r="ET69" s="1381"/>
      <c r="EU69" s="1381"/>
      <c r="EV69" s="1381"/>
      <c r="EW69" s="1381"/>
      <c r="EX69" s="1381"/>
      <c r="EY69" s="1381"/>
      <c r="EZ69" s="1381"/>
      <c r="FA69" s="1381"/>
      <c r="FB69" s="1381"/>
      <c r="FC69" s="1381"/>
    </row>
    <row r="70" spans="1:159" ht="15" hidden="1">
      <c r="A70" s="942"/>
      <c r="B70" s="942"/>
      <c r="C70" s="942"/>
      <c r="D70" s="942"/>
      <c r="E70" s="942"/>
      <c r="F70" s="942"/>
      <c r="G70" s="942"/>
      <c r="H70" s="942"/>
      <c r="I70" s="942"/>
      <c r="J70" s="942"/>
      <c r="K70" s="942"/>
      <c r="L70" s="942"/>
      <c r="M70" s="942"/>
      <c r="N70" s="942"/>
      <c r="O70" s="942"/>
      <c r="P70" s="942"/>
      <c r="Q70" s="942"/>
      <c r="R70" s="1381"/>
      <c r="S70" s="1381"/>
      <c r="T70" s="1381"/>
      <c r="U70" s="1381"/>
      <c r="V70" s="1381"/>
      <c r="W70" s="1381"/>
      <c r="X70" s="1381"/>
      <c r="Y70" s="1381"/>
      <c r="Z70" s="1381"/>
      <c r="AA70" s="1381"/>
      <c r="AB70" s="1381"/>
      <c r="AC70" s="1381"/>
      <c r="AD70" s="1381"/>
      <c r="AE70" s="1381"/>
      <c r="AF70" s="1381"/>
      <c r="AG70" s="1381"/>
      <c r="AH70" s="1381"/>
      <c r="AI70" s="1381"/>
      <c r="AJ70" s="1381"/>
      <c r="AK70" s="1381"/>
      <c r="AL70" s="1381"/>
      <c r="AM70" s="1381"/>
      <c r="AN70" s="1381"/>
      <c r="AO70" s="1381"/>
      <c r="AP70" s="1381"/>
      <c r="AQ70" s="1381"/>
      <c r="AR70" s="1381"/>
      <c r="AS70" s="1381"/>
      <c r="AT70" s="1381"/>
      <c r="AU70" s="1381"/>
      <c r="AV70" s="1381"/>
      <c r="AW70" s="1381"/>
      <c r="AX70" s="1381"/>
      <c r="AY70" s="1381"/>
      <c r="AZ70" s="1381"/>
      <c r="BA70" s="1381"/>
      <c r="BB70" s="1381"/>
      <c r="BC70" s="1381"/>
      <c r="BD70" s="1381"/>
      <c r="BE70" s="1381"/>
      <c r="BF70" s="1381"/>
      <c r="BG70" s="1381"/>
      <c r="BH70" s="1381"/>
      <c r="BI70" s="1381"/>
      <c r="BJ70" s="1381"/>
      <c r="BK70" s="1381"/>
      <c r="BL70" s="1381"/>
      <c r="BM70" s="1381"/>
      <c r="BN70" s="1381"/>
      <c r="BO70" s="1381"/>
      <c r="BP70" s="1381"/>
      <c r="BQ70" s="1381"/>
      <c r="BR70" s="1381"/>
      <c r="BS70" s="1381"/>
      <c r="BT70" s="1381"/>
      <c r="BU70" s="1381"/>
      <c r="BV70" s="1381"/>
      <c r="BW70" s="1381"/>
      <c r="BX70" s="1381"/>
      <c r="BY70" s="1381"/>
      <c r="BZ70" s="1381"/>
      <c r="CA70" s="1381"/>
      <c r="CB70" s="1381"/>
      <c r="CC70" s="1381"/>
      <c r="CD70" s="1381"/>
      <c r="CE70" s="1381"/>
      <c r="CF70" s="1381"/>
      <c r="CG70" s="1381"/>
      <c r="CH70" s="1381"/>
      <c r="CI70" s="1381"/>
      <c r="CJ70" s="1381"/>
      <c r="CK70" s="1381"/>
      <c r="CL70" s="1381"/>
      <c r="CM70" s="1381"/>
      <c r="CN70" s="1381"/>
      <c r="CO70" s="1381"/>
      <c r="CP70" s="1381"/>
      <c r="CQ70" s="1381"/>
      <c r="CR70" s="1381"/>
      <c r="CS70" s="1381"/>
      <c r="CT70" s="1381"/>
      <c r="CU70" s="1381"/>
      <c r="CV70" s="1381"/>
      <c r="CW70" s="1381"/>
      <c r="CX70" s="1381"/>
      <c r="CY70" s="1381"/>
      <c r="CZ70" s="1381"/>
      <c r="DA70" s="1381"/>
      <c r="DB70" s="1381"/>
      <c r="DC70" s="1381"/>
      <c r="DD70" s="1381"/>
      <c r="DE70" s="1381"/>
      <c r="DF70" s="1381"/>
      <c r="DG70" s="1381"/>
      <c r="DH70" s="1381"/>
      <c r="DI70" s="1381"/>
      <c r="DJ70" s="1381"/>
      <c r="DK70" s="1381"/>
      <c r="DL70" s="1381"/>
      <c r="DM70" s="1381"/>
      <c r="DN70" s="1381"/>
      <c r="DO70" s="1381"/>
      <c r="DP70" s="1381"/>
      <c r="DQ70" s="1381"/>
      <c r="DR70" s="1381"/>
      <c r="DS70" s="1381"/>
      <c r="DT70" s="1381"/>
      <c r="DU70" s="1381"/>
      <c r="DV70" s="1381"/>
      <c r="DW70" s="1381"/>
      <c r="DX70" s="1381"/>
      <c r="DY70" s="1381"/>
      <c r="DZ70" s="1381"/>
      <c r="EA70" s="1381"/>
      <c r="EB70" s="1381"/>
      <c r="EC70" s="1381"/>
      <c r="ED70" s="1381"/>
      <c r="EE70" s="1381"/>
      <c r="EF70" s="1381"/>
      <c r="EG70" s="1381"/>
      <c r="EH70" s="1381"/>
      <c r="EI70" s="1381"/>
      <c r="EJ70" s="1381"/>
      <c r="EK70" s="1381"/>
      <c r="EL70" s="1381"/>
      <c r="EM70" s="1381"/>
      <c r="EN70" s="1381"/>
      <c r="EO70" s="1381"/>
      <c r="EP70" s="1381"/>
      <c r="EQ70" s="1381"/>
      <c r="ER70" s="1381"/>
      <c r="ES70" s="1381"/>
      <c r="ET70" s="1381"/>
      <c r="EU70" s="1381"/>
      <c r="EV70" s="1381"/>
      <c r="EW70" s="1381"/>
      <c r="EX70" s="1381"/>
      <c r="EY70" s="1381"/>
      <c r="EZ70" s="1381"/>
      <c r="FA70" s="1381"/>
      <c r="FB70" s="1381"/>
      <c r="FC70" s="1381"/>
    </row>
    <row r="71" spans="1:159" ht="15" hidden="1">
      <c r="A71" s="942"/>
      <c r="B71" s="942"/>
      <c r="C71" s="942"/>
      <c r="D71" s="942"/>
      <c r="E71" s="942"/>
      <c r="F71" s="942"/>
      <c r="G71" s="942"/>
      <c r="H71" s="942"/>
      <c r="I71" s="942"/>
      <c r="J71" s="942"/>
      <c r="K71" s="942"/>
      <c r="L71" s="942"/>
      <c r="M71" s="942"/>
      <c r="N71" s="942"/>
      <c r="O71" s="942"/>
      <c r="P71" s="942"/>
      <c r="Q71" s="942"/>
      <c r="R71" s="1381"/>
      <c r="S71" s="1381"/>
      <c r="T71" s="1381"/>
      <c r="U71" s="1381"/>
      <c r="V71" s="1381"/>
      <c r="W71" s="1381"/>
      <c r="X71" s="1381"/>
      <c r="Y71" s="1381"/>
      <c r="Z71" s="1381"/>
      <c r="AA71" s="1381"/>
      <c r="AB71" s="1381"/>
      <c r="AC71" s="1381"/>
      <c r="AD71" s="1381"/>
      <c r="AE71" s="1381"/>
      <c r="AF71" s="1381"/>
      <c r="AG71" s="1381"/>
      <c r="AH71" s="1381"/>
      <c r="AI71" s="1381"/>
      <c r="AJ71" s="1381"/>
      <c r="AK71" s="1381"/>
      <c r="AL71" s="1381"/>
      <c r="AM71" s="1381"/>
      <c r="AN71" s="1381"/>
      <c r="AO71" s="1381"/>
      <c r="AP71" s="1381"/>
      <c r="AQ71" s="1381"/>
      <c r="AR71" s="1381"/>
      <c r="AS71" s="1381"/>
      <c r="AT71" s="1381"/>
      <c r="AU71" s="1381"/>
      <c r="AV71" s="1381"/>
      <c r="AW71" s="1381"/>
      <c r="AX71" s="1381"/>
      <c r="AY71" s="1381"/>
      <c r="AZ71" s="1381"/>
      <c r="BA71" s="1381"/>
      <c r="BB71" s="1381"/>
      <c r="BC71" s="1381"/>
      <c r="BD71" s="1381"/>
      <c r="BE71" s="1381"/>
      <c r="BF71" s="1381"/>
      <c r="BG71" s="1381"/>
      <c r="BH71" s="1381"/>
      <c r="BI71" s="1381"/>
      <c r="BJ71" s="1381"/>
      <c r="BK71" s="1381"/>
      <c r="BL71" s="1381"/>
      <c r="BM71" s="1381"/>
      <c r="BN71" s="1381"/>
      <c r="BO71" s="1381"/>
      <c r="BP71" s="1381"/>
      <c r="BQ71" s="1381"/>
      <c r="BR71" s="1381"/>
      <c r="BS71" s="1381"/>
      <c r="BT71" s="1381"/>
      <c r="BU71" s="1381"/>
      <c r="BV71" s="1381"/>
      <c r="BW71" s="1381"/>
      <c r="BX71" s="1381"/>
      <c r="BY71" s="1381"/>
      <c r="BZ71" s="1381"/>
      <c r="CA71" s="1381"/>
      <c r="CB71" s="1381"/>
      <c r="CC71" s="1381"/>
      <c r="CD71" s="1381"/>
      <c r="CE71" s="1381"/>
      <c r="CF71" s="1381"/>
      <c r="CG71" s="1381"/>
      <c r="CH71" s="1381"/>
      <c r="CI71" s="1381"/>
      <c r="CJ71" s="1381"/>
      <c r="CK71" s="1381"/>
      <c r="CL71" s="1381"/>
      <c r="CM71" s="1381"/>
      <c r="CN71" s="1381"/>
      <c r="CO71" s="1381"/>
      <c r="CP71" s="1381"/>
      <c r="CQ71" s="1381"/>
      <c r="CR71" s="1381"/>
      <c r="CS71" s="1381"/>
      <c r="CT71" s="1381"/>
      <c r="CU71" s="1381"/>
      <c r="CV71" s="1381"/>
      <c r="CW71" s="1381"/>
      <c r="CX71" s="1381"/>
      <c r="CY71" s="1381"/>
      <c r="CZ71" s="1381"/>
      <c r="DA71" s="1381"/>
      <c r="DB71" s="1381"/>
      <c r="DC71" s="1381"/>
      <c r="DD71" s="1381"/>
      <c r="DE71" s="1381"/>
      <c r="DF71" s="1381"/>
      <c r="DG71" s="1381"/>
      <c r="DH71" s="1381"/>
      <c r="DI71" s="1381"/>
      <c r="DJ71" s="1381"/>
      <c r="DK71" s="1381"/>
      <c r="DL71" s="1381"/>
      <c r="DM71" s="1381"/>
      <c r="DN71" s="1381"/>
      <c r="DO71" s="1381"/>
      <c r="DP71" s="1381"/>
      <c r="DQ71" s="1381"/>
      <c r="DR71" s="1381"/>
      <c r="DS71" s="1381"/>
      <c r="DT71" s="1381"/>
      <c r="DU71" s="1381"/>
      <c r="DV71" s="1381"/>
      <c r="DW71" s="1381"/>
      <c r="DX71" s="1381"/>
      <c r="DY71" s="1381"/>
      <c r="DZ71" s="1381"/>
      <c r="EA71" s="1381"/>
      <c r="EB71" s="1381"/>
      <c r="EC71" s="1381"/>
      <c r="ED71" s="1381"/>
      <c r="EE71" s="1381"/>
      <c r="EF71" s="1381"/>
      <c r="EG71" s="1381"/>
      <c r="EH71" s="1381"/>
      <c r="EI71" s="1381"/>
      <c r="EJ71" s="1381"/>
      <c r="EK71" s="1381"/>
      <c r="EL71" s="1381"/>
      <c r="EM71" s="1381"/>
      <c r="EN71" s="1381"/>
      <c r="EO71" s="1381"/>
      <c r="EP71" s="1381"/>
      <c r="EQ71" s="1381"/>
      <c r="ER71" s="1381"/>
      <c r="ES71" s="1381"/>
      <c r="ET71" s="1381"/>
      <c r="EU71" s="1381"/>
      <c r="EV71" s="1381"/>
      <c r="EW71" s="1381"/>
      <c r="EX71" s="1381"/>
      <c r="EY71" s="1381"/>
      <c r="EZ71" s="1381"/>
      <c r="FA71" s="1381"/>
      <c r="FB71" s="1381"/>
      <c r="FC71" s="1381"/>
    </row>
    <row r="72" spans="1:159" ht="15" hidden="1">
      <c r="A72" s="942"/>
      <c r="B72" s="942"/>
      <c r="C72" s="942"/>
      <c r="D72" s="942"/>
      <c r="E72" s="942"/>
      <c r="F72" s="942"/>
      <c r="G72" s="942"/>
      <c r="H72" s="942"/>
      <c r="I72" s="942"/>
      <c r="J72" s="942"/>
      <c r="K72" s="942"/>
      <c r="L72" s="942"/>
      <c r="M72" s="942"/>
      <c r="N72" s="942"/>
      <c r="O72" s="942"/>
      <c r="P72" s="942"/>
      <c r="Q72" s="942"/>
      <c r="R72" s="1381"/>
      <c r="S72" s="1381"/>
      <c r="T72" s="1381"/>
      <c r="U72" s="1381"/>
      <c r="V72" s="1381"/>
      <c r="W72" s="1381"/>
      <c r="X72" s="1381"/>
      <c r="Y72" s="1381"/>
      <c r="Z72" s="1381"/>
      <c r="AA72" s="1381"/>
      <c r="AB72" s="1381"/>
      <c r="AC72" s="1381"/>
      <c r="AD72" s="1381"/>
      <c r="AE72" s="1381"/>
      <c r="AF72" s="1381"/>
      <c r="AG72" s="1381"/>
      <c r="AH72" s="1381"/>
      <c r="AI72" s="1381"/>
      <c r="AJ72" s="1381"/>
      <c r="AK72" s="1381"/>
      <c r="AL72" s="1381"/>
      <c r="AM72" s="1381"/>
      <c r="AN72" s="1381"/>
      <c r="AO72" s="1381"/>
      <c r="AP72" s="1381"/>
      <c r="AQ72" s="1381"/>
      <c r="AR72" s="1381"/>
      <c r="AS72" s="1381"/>
      <c r="AT72" s="1381"/>
      <c r="AU72" s="1381"/>
      <c r="AV72" s="1381"/>
      <c r="AW72" s="1381"/>
      <c r="AX72" s="1381"/>
      <c r="AY72" s="1381"/>
      <c r="AZ72" s="1381"/>
      <c r="BA72" s="1381"/>
      <c r="BB72" s="1381"/>
      <c r="BC72" s="1381"/>
      <c r="BD72" s="1381"/>
      <c r="BE72" s="1381"/>
      <c r="BF72" s="1381"/>
      <c r="BG72" s="1381"/>
      <c r="BH72" s="1381"/>
      <c r="BI72" s="1381"/>
      <c r="BJ72" s="1381"/>
      <c r="BK72" s="1381"/>
      <c r="BL72" s="1381"/>
      <c r="BM72" s="1381"/>
      <c r="BN72" s="1381"/>
      <c r="BO72" s="1381"/>
      <c r="BP72" s="1381"/>
      <c r="BQ72" s="1381"/>
      <c r="BR72" s="1381"/>
      <c r="BS72" s="1381"/>
      <c r="BT72" s="1381"/>
      <c r="BU72" s="1381"/>
      <c r="BV72" s="1381"/>
      <c r="BW72" s="1381"/>
      <c r="BX72" s="1381"/>
      <c r="BY72" s="1381"/>
      <c r="BZ72" s="1381"/>
      <c r="CA72" s="1381"/>
      <c r="CB72" s="1381"/>
      <c r="CC72" s="1381"/>
      <c r="CD72" s="1381"/>
      <c r="CE72" s="1381"/>
      <c r="CF72" s="1381"/>
      <c r="CG72" s="1381"/>
      <c r="CH72" s="1381"/>
      <c r="CI72" s="1381"/>
      <c r="CJ72" s="1381"/>
      <c r="CK72" s="1381"/>
      <c r="CL72" s="1381"/>
      <c r="CM72" s="1381"/>
      <c r="CN72" s="1381"/>
      <c r="CO72" s="1381"/>
      <c r="CP72" s="1381"/>
      <c r="CQ72" s="1381"/>
      <c r="CR72" s="1381"/>
      <c r="CS72" s="1381"/>
      <c r="CT72" s="1381"/>
      <c r="CU72" s="1381"/>
      <c r="CV72" s="1381"/>
      <c r="CW72" s="1381"/>
      <c r="CX72" s="1381"/>
      <c r="CY72" s="1381"/>
      <c r="CZ72" s="1381"/>
      <c r="DA72" s="1381"/>
      <c r="DB72" s="1381"/>
      <c r="DC72" s="1381"/>
      <c r="DD72" s="1381"/>
      <c r="DE72" s="1381"/>
      <c r="DF72" s="1381"/>
      <c r="DG72" s="1381"/>
      <c r="DH72" s="1381"/>
      <c r="DI72" s="1381"/>
      <c r="DJ72" s="1381"/>
      <c r="DK72" s="1381"/>
      <c r="DL72" s="1381"/>
      <c r="DM72" s="1381"/>
      <c r="DN72" s="1381"/>
      <c r="DO72" s="1381"/>
      <c r="DP72" s="1381"/>
      <c r="DQ72" s="1381"/>
      <c r="DR72" s="1381"/>
      <c r="DS72" s="1381"/>
      <c r="DT72" s="1381"/>
      <c r="DU72" s="1381"/>
      <c r="DV72" s="1381"/>
      <c r="DW72" s="1381"/>
      <c r="DX72" s="1381"/>
      <c r="DY72" s="1381"/>
      <c r="DZ72" s="1381"/>
      <c r="EA72" s="1381"/>
      <c r="EB72" s="1381"/>
      <c r="EC72" s="1381"/>
      <c r="ED72" s="1381"/>
      <c r="EE72" s="1381"/>
      <c r="EF72" s="1381"/>
      <c r="EG72" s="1381"/>
      <c r="EH72" s="1381"/>
      <c r="EI72" s="1381"/>
      <c r="EJ72" s="1381"/>
      <c r="EK72" s="1381"/>
      <c r="EL72" s="1381"/>
      <c r="EM72" s="1381"/>
      <c r="EN72" s="1381"/>
      <c r="EO72" s="1381"/>
      <c r="EP72" s="1381"/>
      <c r="EQ72" s="1381"/>
      <c r="ER72" s="1381"/>
      <c r="ES72" s="1381"/>
      <c r="ET72" s="1381"/>
      <c r="EU72" s="1381"/>
      <c r="EV72" s="1381"/>
      <c r="EW72" s="1381"/>
      <c r="EX72" s="1381"/>
      <c r="EY72" s="1381"/>
      <c r="EZ72" s="1381"/>
      <c r="FA72" s="1381"/>
      <c r="FB72" s="1381"/>
      <c r="FC72" s="1381"/>
    </row>
    <row r="73" spans="1:159" ht="15" hidden="1">
      <c r="A73" s="942"/>
      <c r="B73" s="942"/>
      <c r="C73" s="942"/>
      <c r="D73" s="942"/>
      <c r="E73" s="942"/>
      <c r="F73" s="942"/>
      <c r="G73" s="942"/>
      <c r="H73" s="942"/>
      <c r="I73" s="942"/>
      <c r="J73" s="942"/>
      <c r="K73" s="942"/>
      <c r="L73" s="942"/>
      <c r="M73" s="942"/>
      <c r="N73" s="942"/>
      <c r="O73" s="942"/>
      <c r="P73" s="942"/>
      <c r="Q73" s="942"/>
      <c r="R73" s="1381"/>
      <c r="S73" s="1381"/>
      <c r="T73" s="1381"/>
      <c r="U73" s="1381"/>
      <c r="V73" s="1381"/>
      <c r="W73" s="1381"/>
      <c r="X73" s="1381"/>
      <c r="Y73" s="1381"/>
      <c r="Z73" s="1381"/>
      <c r="AA73" s="1381"/>
      <c r="AB73" s="1381"/>
      <c r="AC73" s="1381"/>
      <c r="AD73" s="1381"/>
      <c r="AE73" s="1381"/>
      <c r="AF73" s="1381"/>
      <c r="AG73" s="1381"/>
      <c r="AH73" s="1381"/>
      <c r="AI73" s="1381"/>
      <c r="AJ73" s="1381"/>
      <c r="AK73" s="1381"/>
      <c r="AL73" s="1381"/>
      <c r="AM73" s="1381"/>
      <c r="AN73" s="1381"/>
      <c r="AO73" s="1381"/>
      <c r="AP73" s="1381"/>
      <c r="AQ73" s="1381"/>
      <c r="AR73" s="1381"/>
      <c r="AS73" s="1381"/>
      <c r="AT73" s="1381"/>
      <c r="AU73" s="1381"/>
      <c r="AV73" s="1381"/>
      <c r="AW73" s="1381"/>
      <c r="AX73" s="1381"/>
      <c r="AY73" s="1381"/>
      <c r="AZ73" s="1381"/>
      <c r="BA73" s="1381"/>
      <c r="BB73" s="1381"/>
      <c r="BC73" s="1381"/>
      <c r="BD73" s="1381"/>
      <c r="BE73" s="1381"/>
      <c r="BF73" s="1381"/>
      <c r="BG73" s="1381"/>
      <c r="BH73" s="1381"/>
      <c r="BI73" s="1381"/>
      <c r="BJ73" s="1381"/>
      <c r="BK73" s="1381"/>
      <c r="BL73" s="1381"/>
      <c r="BM73" s="1381"/>
      <c r="BN73" s="1381"/>
      <c r="BO73" s="1381"/>
      <c r="BP73" s="1381"/>
      <c r="BQ73" s="1381"/>
      <c r="BR73" s="1381"/>
      <c r="BS73" s="1381"/>
      <c r="BT73" s="1381"/>
      <c r="BU73" s="1381"/>
      <c r="BV73" s="1381"/>
      <c r="BW73" s="1381"/>
      <c r="BX73" s="1381"/>
      <c r="BY73" s="1381"/>
      <c r="BZ73" s="1381"/>
      <c r="CA73" s="1381"/>
      <c r="CB73" s="1381"/>
      <c r="CC73" s="1381"/>
      <c r="CD73" s="1381"/>
      <c r="CE73" s="1381"/>
      <c r="CF73" s="1381"/>
      <c r="CG73" s="1381"/>
      <c r="CH73" s="1381"/>
      <c r="CI73" s="1381"/>
      <c r="CJ73" s="1381"/>
      <c r="CK73" s="1381"/>
      <c r="CL73" s="1381"/>
      <c r="CM73" s="1381"/>
      <c r="CN73" s="1381"/>
      <c r="CO73" s="1381"/>
      <c r="CP73" s="1381"/>
      <c r="CQ73" s="1381"/>
      <c r="CR73" s="1381"/>
      <c r="CS73" s="1381"/>
      <c r="CT73" s="1381"/>
      <c r="CU73" s="1381"/>
      <c r="CV73" s="1381"/>
      <c r="CW73" s="1381"/>
      <c r="CX73" s="1381"/>
      <c r="CY73" s="1381"/>
      <c r="CZ73" s="1381"/>
      <c r="DA73" s="1381"/>
      <c r="DB73" s="1381"/>
      <c r="DC73" s="1381"/>
      <c r="DD73" s="1381"/>
      <c r="DE73" s="1381"/>
      <c r="DF73" s="1381"/>
      <c r="DG73" s="1381"/>
      <c r="DH73" s="1381"/>
      <c r="DI73" s="1381"/>
      <c r="DJ73" s="1381"/>
      <c r="DK73" s="1381"/>
      <c r="DL73" s="1381"/>
      <c r="DM73" s="1381"/>
      <c r="DN73" s="1381"/>
      <c r="DO73" s="1381"/>
      <c r="DP73" s="1381"/>
      <c r="DQ73" s="1381"/>
      <c r="DR73" s="1381"/>
      <c r="DS73" s="1381"/>
      <c r="DT73" s="1381"/>
      <c r="DU73" s="1381"/>
      <c r="DV73" s="1381"/>
      <c r="DW73" s="1381"/>
      <c r="DX73" s="1381"/>
      <c r="DY73" s="1381"/>
      <c r="DZ73" s="1381"/>
      <c r="EA73" s="1381"/>
      <c r="EB73" s="1381"/>
      <c r="EC73" s="1381"/>
      <c r="ED73" s="1381"/>
      <c r="EE73" s="1381"/>
      <c r="EF73" s="1381"/>
      <c r="EG73" s="1381"/>
      <c r="EH73" s="1381"/>
      <c r="EI73" s="1381"/>
      <c r="EJ73" s="1381"/>
      <c r="EK73" s="1381"/>
      <c r="EL73" s="1381"/>
      <c r="EM73" s="1381"/>
      <c r="EN73" s="1381"/>
      <c r="EO73" s="1381"/>
      <c r="EP73" s="1381"/>
      <c r="EQ73" s="1381"/>
      <c r="ER73" s="1381"/>
      <c r="ES73" s="1381"/>
      <c r="ET73" s="1381"/>
      <c r="EU73" s="1381"/>
      <c r="EV73" s="1381"/>
      <c r="EW73" s="1381"/>
      <c r="EX73" s="1381"/>
      <c r="EY73" s="1381"/>
      <c r="EZ73" s="1381"/>
      <c r="FA73" s="1381"/>
      <c r="FB73" s="1381"/>
      <c r="FC73" s="1381"/>
    </row>
    <row r="74" spans="1:159" ht="15" hidden="1">
      <c r="A74" s="942"/>
      <c r="B74" s="942"/>
      <c r="C74" s="942"/>
      <c r="D74" s="942"/>
      <c r="E74" s="942"/>
      <c r="F74" s="942"/>
      <c r="G74" s="942"/>
      <c r="H74" s="942"/>
      <c r="I74" s="942"/>
      <c r="J74" s="942"/>
      <c r="K74" s="942"/>
      <c r="L74" s="942"/>
      <c r="M74" s="942"/>
      <c r="N74" s="942"/>
      <c r="O74" s="942"/>
      <c r="P74" s="942"/>
      <c r="Q74" s="942"/>
      <c r="R74" s="1381"/>
      <c r="S74" s="1381"/>
      <c r="T74" s="1381"/>
      <c r="U74" s="1381"/>
      <c r="V74" s="1381"/>
      <c r="W74" s="1381"/>
      <c r="X74" s="1381"/>
      <c r="Y74" s="1381"/>
      <c r="Z74" s="1381"/>
      <c r="AA74" s="1381"/>
      <c r="AB74" s="1381"/>
      <c r="AC74" s="1381"/>
      <c r="AD74" s="1381"/>
      <c r="AE74" s="1381"/>
      <c r="AF74" s="1381"/>
      <c r="AG74" s="1381"/>
      <c r="AH74" s="1381"/>
      <c r="AI74" s="1381"/>
      <c r="AJ74" s="1381"/>
      <c r="AK74" s="1381"/>
      <c r="AL74" s="1381"/>
      <c r="AM74" s="1381"/>
      <c r="AN74" s="1381"/>
      <c r="AO74" s="1381"/>
      <c r="AP74" s="1381"/>
      <c r="AQ74" s="1381"/>
      <c r="AR74" s="1381"/>
      <c r="AS74" s="1381"/>
      <c r="AT74" s="1381"/>
      <c r="AU74" s="1381"/>
      <c r="AV74" s="1381"/>
      <c r="AW74" s="1381"/>
      <c r="AX74" s="1381"/>
      <c r="AY74" s="1381"/>
      <c r="AZ74" s="1381"/>
      <c r="BA74" s="1381"/>
      <c r="BB74" s="1381"/>
      <c r="BC74" s="1381"/>
      <c r="BD74" s="1381"/>
      <c r="BE74" s="1381"/>
      <c r="BF74" s="1381"/>
      <c r="BG74" s="1381"/>
      <c r="BH74" s="1381"/>
      <c r="BI74" s="1381"/>
      <c r="BJ74" s="1381"/>
      <c r="BK74" s="1381"/>
      <c r="BL74" s="1381"/>
      <c r="BM74" s="1381"/>
      <c r="BN74" s="1381"/>
      <c r="BO74" s="1381"/>
      <c r="BP74" s="1381"/>
      <c r="BQ74" s="1381"/>
      <c r="BR74" s="1381"/>
      <c r="BS74" s="1381"/>
      <c r="BT74" s="1381"/>
      <c r="BU74" s="1381"/>
      <c r="BV74" s="1381"/>
      <c r="BW74" s="1381"/>
      <c r="BX74" s="1381"/>
      <c r="BY74" s="1381"/>
      <c r="BZ74" s="1381"/>
      <c r="CA74" s="1381"/>
      <c r="CB74" s="1381"/>
      <c r="CC74" s="1381"/>
      <c r="CD74" s="1381"/>
      <c r="CE74" s="1381"/>
      <c r="CF74" s="1381"/>
      <c r="CG74" s="1381"/>
      <c r="CH74" s="1381"/>
      <c r="CI74" s="1381"/>
      <c r="CJ74" s="1381"/>
      <c r="CK74" s="1381"/>
      <c r="CL74" s="1381"/>
      <c r="CM74" s="1381"/>
      <c r="CN74" s="1381"/>
      <c r="CO74" s="1381"/>
      <c r="CP74" s="1381"/>
      <c r="CQ74" s="1381"/>
      <c r="CR74" s="1381"/>
      <c r="CS74" s="1381"/>
      <c r="CT74" s="1381"/>
      <c r="CU74" s="1381"/>
      <c r="CV74" s="1381"/>
      <c r="CW74" s="1381"/>
      <c r="CX74" s="1381"/>
      <c r="CY74" s="1381"/>
      <c r="CZ74" s="1381"/>
      <c r="DA74" s="1381"/>
      <c r="DB74" s="1381"/>
      <c r="DC74" s="1381"/>
      <c r="DD74" s="1381"/>
      <c r="DE74" s="1381"/>
      <c r="DF74" s="1381"/>
      <c r="DG74" s="1381"/>
      <c r="DH74" s="1381"/>
      <c r="DI74" s="1381"/>
      <c r="DJ74" s="1381"/>
      <c r="DK74" s="1381"/>
      <c r="DL74" s="1381"/>
      <c r="DM74" s="1381"/>
      <c r="DN74" s="1381"/>
      <c r="DO74" s="1381"/>
      <c r="DP74" s="1381"/>
      <c r="DQ74" s="1381"/>
      <c r="DR74" s="1381"/>
      <c r="DS74" s="1381"/>
      <c r="DT74" s="1381"/>
      <c r="DU74" s="1381"/>
      <c r="DV74" s="1381"/>
      <c r="DW74" s="1381"/>
      <c r="DX74" s="1381"/>
      <c r="DY74" s="1381"/>
      <c r="DZ74" s="1381"/>
      <c r="EA74" s="1381"/>
      <c r="EB74" s="1381"/>
      <c r="EC74" s="1381"/>
      <c r="ED74" s="1381"/>
      <c r="EE74" s="1381"/>
      <c r="EF74" s="1381"/>
      <c r="EG74" s="1381"/>
      <c r="EH74" s="1381"/>
      <c r="EI74" s="1381"/>
      <c r="EJ74" s="1381"/>
      <c r="EK74" s="1381"/>
      <c r="EL74" s="1381"/>
      <c r="EM74" s="1381"/>
      <c r="EN74" s="1381"/>
      <c r="EO74" s="1381"/>
      <c r="EP74" s="1381"/>
      <c r="EQ74" s="1381"/>
      <c r="ER74" s="1381"/>
      <c r="ES74" s="1381"/>
      <c r="ET74" s="1381"/>
      <c r="EU74" s="1381"/>
      <c r="EV74" s="1381"/>
      <c r="EW74" s="1381"/>
      <c r="EX74" s="1381"/>
      <c r="EY74" s="1381"/>
      <c r="EZ74" s="1381"/>
      <c r="FA74" s="1381"/>
      <c r="FB74" s="1381"/>
      <c r="FC74" s="1381"/>
    </row>
    <row r="75" spans="1:159" ht="15" hidden="1">
      <c r="A75" s="942"/>
      <c r="B75" s="942"/>
      <c r="C75" s="942"/>
      <c r="D75" s="942"/>
      <c r="E75" s="942"/>
      <c r="F75" s="942"/>
      <c r="G75" s="942"/>
      <c r="H75" s="942"/>
      <c r="I75" s="942"/>
      <c r="J75" s="942"/>
      <c r="K75" s="942"/>
      <c r="L75" s="942"/>
      <c r="M75" s="942"/>
      <c r="N75" s="942"/>
      <c r="O75" s="942"/>
      <c r="P75" s="942"/>
      <c r="Q75" s="942"/>
      <c r="R75" s="1381"/>
      <c r="S75" s="1381"/>
      <c r="T75" s="1381"/>
      <c r="U75" s="1381"/>
      <c r="V75" s="1381"/>
      <c r="W75" s="1381"/>
      <c r="X75" s="1381"/>
      <c r="Y75" s="1381"/>
      <c r="Z75" s="1381"/>
      <c r="AA75" s="1381"/>
      <c r="AB75" s="1381"/>
      <c r="AC75" s="1381"/>
      <c r="AD75" s="1381"/>
      <c r="AE75" s="1381"/>
      <c r="AF75" s="1381"/>
      <c r="AG75" s="1381"/>
      <c r="AH75" s="1381"/>
      <c r="AI75" s="1381"/>
      <c r="AJ75" s="1381"/>
      <c r="AK75" s="1381"/>
      <c r="AL75" s="1381"/>
      <c r="AM75" s="1381"/>
      <c r="AN75" s="1381"/>
      <c r="AO75" s="1381"/>
      <c r="AP75" s="1381"/>
      <c r="AQ75" s="1381"/>
      <c r="AR75" s="1381"/>
      <c r="AS75" s="1381"/>
      <c r="AT75" s="1381"/>
      <c r="AU75" s="1381"/>
      <c r="AV75" s="1381"/>
      <c r="AW75" s="1381"/>
      <c r="AX75" s="1381"/>
      <c r="AY75" s="1381"/>
      <c r="AZ75" s="1381"/>
      <c r="BA75" s="1381"/>
      <c r="BB75" s="1381"/>
      <c r="BC75" s="1381"/>
      <c r="BD75" s="1381"/>
      <c r="BE75" s="1381"/>
      <c r="BF75" s="1381"/>
      <c r="BG75" s="1381"/>
      <c r="BH75" s="1381"/>
      <c r="BI75" s="1381"/>
      <c r="BJ75" s="1381"/>
      <c r="BK75" s="1381"/>
      <c r="BL75" s="1381"/>
      <c r="BM75" s="1381"/>
      <c r="BN75" s="1381"/>
      <c r="BO75" s="1381"/>
      <c r="BP75" s="1381"/>
      <c r="BQ75" s="1381"/>
      <c r="BR75" s="1381"/>
      <c r="BS75" s="1381"/>
      <c r="BT75" s="1381"/>
      <c r="BU75" s="1381"/>
      <c r="BV75" s="1381"/>
      <c r="BW75" s="1381"/>
      <c r="BX75" s="1381"/>
      <c r="BY75" s="1381"/>
      <c r="BZ75" s="1381"/>
      <c r="CA75" s="1381"/>
      <c r="CB75" s="1381"/>
      <c r="CC75" s="1381"/>
      <c r="CD75" s="1381"/>
      <c r="CE75" s="1381"/>
      <c r="CF75" s="1381"/>
      <c r="CG75" s="1381"/>
      <c r="CH75" s="1381"/>
      <c r="CI75" s="1381"/>
      <c r="CJ75" s="1381"/>
      <c r="CK75" s="1381"/>
      <c r="CL75" s="1381"/>
      <c r="CM75" s="1381"/>
      <c r="CN75" s="1381"/>
      <c r="CO75" s="1381"/>
      <c r="CP75" s="1381"/>
      <c r="CQ75" s="1381"/>
      <c r="CR75" s="1381"/>
      <c r="CS75" s="1381"/>
      <c r="CT75" s="1381"/>
      <c r="CU75" s="1381"/>
      <c r="CV75" s="1381"/>
      <c r="CW75" s="1381"/>
      <c r="CX75" s="1381"/>
      <c r="CY75" s="1381"/>
      <c r="CZ75" s="1381"/>
      <c r="DA75" s="1381"/>
      <c r="DB75" s="1381"/>
      <c r="DC75" s="1381"/>
      <c r="DD75" s="1381"/>
      <c r="DE75" s="1381"/>
      <c r="DF75" s="1381"/>
      <c r="DG75" s="1381"/>
      <c r="DH75" s="1381"/>
      <c r="DI75" s="1381"/>
      <c r="DJ75" s="1381"/>
      <c r="DK75" s="1381"/>
      <c r="DL75" s="1381"/>
      <c r="DM75" s="1381"/>
      <c r="DN75" s="1381"/>
      <c r="DO75" s="1381"/>
      <c r="DP75" s="1381"/>
      <c r="DQ75" s="1381"/>
      <c r="DR75" s="1381"/>
      <c r="DS75" s="1381"/>
      <c r="DT75" s="1381"/>
      <c r="DU75" s="1381"/>
      <c r="DV75" s="1381"/>
      <c r="DW75" s="1381"/>
      <c r="DX75" s="1381"/>
      <c r="DY75" s="1381"/>
      <c r="DZ75" s="1381"/>
      <c r="EA75" s="1381"/>
      <c r="EB75" s="1381"/>
      <c r="EC75" s="1381"/>
      <c r="ED75" s="1381"/>
      <c r="EE75" s="1381"/>
      <c r="EF75" s="1381"/>
      <c r="EG75" s="1381"/>
      <c r="EH75" s="1381"/>
      <c r="EI75" s="1381"/>
      <c r="EJ75" s="1381"/>
      <c r="EK75" s="1381"/>
      <c r="EL75" s="1381"/>
      <c r="EM75" s="1381"/>
      <c r="EN75" s="1381"/>
      <c r="EO75" s="1381"/>
      <c r="EP75" s="1381"/>
      <c r="EQ75" s="1381"/>
      <c r="ER75" s="1381"/>
      <c r="ES75" s="1381"/>
      <c r="ET75" s="1381"/>
      <c r="EU75" s="1381"/>
      <c r="EV75" s="1381"/>
      <c r="EW75" s="1381"/>
      <c r="EX75" s="1381"/>
      <c r="EY75" s="1381"/>
      <c r="EZ75" s="1381"/>
      <c r="FA75" s="1381"/>
      <c r="FB75" s="1381"/>
      <c r="FC75" s="1381"/>
    </row>
    <row r="76" spans="1:159" ht="15" hidden="1">
      <c r="A76" s="942"/>
      <c r="B76" s="942"/>
      <c r="C76" s="942"/>
      <c r="D76" s="942"/>
      <c r="E76" s="942"/>
      <c r="F76" s="942"/>
      <c r="G76" s="942"/>
      <c r="H76" s="942"/>
      <c r="I76" s="942"/>
      <c r="J76" s="942"/>
      <c r="K76" s="942"/>
      <c r="L76" s="942"/>
      <c r="M76" s="942"/>
      <c r="N76" s="942"/>
      <c r="O76" s="942"/>
      <c r="P76" s="942"/>
      <c r="Q76" s="942"/>
      <c r="R76" s="1381"/>
      <c r="S76" s="1381"/>
      <c r="T76" s="1381"/>
      <c r="U76" s="1381"/>
      <c r="V76" s="1381"/>
      <c r="W76" s="1381"/>
      <c r="X76" s="1381"/>
      <c r="Y76" s="1381"/>
      <c r="Z76" s="1381"/>
      <c r="AA76" s="1381"/>
      <c r="AB76" s="1381"/>
      <c r="AC76" s="1381"/>
      <c r="AD76" s="1381"/>
      <c r="AE76" s="1381"/>
      <c r="AF76" s="1381"/>
      <c r="AG76" s="1381"/>
      <c r="AH76" s="1381"/>
      <c r="AI76" s="1381"/>
      <c r="AJ76" s="1381"/>
      <c r="AK76" s="1381"/>
      <c r="AL76" s="1381"/>
      <c r="AM76" s="1381"/>
      <c r="AN76" s="1381"/>
      <c r="AO76" s="1381"/>
      <c r="AP76" s="1381"/>
      <c r="AQ76" s="1381"/>
      <c r="AR76" s="1381"/>
      <c r="AS76" s="1381"/>
      <c r="AT76" s="1381"/>
      <c r="AU76" s="1381"/>
      <c r="AV76" s="1381"/>
      <c r="AW76" s="1381"/>
      <c r="AX76" s="1381"/>
      <c r="AY76" s="1381"/>
      <c r="AZ76" s="1381"/>
      <c r="BA76" s="1381"/>
      <c r="BB76" s="1381"/>
      <c r="BC76" s="1381"/>
      <c r="BD76" s="1381"/>
      <c r="BE76" s="1381"/>
      <c r="BF76" s="1381"/>
      <c r="BG76" s="1381"/>
      <c r="BH76" s="1381"/>
      <c r="BI76" s="1381"/>
      <c r="BJ76" s="1381"/>
      <c r="BK76" s="1381"/>
      <c r="BL76" s="1381"/>
      <c r="BM76" s="1381"/>
      <c r="BN76" s="1381"/>
      <c r="BO76" s="1381"/>
      <c r="BP76" s="1381"/>
      <c r="BQ76" s="1381"/>
      <c r="BR76" s="1381"/>
      <c r="BS76" s="1381"/>
      <c r="BT76" s="1381"/>
      <c r="BU76" s="1381"/>
      <c r="BV76" s="1381"/>
      <c r="BW76" s="1381"/>
      <c r="BX76" s="1381"/>
      <c r="BY76" s="1381"/>
      <c r="BZ76" s="1381"/>
      <c r="CA76" s="1381"/>
      <c r="CB76" s="1381"/>
      <c r="CC76" s="1381"/>
      <c r="CD76" s="1381"/>
      <c r="CE76" s="1381"/>
      <c r="CF76" s="1381"/>
      <c r="CG76" s="1381"/>
      <c r="CH76" s="1381"/>
      <c r="CI76" s="1381"/>
      <c r="CJ76" s="1381"/>
      <c r="CK76" s="1381"/>
      <c r="CL76" s="1381"/>
      <c r="CM76" s="1381"/>
      <c r="CN76" s="1381"/>
      <c r="CO76" s="1381"/>
      <c r="CP76" s="1381"/>
      <c r="CQ76" s="1381"/>
      <c r="CR76" s="1381"/>
      <c r="CS76" s="1381"/>
      <c r="CT76" s="1381"/>
      <c r="CU76" s="1381"/>
      <c r="CV76" s="1381"/>
      <c r="CW76" s="1381"/>
      <c r="CX76" s="1381"/>
      <c r="CY76" s="1381"/>
      <c r="CZ76" s="1381"/>
      <c r="DA76" s="1381"/>
      <c r="DB76" s="1381"/>
      <c r="DC76" s="1381"/>
      <c r="DD76" s="1381"/>
      <c r="DE76" s="1381"/>
      <c r="DF76" s="1381"/>
      <c r="DG76" s="1381"/>
      <c r="DH76" s="1381"/>
      <c r="DI76" s="1381"/>
      <c r="DJ76" s="1381"/>
      <c r="DK76" s="1381"/>
      <c r="DL76" s="1381"/>
      <c r="DM76" s="1381"/>
      <c r="DN76" s="1381"/>
      <c r="DO76" s="1381"/>
      <c r="DP76" s="1381"/>
      <c r="DQ76" s="1381"/>
      <c r="DR76" s="1381"/>
      <c r="DS76" s="1381"/>
      <c r="DT76" s="1381"/>
      <c r="DU76" s="1381"/>
      <c r="DV76" s="1381"/>
      <c r="DW76" s="1381"/>
      <c r="DX76" s="1381"/>
      <c r="DY76" s="1381"/>
      <c r="DZ76" s="1381"/>
      <c r="EA76" s="1381"/>
      <c r="EB76" s="1381"/>
      <c r="EC76" s="1381"/>
      <c r="ED76" s="1381"/>
      <c r="EE76" s="1381"/>
      <c r="EF76" s="1381"/>
      <c r="EG76" s="1381"/>
      <c r="EH76" s="1381"/>
      <c r="EI76" s="1381"/>
      <c r="EJ76" s="1381"/>
      <c r="EK76" s="1381"/>
      <c r="EL76" s="1381"/>
      <c r="EM76" s="1381"/>
      <c r="EN76" s="1381"/>
      <c r="EO76" s="1381"/>
      <c r="EP76" s="1381"/>
      <c r="EQ76" s="1381"/>
      <c r="ER76" s="1381"/>
      <c r="ES76" s="1381"/>
      <c r="ET76" s="1381"/>
      <c r="EU76" s="1381"/>
      <c r="EV76" s="1381"/>
      <c r="EW76" s="1381"/>
      <c r="EX76" s="1381"/>
      <c r="EY76" s="1381"/>
      <c r="EZ76" s="1381"/>
      <c r="FA76" s="1381"/>
      <c r="FB76" s="1381"/>
      <c r="FC76" s="1381"/>
    </row>
    <row r="77" spans="1:159" ht="15" hidden="1">
      <c r="A77" s="942"/>
      <c r="B77" s="942"/>
      <c r="C77" s="942"/>
      <c r="D77" s="942"/>
      <c r="E77" s="942"/>
      <c r="F77" s="942"/>
      <c r="G77" s="942"/>
      <c r="H77" s="942"/>
      <c r="I77" s="942"/>
      <c r="J77" s="942"/>
      <c r="K77" s="942"/>
      <c r="L77" s="942"/>
      <c r="M77" s="942"/>
      <c r="N77" s="942"/>
      <c r="O77" s="942"/>
      <c r="P77" s="942"/>
      <c r="Q77" s="942"/>
      <c r="R77" s="1381"/>
      <c r="S77" s="1381"/>
      <c r="T77" s="1381"/>
      <c r="U77" s="1381"/>
      <c r="V77" s="1381"/>
      <c r="W77" s="1381"/>
      <c r="X77" s="1381"/>
      <c r="Y77" s="1381"/>
      <c r="Z77" s="1381"/>
      <c r="AA77" s="1381"/>
      <c r="AB77" s="1381"/>
      <c r="AC77" s="1381"/>
      <c r="AD77" s="1381"/>
      <c r="AE77" s="1381"/>
      <c r="AF77" s="1381"/>
      <c r="AG77" s="1381"/>
      <c r="AH77" s="1381"/>
      <c r="AI77" s="1381"/>
      <c r="AJ77" s="1381"/>
      <c r="AK77" s="1381"/>
      <c r="AL77" s="1381"/>
      <c r="AM77" s="1381"/>
      <c r="AN77" s="1381"/>
      <c r="AO77" s="1381"/>
      <c r="AP77" s="1381"/>
      <c r="AQ77" s="1381"/>
      <c r="AR77" s="1381"/>
      <c r="AS77" s="1381"/>
      <c r="AT77" s="1381"/>
      <c r="AU77" s="1381"/>
      <c r="AV77" s="1381"/>
      <c r="AW77" s="1381"/>
      <c r="AX77" s="1381"/>
      <c r="AY77" s="1381"/>
      <c r="AZ77" s="1381"/>
      <c r="BA77" s="1381"/>
      <c r="BB77" s="1381"/>
      <c r="BC77" s="1381"/>
      <c r="BD77" s="1381"/>
      <c r="BE77" s="1381"/>
      <c r="BF77" s="1381"/>
      <c r="BG77" s="1381"/>
      <c r="BH77" s="1381"/>
      <c r="BI77" s="1381"/>
      <c r="BJ77" s="1381"/>
      <c r="BK77" s="1381"/>
      <c r="BL77" s="1381"/>
      <c r="BM77" s="1381"/>
      <c r="BN77" s="1381"/>
      <c r="BO77" s="1381"/>
      <c r="BP77" s="1381"/>
      <c r="BQ77" s="1381"/>
      <c r="BR77" s="1381"/>
      <c r="BS77" s="1381"/>
      <c r="BT77" s="1381"/>
      <c r="BU77" s="1381"/>
      <c r="BV77" s="1381"/>
      <c r="BW77" s="1381"/>
      <c r="BX77" s="1381"/>
      <c r="BY77" s="1381"/>
      <c r="BZ77" s="1381"/>
      <c r="CA77" s="1381"/>
      <c r="CB77" s="1381"/>
      <c r="CC77" s="1381"/>
      <c r="CD77" s="1381"/>
      <c r="CE77" s="1381"/>
      <c r="CF77" s="1381"/>
      <c r="CG77" s="1381"/>
      <c r="CH77" s="1381"/>
      <c r="CI77" s="1381"/>
      <c r="CJ77" s="1381"/>
      <c r="CK77" s="1381"/>
      <c r="CL77" s="1381"/>
      <c r="CM77" s="1381"/>
      <c r="CN77" s="1381"/>
      <c r="CO77" s="1381"/>
      <c r="CP77" s="1381"/>
      <c r="CQ77" s="1381"/>
      <c r="CR77" s="1381"/>
      <c r="CS77" s="1381"/>
      <c r="CT77" s="1381"/>
      <c r="CU77" s="1381"/>
      <c r="CV77" s="1381"/>
      <c r="CW77" s="1381"/>
      <c r="CX77" s="1381"/>
      <c r="CY77" s="1381"/>
      <c r="CZ77" s="1381"/>
      <c r="DA77" s="1381"/>
      <c r="DB77" s="1381"/>
      <c r="DC77" s="1381"/>
      <c r="DD77" s="1381"/>
      <c r="DE77" s="1381"/>
      <c r="DF77" s="1381"/>
      <c r="DG77" s="1381"/>
      <c r="DH77" s="1381"/>
      <c r="DI77" s="1381"/>
      <c r="DJ77" s="1381"/>
      <c r="DK77" s="1381"/>
      <c r="DL77" s="1381"/>
      <c r="DM77" s="1381"/>
      <c r="DN77" s="1381"/>
      <c r="DO77" s="1381"/>
      <c r="DP77" s="1381"/>
      <c r="DQ77" s="1381"/>
      <c r="DR77" s="1381"/>
      <c r="DS77" s="1381"/>
      <c r="DT77" s="1381"/>
      <c r="DU77" s="1381"/>
      <c r="DV77" s="1381"/>
      <c r="DW77" s="1381"/>
      <c r="DX77" s="1381"/>
      <c r="DY77" s="1381"/>
      <c r="DZ77" s="1381"/>
      <c r="EA77" s="1381"/>
      <c r="EB77" s="1381"/>
      <c r="EC77" s="1381"/>
      <c r="ED77" s="1381"/>
      <c r="EE77" s="1381"/>
      <c r="EF77" s="1381"/>
      <c r="EG77" s="1381"/>
      <c r="EH77" s="1381"/>
      <c r="EI77" s="1381"/>
      <c r="EJ77" s="1381"/>
      <c r="EK77" s="1381"/>
      <c r="EL77" s="1381"/>
      <c r="EM77" s="1381"/>
      <c r="EN77" s="1381"/>
      <c r="EO77" s="1381"/>
      <c r="EP77" s="1381"/>
      <c r="EQ77" s="1381"/>
      <c r="ER77" s="1381"/>
      <c r="ES77" s="1381"/>
      <c r="ET77" s="1381"/>
      <c r="EU77" s="1381"/>
      <c r="EV77" s="1381"/>
      <c r="EW77" s="1381"/>
      <c r="EX77" s="1381"/>
      <c r="EY77" s="1381"/>
      <c r="EZ77" s="1381"/>
      <c r="FA77" s="1381"/>
      <c r="FB77" s="1381"/>
      <c r="FC77" s="1381"/>
    </row>
    <row r="78" spans="1:159" ht="15" hidden="1">
      <c r="A78" s="942"/>
      <c r="B78" s="942"/>
      <c r="C78" s="942"/>
      <c r="D78" s="942"/>
      <c r="E78" s="942"/>
      <c r="F78" s="942"/>
      <c r="G78" s="942"/>
      <c r="H78" s="942"/>
      <c r="I78" s="942"/>
      <c r="J78" s="942"/>
      <c r="K78" s="942"/>
      <c r="L78" s="942"/>
      <c r="M78" s="942"/>
      <c r="N78" s="942"/>
      <c r="O78" s="942"/>
      <c r="P78" s="942"/>
      <c r="Q78" s="942"/>
      <c r="R78" s="1381"/>
      <c r="S78" s="1381"/>
      <c r="T78" s="1381"/>
      <c r="U78" s="1381"/>
      <c r="V78" s="1381"/>
      <c r="W78" s="1381"/>
      <c r="X78" s="1381"/>
      <c r="Y78" s="1381"/>
      <c r="Z78" s="1381"/>
      <c r="AA78" s="1381"/>
      <c r="AB78" s="1381"/>
      <c r="AC78" s="1381"/>
      <c r="AD78" s="1381"/>
      <c r="AE78" s="1381"/>
      <c r="AF78" s="1381"/>
      <c r="AG78" s="1381"/>
      <c r="AH78" s="1381"/>
      <c r="AI78" s="1381"/>
      <c r="AJ78" s="1381"/>
      <c r="AK78" s="1381"/>
      <c r="AL78" s="1381"/>
      <c r="AM78" s="1381"/>
      <c r="AN78" s="1381"/>
      <c r="AO78" s="1381"/>
      <c r="AP78" s="1381"/>
      <c r="AQ78" s="1381"/>
      <c r="AR78" s="1381"/>
      <c r="AS78" s="1381"/>
      <c r="AT78" s="1381"/>
      <c r="AU78" s="1381"/>
      <c r="AV78" s="1381"/>
      <c r="AW78" s="1381"/>
      <c r="AX78" s="1381"/>
      <c r="AY78" s="1381"/>
      <c r="AZ78" s="1381"/>
      <c r="BA78" s="1381"/>
      <c r="BB78" s="1381"/>
      <c r="BC78" s="1381"/>
      <c r="BD78" s="1381"/>
      <c r="BE78" s="1381"/>
      <c r="BF78" s="1381"/>
      <c r="BG78" s="1381"/>
      <c r="BH78" s="1381"/>
      <c r="BI78" s="1381"/>
      <c r="BJ78" s="1381"/>
      <c r="BK78" s="1381"/>
      <c r="BL78" s="1381"/>
      <c r="BM78" s="1381"/>
      <c r="BN78" s="1381"/>
      <c r="BO78" s="1381"/>
      <c r="BP78" s="1381"/>
      <c r="BQ78" s="1381"/>
      <c r="BR78" s="1381"/>
      <c r="BS78" s="1381"/>
      <c r="BT78" s="1381"/>
      <c r="BU78" s="1381"/>
      <c r="BV78" s="1381"/>
      <c r="BW78" s="1381"/>
      <c r="BX78" s="1381"/>
      <c r="BY78" s="1381"/>
      <c r="BZ78" s="1381"/>
      <c r="CA78" s="1381"/>
      <c r="CB78" s="1381"/>
      <c r="CC78" s="1381"/>
      <c r="CD78" s="1381"/>
      <c r="CE78" s="1381"/>
      <c r="CF78" s="1381"/>
      <c r="CG78" s="1381"/>
      <c r="CH78" s="1381"/>
      <c r="CI78" s="1381"/>
      <c r="CJ78" s="1381"/>
      <c r="CK78" s="1381"/>
      <c r="CL78" s="1381"/>
      <c r="CM78" s="1381"/>
      <c r="CN78" s="1381"/>
      <c r="CO78" s="1381"/>
      <c r="CP78" s="1381"/>
      <c r="CQ78" s="1381"/>
      <c r="CR78" s="1381"/>
      <c r="CS78" s="1381"/>
      <c r="CT78" s="1381"/>
      <c r="CU78" s="1381"/>
      <c r="CV78" s="1381"/>
      <c r="CW78" s="1381"/>
      <c r="CX78" s="1381"/>
      <c r="CY78" s="1381"/>
      <c r="CZ78" s="1381"/>
      <c r="DA78" s="1381"/>
      <c r="DB78" s="1381"/>
      <c r="DC78" s="1381"/>
      <c r="DD78" s="1381"/>
      <c r="DE78" s="1381"/>
      <c r="DF78" s="1381"/>
      <c r="DG78" s="1381"/>
      <c r="DH78" s="1381"/>
      <c r="DI78" s="1381"/>
      <c r="DJ78" s="1381"/>
      <c r="DK78" s="1381"/>
      <c r="DL78" s="1381"/>
      <c r="DM78" s="1381"/>
      <c r="DN78" s="1381"/>
      <c r="DO78" s="1381"/>
      <c r="DP78" s="1381"/>
      <c r="DQ78" s="1381"/>
      <c r="DR78" s="1381"/>
      <c r="DS78" s="1381"/>
      <c r="DT78" s="1381"/>
      <c r="DU78" s="1381"/>
      <c r="DV78" s="1381"/>
      <c r="DW78" s="1381"/>
      <c r="DX78" s="1381"/>
      <c r="DY78" s="1381"/>
      <c r="DZ78" s="1381"/>
      <c r="EA78" s="1381"/>
      <c r="EB78" s="1381"/>
      <c r="EC78" s="1381"/>
      <c r="ED78" s="1381"/>
      <c r="EE78" s="1381"/>
      <c r="EF78" s="1381"/>
      <c r="EG78" s="1381"/>
      <c r="EH78" s="1381"/>
      <c r="EI78" s="1381"/>
      <c r="EJ78" s="1381"/>
      <c r="EK78" s="1381"/>
      <c r="EL78" s="1381"/>
      <c r="EM78" s="1381"/>
      <c r="EN78" s="1381"/>
      <c r="EO78" s="1381"/>
      <c r="EP78" s="1381"/>
      <c r="EQ78" s="1381"/>
      <c r="ER78" s="1381"/>
      <c r="ES78" s="1381"/>
      <c r="ET78" s="1381"/>
      <c r="EU78" s="1381"/>
      <c r="EV78" s="1381"/>
      <c r="EW78" s="1381"/>
      <c r="EX78" s="1381"/>
      <c r="EY78" s="1381"/>
      <c r="EZ78" s="1381"/>
      <c r="FA78" s="1381"/>
      <c r="FB78" s="1381"/>
      <c r="FC78" s="1381"/>
    </row>
    <row r="79" spans="1:159" ht="15" hidden="1">
      <c r="A79" s="942"/>
      <c r="B79" s="942"/>
      <c r="C79" s="942"/>
      <c r="D79" s="942"/>
      <c r="E79" s="942"/>
      <c r="F79" s="942"/>
      <c r="G79" s="942"/>
      <c r="H79" s="942"/>
      <c r="I79" s="942"/>
      <c r="J79" s="942"/>
      <c r="K79" s="942"/>
      <c r="L79" s="942"/>
      <c r="M79" s="942"/>
      <c r="N79" s="942"/>
      <c r="O79" s="942"/>
      <c r="P79" s="942"/>
      <c r="Q79" s="942"/>
      <c r="R79" s="1381"/>
      <c r="S79" s="1381"/>
      <c r="T79" s="1381"/>
      <c r="U79" s="1381"/>
      <c r="V79" s="1381"/>
      <c r="W79" s="1381"/>
      <c r="X79" s="1381"/>
      <c r="Y79" s="1381"/>
      <c r="Z79" s="1381"/>
      <c r="AA79" s="1381"/>
      <c r="AB79" s="1381"/>
      <c r="AC79" s="1381"/>
      <c r="AD79" s="1381"/>
      <c r="AE79" s="1381"/>
      <c r="AF79" s="1381"/>
      <c r="AG79" s="1381"/>
      <c r="AH79" s="1381"/>
      <c r="AI79" s="1381"/>
      <c r="AJ79" s="1381"/>
      <c r="AK79" s="1381"/>
      <c r="AL79" s="1381"/>
      <c r="AM79" s="1381"/>
      <c r="AN79" s="1381"/>
      <c r="AO79" s="1381"/>
      <c r="AP79" s="1381"/>
      <c r="AQ79" s="1381"/>
      <c r="AR79" s="1381"/>
      <c r="AS79" s="1381"/>
      <c r="AT79" s="1381"/>
      <c r="AU79" s="1381"/>
      <c r="AV79" s="1381"/>
      <c r="AW79" s="1381"/>
      <c r="AX79" s="1381"/>
      <c r="AY79" s="1381"/>
      <c r="AZ79" s="1381"/>
      <c r="BA79" s="1381"/>
      <c r="BB79" s="1381"/>
      <c r="BC79" s="1381"/>
      <c r="BD79" s="1381"/>
      <c r="BE79" s="1381"/>
      <c r="BF79" s="1381"/>
      <c r="BG79" s="1381"/>
      <c r="BH79" s="1381"/>
      <c r="BI79" s="1381"/>
      <c r="BJ79" s="1381"/>
      <c r="BK79" s="1381"/>
      <c r="BL79" s="1381"/>
      <c r="BM79" s="1381"/>
      <c r="BN79" s="1381"/>
      <c r="BO79" s="1381"/>
      <c r="BP79" s="1381"/>
      <c r="BQ79" s="1381"/>
      <c r="BR79" s="1381"/>
      <c r="BS79" s="1381"/>
      <c r="BT79" s="1381"/>
      <c r="BU79" s="1381"/>
      <c r="BV79" s="1381"/>
      <c r="BW79" s="1381"/>
      <c r="BX79" s="1381"/>
      <c r="BY79" s="1381"/>
      <c r="BZ79" s="1381"/>
      <c r="CA79" s="1381"/>
      <c r="CB79" s="1381"/>
      <c r="CC79" s="1381"/>
      <c r="CD79" s="1381"/>
      <c r="CE79" s="1381"/>
      <c r="CF79" s="1381"/>
      <c r="CG79" s="1381"/>
      <c r="CH79" s="1381"/>
      <c r="CI79" s="1381"/>
      <c r="CJ79" s="1381"/>
      <c r="CK79" s="1381"/>
      <c r="CL79" s="1381"/>
      <c r="CM79" s="1381"/>
      <c r="CN79" s="1381"/>
      <c r="CO79" s="1381"/>
      <c r="CP79" s="1381"/>
      <c r="CQ79" s="1381"/>
      <c r="CR79" s="1381"/>
      <c r="CS79" s="1381"/>
      <c r="CT79" s="1381"/>
      <c r="CU79" s="1381"/>
      <c r="CV79" s="1381"/>
      <c r="CW79" s="1381"/>
      <c r="CX79" s="1381"/>
      <c r="CY79" s="1381"/>
      <c r="CZ79" s="1381"/>
      <c r="DA79" s="1381"/>
      <c r="DB79" s="1381"/>
      <c r="DC79" s="1381"/>
      <c r="DD79" s="1381"/>
      <c r="DE79" s="1381"/>
      <c r="DF79" s="1381"/>
      <c r="DG79" s="1381"/>
      <c r="DH79" s="1381"/>
      <c r="DI79" s="1381"/>
      <c r="DJ79" s="1381"/>
      <c r="DK79" s="1381"/>
      <c r="DL79" s="1381"/>
      <c r="DM79" s="1381"/>
      <c r="DN79" s="1381"/>
      <c r="DO79" s="1381"/>
      <c r="DP79" s="1381"/>
      <c r="DQ79" s="1381"/>
      <c r="DR79" s="1381"/>
      <c r="DS79" s="1381"/>
      <c r="DT79" s="1381"/>
      <c r="DU79" s="1381"/>
      <c r="DV79" s="1381"/>
      <c r="DW79" s="1381"/>
      <c r="DX79" s="1381"/>
      <c r="DY79" s="1381"/>
      <c r="DZ79" s="1381"/>
      <c r="EA79" s="1381"/>
      <c r="EB79" s="1381"/>
      <c r="EC79" s="1381"/>
      <c r="ED79" s="1381"/>
      <c r="EE79" s="1381"/>
      <c r="EF79" s="1381"/>
      <c r="EG79" s="1381"/>
      <c r="EH79" s="1381"/>
      <c r="EI79" s="1381"/>
      <c r="EJ79" s="1381"/>
      <c r="EK79" s="1381"/>
      <c r="EL79" s="1381"/>
      <c r="EM79" s="1381"/>
      <c r="EN79" s="1381"/>
      <c r="EO79" s="1381"/>
      <c r="EP79" s="1381"/>
      <c r="EQ79" s="1381"/>
      <c r="ER79" s="1381"/>
      <c r="ES79" s="1381"/>
      <c r="ET79" s="1381"/>
      <c r="EU79" s="1381"/>
      <c r="EV79" s="1381"/>
      <c r="EW79" s="1381"/>
      <c r="EX79" s="1381"/>
      <c r="EY79" s="1381"/>
      <c r="EZ79" s="1381"/>
      <c r="FA79" s="1381"/>
      <c r="FB79" s="1381"/>
      <c r="FC79" s="1381"/>
    </row>
    <row r="80" spans="1:159" ht="15" hidden="1">
      <c r="A80" s="942"/>
      <c r="B80" s="942"/>
      <c r="C80" s="942"/>
      <c r="D80" s="942"/>
      <c r="E80" s="942"/>
      <c r="F80" s="942"/>
      <c r="G80" s="942"/>
      <c r="H80" s="942"/>
      <c r="I80" s="942"/>
      <c r="J80" s="942"/>
      <c r="K80" s="942"/>
      <c r="L80" s="942"/>
      <c r="M80" s="942"/>
      <c r="N80" s="942"/>
      <c r="O80" s="942"/>
      <c r="P80" s="942"/>
      <c r="Q80" s="942"/>
      <c r="R80" s="1381"/>
      <c r="S80" s="1381"/>
      <c r="T80" s="1381"/>
      <c r="U80" s="1381"/>
      <c r="V80" s="1381"/>
      <c r="W80" s="1381"/>
      <c r="X80" s="1381"/>
      <c r="Y80" s="1381"/>
      <c r="Z80" s="1381"/>
      <c r="AA80" s="1381"/>
      <c r="AB80" s="1381"/>
      <c r="AC80" s="1381"/>
      <c r="AD80" s="1381"/>
      <c r="AE80" s="1381"/>
      <c r="AF80" s="1381"/>
      <c r="AG80" s="1381"/>
      <c r="AH80" s="1381"/>
      <c r="AI80" s="1381"/>
      <c r="AJ80" s="1381"/>
      <c r="AK80" s="1381"/>
      <c r="AL80" s="1381"/>
      <c r="AM80" s="1381"/>
      <c r="AN80" s="1381"/>
      <c r="AO80" s="1381"/>
      <c r="AP80" s="1381"/>
      <c r="AQ80" s="1381"/>
      <c r="AR80" s="1381"/>
      <c r="AS80" s="1381"/>
      <c r="AT80" s="1381"/>
      <c r="AU80" s="1381"/>
      <c r="AV80" s="1381"/>
      <c r="AW80" s="1381"/>
      <c r="AX80" s="1381"/>
      <c r="AY80" s="1381"/>
      <c r="AZ80" s="1381"/>
      <c r="BA80" s="1381"/>
      <c r="BB80" s="1381"/>
      <c r="BC80" s="1381"/>
      <c r="BD80" s="1381"/>
      <c r="BE80" s="1381"/>
      <c r="BF80" s="1381"/>
      <c r="BG80" s="1381"/>
      <c r="BH80" s="1381"/>
      <c r="BI80" s="1381"/>
      <c r="BJ80" s="1381"/>
      <c r="BK80" s="1381"/>
      <c r="BL80" s="1381"/>
      <c r="BM80" s="1381"/>
      <c r="BN80" s="1381"/>
      <c r="BO80" s="1381"/>
      <c r="BP80" s="1381"/>
      <c r="BQ80" s="1381"/>
      <c r="BR80" s="1381"/>
      <c r="BS80" s="1381"/>
      <c r="BT80" s="1381"/>
      <c r="BU80" s="1381"/>
      <c r="BV80" s="1381"/>
      <c r="BW80" s="1381"/>
      <c r="BX80" s="1381"/>
      <c r="BY80" s="1381"/>
      <c r="BZ80" s="1381"/>
      <c r="CA80" s="1381"/>
      <c r="CB80" s="1381"/>
      <c r="CC80" s="1381"/>
      <c r="CD80" s="1381"/>
      <c r="CE80" s="1381"/>
      <c r="CF80" s="1381"/>
      <c r="CG80" s="1381"/>
      <c r="CH80" s="1381"/>
      <c r="CI80" s="1381"/>
      <c r="CJ80" s="1381"/>
      <c r="CK80" s="1381"/>
      <c r="CL80" s="1381"/>
      <c r="CM80" s="1381"/>
      <c r="CN80" s="1381"/>
      <c r="CO80" s="1381"/>
      <c r="CP80" s="1381"/>
      <c r="CQ80" s="1381"/>
      <c r="CR80" s="1381"/>
      <c r="CS80" s="1381"/>
      <c r="CT80" s="1381"/>
      <c r="CU80" s="1381"/>
      <c r="CV80" s="1381"/>
      <c r="CW80" s="1381"/>
      <c r="CX80" s="1381"/>
      <c r="CY80" s="1381"/>
      <c r="CZ80" s="1381"/>
      <c r="DA80" s="1381"/>
      <c r="DB80" s="1381"/>
      <c r="DC80" s="1381"/>
      <c r="DD80" s="1381"/>
      <c r="DE80" s="1381"/>
      <c r="DF80" s="1381"/>
      <c r="DG80" s="1381"/>
      <c r="DH80" s="1381"/>
      <c r="DI80" s="1381"/>
      <c r="DJ80" s="1381"/>
      <c r="DK80" s="1381"/>
      <c r="DL80" s="1381"/>
      <c r="DM80" s="1381"/>
      <c r="DN80" s="1381"/>
      <c r="DO80" s="1381"/>
      <c r="DP80" s="1381"/>
      <c r="DQ80" s="1381"/>
      <c r="DR80" s="1381"/>
      <c r="DS80" s="1381"/>
      <c r="DT80" s="1381"/>
      <c r="DU80" s="1381"/>
      <c r="DV80" s="1381"/>
      <c r="DW80" s="1381"/>
      <c r="DX80" s="1381"/>
      <c r="DY80" s="1381"/>
      <c r="DZ80" s="1381"/>
      <c r="EA80" s="1381"/>
      <c r="EB80" s="1381"/>
      <c r="EC80" s="1381"/>
      <c r="ED80" s="1381"/>
      <c r="EE80" s="1381"/>
      <c r="EF80" s="1381"/>
      <c r="EG80" s="1381"/>
      <c r="EH80" s="1381"/>
      <c r="EI80" s="1381"/>
      <c r="EJ80" s="1381"/>
      <c r="EK80" s="1381"/>
      <c r="EL80" s="1381"/>
      <c r="EM80" s="1381"/>
      <c r="EN80" s="1381"/>
      <c r="EO80" s="1381"/>
      <c r="EP80" s="1381"/>
      <c r="EQ80" s="1381"/>
      <c r="ER80" s="1381"/>
      <c r="ES80" s="1381"/>
      <c r="ET80" s="1381"/>
      <c r="EU80" s="1381"/>
      <c r="EV80" s="1381"/>
      <c r="EW80" s="1381"/>
      <c r="EX80" s="1381"/>
      <c r="EY80" s="1381"/>
      <c r="EZ80" s="1381"/>
      <c r="FA80" s="1381"/>
      <c r="FB80" s="1381"/>
      <c r="FC80" s="1381"/>
    </row>
    <row r="81" spans="1:159" ht="15" hidden="1">
      <c r="A81" s="942"/>
      <c r="B81" s="942"/>
      <c r="C81" s="942"/>
      <c r="D81" s="942"/>
      <c r="E81" s="942"/>
      <c r="F81" s="942"/>
      <c r="G81" s="942"/>
      <c r="H81" s="942"/>
      <c r="I81" s="942"/>
      <c r="J81" s="942"/>
      <c r="K81" s="942"/>
      <c r="L81" s="942"/>
      <c r="M81" s="942"/>
      <c r="N81" s="942"/>
      <c r="O81" s="942"/>
      <c r="P81" s="942"/>
      <c r="Q81" s="942"/>
      <c r="R81" s="1381"/>
      <c r="S81" s="1381"/>
      <c r="T81" s="1381"/>
      <c r="U81" s="1381"/>
      <c r="V81" s="1381"/>
      <c r="W81" s="1381"/>
      <c r="X81" s="1381"/>
      <c r="Y81" s="1381"/>
      <c r="Z81" s="1381"/>
      <c r="AA81" s="1381"/>
      <c r="AB81" s="1381"/>
      <c r="AC81" s="1381"/>
      <c r="AD81" s="1381"/>
      <c r="AE81" s="1381"/>
      <c r="AF81" s="1381"/>
      <c r="AG81" s="1381"/>
      <c r="AH81" s="1381"/>
      <c r="AI81" s="1381"/>
      <c r="AJ81" s="1381"/>
      <c r="AK81" s="1381"/>
      <c r="AL81" s="1381"/>
      <c r="AM81" s="1381"/>
      <c r="AN81" s="1381"/>
      <c r="AO81" s="1381"/>
      <c r="AP81" s="1381"/>
      <c r="AQ81" s="1381"/>
      <c r="AR81" s="1381"/>
      <c r="AS81" s="1381"/>
      <c r="AT81" s="1381"/>
      <c r="AU81" s="1381"/>
      <c r="AV81" s="1381"/>
      <c r="AW81" s="1381"/>
      <c r="AX81" s="1381"/>
      <c r="AY81" s="1381"/>
      <c r="AZ81" s="1381"/>
      <c r="BA81" s="1381"/>
      <c r="BB81" s="1381"/>
      <c r="BC81" s="1381"/>
      <c r="BD81" s="1381"/>
      <c r="BE81" s="1381"/>
      <c r="BF81" s="1381"/>
      <c r="BG81" s="1381"/>
      <c r="BH81" s="1381"/>
      <c r="BI81" s="1381"/>
      <c r="BJ81" s="1381"/>
      <c r="BK81" s="1381"/>
      <c r="BL81" s="1381"/>
      <c r="BM81" s="1381"/>
      <c r="BN81" s="1381"/>
      <c r="BO81" s="1381"/>
      <c r="BP81" s="1381"/>
      <c r="BQ81" s="1381"/>
      <c r="BR81" s="1381"/>
      <c r="BS81" s="1381"/>
      <c r="BT81" s="1381"/>
      <c r="BU81" s="1381"/>
      <c r="BV81" s="1381"/>
      <c r="BW81" s="1381"/>
      <c r="BX81" s="1381"/>
      <c r="BY81" s="1381"/>
      <c r="BZ81" s="1381"/>
      <c r="CA81" s="1381"/>
      <c r="CB81" s="1381"/>
      <c r="CC81" s="1381"/>
      <c r="CD81" s="1381"/>
      <c r="CE81" s="1381"/>
      <c r="CF81" s="1381"/>
      <c r="CG81" s="1381"/>
      <c r="CH81" s="1381"/>
      <c r="CI81" s="1381"/>
      <c r="CJ81" s="1381"/>
      <c r="CK81" s="1381"/>
      <c r="CL81" s="1381"/>
      <c r="CM81" s="1381"/>
      <c r="CN81" s="1381"/>
      <c r="CO81" s="1381"/>
      <c r="CP81" s="1381"/>
      <c r="CQ81" s="1381"/>
      <c r="CR81" s="1381"/>
      <c r="CS81" s="1381"/>
      <c r="CT81" s="1381"/>
      <c r="CU81" s="1381"/>
      <c r="CV81" s="1381"/>
      <c r="CW81" s="1381"/>
      <c r="CX81" s="1381"/>
      <c r="CY81" s="1381"/>
      <c r="CZ81" s="1381"/>
      <c r="DA81" s="1381"/>
      <c r="DB81" s="1381"/>
      <c r="DC81" s="1381"/>
      <c r="DD81" s="1381"/>
      <c r="DE81" s="1381"/>
      <c r="DF81" s="1381"/>
      <c r="DG81" s="1381"/>
      <c r="DH81" s="1381"/>
      <c r="DI81" s="1381"/>
      <c r="DJ81" s="1381"/>
      <c r="DK81" s="1381"/>
      <c r="DL81" s="1381"/>
      <c r="DM81" s="1381"/>
      <c r="DN81" s="1381"/>
      <c r="DO81" s="1381"/>
      <c r="DP81" s="1381"/>
      <c r="DQ81" s="1381"/>
      <c r="DR81" s="1381"/>
      <c r="DS81" s="1381"/>
      <c r="DT81" s="1381"/>
      <c r="DU81" s="1381"/>
      <c r="DV81" s="1381"/>
      <c r="DW81" s="1381"/>
      <c r="DX81" s="1381"/>
      <c r="DY81" s="1381"/>
      <c r="DZ81" s="1381"/>
      <c r="EA81" s="1381"/>
      <c r="EB81" s="1381"/>
      <c r="EC81" s="1381"/>
      <c r="ED81" s="1381"/>
      <c r="EE81" s="1381"/>
      <c r="EF81" s="1381"/>
      <c r="EG81" s="1381"/>
      <c r="EH81" s="1381"/>
      <c r="EI81" s="1381"/>
      <c r="EJ81" s="1381"/>
      <c r="EK81" s="1381"/>
      <c r="EL81" s="1381"/>
      <c r="EM81" s="1381"/>
      <c r="EN81" s="1381"/>
      <c r="EO81" s="1381"/>
      <c r="EP81" s="1381"/>
      <c r="EQ81" s="1381"/>
      <c r="ER81" s="1381"/>
      <c r="ES81" s="1381"/>
      <c r="ET81" s="1381"/>
      <c r="EU81" s="1381"/>
      <c r="EV81" s="1381"/>
      <c r="EW81" s="1381"/>
      <c r="EX81" s="1381"/>
      <c r="EY81" s="1381"/>
      <c r="EZ81" s="1381"/>
      <c r="FA81" s="1381"/>
      <c r="FB81" s="1381"/>
      <c r="FC81" s="1381"/>
    </row>
    <row r="82" spans="1:159" ht="15" hidden="1">
      <c r="A82" s="942"/>
      <c r="B82" s="942"/>
      <c r="C82" s="942"/>
      <c r="D82" s="942"/>
      <c r="E82" s="942"/>
      <c r="F82" s="942"/>
      <c r="G82" s="942"/>
      <c r="H82" s="942"/>
      <c r="I82" s="942"/>
      <c r="J82" s="942"/>
      <c r="K82" s="942"/>
      <c r="L82" s="942"/>
      <c r="M82" s="942"/>
      <c r="N82" s="942"/>
      <c r="O82" s="942"/>
      <c r="P82" s="942"/>
      <c r="Q82" s="942"/>
      <c r="R82" s="1381"/>
      <c r="S82" s="1381"/>
      <c r="T82" s="1381"/>
      <c r="U82" s="1381"/>
      <c r="V82" s="1381"/>
      <c r="W82" s="1381"/>
      <c r="X82" s="1381"/>
      <c r="Y82" s="1381"/>
      <c r="Z82" s="1381"/>
      <c r="AA82" s="1381"/>
      <c r="AB82" s="1381"/>
      <c r="AC82" s="1381"/>
      <c r="AD82" s="1381"/>
      <c r="AE82" s="1381"/>
      <c r="AF82" s="1381"/>
      <c r="AG82" s="1381"/>
      <c r="AH82" s="1381"/>
      <c r="AI82" s="1381"/>
      <c r="AJ82" s="1381"/>
      <c r="AK82" s="1381"/>
      <c r="AL82" s="1381"/>
      <c r="AM82" s="1381"/>
      <c r="AN82" s="1381"/>
      <c r="AO82" s="1381"/>
      <c r="AP82" s="1381"/>
      <c r="AQ82" s="1381"/>
      <c r="AR82" s="1381"/>
      <c r="AS82" s="1381"/>
      <c r="AT82" s="1381"/>
      <c r="AU82" s="1381"/>
      <c r="AV82" s="1381"/>
      <c r="AW82" s="1381"/>
      <c r="AX82" s="1381"/>
      <c r="AY82" s="1381"/>
      <c r="AZ82" s="1381"/>
      <c r="BA82" s="1381"/>
      <c r="BB82" s="1381"/>
      <c r="BC82" s="1381"/>
      <c r="BD82" s="1381"/>
      <c r="BE82" s="1381"/>
      <c r="BF82" s="1381"/>
      <c r="BG82" s="1381"/>
      <c r="BH82" s="1381"/>
      <c r="BI82" s="1381"/>
      <c r="BJ82" s="1381"/>
      <c r="BK82" s="1381"/>
      <c r="BL82" s="1381"/>
      <c r="BM82" s="1381"/>
      <c r="BN82" s="1381"/>
      <c r="BO82" s="1381"/>
      <c r="BP82" s="1381"/>
      <c r="BQ82" s="1381"/>
      <c r="BR82" s="1381"/>
      <c r="BS82" s="1381"/>
      <c r="BT82" s="1381"/>
      <c r="BU82" s="1381"/>
      <c r="BV82" s="1381"/>
      <c r="BW82" s="1381"/>
      <c r="BX82" s="1381"/>
      <c r="BY82" s="1381"/>
      <c r="BZ82" s="1381"/>
      <c r="CA82" s="1381"/>
      <c r="CB82" s="1381"/>
      <c r="CC82" s="1381"/>
      <c r="CD82" s="1381"/>
      <c r="CE82" s="1381"/>
      <c r="CF82" s="1381"/>
      <c r="CG82" s="1381"/>
      <c r="CH82" s="1381"/>
      <c r="CI82" s="1381"/>
      <c r="CJ82" s="1381"/>
      <c r="CK82" s="1381"/>
      <c r="CL82" s="1381"/>
      <c r="CM82" s="1381"/>
      <c r="CN82" s="1381"/>
      <c r="CO82" s="1381"/>
      <c r="CP82" s="1381"/>
      <c r="CQ82" s="1381"/>
      <c r="CR82" s="1381"/>
      <c r="CS82" s="1381"/>
      <c r="CT82" s="1381"/>
      <c r="CU82" s="1381"/>
      <c r="CV82" s="1381"/>
      <c r="CW82" s="1381"/>
      <c r="CX82" s="1381"/>
      <c r="CY82" s="1381"/>
      <c r="CZ82" s="1381"/>
      <c r="DA82" s="1381"/>
      <c r="DB82" s="1381"/>
      <c r="DC82" s="1381"/>
      <c r="DD82" s="1381"/>
      <c r="DE82" s="1381"/>
      <c r="DF82" s="1381"/>
      <c r="DG82" s="1381"/>
      <c r="DH82" s="1381"/>
      <c r="DI82" s="1381"/>
      <c r="DJ82" s="1381"/>
      <c r="DK82" s="1381"/>
      <c r="DL82" s="1381"/>
      <c r="DM82" s="1381"/>
      <c r="DN82" s="1381"/>
      <c r="DO82" s="1381"/>
      <c r="DP82" s="1381"/>
      <c r="DQ82" s="1381"/>
      <c r="DR82" s="1381"/>
      <c r="DS82" s="1381"/>
      <c r="DT82" s="1381"/>
      <c r="DU82" s="1381"/>
      <c r="DV82" s="1381"/>
      <c r="DW82" s="1381"/>
      <c r="DX82" s="1381"/>
      <c r="DY82" s="1381"/>
      <c r="DZ82" s="1381"/>
      <c r="EA82" s="1381"/>
      <c r="EB82" s="1381"/>
      <c r="EC82" s="1381"/>
      <c r="ED82" s="1381"/>
      <c r="EE82" s="1381"/>
      <c r="EF82" s="1381"/>
      <c r="EG82" s="1381"/>
      <c r="EH82" s="1381"/>
      <c r="EI82" s="1381"/>
      <c r="EJ82" s="1381"/>
      <c r="EK82" s="1381"/>
      <c r="EL82" s="1381"/>
      <c r="EM82" s="1381"/>
      <c r="EN82" s="1381"/>
      <c r="EO82" s="1381"/>
      <c r="EP82" s="1381"/>
      <c r="EQ82" s="1381"/>
      <c r="ER82" s="1381"/>
      <c r="ES82" s="1381"/>
      <c r="ET82" s="1381"/>
      <c r="EU82" s="1381"/>
      <c r="EV82" s="1381"/>
      <c r="EW82" s="1381"/>
      <c r="EX82" s="1381"/>
      <c r="EY82" s="1381"/>
      <c r="EZ82" s="1381"/>
      <c r="FA82" s="1381"/>
      <c r="FB82" s="1381"/>
      <c r="FC82" s="1381"/>
    </row>
    <row r="83" spans="1:159" ht="15" hidden="1">
      <c r="A83" s="942"/>
      <c r="B83" s="942"/>
      <c r="C83" s="942"/>
      <c r="D83" s="942"/>
      <c r="E83" s="942"/>
      <c r="F83" s="942"/>
      <c r="G83" s="942"/>
      <c r="H83" s="942"/>
      <c r="I83" s="942"/>
      <c r="J83" s="942"/>
      <c r="K83" s="942"/>
      <c r="L83" s="942"/>
      <c r="M83" s="942"/>
      <c r="N83" s="942"/>
      <c r="O83" s="942"/>
      <c r="P83" s="942"/>
      <c r="Q83" s="942"/>
      <c r="R83" s="1381"/>
      <c r="S83" s="1381"/>
      <c r="T83" s="1381"/>
      <c r="U83" s="1381"/>
      <c r="V83" s="1381"/>
      <c r="W83" s="1381"/>
      <c r="X83" s="1381"/>
      <c r="Y83" s="1381"/>
      <c r="Z83" s="1381"/>
      <c r="AA83" s="1381"/>
      <c r="AB83" s="1381"/>
      <c r="AC83" s="1381"/>
      <c r="AD83" s="1381"/>
      <c r="AE83" s="1381"/>
      <c r="AF83" s="1381"/>
      <c r="AG83" s="1381"/>
      <c r="AH83" s="1381"/>
      <c r="AI83" s="1381"/>
      <c r="AJ83" s="1381"/>
      <c r="AK83" s="1381"/>
      <c r="AL83" s="1381"/>
      <c r="AM83" s="1381"/>
      <c r="AN83" s="1381"/>
      <c r="AO83" s="1381"/>
      <c r="AP83" s="1381"/>
      <c r="AQ83" s="1381"/>
      <c r="AR83" s="1381"/>
      <c r="AS83" s="1381"/>
      <c r="AT83" s="1381"/>
      <c r="AU83" s="1381"/>
      <c r="AV83" s="1381"/>
      <c r="AW83" s="1381"/>
      <c r="AX83" s="1381"/>
      <c r="AY83" s="1381"/>
      <c r="AZ83" s="1381"/>
      <c r="BA83" s="1381"/>
      <c r="BB83" s="1381"/>
      <c r="BC83" s="1381"/>
      <c r="BD83" s="1381"/>
      <c r="BE83" s="1381"/>
      <c r="BF83" s="1381"/>
      <c r="BG83" s="1381"/>
      <c r="BH83" s="1381"/>
      <c r="BI83" s="1381"/>
      <c r="BJ83" s="1381"/>
      <c r="BK83" s="1381"/>
      <c r="BL83" s="1381"/>
      <c r="BM83" s="1381"/>
      <c r="BN83" s="1381"/>
      <c r="BO83" s="1381"/>
      <c r="BP83" s="1381"/>
      <c r="BQ83" s="1381"/>
      <c r="BR83" s="1381"/>
      <c r="BS83" s="1381"/>
      <c r="BT83" s="1381"/>
      <c r="BU83" s="1381"/>
      <c r="BV83" s="1381"/>
      <c r="BW83" s="1381"/>
      <c r="BX83" s="1381"/>
      <c r="BY83" s="1381"/>
      <c r="BZ83" s="1381"/>
      <c r="CA83" s="1381"/>
      <c r="CB83" s="1381"/>
      <c r="CC83" s="1381"/>
      <c r="CD83" s="1381"/>
      <c r="CE83" s="1381"/>
      <c r="CF83" s="1381"/>
      <c r="CG83" s="1381"/>
      <c r="CH83" s="1381"/>
      <c r="CI83" s="1381"/>
      <c r="CJ83" s="1381"/>
      <c r="CK83" s="1381"/>
      <c r="CL83" s="1381"/>
      <c r="CM83" s="1381"/>
      <c r="CN83" s="1381"/>
      <c r="CO83" s="1381"/>
      <c r="CP83" s="1381"/>
      <c r="CQ83" s="1381"/>
      <c r="CR83" s="1381"/>
      <c r="CS83" s="1381"/>
      <c r="CT83" s="1381"/>
      <c r="CU83" s="1381"/>
      <c r="CV83" s="1381"/>
      <c r="CW83" s="1381"/>
      <c r="CX83" s="1381"/>
      <c r="CY83" s="1381"/>
      <c r="CZ83" s="1381"/>
      <c r="DA83" s="1381"/>
      <c r="DB83" s="1381"/>
      <c r="DC83" s="1381"/>
      <c r="DD83" s="1381"/>
      <c r="DE83" s="1381"/>
      <c r="DF83" s="1381"/>
      <c r="DG83" s="1381"/>
      <c r="DH83" s="1381"/>
      <c r="DI83" s="1381"/>
      <c r="DJ83" s="1381"/>
      <c r="DK83" s="1381"/>
      <c r="DL83" s="1381"/>
      <c r="DM83" s="1381"/>
      <c r="DN83" s="1381"/>
      <c r="DO83" s="1381"/>
      <c r="DP83" s="1381"/>
      <c r="DQ83" s="1381"/>
      <c r="DR83" s="1381"/>
      <c r="DS83" s="1381"/>
      <c r="DT83" s="1381"/>
      <c r="DU83" s="1381"/>
      <c r="DV83" s="1381"/>
      <c r="DW83" s="1381"/>
      <c r="DX83" s="1381"/>
      <c r="DY83" s="1381"/>
      <c r="DZ83" s="1381"/>
      <c r="EA83" s="1381"/>
      <c r="EB83" s="1381"/>
      <c r="EC83" s="1381"/>
      <c r="ED83" s="1381"/>
      <c r="EE83" s="1381"/>
      <c r="EF83" s="1381"/>
      <c r="EG83" s="1381"/>
      <c r="EH83" s="1381"/>
      <c r="EI83" s="1381"/>
      <c r="EJ83" s="1381"/>
      <c r="EK83" s="1381"/>
      <c r="EL83" s="1381"/>
      <c r="EM83" s="1381"/>
      <c r="EN83" s="1381"/>
      <c r="EO83" s="1381"/>
      <c r="EP83" s="1381"/>
      <c r="EQ83" s="1381"/>
      <c r="ER83" s="1381"/>
      <c r="ES83" s="1381"/>
      <c r="ET83" s="1381"/>
      <c r="EU83" s="1381"/>
      <c r="EV83" s="1381"/>
      <c r="EW83" s="1381"/>
      <c r="EX83" s="1381"/>
      <c r="EY83" s="1381"/>
      <c r="EZ83" s="1381"/>
      <c r="FA83" s="1381"/>
      <c r="FB83" s="1381"/>
      <c r="FC83" s="1381"/>
    </row>
    <row r="84" spans="1:159" ht="15" hidden="1">
      <c r="A84" s="942"/>
      <c r="B84" s="942"/>
      <c r="C84" s="942"/>
      <c r="D84" s="942"/>
      <c r="E84" s="942"/>
      <c r="F84" s="942"/>
      <c r="G84" s="942"/>
      <c r="H84" s="942"/>
      <c r="I84" s="942"/>
      <c r="J84" s="942"/>
      <c r="K84" s="942"/>
      <c r="L84" s="942"/>
      <c r="M84" s="942"/>
      <c r="N84" s="942"/>
      <c r="O84" s="942"/>
      <c r="P84" s="942"/>
      <c r="Q84" s="942"/>
      <c r="R84" s="1381"/>
      <c r="S84" s="1381"/>
      <c r="T84" s="1381"/>
      <c r="U84" s="1381"/>
      <c r="V84" s="1381"/>
      <c r="W84" s="1381"/>
      <c r="X84" s="1381"/>
      <c r="Y84" s="1381"/>
      <c r="Z84" s="1381"/>
      <c r="AA84" s="1381"/>
      <c r="AB84" s="1381"/>
      <c r="AC84" s="1381"/>
      <c r="AD84" s="1381"/>
      <c r="AE84" s="1381"/>
      <c r="AF84" s="1381"/>
      <c r="AG84" s="1381"/>
      <c r="AH84" s="1381"/>
      <c r="AI84" s="1381"/>
      <c r="AJ84" s="1381"/>
      <c r="AK84" s="1381"/>
      <c r="AL84" s="1381"/>
      <c r="AM84" s="1381"/>
      <c r="AN84" s="1381"/>
      <c r="AO84" s="1381"/>
      <c r="AP84" s="1381"/>
      <c r="AQ84" s="1381"/>
      <c r="AR84" s="1381"/>
      <c r="AS84" s="1381"/>
      <c r="AT84" s="1381"/>
      <c r="AU84" s="1381"/>
      <c r="AV84" s="1381"/>
      <c r="AW84" s="1381"/>
      <c r="AX84" s="1381"/>
      <c r="AY84" s="1381"/>
      <c r="AZ84" s="1381"/>
      <c r="BA84" s="1381"/>
      <c r="BB84" s="1381"/>
      <c r="BC84" s="1381"/>
      <c r="BD84" s="1381"/>
      <c r="BE84" s="1381"/>
      <c r="BF84" s="1381"/>
      <c r="BG84" s="1381"/>
      <c r="BH84" s="1381"/>
      <c r="BI84" s="1381"/>
      <c r="BJ84" s="1381"/>
      <c r="BK84" s="1381"/>
      <c r="BL84" s="1381"/>
      <c r="BM84" s="1381"/>
      <c r="BN84" s="1381"/>
      <c r="BO84" s="1381"/>
      <c r="BP84" s="1381"/>
      <c r="BQ84" s="1381"/>
      <c r="BR84" s="1381"/>
      <c r="BS84" s="1381"/>
      <c r="BT84" s="1381"/>
      <c r="BU84" s="1381"/>
      <c r="BV84" s="1381"/>
      <c r="BW84" s="1381"/>
      <c r="BX84" s="1381"/>
      <c r="BY84" s="1381"/>
      <c r="BZ84" s="1381"/>
      <c r="CA84" s="1381"/>
      <c r="CB84" s="1381"/>
      <c r="CC84" s="1381"/>
      <c r="CD84" s="1381"/>
      <c r="CE84" s="1381"/>
      <c r="CF84" s="1381"/>
      <c r="CG84" s="1381"/>
      <c r="CH84" s="1381"/>
      <c r="CI84" s="1381"/>
      <c r="CJ84" s="1381"/>
      <c r="CK84" s="1381"/>
      <c r="CL84" s="1381"/>
      <c r="CM84" s="1381"/>
      <c r="CN84" s="1381"/>
      <c r="CO84" s="1381"/>
      <c r="CP84" s="1381"/>
      <c r="CQ84" s="1381"/>
      <c r="CR84" s="1381"/>
      <c r="CS84" s="1381"/>
      <c r="CT84" s="1381"/>
      <c r="CU84" s="1381"/>
      <c r="CV84" s="1381"/>
      <c r="CW84" s="1381"/>
      <c r="CX84" s="1381"/>
      <c r="CY84" s="1381"/>
      <c r="CZ84" s="1381"/>
      <c r="DA84" s="1381"/>
      <c r="DB84" s="1381"/>
      <c r="DC84" s="1381"/>
      <c r="DD84" s="1381"/>
      <c r="DE84" s="1381"/>
      <c r="DF84" s="1381"/>
      <c r="DG84" s="1381"/>
      <c r="DH84" s="1381"/>
      <c r="DI84" s="1381"/>
      <c r="DJ84" s="1381"/>
      <c r="DK84" s="1381"/>
      <c r="DL84" s="1381"/>
      <c r="DM84" s="1381"/>
      <c r="DN84" s="1381"/>
      <c r="DO84" s="1381"/>
      <c r="DP84" s="1381"/>
      <c r="DQ84" s="1381"/>
      <c r="DR84" s="1381"/>
      <c r="DS84" s="1381"/>
      <c r="DT84" s="1381"/>
      <c r="DU84" s="1381"/>
      <c r="DV84" s="1381"/>
      <c r="DW84" s="1381"/>
      <c r="DX84" s="1381"/>
      <c r="DY84" s="1381"/>
      <c r="DZ84" s="1381"/>
      <c r="EA84" s="1381"/>
      <c r="EB84" s="1381"/>
      <c r="EC84" s="1381"/>
      <c r="ED84" s="1381"/>
      <c r="EE84" s="1381"/>
      <c r="EF84" s="1381"/>
      <c r="EG84" s="1381"/>
      <c r="EH84" s="1381"/>
      <c r="EI84" s="1381"/>
      <c r="EJ84" s="1381"/>
      <c r="EK84" s="1381"/>
      <c r="EL84" s="1381"/>
      <c r="EM84" s="1381"/>
      <c r="EN84" s="1381"/>
      <c r="EO84" s="1381"/>
      <c r="EP84" s="1381"/>
      <c r="EQ84" s="1381"/>
      <c r="ER84" s="1381"/>
      <c r="ES84" s="1381"/>
      <c r="ET84" s="1381"/>
      <c r="EU84" s="1381"/>
      <c r="EV84" s="1381"/>
      <c r="EW84" s="1381"/>
      <c r="EX84" s="1381"/>
      <c r="EY84" s="1381"/>
      <c r="EZ84" s="1381"/>
      <c r="FA84" s="1381"/>
      <c r="FB84" s="1381"/>
      <c r="FC84" s="1381"/>
    </row>
    <row r="85" spans="1:159" ht="15" hidden="1">
      <c r="A85" s="942"/>
      <c r="B85" s="942"/>
      <c r="C85" s="942"/>
      <c r="D85" s="942"/>
      <c r="E85" s="942"/>
      <c r="F85" s="942"/>
      <c r="G85" s="942"/>
      <c r="H85" s="942"/>
      <c r="I85" s="942"/>
      <c r="J85" s="942"/>
      <c r="K85" s="942"/>
      <c r="L85" s="942"/>
      <c r="M85" s="942"/>
      <c r="N85" s="942"/>
      <c r="O85" s="942"/>
      <c r="P85" s="942"/>
      <c r="Q85" s="942"/>
      <c r="R85" s="1381"/>
      <c r="S85" s="1381"/>
      <c r="T85" s="1381"/>
      <c r="U85" s="1381"/>
      <c r="V85" s="1381"/>
      <c r="W85" s="1381"/>
      <c r="X85" s="1381"/>
      <c r="Y85" s="1381"/>
      <c r="Z85" s="1381"/>
      <c r="AA85" s="1381"/>
      <c r="AB85" s="1381"/>
      <c r="AC85" s="1381"/>
      <c r="AD85" s="1381"/>
      <c r="AE85" s="1381"/>
      <c r="AF85" s="1381"/>
      <c r="AG85" s="1381"/>
      <c r="AH85" s="1381"/>
      <c r="AI85" s="1381"/>
      <c r="AJ85" s="1381"/>
      <c r="AK85" s="1381"/>
      <c r="AL85" s="1381"/>
      <c r="AM85" s="1381"/>
      <c r="AN85" s="1381"/>
      <c r="AO85" s="1381"/>
      <c r="AP85" s="1381"/>
      <c r="AQ85" s="1381"/>
      <c r="AR85" s="1381"/>
      <c r="AS85" s="1381"/>
      <c r="AT85" s="1381"/>
      <c r="AU85" s="1381"/>
      <c r="AV85" s="1381"/>
      <c r="AW85" s="1381"/>
      <c r="AX85" s="1381"/>
      <c r="AY85" s="1381"/>
      <c r="AZ85" s="1381"/>
      <c r="BA85" s="1381"/>
      <c r="BB85" s="1381"/>
      <c r="BC85" s="1381"/>
      <c r="BD85" s="1381"/>
      <c r="BE85" s="1381"/>
      <c r="BF85" s="1381"/>
      <c r="BG85" s="1381"/>
      <c r="BH85" s="1381"/>
      <c r="BI85" s="1381"/>
      <c r="BJ85" s="1381"/>
      <c r="BK85" s="1381"/>
      <c r="BL85" s="1381"/>
      <c r="BM85" s="1381"/>
      <c r="BN85" s="1381"/>
      <c r="BO85" s="1381"/>
      <c r="BP85" s="1381"/>
      <c r="BQ85" s="1381"/>
      <c r="BR85" s="1381"/>
      <c r="BS85" s="1381"/>
      <c r="BT85" s="1381"/>
      <c r="BU85" s="1381"/>
      <c r="BV85" s="1381"/>
      <c r="BW85" s="1381"/>
      <c r="BX85" s="1381"/>
      <c r="BY85" s="1381"/>
      <c r="BZ85" s="1381"/>
      <c r="CA85" s="1381"/>
      <c r="CB85" s="1381"/>
      <c r="CC85" s="1381"/>
      <c r="CD85" s="1381"/>
      <c r="CE85" s="1381"/>
      <c r="CF85" s="1381"/>
      <c r="CG85" s="1381"/>
      <c r="CH85" s="1381"/>
      <c r="CI85" s="1381"/>
      <c r="CJ85" s="1381"/>
      <c r="CK85" s="1381"/>
      <c r="CL85" s="1381"/>
      <c r="CM85" s="1381"/>
      <c r="CN85" s="1381"/>
      <c r="CO85" s="1381"/>
      <c r="CP85" s="1381"/>
      <c r="CQ85" s="1381"/>
      <c r="CR85" s="1381"/>
      <c r="CS85" s="1381"/>
      <c r="CT85" s="1381"/>
      <c r="CU85" s="1381"/>
      <c r="CV85" s="1381"/>
      <c r="CW85" s="1381"/>
      <c r="CX85" s="1381"/>
      <c r="CY85" s="1381"/>
      <c r="CZ85" s="1381"/>
      <c r="DA85" s="1381"/>
      <c r="DB85" s="1381"/>
      <c r="DC85" s="1381"/>
      <c r="DD85" s="1381"/>
      <c r="DE85" s="1381"/>
      <c r="DF85" s="1381"/>
      <c r="DG85" s="1381"/>
      <c r="DH85" s="1381"/>
      <c r="DI85" s="1381"/>
      <c r="DJ85" s="1381"/>
      <c r="DK85" s="1381"/>
      <c r="DL85" s="1381"/>
      <c r="DM85" s="1381"/>
      <c r="DN85" s="1381"/>
      <c r="DO85" s="1381"/>
      <c r="DP85" s="1381"/>
      <c r="DQ85" s="1381"/>
      <c r="DR85" s="1381"/>
      <c r="DS85" s="1381"/>
      <c r="DT85" s="1381"/>
      <c r="DU85" s="1381"/>
      <c r="DV85" s="1381"/>
      <c r="DW85" s="1381"/>
      <c r="DX85" s="1381"/>
      <c r="DY85" s="1381"/>
      <c r="DZ85" s="1381"/>
      <c r="EA85" s="1381"/>
      <c r="EB85" s="1381"/>
      <c r="EC85" s="1381"/>
      <c r="ED85" s="1381"/>
      <c r="EE85" s="1381"/>
      <c r="EF85" s="1381"/>
      <c r="EG85" s="1381"/>
      <c r="EH85" s="1381"/>
      <c r="EI85" s="1381"/>
      <c r="EJ85" s="1381"/>
      <c r="EK85" s="1381"/>
      <c r="EL85" s="1381"/>
      <c r="EM85" s="1381"/>
      <c r="EN85" s="1381"/>
      <c r="EO85" s="1381"/>
      <c r="EP85" s="1381"/>
      <c r="EQ85" s="1381"/>
      <c r="ER85" s="1381"/>
      <c r="ES85" s="1381"/>
      <c r="ET85" s="1381"/>
      <c r="EU85" s="1381"/>
      <c r="EV85" s="1381"/>
      <c r="EW85" s="1381"/>
      <c r="EX85" s="1381"/>
      <c r="EY85" s="1381"/>
      <c r="EZ85" s="1381"/>
      <c r="FA85" s="1381"/>
      <c r="FB85" s="1381"/>
      <c r="FC85" s="1381"/>
    </row>
    <row r="86" spans="1:159" ht="15" hidden="1">
      <c r="A86" s="942"/>
      <c r="B86" s="942"/>
      <c r="C86" s="942"/>
      <c r="D86" s="942"/>
      <c r="E86" s="942"/>
      <c r="F86" s="942"/>
      <c r="G86" s="942"/>
      <c r="H86" s="942"/>
      <c r="I86" s="942"/>
      <c r="J86" s="942"/>
      <c r="K86" s="942"/>
      <c r="L86" s="942"/>
      <c r="M86" s="942"/>
      <c r="N86" s="942"/>
      <c r="O86" s="942"/>
      <c r="P86" s="942"/>
      <c r="Q86" s="942"/>
      <c r="R86" s="1381"/>
      <c r="S86" s="1381"/>
      <c r="T86" s="1381"/>
      <c r="U86" s="1381"/>
      <c r="V86" s="1381"/>
      <c r="W86" s="1381"/>
      <c r="X86" s="1381"/>
      <c r="Y86" s="1381"/>
      <c r="Z86" s="1381"/>
      <c r="AA86" s="1381"/>
      <c r="AB86" s="1381"/>
      <c r="AC86" s="1381"/>
      <c r="AD86" s="1381"/>
      <c r="AE86" s="1381"/>
      <c r="AF86" s="1381"/>
      <c r="AG86" s="1381"/>
      <c r="AH86" s="1381"/>
      <c r="AI86" s="1381"/>
      <c r="AJ86" s="1381"/>
      <c r="AK86" s="1381"/>
      <c r="AL86" s="1381"/>
      <c r="AM86" s="1381"/>
      <c r="AN86" s="1381"/>
      <c r="AO86" s="1381"/>
      <c r="AP86" s="1381"/>
      <c r="AQ86" s="1381"/>
      <c r="AR86" s="1381"/>
      <c r="AS86" s="1381"/>
      <c r="AT86" s="1381"/>
      <c r="AU86" s="1381"/>
      <c r="AV86" s="1381"/>
      <c r="AW86" s="1381"/>
      <c r="AX86" s="1381"/>
      <c r="AY86" s="1381"/>
      <c r="AZ86" s="1381"/>
      <c r="BA86" s="1381"/>
      <c r="BB86" s="1381"/>
      <c r="BC86" s="1381"/>
      <c r="BD86" s="1381"/>
      <c r="BE86" s="1381"/>
      <c r="BF86" s="1381"/>
      <c r="BG86" s="1381"/>
      <c r="BH86" s="1381"/>
      <c r="BI86" s="1381"/>
      <c r="BJ86" s="1381"/>
      <c r="BK86" s="1381"/>
      <c r="BL86" s="1381"/>
      <c r="BM86" s="1381"/>
      <c r="BN86" s="1381"/>
      <c r="BO86" s="1381"/>
      <c r="BP86" s="1381"/>
      <c r="BQ86" s="1381"/>
      <c r="BR86" s="1381"/>
      <c r="BS86" s="1381"/>
      <c r="BT86" s="1381"/>
      <c r="BU86" s="1381"/>
      <c r="BV86" s="1381"/>
      <c r="BW86" s="1381"/>
      <c r="BX86" s="1381"/>
      <c r="BY86" s="1381"/>
      <c r="BZ86" s="1381"/>
      <c r="CA86" s="1381"/>
      <c r="CB86" s="1381"/>
      <c r="CC86" s="1381"/>
      <c r="CD86" s="1381"/>
      <c r="CE86" s="1381"/>
      <c r="CF86" s="1381"/>
      <c r="CG86" s="1381"/>
      <c r="CH86" s="1381"/>
      <c r="CI86" s="1381"/>
      <c r="CJ86" s="1381"/>
      <c r="CK86" s="1381"/>
      <c r="CL86" s="1381"/>
      <c r="CM86" s="1381"/>
      <c r="CN86" s="1381"/>
      <c r="CO86" s="1381"/>
      <c r="CP86" s="1381"/>
      <c r="CQ86" s="1381"/>
      <c r="CR86" s="1381"/>
      <c r="CS86" s="1381"/>
      <c r="CT86" s="1381"/>
      <c r="CU86" s="1381"/>
      <c r="CV86" s="1381"/>
      <c r="CW86" s="1381"/>
      <c r="CX86" s="1381"/>
      <c r="CY86" s="1381"/>
      <c r="CZ86" s="1381"/>
      <c r="DA86" s="1381"/>
      <c r="DB86" s="1381"/>
      <c r="DC86" s="1381"/>
      <c r="DD86" s="1381"/>
      <c r="DE86" s="1381"/>
      <c r="DF86" s="1381"/>
      <c r="DG86" s="1381"/>
      <c r="DH86" s="1381"/>
      <c r="DI86" s="1381"/>
      <c r="DJ86" s="1381"/>
      <c r="DK86" s="1381"/>
      <c r="DL86" s="1381"/>
      <c r="DM86" s="1381"/>
      <c r="DN86" s="1381"/>
      <c r="DO86" s="1381"/>
      <c r="DP86" s="1381"/>
      <c r="DQ86" s="1381"/>
      <c r="DR86" s="1381"/>
      <c r="DS86" s="1381"/>
      <c r="DT86" s="1381"/>
      <c r="DU86" s="1381"/>
      <c r="DV86" s="1381"/>
      <c r="DW86" s="1381"/>
      <c r="DX86" s="1381"/>
      <c r="DY86" s="1381"/>
      <c r="DZ86" s="1381"/>
      <c r="EA86" s="1381"/>
      <c r="EB86" s="1381"/>
      <c r="EC86" s="1381"/>
      <c r="ED86" s="1381"/>
      <c r="EE86" s="1381"/>
      <c r="EF86" s="1381"/>
      <c r="EG86" s="1381"/>
      <c r="EH86" s="1381"/>
      <c r="EI86" s="1381"/>
      <c r="EJ86" s="1381"/>
      <c r="EK86" s="1381"/>
      <c r="EL86" s="1381"/>
      <c r="EM86" s="1381"/>
      <c r="EN86" s="1381"/>
      <c r="EO86" s="1381"/>
      <c r="EP86" s="1381"/>
      <c r="EQ86" s="1381"/>
      <c r="ER86" s="1381"/>
      <c r="ES86" s="1381"/>
      <c r="ET86" s="1381"/>
      <c r="EU86" s="1381"/>
      <c r="EV86" s="1381"/>
      <c r="EW86" s="1381"/>
      <c r="EX86" s="1381"/>
      <c r="EY86" s="1381"/>
      <c r="EZ86" s="1381"/>
      <c r="FA86" s="1381"/>
      <c r="FB86" s="1381"/>
      <c r="FC86" s="1381"/>
    </row>
    <row r="87" spans="1:159" ht="15" hidden="1">
      <c r="A87" s="942"/>
      <c r="B87" s="942"/>
      <c r="C87" s="942"/>
      <c r="D87" s="942"/>
      <c r="E87" s="942"/>
      <c r="F87" s="942"/>
      <c r="G87" s="942"/>
      <c r="H87" s="942"/>
      <c r="I87" s="942"/>
      <c r="J87" s="942"/>
      <c r="K87" s="942"/>
      <c r="L87" s="942"/>
      <c r="M87" s="942"/>
      <c r="N87" s="942"/>
      <c r="O87" s="942"/>
      <c r="P87" s="942"/>
      <c r="Q87" s="942"/>
      <c r="R87" s="1381"/>
      <c r="S87" s="1381"/>
      <c r="T87" s="1381"/>
      <c r="U87" s="1381"/>
      <c r="V87" s="1381"/>
      <c r="W87" s="1381"/>
      <c r="X87" s="1381"/>
      <c r="Y87" s="1381"/>
      <c r="Z87" s="1381"/>
      <c r="AA87" s="1381"/>
      <c r="AB87" s="1381"/>
      <c r="AC87" s="1381"/>
      <c r="AD87" s="1381"/>
      <c r="AE87" s="1381"/>
      <c r="AF87" s="1381"/>
      <c r="AG87" s="1381"/>
      <c r="AH87" s="1381"/>
      <c r="AI87" s="1381"/>
      <c r="AJ87" s="1381"/>
      <c r="AK87" s="1381"/>
      <c r="AL87" s="1381"/>
      <c r="AM87" s="1381"/>
      <c r="AN87" s="1381"/>
      <c r="AO87" s="1381"/>
      <c r="AP87" s="1381"/>
      <c r="AQ87" s="1381"/>
      <c r="AR87" s="1381"/>
      <c r="AS87" s="1381"/>
      <c r="AT87" s="1381"/>
      <c r="AU87" s="1381"/>
      <c r="AV87" s="1381"/>
      <c r="AW87" s="1381"/>
      <c r="AX87" s="1381"/>
      <c r="AY87" s="1381"/>
      <c r="AZ87" s="1381"/>
      <c r="BA87" s="1381"/>
      <c r="BB87" s="1381"/>
      <c r="BC87" s="1381"/>
      <c r="BD87" s="1381"/>
      <c r="BE87" s="1381"/>
      <c r="BF87" s="1381"/>
      <c r="BG87" s="1381"/>
      <c r="BH87" s="1381"/>
      <c r="BI87" s="1381"/>
      <c r="BJ87" s="1381"/>
      <c r="BK87" s="1381"/>
      <c r="BL87" s="1381"/>
      <c r="BM87" s="1381"/>
      <c r="BN87" s="1381"/>
      <c r="BO87" s="1381"/>
      <c r="BP87" s="1381"/>
      <c r="BQ87" s="1381"/>
      <c r="BR87" s="1381"/>
      <c r="BS87" s="1381"/>
      <c r="BT87" s="1381"/>
      <c r="BU87" s="1381"/>
      <c r="BV87" s="1381"/>
      <c r="BW87" s="1381"/>
      <c r="BX87" s="1381"/>
      <c r="BY87" s="1381"/>
      <c r="BZ87" s="1381"/>
      <c r="CA87" s="1381"/>
      <c r="CB87" s="1381"/>
      <c r="CC87" s="1381"/>
      <c r="CD87" s="1381"/>
      <c r="CE87" s="1381"/>
      <c r="CF87" s="1381"/>
      <c r="CG87" s="1381"/>
      <c r="CH87" s="1381"/>
      <c r="CI87" s="1381"/>
      <c r="CJ87" s="1381"/>
      <c r="CK87" s="1381"/>
      <c r="CL87" s="1381"/>
      <c r="CM87" s="1381"/>
      <c r="CN87" s="1381"/>
      <c r="CO87" s="1381"/>
      <c r="CP87" s="1381"/>
      <c r="CQ87" s="1381"/>
      <c r="CR87" s="1381"/>
      <c r="CS87" s="1381"/>
      <c r="CT87" s="1381"/>
      <c r="CU87" s="1381"/>
      <c r="CV87" s="1381"/>
      <c r="CW87" s="1381"/>
      <c r="CX87" s="1381"/>
      <c r="CY87" s="1381"/>
      <c r="CZ87" s="1381"/>
      <c r="DA87" s="1381"/>
      <c r="DB87" s="1381"/>
      <c r="DC87" s="1381"/>
      <c r="DD87" s="1381"/>
      <c r="DE87" s="1381"/>
      <c r="DF87" s="1381"/>
      <c r="DG87" s="1381"/>
      <c r="DH87" s="1381"/>
      <c r="DI87" s="1381"/>
      <c r="DJ87" s="1381"/>
      <c r="DK87" s="1381"/>
      <c r="DL87" s="1381"/>
      <c r="DM87" s="1381"/>
      <c r="DN87" s="1381"/>
      <c r="DO87" s="1381"/>
      <c r="DP87" s="1381"/>
      <c r="DQ87" s="1381"/>
      <c r="DR87" s="1381"/>
      <c r="DS87" s="1381"/>
      <c r="DT87" s="1381"/>
      <c r="DU87" s="1381"/>
      <c r="DV87" s="1381"/>
      <c r="DW87" s="1381"/>
      <c r="DX87" s="1381"/>
      <c r="DY87" s="1381"/>
      <c r="DZ87" s="1381"/>
      <c r="EA87" s="1381"/>
      <c r="EB87" s="1381"/>
      <c r="EC87" s="1381"/>
      <c r="ED87" s="1381"/>
      <c r="EE87" s="1381"/>
      <c r="EF87" s="1381"/>
      <c r="EG87" s="1381"/>
      <c r="EH87" s="1381"/>
      <c r="EI87" s="1381"/>
      <c r="EJ87" s="1381"/>
      <c r="EK87" s="1381"/>
      <c r="EL87" s="1381"/>
      <c r="EM87" s="1381"/>
      <c r="EN87" s="1381"/>
      <c r="EO87" s="1381"/>
      <c r="EP87" s="1381"/>
      <c r="EQ87" s="1381"/>
      <c r="ER87" s="1381"/>
      <c r="ES87" s="1381"/>
      <c r="ET87" s="1381"/>
      <c r="EU87" s="1381"/>
      <c r="EV87" s="1381"/>
      <c r="EW87" s="1381"/>
      <c r="EX87" s="1381"/>
      <c r="EY87" s="1381"/>
      <c r="EZ87" s="1381"/>
      <c r="FA87" s="1381"/>
      <c r="FB87" s="1381"/>
      <c r="FC87" s="1381"/>
    </row>
    <row r="88" spans="1:159" ht="15" hidden="1">
      <c r="A88" s="942"/>
      <c r="B88" s="942"/>
      <c r="C88" s="942"/>
      <c r="D88" s="942"/>
      <c r="E88" s="942"/>
      <c r="F88" s="942"/>
      <c r="G88" s="942"/>
      <c r="H88" s="942"/>
      <c r="I88" s="942"/>
      <c r="J88" s="942"/>
      <c r="K88" s="942"/>
      <c r="L88" s="942"/>
      <c r="M88" s="942"/>
      <c r="N88" s="942"/>
      <c r="O88" s="942"/>
      <c r="P88" s="942"/>
      <c r="Q88" s="942"/>
      <c r="R88" s="1381"/>
      <c r="S88" s="1381"/>
      <c r="T88" s="1381"/>
      <c r="U88" s="1381"/>
      <c r="V88" s="1381"/>
      <c r="W88" s="1381"/>
      <c r="X88" s="1381"/>
      <c r="Y88" s="1381"/>
      <c r="Z88" s="1381"/>
      <c r="AA88" s="1381"/>
      <c r="AB88" s="1381"/>
      <c r="AC88" s="1381"/>
      <c r="AD88" s="1381"/>
      <c r="AE88" s="1381"/>
      <c r="AF88" s="1381"/>
      <c r="AG88" s="1381"/>
      <c r="AH88" s="1381"/>
      <c r="AI88" s="1381"/>
      <c r="AJ88" s="1381"/>
      <c r="AK88" s="1381"/>
      <c r="AL88" s="1381"/>
      <c r="AM88" s="1381"/>
      <c r="AN88" s="1381"/>
      <c r="AO88" s="1381"/>
      <c r="AP88" s="1381"/>
      <c r="AQ88" s="1381"/>
      <c r="AR88" s="1381"/>
      <c r="AS88" s="1381"/>
      <c r="AT88" s="1381"/>
      <c r="AU88" s="1381"/>
      <c r="AV88" s="1381"/>
      <c r="AW88" s="1381"/>
      <c r="AX88" s="1381"/>
      <c r="AY88" s="1381"/>
      <c r="AZ88" s="1381"/>
      <c r="BA88" s="1381"/>
      <c r="BB88" s="1381"/>
      <c r="BC88" s="1381"/>
      <c r="BD88" s="1381"/>
      <c r="BE88" s="1381"/>
      <c r="BF88" s="1381"/>
      <c r="BG88" s="1381"/>
      <c r="BH88" s="1381"/>
      <c r="BI88" s="1381"/>
      <c r="BJ88" s="1381"/>
      <c r="BK88" s="1381"/>
      <c r="BL88" s="1381"/>
      <c r="BM88" s="1381"/>
      <c r="BN88" s="1381"/>
      <c r="BO88" s="1381"/>
      <c r="BP88" s="1381"/>
      <c r="BQ88" s="1381"/>
      <c r="BR88" s="1381"/>
      <c r="BS88" s="1381"/>
      <c r="BT88" s="1381"/>
      <c r="BU88" s="1381"/>
      <c r="BV88" s="1381"/>
      <c r="BW88" s="1381"/>
      <c r="BX88" s="1381"/>
      <c r="BY88" s="1381"/>
      <c r="BZ88" s="1381"/>
      <c r="CA88" s="1381"/>
      <c r="CB88" s="1381"/>
      <c r="CC88" s="1381"/>
      <c r="CD88" s="1381"/>
      <c r="CE88" s="1381"/>
      <c r="CF88" s="1381"/>
      <c r="CG88" s="1381"/>
      <c r="CH88" s="1381"/>
      <c r="CI88" s="1381"/>
      <c r="CJ88" s="1381"/>
      <c r="CK88" s="1381"/>
      <c r="CL88" s="1381"/>
      <c r="CM88" s="1381"/>
      <c r="CN88" s="1381"/>
      <c r="CO88" s="1381"/>
      <c r="CP88" s="1381"/>
      <c r="CQ88" s="1381"/>
      <c r="CR88" s="1381"/>
      <c r="CS88" s="1381"/>
      <c r="CT88" s="1381"/>
      <c r="CU88" s="1381"/>
      <c r="CV88" s="1381"/>
      <c r="CW88" s="1381"/>
      <c r="CX88" s="1381"/>
      <c r="CY88" s="1381"/>
      <c r="CZ88" s="1381"/>
      <c r="DA88" s="1381"/>
      <c r="DB88" s="1381"/>
      <c r="DC88" s="1381"/>
      <c r="DD88" s="1381"/>
      <c r="DE88" s="1381"/>
      <c r="DF88" s="1381"/>
      <c r="DG88" s="1381"/>
      <c r="DH88" s="1381"/>
      <c r="DI88" s="1381"/>
      <c r="DJ88" s="1381"/>
      <c r="DK88" s="1381"/>
      <c r="DL88" s="1381"/>
      <c r="DM88" s="1381"/>
      <c r="DN88" s="1381"/>
      <c r="DO88" s="1381"/>
      <c r="DP88" s="1381"/>
      <c r="DQ88" s="1381"/>
      <c r="DR88" s="1381"/>
      <c r="DS88" s="1381"/>
      <c r="DT88" s="1381"/>
      <c r="DU88" s="1381"/>
      <c r="DV88" s="1381"/>
      <c r="DW88" s="1381"/>
      <c r="DX88" s="1381"/>
      <c r="DY88" s="1381"/>
      <c r="DZ88" s="1381"/>
      <c r="EA88" s="1381"/>
      <c r="EB88" s="1381"/>
      <c r="EC88" s="1381"/>
      <c r="ED88" s="1381"/>
      <c r="EE88" s="1381"/>
      <c r="EF88" s="1381"/>
      <c r="EG88" s="1381"/>
      <c r="EH88" s="1381"/>
      <c r="EI88" s="1381"/>
      <c r="EJ88" s="1381"/>
      <c r="EK88" s="1381"/>
      <c r="EL88" s="1381"/>
      <c r="EM88" s="1381"/>
      <c r="EN88" s="1381"/>
      <c r="EO88" s="1381"/>
      <c r="EP88" s="1381"/>
      <c r="EQ88" s="1381"/>
      <c r="ER88" s="1381"/>
      <c r="ES88" s="1381"/>
      <c r="ET88" s="1381"/>
      <c r="EU88" s="1381"/>
      <c r="EV88" s="1381"/>
      <c r="EW88" s="1381"/>
      <c r="EX88" s="1381"/>
      <c r="EY88" s="1381"/>
      <c r="EZ88" s="1381"/>
      <c r="FA88" s="1381"/>
      <c r="FB88" s="1381"/>
      <c r="FC88" s="1381"/>
    </row>
    <row r="89" spans="1:159" ht="15" hidden="1">
      <c r="A89" s="942"/>
      <c r="B89" s="942"/>
      <c r="C89" s="942"/>
      <c r="D89" s="942"/>
      <c r="E89" s="942"/>
      <c r="F89" s="942"/>
      <c r="G89" s="942"/>
      <c r="H89" s="942"/>
      <c r="I89" s="942"/>
      <c r="J89" s="942"/>
      <c r="K89" s="942"/>
      <c r="L89" s="942"/>
      <c r="M89" s="942"/>
      <c r="N89" s="942"/>
      <c r="O89" s="942"/>
      <c r="P89" s="942"/>
      <c r="Q89" s="942"/>
      <c r="R89" s="1381"/>
      <c r="S89" s="1381"/>
      <c r="T89" s="1381"/>
      <c r="U89" s="1381"/>
      <c r="V89" s="1381"/>
      <c r="W89" s="1381"/>
      <c r="X89" s="1381"/>
      <c r="Y89" s="1381"/>
      <c r="Z89" s="1381"/>
      <c r="AA89" s="1381"/>
      <c r="AB89" s="1381"/>
      <c r="AC89" s="1381"/>
      <c r="AD89" s="1381"/>
      <c r="AE89" s="1381"/>
      <c r="AF89" s="1381"/>
      <c r="AG89" s="1381"/>
      <c r="AH89" s="1381"/>
      <c r="AI89" s="1381"/>
      <c r="AJ89" s="1381"/>
      <c r="AK89" s="1381"/>
      <c r="AL89" s="1381"/>
      <c r="AM89" s="1381"/>
      <c r="AN89" s="1381"/>
      <c r="AO89" s="1381"/>
      <c r="AP89" s="1381"/>
      <c r="AQ89" s="1381"/>
      <c r="AR89" s="1381"/>
      <c r="AS89" s="1381"/>
      <c r="AT89" s="1381"/>
      <c r="AU89" s="1381"/>
      <c r="AV89" s="1381"/>
      <c r="AW89" s="1381"/>
      <c r="AX89" s="1381"/>
      <c r="AY89" s="1381"/>
      <c r="AZ89" s="1381"/>
      <c r="BA89" s="1381"/>
      <c r="BB89" s="1381"/>
      <c r="BC89" s="1381"/>
      <c r="BD89" s="1381"/>
      <c r="BE89" s="1381"/>
      <c r="BF89" s="1381"/>
      <c r="BG89" s="1381"/>
      <c r="BH89" s="1381"/>
      <c r="BI89" s="1381"/>
      <c r="BJ89" s="1381"/>
      <c r="BK89" s="1381"/>
      <c r="BL89" s="1381"/>
      <c r="BM89" s="1381"/>
      <c r="BN89" s="1381"/>
      <c r="BO89" s="1381"/>
      <c r="BP89" s="1381"/>
      <c r="BQ89" s="1381"/>
      <c r="BR89" s="1381"/>
      <c r="BS89" s="1381"/>
      <c r="BT89" s="1381"/>
      <c r="BU89" s="1381"/>
      <c r="BV89" s="1381"/>
      <c r="BW89" s="1381"/>
      <c r="BX89" s="1381"/>
      <c r="BY89" s="1381"/>
      <c r="BZ89" s="1381"/>
      <c r="CA89" s="1381"/>
      <c r="CB89" s="1381"/>
      <c r="CC89" s="1381"/>
      <c r="CD89" s="1381"/>
      <c r="CE89" s="1381"/>
      <c r="CF89" s="1381"/>
      <c r="CG89" s="1381"/>
      <c r="CH89" s="1381"/>
      <c r="CI89" s="1381"/>
      <c r="CJ89" s="1381"/>
      <c r="CK89" s="1381"/>
      <c r="CL89" s="1381"/>
      <c r="CM89" s="1381"/>
      <c r="CN89" s="1381"/>
      <c r="CO89" s="1381"/>
      <c r="CP89" s="1381"/>
      <c r="CQ89" s="1381"/>
      <c r="CR89" s="1381"/>
      <c r="CS89" s="1381"/>
      <c r="CT89" s="1381"/>
      <c r="CU89" s="1381"/>
      <c r="CV89" s="1381"/>
      <c r="CW89" s="1381"/>
      <c r="CX89" s="1381"/>
      <c r="CY89" s="1381"/>
      <c r="CZ89" s="1381"/>
      <c r="DA89" s="1381"/>
      <c r="DB89" s="1381"/>
      <c r="DC89" s="1381"/>
      <c r="DD89" s="1381"/>
      <c r="DE89" s="1381"/>
      <c r="DF89" s="1381"/>
      <c r="DG89" s="1381"/>
      <c r="DH89" s="1381"/>
      <c r="DI89" s="1381"/>
      <c r="DJ89" s="1381"/>
      <c r="DK89" s="1381"/>
      <c r="DL89" s="1381"/>
      <c r="DM89" s="1381"/>
      <c r="DN89" s="1381"/>
      <c r="DO89" s="1381"/>
      <c r="DP89" s="1381"/>
      <c r="DQ89" s="1381"/>
      <c r="DR89" s="1381"/>
      <c r="DS89" s="1381"/>
      <c r="DT89" s="1381"/>
      <c r="DU89" s="1381"/>
      <c r="DV89" s="1381"/>
      <c r="DW89" s="1381"/>
      <c r="DX89" s="1381"/>
      <c r="DY89" s="1381"/>
      <c r="DZ89" s="1381"/>
      <c r="EA89" s="1381"/>
      <c r="EB89" s="1381"/>
      <c r="EC89" s="1381"/>
      <c r="ED89" s="1381"/>
      <c r="EE89" s="1381"/>
      <c r="EF89" s="1381"/>
      <c r="EG89" s="1381"/>
      <c r="EH89" s="1381"/>
      <c r="EI89" s="1381"/>
      <c r="EJ89" s="1381"/>
      <c r="EK89" s="1381"/>
      <c r="EL89" s="1381"/>
      <c r="EM89" s="1381"/>
      <c r="EN89" s="1381"/>
      <c r="EO89" s="1381"/>
      <c r="EP89" s="1381"/>
      <c r="EQ89" s="1381"/>
      <c r="ER89" s="1381"/>
      <c r="ES89" s="1381"/>
      <c r="ET89" s="1381"/>
      <c r="EU89" s="1381"/>
      <c r="EV89" s="1381"/>
      <c r="EW89" s="1381"/>
      <c r="EX89" s="1381"/>
      <c r="EY89" s="1381"/>
      <c r="EZ89" s="1381"/>
      <c r="FA89" s="1381"/>
      <c r="FB89" s="1381"/>
      <c r="FC89" s="1381"/>
    </row>
    <row r="90" spans="1:159" ht="15" hidden="1">
      <c r="A90" s="942"/>
      <c r="B90" s="942"/>
      <c r="C90" s="942"/>
      <c r="D90" s="942"/>
      <c r="E90" s="942"/>
      <c r="F90" s="942"/>
      <c r="G90" s="942"/>
      <c r="H90" s="942"/>
      <c r="I90" s="942"/>
      <c r="J90" s="942"/>
      <c r="K90" s="942"/>
      <c r="L90" s="942"/>
      <c r="M90" s="942"/>
      <c r="N90" s="942"/>
      <c r="O90" s="942"/>
      <c r="P90" s="942"/>
      <c r="Q90" s="942"/>
      <c r="R90" s="1381"/>
      <c r="S90" s="1381"/>
      <c r="T90" s="1381"/>
      <c r="U90" s="1381"/>
      <c r="V90" s="1381"/>
      <c r="W90" s="1381"/>
      <c r="X90" s="1381"/>
      <c r="Y90" s="1381"/>
      <c r="Z90" s="1381"/>
      <c r="AA90" s="1381"/>
      <c r="AB90" s="1381"/>
      <c r="AC90" s="1381"/>
      <c r="AD90" s="1381"/>
      <c r="AE90" s="1381"/>
      <c r="AF90" s="1381"/>
      <c r="AG90" s="1381"/>
      <c r="AH90" s="1381"/>
      <c r="AI90" s="1381"/>
      <c r="AJ90" s="1381"/>
      <c r="AK90" s="1381"/>
      <c r="AL90" s="1381"/>
      <c r="AM90" s="1381"/>
      <c r="AN90" s="1381"/>
      <c r="AO90" s="1381"/>
      <c r="AP90" s="1381"/>
      <c r="AQ90" s="1381"/>
      <c r="AR90" s="1381"/>
      <c r="AS90" s="1381"/>
      <c r="AT90" s="1381"/>
      <c r="AU90" s="1381"/>
      <c r="AV90" s="1381"/>
      <c r="AW90" s="1381"/>
      <c r="AX90" s="1381"/>
      <c r="AY90" s="1381"/>
      <c r="AZ90" s="1381"/>
      <c r="BA90" s="1381"/>
      <c r="BB90" s="1381"/>
      <c r="BC90" s="1381"/>
      <c r="BD90" s="1381"/>
      <c r="BE90" s="1381"/>
      <c r="BF90" s="1381"/>
      <c r="BG90" s="1381"/>
      <c r="BH90" s="1381"/>
      <c r="BI90" s="1381"/>
      <c r="BJ90" s="1381"/>
      <c r="BK90" s="1381"/>
      <c r="BL90" s="1381"/>
      <c r="BM90" s="1381"/>
      <c r="BN90" s="1381"/>
      <c r="BO90" s="1381"/>
      <c r="BP90" s="1381"/>
      <c r="BQ90" s="1381"/>
      <c r="BR90" s="1381"/>
      <c r="BS90" s="1381"/>
      <c r="BT90" s="1381"/>
      <c r="BU90" s="1381"/>
      <c r="BV90" s="1381"/>
      <c r="BW90" s="1381"/>
      <c r="BX90" s="1381"/>
      <c r="BY90" s="1381"/>
      <c r="BZ90" s="1381"/>
      <c r="CA90" s="1381"/>
      <c r="CB90" s="1381"/>
      <c r="CC90" s="1381"/>
      <c r="CD90" s="1381"/>
      <c r="CE90" s="1381"/>
      <c r="CF90" s="1381"/>
      <c r="CG90" s="1381"/>
      <c r="CH90" s="1381"/>
      <c r="CI90" s="1381"/>
      <c r="CJ90" s="1381"/>
      <c r="CK90" s="1381"/>
      <c r="CL90" s="1381"/>
      <c r="CM90" s="1381"/>
      <c r="CN90" s="1381"/>
      <c r="CO90" s="1381"/>
      <c r="CP90" s="1381"/>
      <c r="CQ90" s="1381"/>
      <c r="CR90" s="1381"/>
      <c r="CS90" s="1381"/>
      <c r="CT90" s="1381"/>
      <c r="CU90" s="1381"/>
      <c r="CV90" s="1381"/>
      <c r="CW90" s="1381"/>
      <c r="CX90" s="1381"/>
      <c r="CY90" s="1381"/>
      <c r="CZ90" s="1381"/>
      <c r="DA90" s="1381"/>
      <c r="DB90" s="1381"/>
      <c r="DC90" s="1381"/>
      <c r="DD90" s="1381"/>
      <c r="DE90" s="1381"/>
      <c r="DF90" s="1381"/>
      <c r="DG90" s="1381"/>
      <c r="DH90" s="1381"/>
      <c r="DI90" s="1381"/>
      <c r="DJ90" s="1381"/>
      <c r="DK90" s="1381"/>
      <c r="DL90" s="1381"/>
      <c r="DM90" s="1381"/>
      <c r="DN90" s="1381"/>
      <c r="DO90" s="1381"/>
      <c r="DP90" s="1381"/>
      <c r="DQ90" s="1381"/>
      <c r="DR90" s="1381"/>
      <c r="DS90" s="1381"/>
      <c r="DT90" s="1381"/>
      <c r="DU90" s="1381"/>
      <c r="DV90" s="1381"/>
      <c r="DW90" s="1381"/>
      <c r="DX90" s="1381"/>
      <c r="DY90" s="1381"/>
      <c r="DZ90" s="1381"/>
      <c r="EA90" s="1381"/>
      <c r="EB90" s="1381"/>
      <c r="EC90" s="1381"/>
      <c r="ED90" s="1381"/>
      <c r="EE90" s="1381"/>
      <c r="EF90" s="1381"/>
      <c r="EG90" s="1381"/>
      <c r="EH90" s="1381"/>
      <c r="EI90" s="1381"/>
      <c r="EJ90" s="1381"/>
      <c r="EK90" s="1381"/>
      <c r="EL90" s="1381"/>
      <c r="EM90" s="1381"/>
      <c r="EN90" s="1381"/>
      <c r="EO90" s="1381"/>
      <c r="EP90" s="1381"/>
      <c r="EQ90" s="1381"/>
      <c r="ER90" s="1381"/>
      <c r="ES90" s="1381"/>
      <c r="ET90" s="1381"/>
      <c r="EU90" s="1381"/>
      <c r="EV90" s="1381"/>
      <c r="EW90" s="1381"/>
      <c r="EX90" s="1381"/>
      <c r="EY90" s="1381"/>
      <c r="EZ90" s="1381"/>
      <c r="FA90" s="1381"/>
      <c r="FB90" s="1381"/>
      <c r="FC90" s="1381"/>
    </row>
    <row r="91" spans="1:159" ht="15" hidden="1">
      <c r="A91" s="942"/>
      <c r="B91" s="942"/>
      <c r="C91" s="942"/>
      <c r="D91" s="942"/>
      <c r="E91" s="942"/>
      <c r="F91" s="942"/>
      <c r="G91" s="942"/>
      <c r="H91" s="942"/>
      <c r="I91" s="942"/>
      <c r="J91" s="942"/>
      <c r="K91" s="942"/>
      <c r="L91" s="942"/>
      <c r="M91" s="942"/>
      <c r="N91" s="942"/>
      <c r="O91" s="942"/>
      <c r="P91" s="942"/>
      <c r="Q91" s="942"/>
      <c r="R91" s="1381"/>
      <c r="S91" s="1381"/>
      <c r="T91" s="1381"/>
      <c r="U91" s="1381"/>
      <c r="V91" s="1381"/>
      <c r="W91" s="1381"/>
      <c r="X91" s="1381"/>
      <c r="Y91" s="1381"/>
      <c r="Z91" s="1381"/>
      <c r="AA91" s="1381"/>
      <c r="AB91" s="1381"/>
      <c r="AC91" s="1381"/>
      <c r="AD91" s="1381"/>
      <c r="AE91" s="1381"/>
      <c r="AF91" s="1381"/>
      <c r="AG91" s="1381"/>
      <c r="AH91" s="1381"/>
      <c r="AI91" s="1381"/>
      <c r="AJ91" s="1381"/>
      <c r="AK91" s="1381"/>
      <c r="AL91" s="1381"/>
      <c r="AM91" s="1381"/>
      <c r="AN91" s="1381"/>
      <c r="AO91" s="1381"/>
      <c r="AP91" s="1381"/>
      <c r="AQ91" s="1381"/>
      <c r="AR91" s="1381"/>
      <c r="AS91" s="1381"/>
      <c r="AT91" s="1381"/>
      <c r="AU91" s="1381"/>
      <c r="AV91" s="1381"/>
      <c r="AW91" s="1381"/>
      <c r="AX91" s="1381"/>
      <c r="AY91" s="1381"/>
      <c r="AZ91" s="1381"/>
      <c r="BA91" s="1381"/>
      <c r="BB91" s="1381"/>
      <c r="BC91" s="1381"/>
      <c r="BD91" s="1381"/>
      <c r="BE91" s="1381"/>
      <c r="BF91" s="1381"/>
      <c r="BG91" s="1381"/>
      <c r="BH91" s="1381"/>
      <c r="BI91" s="1381"/>
      <c r="BJ91" s="1381"/>
      <c r="BK91" s="1381"/>
      <c r="BL91" s="1381"/>
      <c r="BM91" s="1381"/>
      <c r="BN91" s="1381"/>
      <c r="BO91" s="1381"/>
      <c r="BP91" s="1381"/>
      <c r="BQ91" s="1381"/>
      <c r="BR91" s="1381"/>
      <c r="BS91" s="1381"/>
      <c r="BT91" s="1381"/>
      <c r="BU91" s="1381"/>
      <c r="BV91" s="1381"/>
      <c r="BW91" s="1381"/>
      <c r="BX91" s="1381"/>
      <c r="BY91" s="1381"/>
      <c r="BZ91" s="1381"/>
      <c r="CA91" s="1381"/>
      <c r="CB91" s="1381"/>
      <c r="CC91" s="1381"/>
      <c r="CD91" s="1381"/>
      <c r="CE91" s="1381"/>
      <c r="CF91" s="1381"/>
      <c r="CG91" s="1381"/>
      <c r="CH91" s="1381"/>
      <c r="CI91" s="1381"/>
      <c r="CJ91" s="1381"/>
      <c r="CK91" s="1381"/>
      <c r="CL91" s="1381"/>
      <c r="CM91" s="1381"/>
      <c r="CN91" s="1381"/>
      <c r="CO91" s="1381"/>
      <c r="CP91" s="1381"/>
      <c r="CQ91" s="1381"/>
      <c r="CR91" s="1381"/>
      <c r="CS91" s="1381"/>
      <c r="CT91" s="1381"/>
      <c r="CU91" s="1381"/>
      <c r="CV91" s="1381"/>
      <c r="CW91" s="1381"/>
      <c r="CX91" s="1381"/>
      <c r="CY91" s="1381"/>
      <c r="CZ91" s="1381"/>
      <c r="DA91" s="1381"/>
      <c r="DB91" s="1381"/>
      <c r="DC91" s="1381"/>
      <c r="DD91" s="1381"/>
      <c r="DE91" s="1381"/>
      <c r="DF91" s="1381"/>
      <c r="DG91" s="1381"/>
      <c r="DH91" s="1381"/>
      <c r="DI91" s="1381"/>
      <c r="DJ91" s="1381"/>
      <c r="DK91" s="1381"/>
      <c r="DL91" s="1381"/>
      <c r="DM91" s="1381"/>
      <c r="DN91" s="1381"/>
      <c r="DO91" s="1381"/>
      <c r="DP91" s="1381"/>
      <c r="DQ91" s="1381"/>
      <c r="DR91" s="1381"/>
      <c r="DS91" s="1381"/>
      <c r="DT91" s="1381"/>
      <c r="DU91" s="1381"/>
      <c r="DV91" s="1381"/>
      <c r="DW91" s="1381"/>
      <c r="DX91" s="1381"/>
      <c r="DY91" s="1381"/>
      <c r="DZ91" s="1381"/>
      <c r="EA91" s="1381"/>
      <c r="EB91" s="1381"/>
      <c r="EC91" s="1381"/>
      <c r="ED91" s="1381"/>
      <c r="EE91" s="1381"/>
      <c r="EF91" s="1381"/>
      <c r="EG91" s="1381"/>
      <c r="EH91" s="1381"/>
      <c r="EI91" s="1381"/>
      <c r="EJ91" s="1381"/>
      <c r="EK91" s="1381"/>
      <c r="EL91" s="1381"/>
      <c r="EM91" s="1381"/>
      <c r="EN91" s="1381"/>
      <c r="EO91" s="1381"/>
      <c r="EP91" s="1381"/>
      <c r="EQ91" s="1381"/>
      <c r="ER91" s="1381"/>
      <c r="ES91" s="1381"/>
      <c r="ET91" s="1381"/>
      <c r="EU91" s="1381"/>
      <c r="EV91" s="1381"/>
      <c r="EW91" s="1381"/>
      <c r="EX91" s="1381"/>
      <c r="EY91" s="1381"/>
      <c r="EZ91" s="1381"/>
      <c r="FA91" s="1381"/>
      <c r="FB91" s="1381"/>
      <c r="FC91" s="1381"/>
    </row>
    <row r="92" spans="1:159" ht="15" hidden="1">
      <c r="A92" s="942"/>
      <c r="B92" s="942"/>
      <c r="C92" s="942"/>
      <c r="D92" s="942"/>
      <c r="E92" s="942"/>
      <c r="F92" s="942"/>
      <c r="G92" s="942"/>
      <c r="H92" s="942"/>
      <c r="I92" s="942"/>
      <c r="J92" s="942"/>
      <c r="K92" s="942"/>
      <c r="L92" s="942"/>
      <c r="M92" s="942"/>
      <c r="N92" s="942"/>
      <c r="O92" s="942"/>
      <c r="P92" s="942"/>
      <c r="Q92" s="942"/>
      <c r="R92" s="1381"/>
      <c r="S92" s="1381"/>
      <c r="T92" s="1381"/>
      <c r="U92" s="1381"/>
      <c r="V92" s="1381"/>
      <c r="W92" s="1381"/>
      <c r="X92" s="1381"/>
      <c r="Y92" s="1381"/>
      <c r="Z92" s="1381"/>
      <c r="AA92" s="1381"/>
      <c r="AB92" s="1381"/>
      <c r="AC92" s="1381"/>
      <c r="AD92" s="1381"/>
      <c r="AE92" s="1381"/>
      <c r="AF92" s="1381"/>
      <c r="AG92" s="1381"/>
      <c r="AH92" s="1381"/>
      <c r="AI92" s="1381"/>
      <c r="AJ92" s="1381"/>
      <c r="AK92" s="1381"/>
      <c r="AL92" s="1381"/>
      <c r="AM92" s="1381"/>
      <c r="AN92" s="1381"/>
      <c r="AO92" s="1381"/>
      <c r="AP92" s="1381"/>
      <c r="AQ92" s="1381"/>
      <c r="AR92" s="1381"/>
      <c r="AS92" s="1381"/>
      <c r="AT92" s="1381"/>
      <c r="AU92" s="1381"/>
      <c r="AV92" s="1381"/>
      <c r="AW92" s="1381"/>
      <c r="AX92" s="1381"/>
      <c r="AY92" s="1381"/>
      <c r="AZ92" s="1381"/>
      <c r="BA92" s="1381"/>
      <c r="BB92" s="1381"/>
      <c r="BC92" s="1381"/>
      <c r="BD92" s="1381"/>
      <c r="BE92" s="1381"/>
      <c r="BF92" s="1381"/>
      <c r="BG92" s="1381"/>
      <c r="BH92" s="1381"/>
      <c r="BI92" s="1381"/>
      <c r="BJ92" s="1381"/>
      <c r="BK92" s="1381"/>
      <c r="BL92" s="1381"/>
      <c r="BM92" s="1381"/>
      <c r="BN92" s="1381"/>
      <c r="BO92" s="1381"/>
      <c r="BP92" s="1381"/>
      <c r="BQ92" s="1381"/>
      <c r="BR92" s="1381"/>
      <c r="BS92" s="1381"/>
      <c r="BT92" s="1381"/>
      <c r="BU92" s="1381"/>
      <c r="BV92" s="1381"/>
      <c r="BW92" s="1381"/>
      <c r="BX92" s="1381"/>
      <c r="BY92" s="1381"/>
      <c r="BZ92" s="1381"/>
      <c r="CA92" s="1381"/>
      <c r="CB92" s="1381"/>
      <c r="CC92" s="1381"/>
      <c r="CD92" s="1381"/>
      <c r="CE92" s="1381"/>
      <c r="CF92" s="1381"/>
      <c r="CG92" s="1381"/>
      <c r="CH92" s="1381"/>
      <c r="CI92" s="1381"/>
      <c r="CJ92" s="1381"/>
      <c r="CK92" s="1381"/>
      <c r="CL92" s="1381"/>
      <c r="CM92" s="1381"/>
      <c r="CN92" s="1381"/>
      <c r="CO92" s="1381"/>
      <c r="CP92" s="1381"/>
      <c r="CQ92" s="1381"/>
      <c r="CR92" s="1381"/>
      <c r="CS92" s="1381"/>
      <c r="CT92" s="1381"/>
      <c r="CU92" s="1381"/>
      <c r="CV92" s="1381"/>
      <c r="CW92" s="1381"/>
      <c r="CX92" s="1381"/>
      <c r="CY92" s="1381"/>
      <c r="CZ92" s="1381"/>
      <c r="DA92" s="1381"/>
      <c r="DB92" s="1381"/>
      <c r="DC92" s="1381"/>
      <c r="DD92" s="1381"/>
      <c r="DE92" s="1381"/>
      <c r="DF92" s="1381"/>
      <c r="DG92" s="1381"/>
      <c r="DH92" s="1381"/>
      <c r="DI92" s="1381"/>
      <c r="DJ92" s="1381"/>
      <c r="DK92" s="1381"/>
      <c r="DL92" s="1381"/>
      <c r="DM92" s="1381"/>
      <c r="DN92" s="1381"/>
      <c r="DO92" s="1381"/>
      <c r="DP92" s="1381"/>
      <c r="DQ92" s="1381"/>
      <c r="DR92" s="1381"/>
      <c r="DS92" s="1381"/>
      <c r="DT92" s="1381"/>
      <c r="DU92" s="1381"/>
      <c r="DV92" s="1381"/>
      <c r="DW92" s="1381"/>
      <c r="DX92" s="1381"/>
      <c r="DY92" s="1381"/>
      <c r="DZ92" s="1381"/>
      <c r="EA92" s="1381"/>
      <c r="EB92" s="1381"/>
      <c r="EC92" s="1381"/>
      <c r="ED92" s="1381"/>
      <c r="EE92" s="1381"/>
      <c r="EF92" s="1381"/>
      <c r="EG92" s="1381"/>
      <c r="EH92" s="1381"/>
      <c r="EI92" s="1381"/>
      <c r="EJ92" s="1381"/>
      <c r="EK92" s="1381"/>
      <c r="EL92" s="1381"/>
      <c r="EM92" s="1381"/>
      <c r="EN92" s="1381"/>
      <c r="EO92" s="1381"/>
      <c r="EP92" s="1381"/>
      <c r="EQ92" s="1381"/>
      <c r="ER92" s="1381"/>
      <c r="ES92" s="1381"/>
      <c r="ET92" s="1381"/>
      <c r="EU92" s="1381"/>
      <c r="EV92" s="1381"/>
      <c r="EW92" s="1381"/>
      <c r="EX92" s="1381"/>
      <c r="EY92" s="1381"/>
      <c r="EZ92" s="1381"/>
      <c r="FA92" s="1381"/>
      <c r="FB92" s="1381"/>
      <c r="FC92" s="1381"/>
    </row>
    <row r="93" spans="1:159" ht="15" hidden="1">
      <c r="A93" s="942"/>
      <c r="B93" s="942"/>
      <c r="C93" s="942"/>
      <c r="D93" s="942"/>
      <c r="E93" s="942"/>
      <c r="F93" s="942"/>
      <c r="G93" s="942"/>
      <c r="H93" s="942"/>
      <c r="I93" s="942"/>
      <c r="J93" s="942"/>
      <c r="K93" s="942"/>
      <c r="L93" s="942"/>
      <c r="M93" s="942"/>
      <c r="N93" s="942"/>
      <c r="O93" s="942"/>
      <c r="P93" s="942"/>
      <c r="Q93" s="942"/>
      <c r="R93" s="1381"/>
      <c r="S93" s="1381"/>
      <c r="T93" s="1381"/>
      <c r="U93" s="1381"/>
      <c r="V93" s="1381"/>
      <c r="W93" s="1381"/>
      <c r="X93" s="1381"/>
      <c r="Y93" s="1381"/>
      <c r="Z93" s="1381"/>
      <c r="AA93" s="1381"/>
      <c r="AB93" s="1381"/>
      <c r="AC93" s="1381"/>
      <c r="AD93" s="1381"/>
      <c r="AE93" s="1381"/>
      <c r="AF93" s="1381"/>
      <c r="AG93" s="1381"/>
      <c r="AH93" s="1381"/>
      <c r="AI93" s="1381"/>
      <c r="AJ93" s="1381"/>
      <c r="AK93" s="1381"/>
      <c r="AL93" s="1381"/>
      <c r="AM93" s="1381"/>
      <c r="AN93" s="1381"/>
      <c r="AO93" s="1381"/>
      <c r="AP93" s="1381"/>
      <c r="AQ93" s="1381"/>
      <c r="AR93" s="1381"/>
      <c r="AS93" s="1381"/>
      <c r="AT93" s="1381"/>
      <c r="AU93" s="1381"/>
      <c r="AV93" s="1381"/>
      <c r="AW93" s="1381"/>
      <c r="AX93" s="1381"/>
      <c r="AY93" s="1381"/>
      <c r="AZ93" s="1381"/>
      <c r="BA93" s="1381"/>
      <c r="BB93" s="1381"/>
      <c r="BC93" s="1381"/>
      <c r="BD93" s="1381"/>
      <c r="BE93" s="1381"/>
      <c r="BF93" s="1381"/>
      <c r="BG93" s="1381"/>
      <c r="BH93" s="1381"/>
      <c r="BI93" s="1381"/>
      <c r="BJ93" s="1381"/>
      <c r="BK93" s="1381"/>
      <c r="BL93" s="1381"/>
      <c r="BM93" s="1381"/>
      <c r="BN93" s="1381"/>
      <c r="BO93" s="1381"/>
      <c r="BP93" s="1381"/>
      <c r="BQ93" s="1381"/>
      <c r="BR93" s="1381"/>
      <c r="BS93" s="1381"/>
      <c r="BT93" s="1381"/>
      <c r="BU93" s="1381"/>
      <c r="BV93" s="1381"/>
      <c r="BW93" s="1381"/>
      <c r="BX93" s="1381"/>
      <c r="BY93" s="1381"/>
      <c r="BZ93" s="1381"/>
      <c r="CA93" s="1381"/>
      <c r="CB93" s="1381"/>
      <c r="CC93" s="1381"/>
      <c r="CD93" s="1381"/>
      <c r="CE93" s="1381"/>
      <c r="CF93" s="1381"/>
      <c r="CG93" s="1381"/>
      <c r="CH93" s="1381"/>
      <c r="CI93" s="1381"/>
      <c r="CJ93" s="1381"/>
      <c r="CK93" s="1381"/>
      <c r="CL93" s="1381"/>
      <c r="CM93" s="1381"/>
      <c r="CN93" s="1381"/>
      <c r="CO93" s="1381"/>
      <c r="CP93" s="1381"/>
      <c r="CQ93" s="1381"/>
      <c r="CR93" s="1381"/>
      <c r="CS93" s="1381"/>
      <c r="CT93" s="1381"/>
      <c r="CU93" s="1381"/>
      <c r="CV93" s="1381"/>
      <c r="CW93" s="1381"/>
      <c r="CX93" s="1381"/>
      <c r="CY93" s="1381"/>
      <c r="CZ93" s="1381"/>
      <c r="DA93" s="1381"/>
      <c r="DB93" s="1381"/>
      <c r="DC93" s="1381"/>
      <c r="DD93" s="1381"/>
      <c r="DE93" s="1381"/>
      <c r="DF93" s="1381"/>
      <c r="DG93" s="1381"/>
      <c r="DH93" s="1381"/>
      <c r="DI93" s="1381"/>
      <c r="DJ93" s="1381"/>
      <c r="DK93" s="1381"/>
      <c r="DL93" s="1381"/>
      <c r="DM93" s="1381"/>
      <c r="DN93" s="1381"/>
      <c r="DO93" s="1381"/>
      <c r="DP93" s="1381"/>
      <c r="DQ93" s="1381"/>
      <c r="DR93" s="1381"/>
      <c r="DS93" s="1381"/>
      <c r="DT93" s="1381"/>
      <c r="DU93" s="1381"/>
      <c r="DV93" s="1381"/>
      <c r="DW93" s="1381"/>
      <c r="DX93" s="1381"/>
      <c r="DY93" s="1381"/>
      <c r="DZ93" s="1381"/>
      <c r="EA93" s="1381"/>
      <c r="EB93" s="1381"/>
      <c r="EC93" s="1381"/>
      <c r="ED93" s="1381"/>
      <c r="EE93" s="1381"/>
      <c r="EF93" s="1381"/>
      <c r="EG93" s="1381"/>
      <c r="EH93" s="1381"/>
      <c r="EI93" s="1381"/>
      <c r="EJ93" s="1381"/>
      <c r="EK93" s="1381"/>
      <c r="EL93" s="1381"/>
      <c r="EM93" s="1381"/>
      <c r="EN93" s="1381"/>
      <c r="EO93" s="1381"/>
      <c r="EP93" s="1381"/>
      <c r="EQ93" s="1381"/>
      <c r="ER93" s="1381"/>
      <c r="ES93" s="1381"/>
      <c r="ET93" s="1381"/>
      <c r="EU93" s="1381"/>
      <c r="EV93" s="1381"/>
      <c r="EW93" s="1381"/>
      <c r="EX93" s="1381"/>
      <c r="EY93" s="1381"/>
      <c r="EZ93" s="1381"/>
      <c r="FA93" s="1381"/>
      <c r="FB93" s="1381"/>
      <c r="FC93" s="1381"/>
    </row>
    <row r="94" spans="1:159" ht="15" hidden="1">
      <c r="A94" s="942"/>
      <c r="B94" s="942"/>
      <c r="C94" s="942"/>
      <c r="D94" s="942"/>
      <c r="E94" s="942"/>
      <c r="F94" s="942"/>
      <c r="G94" s="942"/>
      <c r="H94" s="942"/>
      <c r="I94" s="942"/>
      <c r="J94" s="942"/>
      <c r="K94" s="942"/>
      <c r="L94" s="942"/>
      <c r="M94" s="942"/>
      <c r="N94" s="942"/>
      <c r="O94" s="942"/>
      <c r="P94" s="942"/>
      <c r="Q94" s="942"/>
      <c r="R94" s="1381"/>
      <c r="S94" s="1381"/>
      <c r="T94" s="1381"/>
      <c r="U94" s="1381"/>
      <c r="V94" s="1381"/>
      <c r="W94" s="1381"/>
      <c r="X94" s="1381"/>
      <c r="Y94" s="1381"/>
      <c r="Z94" s="1381"/>
      <c r="AA94" s="1381"/>
      <c r="AB94" s="1381"/>
      <c r="AC94" s="1381"/>
      <c r="AD94" s="1381"/>
      <c r="AE94" s="1381"/>
      <c r="AF94" s="1381"/>
      <c r="AG94" s="1381"/>
      <c r="AH94" s="1381"/>
      <c r="AI94" s="1381"/>
      <c r="AJ94" s="1381"/>
      <c r="AK94" s="1381"/>
      <c r="AL94" s="1381"/>
      <c r="AM94" s="1381"/>
      <c r="AN94" s="1381"/>
      <c r="AO94" s="1381"/>
      <c r="AP94" s="1381"/>
      <c r="AQ94" s="1381"/>
      <c r="AR94" s="1381"/>
      <c r="AS94" s="1381"/>
      <c r="AT94" s="1381"/>
      <c r="AU94" s="1381"/>
      <c r="AV94" s="1381"/>
      <c r="AW94" s="1381"/>
      <c r="AX94" s="1381"/>
      <c r="AY94" s="1381"/>
      <c r="AZ94" s="1381"/>
      <c r="BA94" s="1381"/>
      <c r="BB94" s="1381"/>
      <c r="BC94" s="1381"/>
      <c r="BD94" s="1381"/>
      <c r="BE94" s="1381"/>
      <c r="BF94" s="1381"/>
      <c r="BG94" s="1381"/>
      <c r="BH94" s="1381"/>
      <c r="BI94" s="1381"/>
      <c r="BJ94" s="1381"/>
      <c r="BK94" s="1381"/>
      <c r="BL94" s="1381"/>
      <c r="BM94" s="1381"/>
      <c r="BN94" s="1381"/>
      <c r="BO94" s="1381"/>
      <c r="BP94" s="1381"/>
      <c r="BQ94" s="1381"/>
      <c r="BR94" s="1381"/>
      <c r="BS94" s="1381"/>
      <c r="BT94" s="1381"/>
      <c r="BU94" s="1381"/>
      <c r="BV94" s="1381"/>
      <c r="BW94" s="1381"/>
      <c r="BX94" s="1381"/>
      <c r="BY94" s="1381"/>
      <c r="BZ94" s="1381"/>
      <c r="CA94" s="1381"/>
      <c r="CB94" s="1381"/>
      <c r="CC94" s="1381"/>
      <c r="CD94" s="1381"/>
      <c r="CE94" s="1381"/>
      <c r="CF94" s="1381"/>
      <c r="CG94" s="1381"/>
      <c r="CH94" s="1381"/>
      <c r="CI94" s="1381"/>
      <c r="CJ94" s="1381"/>
      <c r="CK94" s="1381"/>
      <c r="CL94" s="1381"/>
      <c r="CM94" s="1381"/>
      <c r="CN94" s="1381"/>
      <c r="CO94" s="1381"/>
      <c r="CP94" s="1381"/>
      <c r="CQ94" s="1381"/>
      <c r="CR94" s="1381"/>
      <c r="CS94" s="1381"/>
      <c r="CT94" s="1381"/>
      <c r="CU94" s="1381"/>
      <c r="CV94" s="1381"/>
      <c r="CW94" s="1381"/>
      <c r="CX94" s="1381"/>
      <c r="CY94" s="1381"/>
      <c r="CZ94" s="1381"/>
      <c r="DA94" s="1381"/>
      <c r="DB94" s="1381"/>
      <c r="DC94" s="1381"/>
      <c r="DD94" s="1381"/>
      <c r="DE94" s="1381"/>
      <c r="DF94" s="1381"/>
      <c r="DG94" s="1381"/>
      <c r="DH94" s="1381"/>
      <c r="DI94" s="1381"/>
      <c r="DJ94" s="1381"/>
      <c r="DK94" s="1381"/>
      <c r="DL94" s="1381"/>
      <c r="DM94" s="1381"/>
      <c r="DN94" s="1381"/>
      <c r="DO94" s="1381"/>
      <c r="DP94" s="1381"/>
      <c r="DQ94" s="1381"/>
      <c r="DR94" s="1381"/>
      <c r="DS94" s="1381"/>
      <c r="DT94" s="1381"/>
      <c r="DU94" s="1381"/>
      <c r="DV94" s="1381"/>
      <c r="DW94" s="1381"/>
      <c r="DX94" s="1381"/>
      <c r="DY94" s="1381"/>
      <c r="DZ94" s="1381"/>
      <c r="EA94" s="1381"/>
      <c r="EB94" s="1381"/>
      <c r="EC94" s="1381"/>
      <c r="ED94" s="1381"/>
      <c r="EE94" s="1381"/>
      <c r="EF94" s="1381"/>
      <c r="EG94" s="1381"/>
      <c r="EH94" s="1381"/>
      <c r="EI94" s="1381"/>
      <c r="EJ94" s="1381"/>
      <c r="EK94" s="1381"/>
      <c r="EL94" s="1381"/>
      <c r="EM94" s="1381"/>
      <c r="EN94" s="1381"/>
      <c r="EO94" s="1381"/>
      <c r="EP94" s="1381"/>
      <c r="EQ94" s="1381"/>
      <c r="ER94" s="1381"/>
      <c r="ES94" s="1381"/>
      <c r="ET94" s="1381"/>
      <c r="EU94" s="1381"/>
      <c r="EV94" s="1381"/>
      <c r="EW94" s="1381"/>
      <c r="EX94" s="1381"/>
      <c r="EY94" s="1381"/>
      <c r="EZ94" s="1381"/>
      <c r="FA94" s="1381"/>
      <c r="FB94" s="1381"/>
      <c r="FC94" s="1381"/>
    </row>
    <row r="95" spans="1:159" ht="15" hidden="1">
      <c r="A95" s="942"/>
      <c r="B95" s="942"/>
      <c r="C95" s="942"/>
      <c r="D95" s="942"/>
      <c r="E95" s="942"/>
      <c r="F95" s="942"/>
      <c r="G95" s="942"/>
      <c r="H95" s="942"/>
      <c r="I95" s="942"/>
      <c r="J95" s="942"/>
      <c r="K95" s="942"/>
      <c r="L95" s="942"/>
      <c r="M95" s="942"/>
      <c r="N95" s="942"/>
      <c r="O95" s="942"/>
      <c r="P95" s="942"/>
      <c r="Q95" s="942"/>
      <c r="R95" s="1381"/>
      <c r="S95" s="1381"/>
      <c r="T95" s="1381"/>
      <c r="U95" s="1381"/>
      <c r="V95" s="1381"/>
      <c r="W95" s="1381"/>
      <c r="X95" s="1381"/>
      <c r="Y95" s="1381"/>
      <c r="Z95" s="1381"/>
      <c r="AA95" s="1381"/>
      <c r="AB95" s="1381"/>
      <c r="AC95" s="1381"/>
      <c r="AD95" s="1381"/>
      <c r="AE95" s="1381"/>
      <c r="AF95" s="1381"/>
      <c r="AG95" s="1381"/>
      <c r="AH95" s="1381"/>
      <c r="AI95" s="1381"/>
      <c r="AJ95" s="1381"/>
      <c r="AK95" s="1381"/>
      <c r="AL95" s="1381"/>
      <c r="AM95" s="1381"/>
      <c r="AN95" s="1381"/>
      <c r="AO95" s="1381"/>
      <c r="AP95" s="1381"/>
      <c r="AQ95" s="1381"/>
      <c r="AR95" s="1381"/>
      <c r="AS95" s="1381"/>
      <c r="AT95" s="1381"/>
      <c r="AU95" s="1381"/>
      <c r="AV95" s="1381"/>
      <c r="AW95" s="1381"/>
      <c r="AX95" s="1381"/>
      <c r="AY95" s="1381"/>
      <c r="AZ95" s="1381"/>
      <c r="BA95" s="1381"/>
      <c r="BB95" s="1381"/>
      <c r="BC95" s="1381"/>
      <c r="BD95" s="1381"/>
      <c r="BE95" s="1381"/>
      <c r="BF95" s="1381"/>
      <c r="BG95" s="1381"/>
      <c r="BH95" s="1381"/>
      <c r="BI95" s="1381"/>
      <c r="BJ95" s="1381"/>
      <c r="BK95" s="1381"/>
      <c r="BL95" s="1381"/>
      <c r="BM95" s="1381"/>
      <c r="BN95" s="1381"/>
      <c r="BO95" s="1381"/>
      <c r="BP95" s="1381"/>
      <c r="BQ95" s="1381"/>
      <c r="BR95" s="1381"/>
      <c r="BS95" s="1381"/>
      <c r="BT95" s="1381"/>
      <c r="BU95" s="1381"/>
      <c r="BV95" s="1381"/>
      <c r="BW95" s="1381"/>
      <c r="BX95" s="1381"/>
      <c r="BY95" s="1381"/>
      <c r="BZ95" s="1381"/>
      <c r="CA95" s="1381"/>
      <c r="CB95" s="1381"/>
      <c r="CC95" s="1381"/>
      <c r="CD95" s="1381"/>
      <c r="CE95" s="1381"/>
      <c r="CF95" s="1381"/>
      <c r="CG95" s="1381"/>
      <c r="CH95" s="1381"/>
      <c r="CI95" s="1381"/>
      <c r="CJ95" s="1381"/>
      <c r="CK95" s="1381"/>
      <c r="CL95" s="1381"/>
      <c r="CM95" s="1381"/>
      <c r="CN95" s="1381"/>
      <c r="CO95" s="1381"/>
      <c r="CP95" s="1381"/>
      <c r="CQ95" s="1381"/>
      <c r="CR95" s="1381"/>
      <c r="CS95" s="1381"/>
      <c r="CT95" s="1381"/>
      <c r="CU95" s="1381"/>
      <c r="CV95" s="1381"/>
      <c r="CW95" s="1381"/>
      <c r="CX95" s="1381"/>
      <c r="CY95" s="1381"/>
      <c r="CZ95" s="1381"/>
      <c r="DA95" s="1381"/>
      <c r="DB95" s="1381"/>
      <c r="DC95" s="1381"/>
      <c r="DD95" s="1381"/>
      <c r="DE95" s="1381"/>
      <c r="DF95" s="1381"/>
      <c r="DG95" s="1381"/>
      <c r="DH95" s="1381"/>
      <c r="DI95" s="1381"/>
      <c r="DJ95" s="1381"/>
      <c r="DK95" s="1381"/>
      <c r="DL95" s="1381"/>
      <c r="DM95" s="1381"/>
      <c r="DN95" s="1381"/>
      <c r="DO95" s="1381"/>
      <c r="DP95" s="1381"/>
      <c r="DQ95" s="1381"/>
      <c r="DR95" s="1381"/>
      <c r="DS95" s="1381"/>
      <c r="DT95" s="1381"/>
      <c r="DU95" s="1381"/>
      <c r="DV95" s="1381"/>
      <c r="DW95" s="1381"/>
      <c r="DX95" s="1381"/>
      <c r="DY95" s="1381"/>
      <c r="DZ95" s="1381"/>
      <c r="EA95" s="1381"/>
      <c r="EB95" s="1381"/>
      <c r="EC95" s="1381"/>
      <c r="ED95" s="1381"/>
      <c r="EE95" s="1381"/>
      <c r="EF95" s="1381"/>
      <c r="EG95" s="1381"/>
      <c r="EH95" s="1381"/>
      <c r="EI95" s="1381"/>
      <c r="EJ95" s="1381"/>
      <c r="EK95" s="1381"/>
      <c r="EL95" s="1381"/>
      <c r="EM95" s="1381"/>
      <c r="EN95" s="1381"/>
      <c r="EO95" s="1381"/>
      <c r="EP95" s="1381"/>
      <c r="EQ95" s="1381"/>
      <c r="ER95" s="1381"/>
      <c r="ES95" s="1381"/>
      <c r="ET95" s="1381"/>
      <c r="EU95" s="1381"/>
      <c r="EV95" s="1381"/>
      <c r="EW95" s="1381"/>
      <c r="EX95" s="1381"/>
      <c r="EY95" s="1381"/>
      <c r="EZ95" s="1381"/>
      <c r="FA95" s="1381"/>
      <c r="FB95" s="1381"/>
      <c r="FC95" s="1381"/>
    </row>
    <row r="96" spans="1:159" ht="15" hidden="1">
      <c r="A96" s="942"/>
      <c r="B96" s="942"/>
      <c r="C96" s="942"/>
      <c r="D96" s="942"/>
      <c r="E96" s="942"/>
      <c r="F96" s="942"/>
      <c r="G96" s="942"/>
      <c r="H96" s="942"/>
      <c r="I96" s="942"/>
      <c r="J96" s="942"/>
      <c r="K96" s="942"/>
      <c r="L96" s="942"/>
      <c r="M96" s="942"/>
      <c r="N96" s="942"/>
      <c r="O96" s="942"/>
      <c r="P96" s="942"/>
      <c r="Q96" s="942"/>
      <c r="R96" s="1381"/>
      <c r="S96" s="1381"/>
      <c r="T96" s="1381"/>
      <c r="U96" s="1381"/>
      <c r="V96" s="1381"/>
      <c r="W96" s="1381"/>
      <c r="X96" s="1381"/>
      <c r="Y96" s="1381"/>
      <c r="Z96" s="1381"/>
      <c r="AA96" s="1381"/>
      <c r="AB96" s="1381"/>
      <c r="AC96" s="1381"/>
      <c r="AD96" s="1381"/>
      <c r="AE96" s="1381"/>
      <c r="AF96" s="1381"/>
      <c r="AG96" s="1381"/>
      <c r="AH96" s="1381"/>
      <c r="AI96" s="1381"/>
      <c r="AJ96" s="1381"/>
      <c r="AK96" s="1381"/>
      <c r="AL96" s="1381"/>
      <c r="AM96" s="1381"/>
      <c r="AN96" s="1381"/>
      <c r="AO96" s="1381"/>
      <c r="AP96" s="1381"/>
      <c r="AQ96" s="1381"/>
      <c r="AR96" s="1381"/>
      <c r="AS96" s="1381"/>
      <c r="AT96" s="1381"/>
      <c r="AU96" s="1381"/>
      <c r="AV96" s="1381"/>
      <c r="AW96" s="1381"/>
      <c r="AX96" s="1381"/>
      <c r="AY96" s="1381"/>
      <c r="AZ96" s="1381"/>
      <c r="BA96" s="1381"/>
      <c r="BB96" s="1381"/>
      <c r="BC96" s="1381"/>
      <c r="BD96" s="1381"/>
      <c r="BE96" s="1381"/>
      <c r="BF96" s="1381"/>
      <c r="BG96" s="1381"/>
      <c r="BH96" s="1381"/>
      <c r="BI96" s="1381"/>
      <c r="BJ96" s="1381"/>
      <c r="BK96" s="1381"/>
      <c r="BL96" s="1381"/>
      <c r="BM96" s="1381"/>
      <c r="BN96" s="1381"/>
      <c r="BO96" s="1381"/>
      <c r="BP96" s="1381"/>
      <c r="BQ96" s="1381"/>
      <c r="BR96" s="1381"/>
      <c r="BS96" s="1381"/>
      <c r="BT96" s="1381"/>
      <c r="BU96" s="1381"/>
      <c r="BV96" s="1381"/>
      <c r="BW96" s="1381"/>
      <c r="BX96" s="1381"/>
      <c r="BY96" s="1381"/>
      <c r="BZ96" s="1381"/>
      <c r="CA96" s="1381"/>
      <c r="CB96" s="1381"/>
      <c r="CC96" s="1381"/>
      <c r="CD96" s="1381"/>
      <c r="CE96" s="1381"/>
      <c r="CF96" s="1381"/>
      <c r="CG96" s="1381"/>
      <c r="CH96" s="1381"/>
      <c r="CI96" s="1381"/>
      <c r="CJ96" s="1381"/>
      <c r="CK96" s="1381"/>
      <c r="CL96" s="1381"/>
      <c r="CM96" s="1381"/>
      <c r="CN96" s="1381"/>
      <c r="CO96" s="1381"/>
      <c r="CP96" s="1381"/>
      <c r="CQ96" s="1381"/>
      <c r="CR96" s="1381"/>
      <c r="CS96" s="1381"/>
      <c r="CT96" s="1381"/>
      <c r="CU96" s="1381"/>
      <c r="CV96" s="1381"/>
      <c r="CW96" s="1381"/>
      <c r="CX96" s="1381"/>
      <c r="CY96" s="1381"/>
      <c r="CZ96" s="1381"/>
      <c r="DA96" s="1381"/>
      <c r="DB96" s="1381"/>
      <c r="DC96" s="1381"/>
      <c r="DD96" s="1381"/>
      <c r="DE96" s="1381"/>
      <c r="DF96" s="1381"/>
      <c r="DG96" s="1381"/>
      <c r="DH96" s="1381"/>
      <c r="DI96" s="1381"/>
      <c r="DJ96" s="1381"/>
      <c r="DK96" s="1381"/>
      <c r="DL96" s="1381"/>
      <c r="DM96" s="1381"/>
      <c r="DN96" s="1381"/>
      <c r="DO96" s="1381"/>
      <c r="DP96" s="1381"/>
      <c r="DQ96" s="1381"/>
      <c r="DR96" s="1381"/>
      <c r="DS96" s="1381"/>
      <c r="DT96" s="1381"/>
      <c r="DU96" s="1381"/>
      <c r="DV96" s="1381"/>
      <c r="DW96" s="1381"/>
      <c r="DX96" s="1381"/>
      <c r="DY96" s="1381"/>
      <c r="DZ96" s="1381"/>
      <c r="EA96" s="1381"/>
      <c r="EB96" s="1381"/>
      <c r="EC96" s="1381"/>
      <c r="ED96" s="1381"/>
      <c r="EE96" s="1381"/>
      <c r="EF96" s="1381"/>
      <c r="EG96" s="1381"/>
      <c r="EH96" s="1381"/>
      <c r="EI96" s="1381"/>
      <c r="EJ96" s="1381"/>
      <c r="EK96" s="1381"/>
      <c r="EL96" s="1381"/>
      <c r="EM96" s="1381"/>
      <c r="EN96" s="1381"/>
      <c r="EO96" s="1381"/>
      <c r="EP96" s="1381"/>
      <c r="EQ96" s="1381"/>
      <c r="ER96" s="1381"/>
      <c r="ES96" s="1381"/>
      <c r="ET96" s="1381"/>
      <c r="EU96" s="1381"/>
      <c r="EV96" s="1381"/>
      <c r="EW96" s="1381"/>
      <c r="EX96" s="1381"/>
      <c r="EY96" s="1381"/>
      <c r="EZ96" s="1381"/>
      <c r="FA96" s="1381"/>
      <c r="FB96" s="1381"/>
      <c r="FC96" s="1381"/>
    </row>
    <row r="97" spans="1:159" ht="15" hidden="1">
      <c r="A97" s="942"/>
      <c r="B97" s="942"/>
      <c r="C97" s="942"/>
      <c r="D97" s="942"/>
      <c r="E97" s="942"/>
      <c r="F97" s="942"/>
      <c r="G97" s="942"/>
      <c r="H97" s="942"/>
      <c r="I97" s="942"/>
      <c r="J97" s="942"/>
      <c r="K97" s="942"/>
      <c r="L97" s="942"/>
      <c r="M97" s="942"/>
      <c r="N97" s="942"/>
      <c r="O97" s="942"/>
      <c r="P97" s="942"/>
      <c r="Q97" s="942"/>
      <c r="R97" s="1381"/>
      <c r="S97" s="1381"/>
      <c r="T97" s="1381"/>
      <c r="U97" s="1381"/>
      <c r="V97" s="1381"/>
      <c r="W97" s="1381"/>
      <c r="X97" s="1381"/>
      <c r="Y97" s="1381"/>
      <c r="Z97" s="1381"/>
      <c r="AA97" s="1381"/>
      <c r="AB97" s="1381"/>
      <c r="AC97" s="1381"/>
      <c r="AD97" s="1381"/>
      <c r="AE97" s="1381"/>
      <c r="AF97" s="1381"/>
      <c r="AG97" s="1381"/>
      <c r="AH97" s="1381"/>
      <c r="AI97" s="1381"/>
      <c r="AJ97" s="1381"/>
      <c r="AK97" s="1381"/>
      <c r="AL97" s="1381"/>
      <c r="AM97" s="1381"/>
      <c r="AN97" s="1381"/>
      <c r="AO97" s="1381"/>
      <c r="AP97" s="1381"/>
      <c r="AQ97" s="1381"/>
      <c r="AR97" s="1381"/>
      <c r="AS97" s="1381"/>
      <c r="AT97" s="1381"/>
      <c r="AU97" s="1381"/>
      <c r="AV97" s="1381"/>
      <c r="AW97" s="1381"/>
      <c r="AX97" s="1381"/>
      <c r="AY97" s="1381"/>
      <c r="AZ97" s="1381"/>
      <c r="BA97" s="1381"/>
      <c r="BB97" s="1381"/>
      <c r="BC97" s="1381"/>
      <c r="BD97" s="1381"/>
      <c r="BE97" s="1381"/>
      <c r="BF97" s="1381"/>
      <c r="BG97" s="1381"/>
      <c r="BH97" s="1381"/>
      <c r="BI97" s="1381"/>
      <c r="BJ97" s="1381"/>
      <c r="BK97" s="1381"/>
      <c r="BL97" s="1381"/>
      <c r="BM97" s="1381"/>
      <c r="BN97" s="1381"/>
      <c r="BO97" s="1381"/>
      <c r="BP97" s="1381"/>
      <c r="BQ97" s="1381"/>
      <c r="BR97" s="1381"/>
      <c r="BS97" s="1381"/>
      <c r="BT97" s="1381"/>
      <c r="BU97" s="1381"/>
      <c r="BV97" s="1381"/>
      <c r="BW97" s="1381"/>
      <c r="BX97" s="1381"/>
      <c r="BY97" s="1381"/>
      <c r="BZ97" s="1381"/>
      <c r="CA97" s="1381"/>
      <c r="CB97" s="1381"/>
      <c r="CC97" s="1381"/>
      <c r="CD97" s="1381"/>
      <c r="CE97" s="1381"/>
      <c r="CF97" s="1381"/>
      <c r="CG97" s="1381"/>
      <c r="CH97" s="1381"/>
      <c r="CI97" s="1381"/>
      <c r="CJ97" s="1381"/>
      <c r="CK97" s="1381"/>
      <c r="CL97" s="1381"/>
      <c r="CM97" s="1381"/>
      <c r="CN97" s="1381"/>
      <c r="CO97" s="1381"/>
      <c r="CP97" s="1381"/>
      <c r="CQ97" s="1381"/>
      <c r="CR97" s="1381"/>
      <c r="CS97" s="1381"/>
      <c r="CT97" s="1381"/>
      <c r="CU97" s="1381"/>
      <c r="CV97" s="1381"/>
      <c r="CW97" s="1381"/>
      <c r="CX97" s="1381"/>
      <c r="CY97" s="1381"/>
      <c r="CZ97" s="1381"/>
      <c r="DA97" s="1381"/>
      <c r="DB97" s="1381"/>
      <c r="DC97" s="1381"/>
      <c r="DD97" s="1381"/>
      <c r="DE97" s="1381"/>
      <c r="DF97" s="1381"/>
      <c r="DG97" s="1381"/>
      <c r="DH97" s="1381"/>
      <c r="DI97" s="1381"/>
      <c r="DJ97" s="1381"/>
      <c r="DK97" s="1381"/>
      <c r="DL97" s="1381"/>
      <c r="DM97" s="1381"/>
      <c r="DN97" s="1381"/>
      <c r="DO97" s="1381"/>
      <c r="DP97" s="1381"/>
      <c r="DQ97" s="1381"/>
      <c r="DR97" s="1381"/>
      <c r="DS97" s="1381"/>
      <c r="DT97" s="1381"/>
      <c r="DU97" s="1381"/>
      <c r="DV97" s="1381"/>
      <c r="DW97" s="1381"/>
      <c r="DX97" s="1381"/>
      <c r="DY97" s="1381"/>
      <c r="DZ97" s="1381"/>
      <c r="EA97" s="1381"/>
      <c r="EB97" s="1381"/>
      <c r="EC97" s="1381"/>
      <c r="ED97" s="1381"/>
      <c r="EE97" s="1381"/>
      <c r="EF97" s="1381"/>
      <c r="EG97" s="1381"/>
      <c r="EH97" s="1381"/>
      <c r="EI97" s="1381"/>
      <c r="EJ97" s="1381"/>
      <c r="EK97" s="1381"/>
      <c r="EL97" s="1381"/>
      <c r="EM97" s="1381"/>
      <c r="EN97" s="1381"/>
      <c r="EO97" s="1381"/>
      <c r="EP97" s="1381"/>
      <c r="EQ97" s="1381"/>
      <c r="ER97" s="1381"/>
      <c r="ES97" s="1381"/>
      <c r="ET97" s="1381"/>
      <c r="EU97" s="1381"/>
      <c r="EV97" s="1381"/>
      <c r="EW97" s="1381"/>
      <c r="EX97" s="1381"/>
      <c r="EY97" s="1381"/>
      <c r="EZ97" s="1381"/>
      <c r="FA97" s="1381"/>
      <c r="FB97" s="1381"/>
      <c r="FC97" s="1381"/>
    </row>
  </sheetData>
  <sheetProtection password="B991" sheet="1" objects="1" scenarios="1" formatCells="0" formatColumns="0" formatRows="0" selectLockedCells="1" autoFilter="0" selectUnlockedCells="1"/>
  <autoFilter ref="B9:Q18" xr:uid="{00000000-0009-0000-0000-000003000000}">
    <filterColumn colId="1" showButton="0"/>
    <filterColumn colId="3" showButton="0"/>
    <filterColumn colId="5" showButton="0"/>
    <filterColumn colId="7" showButton="0"/>
    <filterColumn colId="8" showButton="0"/>
    <filterColumn colId="10" showButton="0"/>
    <filterColumn colId="12" showButton="0"/>
    <filterColumn colId="14" showButton="0"/>
  </autoFilter>
  <customSheetViews>
    <customSheetView guid="{DDA22D69-94B5-45BC-9EE2-6055A845129B}" showAutoFilter="1" hiddenRows="1" hiddenColumns="1" state="hidden" topLeftCell="A19">
      <selection activeCell="S27" sqref="S27"/>
      <pageMargins left="0.48" right="0.34" top="0.21" bottom="0.75" header="0.45" footer="0.3"/>
      <pageSetup paperSize="9" scale="85" orientation="landscape" r:id="rId1"/>
      <autoFilter ref="B9:Q18" xr:uid="{F5C5F376-DA4D-4AF1-9BC1-1088650F31AB}">
        <filterColumn colId="1" showButton="0"/>
        <filterColumn colId="3" showButton="0"/>
        <filterColumn colId="5" showButton="0"/>
        <filterColumn colId="7" showButton="0"/>
        <filterColumn colId="8" showButton="0"/>
        <filterColumn colId="10" showButton="0"/>
        <filterColumn colId="12" showButton="0"/>
        <filterColumn colId="14" showButton="0"/>
      </autoFilter>
    </customSheetView>
    <customSheetView guid="{1B7577DB-E3C4-4E68-B7CF-8F86FF7C5A82}" showAutoFilter="1" hiddenRows="1" hiddenColumns="1" state="hidden" topLeftCell="A19">
      <selection activeCell="S27" sqref="S27"/>
      <pageMargins left="0.48" right="0.34" top="0.21" bottom="0.75" header="0.45" footer="0.3"/>
      <pageSetup paperSize="9" scale="85" orientation="landscape" r:id="rId2"/>
      <autoFilter ref="B9:Q18" xr:uid="{53FC27A4-D3FC-4522-AC63-78AFFE286A48}">
        <filterColumn colId="1" showButton="0"/>
        <filterColumn colId="3" showButton="0"/>
        <filterColumn colId="5" showButton="0"/>
        <filterColumn colId="7" showButton="0"/>
        <filterColumn colId="8" showButton="0"/>
        <filterColumn colId="10" showButton="0"/>
        <filterColumn colId="12" showButton="0"/>
        <filterColumn colId="14" showButton="0"/>
      </autoFilter>
    </customSheetView>
    <customSheetView guid="{E7B1C62B-1F1D-4A62-BD87-EE62D3A36B6C}" showAutoFilter="1" hiddenRows="1" hiddenColumns="1" state="hidden" topLeftCell="A19">
      <selection activeCell="S27" sqref="S27"/>
      <pageMargins left="0.48" right="0.34" top="0.21" bottom="0.75" header="0.45" footer="0.3"/>
      <pageSetup paperSize="9" scale="85" orientation="landscape" r:id="rId3"/>
      <autoFilter ref="B9:Q18" xr:uid="{01ED704D-7EB2-4B45-A468-043805EFF127}">
        <filterColumn colId="1" showButton="0"/>
        <filterColumn colId="3" showButton="0"/>
        <filterColumn colId="5" showButton="0"/>
        <filterColumn colId="7" showButton="0"/>
        <filterColumn colId="8" showButton="0"/>
        <filterColumn colId="10" showButton="0"/>
        <filterColumn colId="12" showButton="0"/>
        <filterColumn colId="14" showButton="0"/>
      </autoFilter>
    </customSheetView>
  </customSheetViews>
  <mergeCells count="87">
    <mergeCell ref="B2:Q3"/>
    <mergeCell ref="H4:K4"/>
    <mergeCell ref="B6:B8"/>
    <mergeCell ref="C6:D8"/>
    <mergeCell ref="E6:F8"/>
    <mergeCell ref="G6:H8"/>
    <mergeCell ref="I6:K8"/>
    <mergeCell ref="L6:M8"/>
    <mergeCell ref="N6:O8"/>
    <mergeCell ref="P6:Q8"/>
    <mergeCell ref="P9:Q9"/>
    <mergeCell ref="C10:D10"/>
    <mergeCell ref="E10:F10"/>
    <mergeCell ref="G10:H10"/>
    <mergeCell ref="I10:K10"/>
    <mergeCell ref="L10:M10"/>
    <mergeCell ref="N10:O10"/>
    <mergeCell ref="P10:Q10"/>
    <mergeCell ref="C9:D9"/>
    <mergeCell ref="E9:F9"/>
    <mergeCell ref="G9:H9"/>
    <mergeCell ref="I9:K9"/>
    <mergeCell ref="L9:M9"/>
    <mergeCell ref="N9:O9"/>
    <mergeCell ref="P11:Q11"/>
    <mergeCell ref="C12:D12"/>
    <mergeCell ref="E12:F12"/>
    <mergeCell ref="G12:H12"/>
    <mergeCell ref="I12:K12"/>
    <mergeCell ref="L12:M12"/>
    <mergeCell ref="N12:O12"/>
    <mergeCell ref="P12:Q12"/>
    <mergeCell ref="C11:D11"/>
    <mergeCell ref="E11:F11"/>
    <mergeCell ref="G11:H11"/>
    <mergeCell ref="I11:K11"/>
    <mergeCell ref="L11:M11"/>
    <mergeCell ref="N11:O11"/>
    <mergeCell ref="P13:Q13"/>
    <mergeCell ref="C14:D14"/>
    <mergeCell ref="E14:F14"/>
    <mergeCell ref="G14:H14"/>
    <mergeCell ref="I14:K14"/>
    <mergeCell ref="L14:M14"/>
    <mergeCell ref="N14:O14"/>
    <mergeCell ref="P14:Q14"/>
    <mergeCell ref="C13:D13"/>
    <mergeCell ref="E13:F13"/>
    <mergeCell ref="G13:H13"/>
    <mergeCell ref="I13:K13"/>
    <mergeCell ref="L13:M13"/>
    <mergeCell ref="N13:O13"/>
    <mergeCell ref="P15:Q15"/>
    <mergeCell ref="C16:D16"/>
    <mergeCell ref="E16:F16"/>
    <mergeCell ref="G16:H16"/>
    <mergeCell ref="I16:K16"/>
    <mergeCell ref="L16:M16"/>
    <mergeCell ref="N16:O16"/>
    <mergeCell ref="P16:Q16"/>
    <mergeCell ref="C15:D15"/>
    <mergeCell ref="E15:F15"/>
    <mergeCell ref="G15:H15"/>
    <mergeCell ref="I15:K15"/>
    <mergeCell ref="L15:M15"/>
    <mergeCell ref="N15:O15"/>
    <mergeCell ref="P18:Q18"/>
    <mergeCell ref="C18:D18"/>
    <mergeCell ref="E18:F18"/>
    <mergeCell ref="G18:H18"/>
    <mergeCell ref="I18:K18"/>
    <mergeCell ref="L18:M18"/>
    <mergeCell ref="N18:O18"/>
    <mergeCell ref="P19:Q19"/>
    <mergeCell ref="C19:D19"/>
    <mergeCell ref="E19:F19"/>
    <mergeCell ref="G19:H19"/>
    <mergeCell ref="I19:K19"/>
    <mergeCell ref="L19:M19"/>
    <mergeCell ref="N19:O19"/>
    <mergeCell ref="N17:O17"/>
    <mergeCell ref="P17:Q17"/>
    <mergeCell ref="C17:D17"/>
    <mergeCell ref="E17:F17"/>
    <mergeCell ref="G17:H17"/>
    <mergeCell ref="I17:K17"/>
    <mergeCell ref="L17:M17"/>
  </mergeCells>
  <pageMargins left="0.48" right="0.34" top="0.21" bottom="0.75" header="0.45" footer="0.3"/>
  <pageSetup paperSize="9" scale="85" orientation="landscape" r:id="rId4"/>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33"/>
  <sheetViews>
    <sheetView workbookViewId="0">
      <selection activeCell="K6" sqref="K6"/>
    </sheetView>
  </sheetViews>
  <sheetFormatPr defaultColWidth="0" defaultRowHeight="0" customHeight="1" zeroHeight="1"/>
  <cols>
    <col min="1" max="1" width="3.42578125" style="942" customWidth="1"/>
    <col min="2" max="2" width="10.5703125" bestFit="1" customWidth="1"/>
    <col min="3" max="7" width="9.140625" customWidth="1"/>
    <col min="8" max="8" width="19.7109375" customWidth="1"/>
    <col min="9" max="10" width="9.140625" customWidth="1"/>
    <col min="11" max="11" width="6" style="942" customWidth="1"/>
    <col min="12" max="18" width="0" style="942" hidden="1" customWidth="1"/>
  </cols>
  <sheetData>
    <row r="1" spans="2:10" s="942" customFormat="1" ht="15.75" thickBot="1"/>
    <row r="2" spans="2:10" ht="31.5" customHeight="1" thickTop="1">
      <c r="B2" s="4149" t="s">
        <v>1073</v>
      </c>
      <c r="C2" s="4150"/>
      <c r="D2" s="4150"/>
      <c r="E2" s="4150"/>
      <c r="F2" s="4150"/>
      <c r="G2" s="4150"/>
      <c r="H2" s="4150"/>
      <c r="I2" s="4150"/>
      <c r="J2" s="4151"/>
    </row>
    <row r="3" spans="2:10" ht="15">
      <c r="B3" s="4152" t="s">
        <v>1141</v>
      </c>
      <c r="C3" s="4085"/>
      <c r="D3" s="4085"/>
      <c r="E3" s="4085"/>
      <c r="F3" s="4085"/>
      <c r="G3" s="4085"/>
      <c r="H3" s="4085"/>
      <c r="I3" s="4085"/>
      <c r="J3" s="4128"/>
    </row>
    <row r="4" spans="2:10" ht="25.5" customHeight="1">
      <c r="B4" s="4153" t="s">
        <v>1142</v>
      </c>
      <c r="C4" s="4154"/>
      <c r="D4" s="4154"/>
      <c r="E4" s="4154"/>
      <c r="F4" s="4154"/>
      <c r="G4" s="4154"/>
      <c r="H4" s="4154"/>
      <c r="I4" s="4154"/>
      <c r="J4" s="4155"/>
    </row>
    <row r="5" spans="2:10" ht="15">
      <c r="B5" s="1385"/>
      <c r="C5" s="1270"/>
      <c r="D5" s="1270"/>
      <c r="E5" s="1270"/>
      <c r="F5" s="1270"/>
      <c r="G5" s="1270"/>
      <c r="H5" s="1270"/>
      <c r="I5" s="1270"/>
      <c r="J5" s="1386"/>
    </row>
    <row r="6" spans="2:10" ht="21.95" customHeight="1">
      <c r="B6" s="1410">
        <v>1</v>
      </c>
      <c r="C6" s="4156" t="s">
        <v>1143</v>
      </c>
      <c r="D6" s="4156"/>
      <c r="E6" s="4156"/>
      <c r="F6" s="4156"/>
      <c r="G6" s="4156"/>
      <c r="H6" s="4156"/>
      <c r="I6" s="4157">
        <f>'Formula-I '!BO101</f>
        <v>1486210</v>
      </c>
      <c r="J6" s="4158"/>
    </row>
    <row r="7" spans="2:10" ht="21.95" customHeight="1">
      <c r="B7" s="1411"/>
      <c r="C7" s="4141" t="s">
        <v>1144</v>
      </c>
      <c r="D7" s="4141"/>
      <c r="E7" s="4141"/>
      <c r="F7" s="4141"/>
      <c r="G7" s="4141"/>
      <c r="H7" s="4141"/>
      <c r="I7" s="4142"/>
      <c r="J7" s="4143"/>
    </row>
    <row r="8" spans="2:10" ht="21.95" customHeight="1">
      <c r="B8" s="1411">
        <v>2</v>
      </c>
      <c r="C8" s="4141" t="s">
        <v>1086</v>
      </c>
      <c r="D8" s="4141"/>
      <c r="E8" s="4141"/>
      <c r="F8" s="4141"/>
      <c r="G8" s="4141"/>
      <c r="H8" s="4141"/>
      <c r="I8" s="4147">
        <f>'Formula-I '!BO103</f>
        <v>0</v>
      </c>
      <c r="J8" s="4148"/>
    </row>
    <row r="9" spans="2:10" ht="21.95" customHeight="1">
      <c r="B9" s="1411"/>
      <c r="C9" s="4141"/>
      <c r="D9" s="4141"/>
      <c r="E9" s="4141"/>
      <c r="F9" s="4141"/>
      <c r="G9" s="4141"/>
      <c r="H9" s="4141"/>
      <c r="I9" s="4142"/>
      <c r="J9" s="4143"/>
    </row>
    <row r="10" spans="2:10" ht="21.95" customHeight="1">
      <c r="B10" s="1411">
        <v>3</v>
      </c>
      <c r="C10" s="4141" t="s">
        <v>1080</v>
      </c>
      <c r="D10" s="4141"/>
      <c r="E10" s="4141"/>
      <c r="F10" s="4141"/>
      <c r="G10" s="4141"/>
      <c r="H10" s="4141"/>
      <c r="I10" s="4142">
        <f>'Formula-I '!BO105</f>
        <v>1486210</v>
      </c>
      <c r="J10" s="4143"/>
    </row>
    <row r="11" spans="2:10" ht="21.95" customHeight="1">
      <c r="B11" s="1411"/>
      <c r="C11" s="4141" t="s">
        <v>1145</v>
      </c>
      <c r="D11" s="4141"/>
      <c r="E11" s="4141"/>
      <c r="F11" s="4141"/>
      <c r="G11" s="4141"/>
      <c r="H11" s="4141"/>
      <c r="I11" s="4142"/>
      <c r="J11" s="4143"/>
    </row>
    <row r="12" spans="2:10" ht="21.95" customHeight="1">
      <c r="B12" s="1411">
        <v>4</v>
      </c>
      <c r="C12" s="4141" t="s">
        <v>1146</v>
      </c>
      <c r="D12" s="4141"/>
      <c r="E12" s="4141"/>
      <c r="F12" s="4141"/>
      <c r="G12" s="4141"/>
      <c r="H12" s="4141"/>
      <c r="I12" s="4142">
        <f>'Formula-I '!BO108</f>
        <v>268698</v>
      </c>
      <c r="J12" s="4143"/>
    </row>
    <row r="13" spans="2:10" ht="21.95" customHeight="1">
      <c r="B13" s="1411"/>
      <c r="C13" s="4141"/>
      <c r="D13" s="4141"/>
      <c r="E13" s="4141"/>
      <c r="F13" s="4141"/>
      <c r="G13" s="4141"/>
      <c r="H13" s="4141"/>
      <c r="I13" s="4142"/>
      <c r="J13" s="4143"/>
    </row>
    <row r="14" spans="2:10" ht="21.95" customHeight="1">
      <c r="B14" s="1411">
        <v>5</v>
      </c>
      <c r="C14" s="4141" t="s">
        <v>1147</v>
      </c>
      <c r="D14" s="4141"/>
      <c r="E14" s="4141"/>
      <c r="F14" s="4141"/>
      <c r="G14" s="4141"/>
      <c r="H14" s="4141"/>
      <c r="I14" s="4142">
        <f>'Formula-I '!BO110</f>
        <v>268698</v>
      </c>
      <c r="J14" s="4143"/>
    </row>
    <row r="15" spans="2:10" ht="21.95" customHeight="1">
      <c r="B15" s="1411"/>
      <c r="C15" s="4141"/>
      <c r="D15" s="4141"/>
      <c r="E15" s="4141"/>
      <c r="F15" s="4141"/>
      <c r="G15" s="4141"/>
      <c r="H15" s="4141"/>
      <c r="I15" s="4142"/>
      <c r="J15" s="4143"/>
    </row>
    <row r="16" spans="2:10" ht="21.95" customHeight="1">
      <c r="B16" s="1411">
        <v>6</v>
      </c>
      <c r="C16" s="4141" t="s">
        <v>1098</v>
      </c>
      <c r="D16" s="4141"/>
      <c r="E16" s="4141"/>
      <c r="F16" s="4141"/>
      <c r="G16" s="4141"/>
      <c r="H16" s="4141"/>
      <c r="I16" s="4142">
        <f>'Formula-I '!BO112</f>
        <v>0</v>
      </c>
      <c r="J16" s="4143"/>
    </row>
    <row r="17" spans="2:10" ht="21.95" customHeight="1">
      <c r="B17" s="1411"/>
      <c r="C17" s="4141" t="s">
        <v>1100</v>
      </c>
      <c r="D17" s="4141"/>
      <c r="E17" s="4141"/>
      <c r="F17" s="4141"/>
      <c r="G17" s="4141"/>
      <c r="H17" s="4141"/>
      <c r="I17" s="4142"/>
      <c r="J17" s="4143"/>
    </row>
    <row r="18" spans="2:10" ht="21.95" customHeight="1">
      <c r="B18" s="1411"/>
      <c r="C18" s="4141"/>
      <c r="D18" s="4141"/>
      <c r="E18" s="4141"/>
      <c r="F18" s="4141"/>
      <c r="G18" s="4141"/>
      <c r="H18" s="4141"/>
      <c r="I18" s="4142"/>
      <c r="J18" s="4143"/>
    </row>
    <row r="19" spans="2:10" ht="21.95" customHeight="1">
      <c r="B19" s="1411">
        <v>7</v>
      </c>
      <c r="C19" s="4141" t="s">
        <v>1101</v>
      </c>
      <c r="D19" s="4141"/>
      <c r="E19" s="4141"/>
      <c r="F19" s="4141"/>
      <c r="G19" s="4141"/>
      <c r="H19" s="4141"/>
      <c r="I19" s="4142">
        <f>'Formula-I '!BO115</f>
        <v>0</v>
      </c>
      <c r="J19" s="4143"/>
    </row>
    <row r="20" spans="2:10" ht="21.95" customHeight="1">
      <c r="B20" s="1411"/>
      <c r="C20" s="4141"/>
      <c r="D20" s="4141"/>
      <c r="E20" s="4141"/>
      <c r="F20" s="4141"/>
      <c r="G20" s="4141"/>
      <c r="H20" s="4141"/>
      <c r="I20" s="4142"/>
      <c r="J20" s="4143"/>
    </row>
    <row r="21" spans="2:10" ht="21.95" customHeight="1">
      <c r="B21" s="1411">
        <v>8</v>
      </c>
      <c r="C21" s="4141" t="s">
        <v>777</v>
      </c>
      <c r="D21" s="4141"/>
      <c r="E21" s="4141"/>
      <c r="F21" s="4141"/>
      <c r="G21" s="4141"/>
      <c r="H21" s="4141"/>
      <c r="I21" s="4144">
        <f>'Formula-I '!BO117</f>
        <v>0</v>
      </c>
      <c r="J21" s="4145"/>
    </row>
    <row r="22" spans="2:10" ht="21.95" customHeight="1">
      <c r="B22" s="1412"/>
      <c r="C22" s="4146" t="s">
        <v>1148</v>
      </c>
      <c r="D22" s="4146"/>
      <c r="E22" s="4146"/>
      <c r="F22" s="4146"/>
      <c r="G22" s="4146"/>
      <c r="H22" s="4146"/>
      <c r="I22" s="4142"/>
      <c r="J22" s="4143"/>
    </row>
    <row r="23" spans="2:10" ht="21.95" customHeight="1">
      <c r="B23" s="1412"/>
      <c r="C23" s="4146"/>
      <c r="D23" s="4146"/>
      <c r="E23" s="4146"/>
      <c r="F23" s="4146"/>
      <c r="G23" s="4146"/>
      <c r="H23" s="4146"/>
      <c r="I23" s="4142"/>
      <c r="J23" s="4143"/>
    </row>
    <row r="24" spans="2:10" ht="21.95" customHeight="1">
      <c r="B24" s="1413"/>
      <c r="C24" s="1414"/>
      <c r="D24" s="1414"/>
      <c r="E24" s="1414"/>
      <c r="F24" s="1414"/>
      <c r="G24" s="1414"/>
      <c r="H24" s="1414"/>
      <c r="I24" s="4136"/>
      <c r="J24" s="4137"/>
    </row>
    <row r="25" spans="2:10" ht="15">
      <c r="B25" s="1385"/>
      <c r="C25" s="1270"/>
      <c r="D25" s="1270"/>
      <c r="E25" s="1270"/>
      <c r="F25" s="1270"/>
      <c r="G25" s="1270"/>
      <c r="H25" s="1270"/>
      <c r="I25" s="1270"/>
      <c r="J25" s="1386"/>
    </row>
    <row r="26" spans="2:10" ht="15">
      <c r="B26" s="1385"/>
      <c r="C26" s="1270"/>
      <c r="D26" s="1270"/>
      <c r="E26" s="1270"/>
      <c r="F26" s="1270"/>
      <c r="G26" s="1270"/>
      <c r="H26" s="1270"/>
      <c r="I26" s="1270"/>
      <c r="J26" s="1386"/>
    </row>
    <row r="27" spans="2:10" ht="15">
      <c r="B27" s="1385"/>
      <c r="C27" s="1270"/>
      <c r="D27" s="1270"/>
      <c r="E27" s="1270"/>
      <c r="F27" s="1270"/>
      <c r="G27" s="1270"/>
      <c r="H27" s="1270"/>
      <c r="I27" s="1270"/>
      <c r="J27" s="1386"/>
    </row>
    <row r="28" spans="2:10" ht="15.75">
      <c r="B28" s="4138" t="s">
        <v>30</v>
      </c>
      <c r="C28" s="4139"/>
      <c r="D28" s="4139"/>
      <c r="E28" s="4139"/>
      <c r="F28" s="1270"/>
      <c r="G28" s="1270"/>
      <c r="H28" s="4139" t="s">
        <v>32</v>
      </c>
      <c r="I28" s="4139"/>
      <c r="J28" s="4140"/>
    </row>
    <row r="29" spans="2:10" ht="15">
      <c r="B29" s="1385"/>
      <c r="C29" s="1270"/>
      <c r="D29" s="1270"/>
      <c r="E29" s="1270"/>
      <c r="F29" s="1270"/>
      <c r="G29" s="1270"/>
      <c r="H29" s="1270"/>
      <c r="I29" s="1270"/>
      <c r="J29" s="1386"/>
    </row>
    <row r="30" spans="2:10" ht="23.25" customHeight="1" thickBot="1">
      <c r="B30" s="1408"/>
      <c r="C30" s="1409"/>
      <c r="D30" s="1409"/>
      <c r="E30" s="1409"/>
      <c r="F30" s="1409"/>
      <c r="G30" s="1409"/>
      <c r="H30" s="1409"/>
      <c r="I30" s="1409"/>
      <c r="J30" s="1415"/>
    </row>
    <row r="31" spans="2:10" ht="15.75" thickTop="1">
      <c r="B31" s="942"/>
      <c r="C31" s="942"/>
      <c r="D31" s="942"/>
      <c r="E31" s="942"/>
      <c r="F31" s="942"/>
      <c r="G31" s="942"/>
      <c r="H31" s="942"/>
      <c r="I31" s="942"/>
      <c r="J31" s="942"/>
    </row>
    <row r="32" spans="2:10" ht="15" hidden="1">
      <c r="B32" s="942"/>
      <c r="C32" s="942"/>
      <c r="D32" s="942"/>
      <c r="E32" s="942"/>
      <c r="F32" s="942"/>
      <c r="G32" s="942"/>
      <c r="H32" s="942"/>
      <c r="I32" s="942"/>
      <c r="J32" s="942"/>
    </row>
    <row r="33" spans="2:10" ht="15" hidden="1">
      <c r="B33" s="942"/>
      <c r="C33" s="942"/>
      <c r="D33" s="942"/>
      <c r="E33" s="942"/>
      <c r="F33" s="942"/>
      <c r="G33" s="942"/>
      <c r="H33" s="942"/>
      <c r="I33" s="942"/>
      <c r="J33" s="942"/>
    </row>
  </sheetData>
  <sheetProtection password="B991" sheet="1" objects="1" scenarios="1" formatColumns="0" formatRows="0" selectLockedCells="1" selectUnlockedCells="1"/>
  <customSheetViews>
    <customSheetView guid="{DDA22D69-94B5-45BC-9EE2-6055A845129B}" hiddenRows="1" hiddenColumns="1" state="hidden">
      <selection activeCell="K6" sqref="K6"/>
      <pageMargins left="0.82677165354330717" right="0.70866141732283472" top="0.74803149606299213" bottom="0.74803149606299213" header="0.31496062992125984" footer="0.31496062992125984"/>
      <pageSetup paperSize="9" scale="92" orientation="portrait" r:id="rId1"/>
    </customSheetView>
    <customSheetView guid="{1B7577DB-E3C4-4E68-B7CF-8F86FF7C5A82}" hiddenRows="1" hiddenColumns="1" state="hidden">
      <selection activeCell="K6" sqref="K6"/>
      <pageMargins left="0.82677165354330717" right="0.70866141732283472" top="0.74803149606299213" bottom="0.74803149606299213" header="0.31496062992125984" footer="0.31496062992125984"/>
      <pageSetup paperSize="9" scale="92" orientation="portrait" r:id="rId2"/>
    </customSheetView>
    <customSheetView guid="{E7B1C62B-1F1D-4A62-BD87-EE62D3A36B6C}" hiddenRows="1" hiddenColumns="1" state="hidden">
      <selection activeCell="K6" sqref="K6"/>
      <pageMargins left="0.82677165354330717" right="0.70866141732283472" top="0.74803149606299213" bottom="0.74803149606299213" header="0.31496062992125984" footer="0.31496062992125984"/>
      <pageSetup paperSize="9" scale="92" orientation="portrait" r:id="rId3"/>
    </customSheetView>
  </customSheetViews>
  <mergeCells count="41">
    <mergeCell ref="C7:H7"/>
    <mergeCell ref="I7:J7"/>
    <mergeCell ref="B2:J2"/>
    <mergeCell ref="B3:J3"/>
    <mergeCell ref="B4:J4"/>
    <mergeCell ref="C6:H6"/>
    <mergeCell ref="I6:J6"/>
    <mergeCell ref="C8:H8"/>
    <mergeCell ref="I8:J8"/>
    <mergeCell ref="C9:H9"/>
    <mergeCell ref="I9:J9"/>
    <mergeCell ref="C10:H10"/>
    <mergeCell ref="I10:J10"/>
    <mergeCell ref="C11:H11"/>
    <mergeCell ref="I11:J11"/>
    <mergeCell ref="C12:H12"/>
    <mergeCell ref="I12:J12"/>
    <mergeCell ref="C13:H13"/>
    <mergeCell ref="I13:J13"/>
    <mergeCell ref="C14:H14"/>
    <mergeCell ref="I14:J14"/>
    <mergeCell ref="C15:H15"/>
    <mergeCell ref="I15:J15"/>
    <mergeCell ref="C16:H16"/>
    <mergeCell ref="I16:J16"/>
    <mergeCell ref="C17:H17"/>
    <mergeCell ref="I17:J17"/>
    <mergeCell ref="C18:H18"/>
    <mergeCell ref="I18:J18"/>
    <mergeCell ref="C19:H19"/>
    <mergeCell ref="I19:J19"/>
    <mergeCell ref="I24:J24"/>
    <mergeCell ref="B28:E28"/>
    <mergeCell ref="H28:J28"/>
    <mergeCell ref="C20:H20"/>
    <mergeCell ref="I20:J20"/>
    <mergeCell ref="C21:H21"/>
    <mergeCell ref="I21:J21"/>
    <mergeCell ref="C22:H23"/>
    <mergeCell ref="I22:J22"/>
    <mergeCell ref="I23:J23"/>
  </mergeCells>
  <pageMargins left="0.82677165354330717" right="0.70866141732283472" top="0.74803149606299213" bottom="0.74803149606299213" header="0.31496062992125984" footer="0.31496062992125984"/>
  <pageSetup paperSize="9" scale="92" orientation="portrait"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F86"/>
  <sheetViews>
    <sheetView topLeftCell="A22" workbookViewId="0">
      <selection activeCell="D50" sqref="D50:I50"/>
    </sheetView>
  </sheetViews>
  <sheetFormatPr defaultColWidth="0" defaultRowHeight="0" customHeight="1" zeroHeight="1"/>
  <cols>
    <col min="1" max="1" width="4.140625" style="942" customWidth="1"/>
    <col min="2" max="3" width="9.140625" customWidth="1"/>
    <col min="4" max="4" width="7.42578125" customWidth="1"/>
    <col min="5" max="9" width="9.140625" customWidth="1"/>
    <col min="10" max="10" width="10.42578125" customWidth="1"/>
    <col min="11" max="11" width="17.140625" customWidth="1"/>
    <col min="12" max="12" width="9.140625" customWidth="1"/>
    <col min="13" max="13" width="10.85546875" customWidth="1"/>
    <col min="14" max="14" width="0.140625" customWidth="1"/>
    <col min="15" max="15" width="5.85546875" style="942" customWidth="1"/>
    <col min="16" max="22" width="9.140625" style="942" hidden="1" customWidth="1"/>
    <col min="23" max="41" width="9.140625" hidden="1" customWidth="1"/>
    <col min="42" max="42" width="11.28515625" hidden="1" customWidth="1"/>
    <col min="43" max="53" width="9.140625" hidden="1" customWidth="1"/>
    <col min="54" max="54" width="21.85546875" hidden="1" customWidth="1"/>
    <col min="55" max="55" width="37.85546875" hidden="1" customWidth="1"/>
    <col min="56" max="56" width="2.5703125" hidden="1" customWidth="1"/>
    <col min="57" max="57" width="9.140625" hidden="1" customWidth="1"/>
    <col min="58" max="58" width="7.28515625" hidden="1" customWidth="1"/>
    <col min="59" max="16384" width="9.140625" hidden="1"/>
  </cols>
  <sheetData>
    <row r="1" spans="2:55" ht="15.75" thickBot="1">
      <c r="B1" s="942"/>
      <c r="C1" s="942"/>
      <c r="D1" s="942"/>
      <c r="E1" s="942"/>
      <c r="F1" s="942"/>
      <c r="G1" s="942"/>
      <c r="H1" s="942"/>
      <c r="I1" s="942"/>
      <c r="J1" s="942"/>
      <c r="K1" s="942"/>
      <c r="L1" s="942"/>
      <c r="M1" s="942"/>
    </row>
    <row r="2" spans="2:55" ht="19.5" thickTop="1">
      <c r="B2" s="4171" t="s">
        <v>1106</v>
      </c>
      <c r="C2" s="4172"/>
      <c r="D2" s="4172"/>
      <c r="E2" s="4172"/>
      <c r="F2" s="4172"/>
      <c r="G2" s="4172"/>
      <c r="H2" s="4172"/>
      <c r="I2" s="4172"/>
      <c r="J2" s="4172"/>
      <c r="K2" s="4172"/>
      <c r="L2" s="4172"/>
      <c r="M2" s="4172"/>
      <c r="N2" s="4173"/>
    </row>
    <row r="3" spans="2:55" ht="15.75">
      <c r="B3" s="4174" t="s">
        <v>1107</v>
      </c>
      <c r="C3" s="4175"/>
      <c r="D3" s="4175"/>
      <c r="E3" s="4175"/>
      <c r="F3" s="4175"/>
      <c r="G3" s="4175"/>
      <c r="H3" s="4175"/>
      <c r="I3" s="4175"/>
      <c r="J3" s="4175"/>
      <c r="K3" s="4175"/>
      <c r="L3" s="4175"/>
      <c r="M3" s="4175"/>
      <c r="N3" s="4143"/>
    </row>
    <row r="4" spans="2:55" ht="15.75">
      <c r="B4" s="4176" t="s">
        <v>1174</v>
      </c>
      <c r="C4" s="4177"/>
      <c r="D4" s="4177"/>
      <c r="E4" s="4177"/>
      <c r="F4" s="4177"/>
      <c r="G4" s="4177"/>
      <c r="H4" s="4177"/>
      <c r="I4" s="4177"/>
      <c r="J4" s="4177"/>
      <c r="K4" s="4177"/>
      <c r="L4" s="4177"/>
      <c r="M4" s="4177"/>
      <c r="N4" s="1386"/>
    </row>
    <row r="5" spans="2:55" ht="15.75">
      <c r="B5" s="4176" t="s">
        <v>1108</v>
      </c>
      <c r="C5" s="4177"/>
      <c r="D5" s="4177"/>
      <c r="E5" s="4177"/>
      <c r="F5" s="4177"/>
      <c r="G5" s="4177"/>
      <c r="H5" s="4177"/>
      <c r="I5" s="4177"/>
      <c r="J5" s="4177"/>
      <c r="K5" s="4177"/>
      <c r="L5" s="4177"/>
      <c r="M5" s="4177"/>
      <c r="N5" s="1386"/>
    </row>
    <row r="6" spans="2:55" ht="15.75">
      <c r="B6" s="4176" t="s">
        <v>1109</v>
      </c>
      <c r="C6" s="4177"/>
      <c r="D6" s="4177"/>
      <c r="E6" s="4177"/>
      <c r="F6" s="4177"/>
      <c r="G6" s="4177"/>
      <c r="H6" s="4177"/>
      <c r="I6" s="4177"/>
      <c r="J6" s="4177"/>
      <c r="K6" s="4177"/>
      <c r="L6" s="4177"/>
      <c r="M6" s="4177"/>
      <c r="N6" s="1386"/>
    </row>
    <row r="7" spans="2:55" ht="15">
      <c r="B7" s="1385"/>
      <c r="C7" s="1270"/>
      <c r="D7" s="1270"/>
      <c r="E7" s="1270"/>
      <c r="F7" s="1270"/>
      <c r="G7" s="1270"/>
      <c r="H7" s="1270"/>
      <c r="I7" s="1270"/>
      <c r="J7" s="1270"/>
      <c r="K7" s="1270"/>
      <c r="L7" s="1270"/>
      <c r="M7" s="1270"/>
      <c r="N7" s="1386"/>
    </row>
    <row r="8" spans="2:55" ht="15">
      <c r="B8" s="1385"/>
      <c r="C8" s="1270"/>
      <c r="D8" s="1270"/>
      <c r="E8" s="1270"/>
      <c r="F8" s="1270"/>
      <c r="G8" s="1270"/>
      <c r="H8" s="1270"/>
      <c r="I8" s="1270"/>
      <c r="J8" s="1270"/>
      <c r="K8" s="1270"/>
      <c r="L8" s="1270"/>
      <c r="M8" s="1270"/>
      <c r="N8" s="1386"/>
    </row>
    <row r="9" spans="2:55" ht="15.75">
      <c r="B9" s="1385"/>
      <c r="C9" s="1383">
        <v>1</v>
      </c>
      <c r="D9" s="4170" t="s">
        <v>1110</v>
      </c>
      <c r="E9" s="4170"/>
      <c r="F9" s="4170"/>
      <c r="G9" s="4170"/>
      <c r="H9" s="4165" t="str">
        <f>CONCATENATE(BC17,BC9,"")</f>
        <v>Sri.B.Saidi Reddy</v>
      </c>
      <c r="I9" s="4165"/>
      <c r="J9" s="4165"/>
      <c r="K9" s="4165"/>
      <c r="L9" s="1270"/>
      <c r="M9" s="1270"/>
      <c r="N9" s="1386"/>
      <c r="BB9" t="s">
        <v>179</v>
      </c>
      <c r="BC9" s="859" t="str">
        <f>' Data Sheet-I'!G7</f>
        <v>B.Saidi Reddy</v>
      </c>
    </row>
    <row r="10" spans="2:55" ht="15.75">
      <c r="B10" s="1385"/>
      <c r="C10" s="1383"/>
      <c r="D10" s="1400"/>
      <c r="E10" s="1400"/>
      <c r="F10" s="1400"/>
      <c r="G10" s="1400"/>
      <c r="H10" s="4165"/>
      <c r="I10" s="4165"/>
      <c r="J10" s="4165"/>
      <c r="K10" s="4165"/>
      <c r="L10" s="1270"/>
      <c r="M10" s="1270"/>
      <c r="N10" s="1386"/>
      <c r="BB10" t="s">
        <v>15</v>
      </c>
      <c r="BC10" s="1435" t="str">
        <f>' Data Sheet-I'!G8</f>
        <v>Lecturer in Mathematics</v>
      </c>
    </row>
    <row r="11" spans="2:55" ht="15.75">
      <c r="B11" s="1385"/>
      <c r="C11" s="1383">
        <v>2</v>
      </c>
      <c r="D11" s="4170" t="s">
        <v>15</v>
      </c>
      <c r="E11" s="4170"/>
      <c r="F11" s="4170"/>
      <c r="G11" s="4170"/>
      <c r="H11" s="4165" t="str">
        <f>CONCATENATE(BC10,"")</f>
        <v>Lecturer in Mathematics</v>
      </c>
      <c r="I11" s="4165"/>
      <c r="J11" s="4165"/>
      <c r="K11" s="4165"/>
      <c r="L11" s="1270"/>
      <c r="M11" s="1270"/>
      <c r="N11" s="1386"/>
      <c r="BB11" t="s">
        <v>16</v>
      </c>
      <c r="BC11" s="1435">
        <f>' Data Sheet-I'!G9</f>
        <v>2000083</v>
      </c>
    </row>
    <row r="12" spans="2:55" ht="15">
      <c r="B12" s="1385"/>
      <c r="C12" s="1383"/>
      <c r="D12" s="1270"/>
      <c r="E12" s="1270"/>
      <c r="F12" s="1270"/>
      <c r="G12" s="1270"/>
      <c r="H12" s="4165"/>
      <c r="I12" s="4165"/>
      <c r="J12" s="4165"/>
      <c r="K12" s="4165"/>
      <c r="L12" s="1270"/>
      <c r="M12" s="1270"/>
      <c r="N12" s="1386"/>
      <c r="BB12" t="s">
        <v>24</v>
      </c>
      <c r="BC12" s="1435" t="str">
        <f>' Data Sheet-I'!G10</f>
        <v>KRR Govt.Arts&amp;Science College</v>
      </c>
    </row>
    <row r="13" spans="2:55" ht="15">
      <c r="B13" s="1385"/>
      <c r="C13" s="1383">
        <v>3</v>
      </c>
      <c r="D13" s="4169" t="s">
        <v>1111</v>
      </c>
      <c r="E13" s="4169"/>
      <c r="F13" s="4169"/>
      <c r="G13" s="4169"/>
      <c r="H13" s="4166" t="str">
        <f>CONCATENATE(BC11,"")</f>
        <v>2000083</v>
      </c>
      <c r="I13" s="4166"/>
      <c r="J13" s="4166"/>
      <c r="K13" s="4166"/>
      <c r="L13" s="1270"/>
      <c r="M13" s="1270"/>
      <c r="N13" s="1386"/>
      <c r="BB13" t="s">
        <v>629</v>
      </c>
      <c r="BC13" s="1435" t="str">
        <f>' Data Sheet-I'!G11</f>
        <v>KODAD</v>
      </c>
    </row>
    <row r="14" spans="2:55" ht="15">
      <c r="B14" s="1385"/>
      <c r="C14" s="1383"/>
      <c r="D14" s="1270"/>
      <c r="E14" s="1270"/>
      <c r="F14" s="1270"/>
      <c r="G14" s="1270"/>
      <c r="H14" s="4165"/>
      <c r="I14" s="4165"/>
      <c r="J14" s="4165"/>
      <c r="K14" s="4165"/>
      <c r="L14" s="1270"/>
      <c r="M14" s="1270"/>
      <c r="N14" s="1386"/>
      <c r="BB14" t="s">
        <v>1112</v>
      </c>
      <c r="BC14" s="1435" t="str">
        <f>' Data Sheet-I'!G12</f>
        <v>Suryapet</v>
      </c>
    </row>
    <row r="15" spans="2:55" ht="15">
      <c r="B15" s="1385"/>
      <c r="C15" s="1383">
        <v>4</v>
      </c>
      <c r="D15" s="4169" t="s">
        <v>1113</v>
      </c>
      <c r="E15" s="4169"/>
      <c r="F15" s="4169"/>
      <c r="G15" s="4169"/>
      <c r="H15" s="4165" t="str">
        <f>CONCATENATE(BC12,"")</f>
        <v>KRR Govt.Arts&amp;Science College</v>
      </c>
      <c r="I15" s="4165"/>
      <c r="J15" s="4165"/>
      <c r="K15" s="4165"/>
      <c r="L15" s="1270"/>
      <c r="M15" s="1270"/>
      <c r="N15" s="1386"/>
      <c r="BB15" t="s">
        <v>180</v>
      </c>
      <c r="BC15" s="1435" t="str">
        <f>' Data Sheet-I'!G13</f>
        <v>Telangana</v>
      </c>
    </row>
    <row r="16" spans="2:55" ht="15">
      <c r="B16" s="1385"/>
      <c r="C16" s="1383"/>
      <c r="D16" s="1270"/>
      <c r="E16" s="1270"/>
      <c r="F16" s="1270"/>
      <c r="G16" s="1270"/>
      <c r="H16" s="4165"/>
      <c r="I16" s="4165"/>
      <c r="J16" s="4165"/>
      <c r="K16" s="4165"/>
      <c r="L16" s="1270"/>
      <c r="M16" s="1270"/>
      <c r="N16" s="1386"/>
      <c r="BB16" t="s">
        <v>21</v>
      </c>
      <c r="BC16" s="1435" t="str">
        <f>' Data Sheet-I'!G14</f>
        <v>AUHPB1656N</v>
      </c>
    </row>
    <row r="17" spans="2:55" ht="15.75">
      <c r="B17" s="1385"/>
      <c r="C17" s="1383">
        <v>5</v>
      </c>
      <c r="D17" s="4170" t="s">
        <v>1114</v>
      </c>
      <c r="E17" s="4170"/>
      <c r="F17" s="4170"/>
      <c r="G17" s="4170"/>
      <c r="H17" s="4165" t="str">
        <f>CONCATENATE(BC13,"",BB13)</f>
        <v>KODAD(Mandal)</v>
      </c>
      <c r="I17" s="4165"/>
      <c r="J17" s="4165"/>
      <c r="K17" s="4165"/>
      <c r="L17" s="1270"/>
      <c r="M17" s="1270"/>
      <c r="N17" s="1386"/>
      <c r="BC17" t="str">
        <f>'Formula-I '!CU93</f>
        <v>Sri.</v>
      </c>
    </row>
    <row r="18" spans="2:55" ht="15">
      <c r="B18" s="1385"/>
      <c r="C18" s="1383"/>
      <c r="D18" s="1403"/>
      <c r="E18" s="1403"/>
      <c r="F18" s="1403"/>
      <c r="G18" s="1403"/>
      <c r="H18" s="4165" t="str">
        <f>CONCATENATE(BC14,"",BB14)</f>
        <v>Suryapet(DiST)</v>
      </c>
      <c r="I18" s="4165"/>
      <c r="J18" s="4165"/>
      <c r="K18" s="4165"/>
      <c r="L18" s="1270"/>
      <c r="M18" s="1270"/>
      <c r="N18" s="1386"/>
      <c r="BC18" t="str">
        <f>'Formula-I '!CU94</f>
        <v>Sri.</v>
      </c>
    </row>
    <row r="19" spans="2:55" ht="15">
      <c r="B19" s="1385"/>
      <c r="C19" s="1383"/>
      <c r="D19" s="1403"/>
      <c r="E19" s="1403"/>
      <c r="F19" s="1403"/>
      <c r="G19" s="1403"/>
      <c r="H19" s="4165" t="str">
        <f>CONCATENATE(BC15,"",BB15)</f>
        <v>Telangana(State)</v>
      </c>
      <c r="I19" s="4165"/>
      <c r="J19" s="4165"/>
      <c r="K19" s="4165"/>
      <c r="L19" s="1270"/>
      <c r="M19" s="1270"/>
      <c r="N19" s="1386"/>
    </row>
    <row r="20" spans="2:55" ht="15">
      <c r="B20" s="1385"/>
      <c r="C20" s="1383"/>
      <c r="D20" s="1403"/>
      <c r="E20" s="1403"/>
      <c r="F20" s="1403"/>
      <c r="G20" s="1403"/>
      <c r="H20" s="4165"/>
      <c r="I20" s="4165"/>
      <c r="J20" s="4165"/>
      <c r="K20" s="4165"/>
      <c r="L20" s="1270"/>
      <c r="M20" s="1270"/>
      <c r="N20" s="1386"/>
    </row>
    <row r="21" spans="2:55" ht="15.75">
      <c r="B21" s="1385"/>
      <c r="C21" s="1383">
        <v>6</v>
      </c>
      <c r="D21" s="4141" t="s">
        <v>1115</v>
      </c>
      <c r="E21" s="4141"/>
      <c r="F21" s="4141"/>
      <c r="G21" s="4141"/>
      <c r="H21" s="4166" t="str">
        <f>CONCATENATE(BC16,"")</f>
        <v>AUHPB1656N</v>
      </c>
      <c r="I21" s="4166"/>
      <c r="J21" s="4166"/>
      <c r="K21" s="4166"/>
      <c r="L21" s="1270"/>
      <c r="M21" s="1270"/>
      <c r="N21" s="1386"/>
    </row>
    <row r="22" spans="2:55" ht="15">
      <c r="B22" s="1385"/>
      <c r="C22" s="1270"/>
      <c r="D22" s="1270"/>
      <c r="E22" s="1270"/>
      <c r="F22" s="1270"/>
      <c r="G22" s="1270"/>
      <c r="H22" s="1270"/>
      <c r="I22" s="1270"/>
      <c r="J22" s="1270"/>
      <c r="K22" s="1270"/>
      <c r="L22" s="1270"/>
      <c r="M22" s="1270"/>
      <c r="N22" s="1386"/>
    </row>
    <row r="23" spans="2:55" ht="15.75">
      <c r="B23" s="1385"/>
      <c r="C23" s="4167" t="s">
        <v>1116</v>
      </c>
      <c r="D23" s="4167"/>
      <c r="E23" s="4167"/>
      <c r="F23" s="4167"/>
      <c r="G23" s="4167"/>
      <c r="H23" s="4167"/>
      <c r="I23" s="4167"/>
      <c r="J23" s="4167"/>
      <c r="K23" s="4167"/>
      <c r="L23" s="4167"/>
      <c r="M23" s="4167"/>
      <c r="N23" s="1386"/>
    </row>
    <row r="24" spans="2:55" ht="15.75">
      <c r="B24" s="1385"/>
      <c r="C24" s="4167" t="s">
        <v>1117</v>
      </c>
      <c r="D24" s="4167"/>
      <c r="E24" s="4167"/>
      <c r="F24" s="4167"/>
      <c r="G24" s="4167"/>
      <c r="H24" s="4167"/>
      <c r="I24" s="4167"/>
      <c r="J24" s="4167"/>
      <c r="K24" s="4167"/>
      <c r="L24" s="4167"/>
      <c r="M24" s="4167"/>
      <c r="N24" s="1386"/>
    </row>
    <row r="25" spans="2:55" ht="15">
      <c r="B25" s="1385"/>
      <c r="C25" s="1270"/>
      <c r="D25" s="1270"/>
      <c r="E25" s="1270"/>
      <c r="F25" s="1270"/>
      <c r="G25" s="1270"/>
      <c r="H25" s="1270"/>
      <c r="I25" s="1270"/>
      <c r="J25" s="1270"/>
      <c r="K25" s="1270"/>
      <c r="L25" s="4085" t="s">
        <v>1118</v>
      </c>
      <c r="M25" s="4085"/>
      <c r="N25" s="1386"/>
    </row>
    <row r="26" spans="2:55" ht="15">
      <c r="B26" s="1385"/>
      <c r="C26" s="1270"/>
      <c r="D26" s="1270"/>
      <c r="E26" s="1270"/>
      <c r="F26" s="1270"/>
      <c r="G26" s="1270"/>
      <c r="H26" s="1270"/>
      <c r="I26" s="1270"/>
      <c r="J26" s="1270"/>
      <c r="K26" s="1270"/>
      <c r="L26" s="1300"/>
      <c r="M26" s="1300"/>
      <c r="N26" s="1386"/>
    </row>
    <row r="27" spans="2:55" ht="21.95" customHeight="1">
      <c r="B27" s="1385"/>
      <c r="C27" s="1300">
        <v>1</v>
      </c>
      <c r="D27" s="1383" t="s">
        <v>957</v>
      </c>
      <c r="E27" s="4141" t="s">
        <v>1119</v>
      </c>
      <c r="F27" s="4141"/>
      <c r="G27" s="4141"/>
      <c r="H27" s="4141"/>
      <c r="I27" s="4141"/>
      <c r="J27" s="4141"/>
      <c r="K27" s="4141"/>
      <c r="L27" s="4085"/>
      <c r="M27" s="4085"/>
      <c r="N27" s="1386"/>
    </row>
    <row r="28" spans="2:55" ht="21.95" customHeight="1">
      <c r="B28" s="1385"/>
      <c r="C28" s="1300"/>
      <c r="D28" s="1383"/>
      <c r="E28" s="1401" t="s">
        <v>1120</v>
      </c>
      <c r="F28" s="1401"/>
      <c r="G28" s="1401"/>
      <c r="H28" s="1401"/>
      <c r="I28" s="1401"/>
      <c r="J28" s="1401"/>
      <c r="K28" s="1401"/>
      <c r="L28" s="4168">
        <f>'Formula-I '!BO126</f>
        <v>0</v>
      </c>
      <c r="M28" s="4168"/>
      <c r="N28" s="1386"/>
    </row>
    <row r="29" spans="2:55" ht="21.95" customHeight="1">
      <c r="B29" s="1385"/>
      <c r="C29" s="1300"/>
      <c r="D29" s="1383" t="s">
        <v>958</v>
      </c>
      <c r="E29" s="4141" t="s">
        <v>1121</v>
      </c>
      <c r="F29" s="4141"/>
      <c r="G29" s="4141"/>
      <c r="H29" s="4141"/>
      <c r="I29" s="4141"/>
      <c r="J29" s="4141"/>
      <c r="K29" s="4141"/>
      <c r="L29" s="4085"/>
      <c r="M29" s="4085"/>
      <c r="N29" s="1386"/>
    </row>
    <row r="30" spans="2:55" ht="21.95" customHeight="1">
      <c r="B30" s="1385"/>
      <c r="C30" s="1300"/>
      <c r="D30" s="1383"/>
      <c r="E30" s="4141" t="s">
        <v>1122</v>
      </c>
      <c r="F30" s="4141"/>
      <c r="G30" s="4141"/>
      <c r="H30" s="4141"/>
      <c r="I30" s="4141"/>
      <c r="J30" s="4141"/>
      <c r="K30" s="4141"/>
      <c r="L30" s="4164" t="s">
        <v>1123</v>
      </c>
      <c r="M30" s="4164"/>
      <c r="N30" s="1386"/>
    </row>
    <row r="31" spans="2:55" ht="21.95" customHeight="1">
      <c r="B31" s="1385"/>
      <c r="C31" s="1300"/>
      <c r="D31" s="1383"/>
      <c r="E31" s="4141" t="s">
        <v>1124</v>
      </c>
      <c r="F31" s="4141"/>
      <c r="G31" s="4141"/>
      <c r="H31" s="4141"/>
      <c r="I31" s="4141"/>
      <c r="J31" s="4141"/>
      <c r="K31" s="4141"/>
      <c r="L31" s="4085"/>
      <c r="M31" s="4085"/>
      <c r="N31" s="1386"/>
    </row>
    <row r="32" spans="2:55" ht="21.95" customHeight="1">
      <c r="B32" s="1385"/>
      <c r="C32" s="1300"/>
      <c r="D32" s="1402" t="s">
        <v>1125</v>
      </c>
      <c r="E32" s="4141" t="s">
        <v>1126</v>
      </c>
      <c r="F32" s="4141"/>
      <c r="G32" s="4141"/>
      <c r="H32" s="4141"/>
      <c r="I32" s="4141"/>
      <c r="J32" s="4141"/>
      <c r="K32" s="4141"/>
      <c r="L32" s="4085"/>
      <c r="M32" s="4085"/>
      <c r="N32" s="1386"/>
    </row>
    <row r="33" spans="2:14" ht="21.95" customHeight="1">
      <c r="B33" s="1385"/>
      <c r="C33" s="1300"/>
      <c r="D33" s="1383"/>
      <c r="E33" s="4141" t="s">
        <v>1127</v>
      </c>
      <c r="F33" s="4141"/>
      <c r="G33" s="4141"/>
      <c r="H33" s="4141"/>
      <c r="I33" s="4141"/>
      <c r="J33" s="4141"/>
      <c r="K33" s="4141"/>
      <c r="L33" s="4164" t="s">
        <v>1123</v>
      </c>
      <c r="M33" s="4164"/>
      <c r="N33" s="1386"/>
    </row>
    <row r="34" spans="2:14" ht="21.95" customHeight="1">
      <c r="B34" s="1385"/>
      <c r="C34" s="1300"/>
      <c r="D34" s="1383"/>
      <c r="E34" s="4141" t="s">
        <v>1128</v>
      </c>
      <c r="F34" s="4141"/>
      <c r="G34" s="4141"/>
      <c r="H34" s="4141"/>
      <c r="I34" s="4141"/>
      <c r="J34" s="4141"/>
      <c r="K34" s="4141"/>
      <c r="L34" s="4085"/>
      <c r="M34" s="4085"/>
      <c r="N34" s="1386"/>
    </row>
    <row r="35" spans="2:14" ht="21.95" customHeight="1">
      <c r="B35" s="1385"/>
      <c r="C35" s="1300"/>
      <c r="D35" s="1383"/>
      <c r="E35" s="4141" t="s">
        <v>1129</v>
      </c>
      <c r="F35" s="4141"/>
      <c r="G35" s="4141"/>
      <c r="H35" s="4141"/>
      <c r="I35" s="4141"/>
      <c r="J35" s="4141"/>
      <c r="K35" s="4141"/>
      <c r="L35" s="4085"/>
      <c r="M35" s="4085"/>
      <c r="N35" s="1386"/>
    </row>
    <row r="36" spans="2:14" ht="21.95" customHeight="1">
      <c r="B36" s="1385"/>
      <c r="C36" s="1300"/>
      <c r="D36" s="1383"/>
      <c r="E36" s="4141" t="s">
        <v>1130</v>
      </c>
      <c r="F36" s="4141"/>
      <c r="G36" s="4141"/>
      <c r="H36" s="4141"/>
      <c r="I36" s="4141"/>
      <c r="J36" s="4141"/>
      <c r="K36" s="4141"/>
      <c r="L36" s="4085"/>
      <c r="M36" s="4085"/>
      <c r="N36" s="1386"/>
    </row>
    <row r="37" spans="2:14" ht="21.95" customHeight="1">
      <c r="B37" s="1385"/>
      <c r="C37" s="1300"/>
      <c r="D37" s="1383" t="s">
        <v>1131</v>
      </c>
      <c r="E37" s="4141" t="s">
        <v>1132</v>
      </c>
      <c r="F37" s="4141"/>
      <c r="G37" s="4141"/>
      <c r="H37" s="4141"/>
      <c r="I37" s="4141"/>
      <c r="J37" s="4141"/>
      <c r="K37" s="4141"/>
      <c r="L37" s="4085"/>
      <c r="M37" s="4085"/>
      <c r="N37" s="1386"/>
    </row>
    <row r="38" spans="2:14" ht="21.95" customHeight="1">
      <c r="B38" s="1385"/>
      <c r="C38" s="1300"/>
      <c r="D38" s="1383"/>
      <c r="E38" s="4141" t="s">
        <v>1133</v>
      </c>
      <c r="F38" s="4141"/>
      <c r="G38" s="4141"/>
      <c r="H38" s="4141"/>
      <c r="I38" s="4141"/>
      <c r="J38" s="4141"/>
      <c r="K38" s="4141"/>
      <c r="L38" s="4164" t="s">
        <v>1123</v>
      </c>
      <c r="M38" s="4164"/>
      <c r="N38" s="1386"/>
    </row>
    <row r="39" spans="2:14" ht="21.95" customHeight="1">
      <c r="B39" s="1385"/>
      <c r="C39" s="1300"/>
      <c r="D39" s="1383"/>
      <c r="E39" s="1403"/>
      <c r="F39" s="1403"/>
      <c r="G39" s="1403"/>
      <c r="H39" s="1403"/>
      <c r="I39" s="1403"/>
      <c r="J39" s="1403"/>
      <c r="K39" s="1403"/>
      <c r="L39" s="1270"/>
      <c r="M39" s="1270"/>
      <c r="N39" s="1386"/>
    </row>
    <row r="40" spans="2:14" ht="21.95" customHeight="1">
      <c r="B40" s="1385"/>
      <c r="C40" s="1300">
        <v>2</v>
      </c>
      <c r="D40" s="1383"/>
      <c r="E40" s="4161" t="s">
        <v>1134</v>
      </c>
      <c r="F40" s="4161"/>
      <c r="G40" s="4161"/>
      <c r="H40" s="4161"/>
      <c r="I40" s="4161"/>
      <c r="J40" s="4161"/>
      <c r="K40" s="4161"/>
      <c r="L40" s="1270"/>
      <c r="M40" s="1270"/>
      <c r="N40" s="1386"/>
    </row>
    <row r="41" spans="2:14" ht="21.95" customHeight="1">
      <c r="B41" s="1385"/>
      <c r="C41" s="1300"/>
      <c r="D41" s="1383"/>
      <c r="E41" s="4161" t="s">
        <v>1135</v>
      </c>
      <c r="F41" s="4161"/>
      <c r="G41" s="4161"/>
      <c r="H41" s="4161"/>
      <c r="I41" s="4161"/>
      <c r="J41" s="4161"/>
      <c r="K41" s="4161"/>
      <c r="L41" s="1270"/>
      <c r="M41" s="1270"/>
      <c r="N41" s="1386"/>
    </row>
    <row r="42" spans="2:14" ht="15">
      <c r="B42" s="1385"/>
      <c r="C42" s="1300"/>
      <c r="D42" s="1270"/>
      <c r="E42" s="1403"/>
      <c r="F42" s="1403"/>
      <c r="G42" s="1403"/>
      <c r="H42" s="1403"/>
      <c r="I42" s="1403"/>
      <c r="J42" s="1403"/>
      <c r="K42" s="1403"/>
      <c r="L42" s="1270"/>
      <c r="M42" s="1270"/>
      <c r="N42" s="1386"/>
    </row>
    <row r="43" spans="2:14" ht="15">
      <c r="B43" s="1385"/>
      <c r="C43" s="1300"/>
      <c r="D43" s="1270"/>
      <c r="E43" s="1403"/>
      <c r="F43" s="1403"/>
      <c r="G43" s="1403"/>
      <c r="H43" s="1403"/>
      <c r="I43" s="1403"/>
      <c r="J43" s="1403"/>
      <c r="K43" s="1403"/>
      <c r="L43" s="1270"/>
      <c r="M43" s="1270"/>
      <c r="N43" s="1386"/>
    </row>
    <row r="44" spans="2:14" ht="15">
      <c r="B44" s="1385"/>
      <c r="C44" s="1300"/>
      <c r="D44" s="1270"/>
      <c r="E44" s="1270"/>
      <c r="F44" s="1270"/>
      <c r="G44" s="1270"/>
      <c r="H44" s="1270"/>
      <c r="I44" s="1270"/>
      <c r="J44" s="1270"/>
      <c r="K44" s="1270"/>
      <c r="L44" s="1270"/>
      <c r="M44" s="1270"/>
      <c r="N44" s="1386"/>
    </row>
    <row r="45" spans="2:14" ht="15.75">
      <c r="B45" s="1385"/>
      <c r="C45" s="1300"/>
      <c r="D45" s="1270"/>
      <c r="E45" s="1270"/>
      <c r="F45" s="1270"/>
      <c r="G45" s="1270"/>
      <c r="H45" s="1270"/>
      <c r="I45" s="1270"/>
      <c r="J45" s="1270"/>
      <c r="K45" s="4139" t="s">
        <v>30</v>
      </c>
      <c r="L45" s="4139"/>
      <c r="M45" s="4139"/>
      <c r="N45" s="1386"/>
    </row>
    <row r="46" spans="2:14" ht="15">
      <c r="B46" s="1385"/>
      <c r="C46" s="1300"/>
      <c r="D46" s="1270"/>
      <c r="E46" s="1270"/>
      <c r="F46" s="1270"/>
      <c r="G46" s="1270"/>
      <c r="H46" s="1270"/>
      <c r="I46" s="1270"/>
      <c r="J46" s="1270"/>
      <c r="K46" s="1270"/>
      <c r="L46" s="1270"/>
      <c r="M46" s="1270"/>
      <c r="N46" s="1386"/>
    </row>
    <row r="47" spans="2:14" ht="15">
      <c r="B47" s="1385"/>
      <c r="C47" s="1300"/>
      <c r="D47" s="1270"/>
      <c r="E47" s="1270"/>
      <c r="F47" s="1270"/>
      <c r="G47" s="1270"/>
      <c r="H47" s="1270"/>
      <c r="I47" s="1270"/>
      <c r="J47" s="1270"/>
      <c r="K47" s="1270"/>
      <c r="L47" s="1270"/>
      <c r="M47" s="1270"/>
      <c r="N47" s="1386"/>
    </row>
    <row r="48" spans="2:14" ht="18.75">
      <c r="B48" s="1385"/>
      <c r="C48" s="1300"/>
      <c r="D48" s="1270"/>
      <c r="E48" s="1270"/>
      <c r="F48" s="1270"/>
      <c r="G48" s="4162" t="s">
        <v>618</v>
      </c>
      <c r="H48" s="4162"/>
      <c r="I48" s="4162"/>
      <c r="J48" s="1270"/>
      <c r="K48" s="1270"/>
      <c r="L48" s="1270"/>
      <c r="M48" s="1270"/>
      <c r="N48" s="1386"/>
    </row>
    <row r="49" spans="2:24" ht="18.75">
      <c r="B49" s="1385"/>
      <c r="C49" s="1300"/>
      <c r="D49" s="1270"/>
      <c r="E49" s="1270"/>
      <c r="F49" s="1270"/>
      <c r="G49" s="1404"/>
      <c r="H49" s="1404"/>
      <c r="I49" s="1404"/>
      <c r="J49" s="1270"/>
      <c r="K49" s="1270"/>
      <c r="L49" s="1270"/>
      <c r="M49" s="1270"/>
      <c r="N49" s="1386"/>
    </row>
    <row r="50" spans="2:24" ht="15.75">
      <c r="B50" s="1385"/>
      <c r="C50" s="1405" t="s">
        <v>177</v>
      </c>
      <c r="D50" s="4163" t="str">
        <f>CONCATENATE(BC18,BC9,","," ",BC10)</f>
        <v>Sri.B.Saidi Reddy, Lecturer in Mathematics</v>
      </c>
      <c r="E50" s="4163"/>
      <c r="F50" s="4163"/>
      <c r="G50" s="4163"/>
      <c r="H50" s="4163"/>
      <c r="I50" s="4163"/>
      <c r="J50" s="4141" t="s">
        <v>1136</v>
      </c>
      <c r="K50" s="4141"/>
      <c r="L50" s="4141"/>
      <c r="M50" s="4141"/>
      <c r="N50" s="1406"/>
      <c r="Q50" s="1407"/>
      <c r="R50" s="1407"/>
      <c r="S50" s="1407"/>
      <c r="T50" s="1407"/>
      <c r="U50" s="1407"/>
      <c r="V50" s="1407"/>
      <c r="W50" s="1400"/>
      <c r="X50" s="1400"/>
    </row>
    <row r="51" spans="2:24" ht="15.75">
      <c r="B51" s="1385"/>
      <c r="C51" s="1405"/>
      <c r="D51" s="1400"/>
      <c r="E51" s="1400"/>
      <c r="F51" s="1400"/>
      <c r="G51" s="1400"/>
      <c r="H51" s="1400"/>
      <c r="I51" s="1400"/>
      <c r="J51" s="1400"/>
      <c r="K51" s="1400"/>
      <c r="L51" s="1400"/>
      <c r="M51" s="1400"/>
      <c r="N51" s="1406"/>
    </row>
    <row r="52" spans="2:24" ht="15.75">
      <c r="B52" s="1385"/>
      <c r="C52" s="1400"/>
      <c r="D52" s="1405" t="s">
        <v>1137</v>
      </c>
      <c r="E52" s="1400"/>
      <c r="F52" s="1400"/>
      <c r="G52" s="1400"/>
      <c r="H52" s="1400"/>
      <c r="I52" s="1400"/>
      <c r="J52" s="1400"/>
      <c r="K52" s="1400"/>
      <c r="L52" s="1400"/>
      <c r="M52" s="1400"/>
      <c r="N52" s="1406"/>
    </row>
    <row r="53" spans="2:24" ht="15">
      <c r="B53" s="1385"/>
      <c r="C53" s="1270"/>
      <c r="D53" s="1270"/>
      <c r="E53" s="1270"/>
      <c r="F53" s="1270"/>
      <c r="G53" s="1270"/>
      <c r="H53" s="1270"/>
      <c r="I53" s="1270"/>
      <c r="J53" s="1270"/>
      <c r="K53" s="1270"/>
      <c r="L53" s="1270"/>
      <c r="M53" s="1270"/>
      <c r="N53" s="1386"/>
    </row>
    <row r="54" spans="2:24" ht="15">
      <c r="B54" s="1385"/>
      <c r="C54" s="1270" t="s">
        <v>1138</v>
      </c>
      <c r="D54" s="1270"/>
      <c r="E54" s="1270" t="str">
        <f ca="1">'Formula-I '!CN106</f>
        <v>The 6th   day of  February-2026</v>
      </c>
      <c r="F54" s="1270"/>
      <c r="G54" s="1270"/>
      <c r="H54" s="1270"/>
      <c r="I54" s="1270"/>
      <c r="J54" s="1270"/>
      <c r="K54" s="1270"/>
      <c r="L54" s="1270"/>
      <c r="M54" s="1270"/>
      <c r="N54" s="1386"/>
    </row>
    <row r="55" spans="2:24" ht="15">
      <c r="B55" s="1385"/>
      <c r="C55" s="1270"/>
      <c r="D55" s="1270"/>
      <c r="E55" s="1270"/>
      <c r="F55" s="1270"/>
      <c r="G55" s="1270"/>
      <c r="H55" s="1270"/>
      <c r="I55" s="1270"/>
      <c r="J55" s="1270"/>
      <c r="K55" s="1270"/>
      <c r="L55" s="1270"/>
      <c r="M55" s="1270"/>
      <c r="N55" s="1386"/>
    </row>
    <row r="56" spans="2:24" ht="15.75">
      <c r="B56" s="1385"/>
      <c r="C56" s="1300" t="s">
        <v>178</v>
      </c>
      <c r="D56" s="4159" t="s">
        <v>1139</v>
      </c>
      <c r="E56" s="4159"/>
      <c r="F56" s="4159"/>
      <c r="G56" s="4159"/>
      <c r="H56" s="1270"/>
      <c r="I56" s="1270"/>
      <c r="J56" s="1270"/>
      <c r="K56" s="1270"/>
      <c r="L56" s="1270"/>
      <c r="M56" s="1270"/>
      <c r="N56" s="1386"/>
    </row>
    <row r="57" spans="2:24" ht="15.75">
      <c r="B57" s="1385"/>
      <c r="C57" s="1300" t="s">
        <v>1140</v>
      </c>
      <c r="D57" s="4160">
        <f ca="1">TODAY()</f>
        <v>46059</v>
      </c>
      <c r="E57" s="4160"/>
      <c r="F57" s="4160"/>
      <c r="G57" s="4160"/>
      <c r="H57" s="1270"/>
      <c r="I57" s="1270"/>
      <c r="J57" s="1270"/>
      <c r="K57" s="1270"/>
      <c r="L57" s="1270"/>
      <c r="M57" s="1270"/>
      <c r="N57" s="1386"/>
    </row>
    <row r="58" spans="2:24" ht="15">
      <c r="B58" s="1385"/>
      <c r="C58" s="1270"/>
      <c r="D58" s="1270"/>
      <c r="E58" s="1270"/>
      <c r="F58" s="1270"/>
      <c r="G58" s="1270"/>
      <c r="H58" s="1270"/>
      <c r="I58" s="1270"/>
      <c r="J58" s="1270"/>
      <c r="K58" s="1270"/>
      <c r="L58" s="1270"/>
      <c r="M58" s="1270"/>
      <c r="N58" s="1386"/>
    </row>
    <row r="59" spans="2:24" ht="15.75" thickBot="1">
      <c r="B59" s="1408"/>
      <c r="C59" s="1409"/>
      <c r="D59" s="1409"/>
      <c r="E59" s="1409"/>
      <c r="F59" s="1409"/>
      <c r="G59" s="1409"/>
      <c r="H59" s="1409"/>
      <c r="I59" s="1409"/>
      <c r="J59" s="1409"/>
      <c r="K59" s="1409"/>
      <c r="L59" s="1409"/>
      <c r="M59" s="1409"/>
      <c r="N59" s="1415"/>
    </row>
    <row r="60" spans="2:24" s="942" customFormat="1" ht="15.75" thickTop="1"/>
    <row r="61" spans="2:24" s="942" customFormat="1" ht="15" hidden="1"/>
    <row r="62" spans="2:24" s="942" customFormat="1" ht="15" hidden="1"/>
    <row r="63" spans="2:24" s="942" customFormat="1" ht="15" hidden="1"/>
    <row r="64" spans="2:24" s="942" customFormat="1" ht="15" hidden="1"/>
    <row r="65" s="942" customFormat="1" ht="15" hidden="1"/>
    <row r="66" s="942" customFormat="1" ht="15" hidden="1"/>
    <row r="67" s="942" customFormat="1" ht="15" hidden="1"/>
    <row r="68" s="942" customFormat="1" ht="15" hidden="1"/>
    <row r="69" s="942" customFormat="1" ht="15" hidden="1"/>
    <row r="70" s="942" customFormat="1" ht="15" hidden="1"/>
    <row r="71" s="942" customFormat="1" ht="15" hidden="1"/>
    <row r="72" s="942" customFormat="1" ht="15" hidden="1"/>
    <row r="73" s="942" customFormat="1" ht="15" hidden="1"/>
    <row r="74" s="942" customFormat="1" ht="15" hidden="1"/>
    <row r="75" s="942" customFormat="1" ht="15" hidden="1"/>
    <row r="76" s="942" customFormat="1" ht="15" hidden="1"/>
    <row r="77" s="942" customFormat="1" ht="15" hidden="1"/>
    <row r="78" s="942" customFormat="1" ht="15" hidden="1"/>
    <row r="79" s="942" customFormat="1" ht="15" hidden="1"/>
    <row r="80" s="942" customFormat="1" ht="15" hidden="1"/>
    <row r="81" s="942" customFormat="1" ht="15" hidden="1"/>
    <row r="82" s="942" customFormat="1" ht="15" hidden="1"/>
    <row r="83" s="942" customFormat="1" ht="15" hidden="1"/>
    <row r="84" s="942" customFormat="1" ht="15" hidden="1"/>
    <row r="85" s="942" customFormat="1" ht="15" hidden="1"/>
    <row r="86" s="942" customFormat="1" ht="15" hidden="1"/>
  </sheetData>
  <sheetProtection password="B991" sheet="1" objects="1" scenarios="1" selectLockedCells="1"/>
  <customSheetViews>
    <customSheetView guid="{DDA22D69-94B5-45BC-9EE2-6055A845129B}" hiddenRows="1" hiddenColumns="1" state="hidden" topLeftCell="A22">
      <selection activeCell="D50" sqref="D50:I50"/>
      <pageMargins left="0.34" right="0.36" top="0.45" bottom="0.35" header="0.3" footer="0.38"/>
      <pageSetup paperSize="9" scale="80" orientation="portrait" r:id="rId1"/>
    </customSheetView>
    <customSheetView guid="{1B7577DB-E3C4-4E68-B7CF-8F86FF7C5A82}" hiddenRows="1" hiddenColumns="1" state="hidden" topLeftCell="A22">
      <selection activeCell="D50" sqref="D50:I50"/>
      <pageMargins left="0.34" right="0.36" top="0.45" bottom="0.35" header="0.3" footer="0.38"/>
      <pageSetup paperSize="9" scale="80" orientation="portrait" r:id="rId2"/>
    </customSheetView>
    <customSheetView guid="{E7B1C62B-1F1D-4A62-BD87-EE62D3A36B6C}" hiddenRows="1" hiddenColumns="1" state="hidden" topLeftCell="A22">
      <selection activeCell="D50" sqref="D50:I50"/>
      <pageMargins left="0.34" right="0.36" top="0.45" bottom="0.35" header="0.3" footer="0.38"/>
      <pageSetup paperSize="9" scale="80" orientation="portrait" r:id="rId3"/>
    </customSheetView>
  </customSheetViews>
  <mergeCells count="58">
    <mergeCell ref="D9:G9"/>
    <mergeCell ref="H9:K9"/>
    <mergeCell ref="B2:N2"/>
    <mergeCell ref="B3:N3"/>
    <mergeCell ref="B4:M4"/>
    <mergeCell ref="B5:M5"/>
    <mergeCell ref="B6:M6"/>
    <mergeCell ref="H10:K10"/>
    <mergeCell ref="D11:G11"/>
    <mergeCell ref="H11:K11"/>
    <mergeCell ref="H12:K12"/>
    <mergeCell ref="D13:G13"/>
    <mergeCell ref="H13:K13"/>
    <mergeCell ref="H14:K14"/>
    <mergeCell ref="D15:G15"/>
    <mergeCell ref="H15:K15"/>
    <mergeCell ref="H16:K16"/>
    <mergeCell ref="D17:G17"/>
    <mergeCell ref="H17:K17"/>
    <mergeCell ref="E29:K29"/>
    <mergeCell ref="L29:M29"/>
    <mergeCell ref="H18:K18"/>
    <mergeCell ref="H19:K19"/>
    <mergeCell ref="H20:K20"/>
    <mergeCell ref="D21:G21"/>
    <mergeCell ref="H21:K21"/>
    <mergeCell ref="C23:M23"/>
    <mergeCell ref="C24:M24"/>
    <mergeCell ref="L25:M25"/>
    <mergeCell ref="E27:K27"/>
    <mergeCell ref="L27:M27"/>
    <mergeCell ref="L28:M28"/>
    <mergeCell ref="E30:K30"/>
    <mergeCell ref="L30:M30"/>
    <mergeCell ref="E31:K31"/>
    <mergeCell ref="L31:M31"/>
    <mergeCell ref="E32:K32"/>
    <mergeCell ref="L32:M32"/>
    <mergeCell ref="E33:K33"/>
    <mergeCell ref="L33:M33"/>
    <mergeCell ref="E34:K34"/>
    <mergeCell ref="L34:M34"/>
    <mergeCell ref="E35:K35"/>
    <mergeCell ref="L35:M35"/>
    <mergeCell ref="E36:K36"/>
    <mergeCell ref="L36:M36"/>
    <mergeCell ref="E37:K37"/>
    <mergeCell ref="L37:M37"/>
    <mergeCell ref="E38:K38"/>
    <mergeCell ref="L38:M38"/>
    <mergeCell ref="D56:G56"/>
    <mergeCell ref="D57:G57"/>
    <mergeCell ref="E40:K40"/>
    <mergeCell ref="E41:K41"/>
    <mergeCell ref="K45:M45"/>
    <mergeCell ref="G48:I48"/>
    <mergeCell ref="D50:I50"/>
    <mergeCell ref="J50:M50"/>
  </mergeCells>
  <pageMargins left="0.34" right="0.36" top="0.45" bottom="0.35" header="0.3" footer="0.38"/>
  <pageSetup paperSize="9" scale="80" orientation="portrait" r:id="rId4"/>
  <ignoredErrors>
    <ignoredError sqref="D50"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B1:T289"/>
  <sheetViews>
    <sheetView workbookViewId="0">
      <selection activeCell="U24" sqref="U24"/>
    </sheetView>
  </sheetViews>
  <sheetFormatPr defaultRowHeight="15"/>
  <cols>
    <col min="1" max="1" width="1.28515625" customWidth="1"/>
    <col min="2" max="2" width="1.140625" customWidth="1"/>
    <col min="3" max="3" width="10.42578125" customWidth="1"/>
    <col min="4" max="4" width="11" customWidth="1"/>
    <col min="6" max="6" width="6.5703125" customWidth="1"/>
    <col min="7" max="7" width="15" customWidth="1"/>
    <col min="8" max="8" width="11.85546875" customWidth="1"/>
    <col min="9" max="9" width="9.5703125" customWidth="1"/>
    <col min="10" max="10" width="7" customWidth="1"/>
    <col min="11" max="11" width="1.140625" customWidth="1"/>
    <col min="12" max="12" width="16.85546875" customWidth="1"/>
    <col min="13" max="13" width="11.85546875" customWidth="1"/>
    <col min="14" max="14" width="7.7109375" customWidth="1"/>
    <col min="15" max="15" width="5.7109375" customWidth="1"/>
    <col min="16" max="16" width="14.28515625" customWidth="1"/>
    <col min="17" max="17" width="6.5703125" customWidth="1"/>
    <col min="18" max="18" width="15.28515625" customWidth="1"/>
    <col min="19" max="19" width="1.140625" style="1217" customWidth="1"/>
  </cols>
  <sheetData>
    <row r="1" spans="2:20">
      <c r="B1" s="1270"/>
      <c r="C1" s="1270"/>
      <c r="D1" s="1270"/>
      <c r="E1" s="1270"/>
      <c r="F1" s="1270"/>
      <c r="G1" s="1270"/>
      <c r="H1" s="1270"/>
      <c r="I1" s="1270"/>
      <c r="J1" s="1270"/>
      <c r="K1" s="1270"/>
      <c r="L1" s="1270"/>
      <c r="M1" s="1270"/>
      <c r="N1" s="1270"/>
      <c r="O1" s="1270"/>
      <c r="P1" s="1270"/>
      <c r="Q1" s="1270"/>
      <c r="R1" s="1270"/>
      <c r="S1" s="1270"/>
      <c r="T1" s="1270"/>
    </row>
    <row r="2" spans="2:20">
      <c r="B2" s="1270"/>
      <c r="C2" s="1270"/>
      <c r="D2" s="1270"/>
      <c r="E2" s="1270"/>
      <c r="F2" s="1270"/>
      <c r="G2" s="1270"/>
      <c r="H2" s="1270"/>
      <c r="I2" s="1270"/>
      <c r="J2" s="1270"/>
      <c r="K2" s="1270"/>
      <c r="L2" s="1270"/>
      <c r="M2" s="1270"/>
      <c r="N2" s="1270"/>
      <c r="O2" s="1270"/>
      <c r="P2" s="1270"/>
      <c r="Q2" s="1270"/>
      <c r="R2" s="1270"/>
      <c r="S2" s="1270"/>
      <c r="T2" s="1270"/>
    </row>
    <row r="3" spans="2:20" ht="6.75" customHeight="1">
      <c r="B3" s="1271"/>
      <c r="C3" s="1271"/>
      <c r="D3" s="1271"/>
      <c r="E3" s="1271"/>
      <c r="F3" s="1271"/>
      <c r="G3" s="1271"/>
      <c r="H3" s="1271"/>
      <c r="I3" s="1271"/>
      <c r="J3" s="1271"/>
      <c r="K3" s="1271"/>
      <c r="L3" s="1271"/>
      <c r="M3" s="1271"/>
      <c r="N3" s="1271"/>
      <c r="O3" s="1271"/>
      <c r="P3" s="1271"/>
      <c r="Q3" s="1271"/>
      <c r="R3" s="1271"/>
      <c r="S3" s="1271"/>
      <c r="T3" s="1270"/>
    </row>
    <row r="4" spans="2:20" ht="32.25" customHeight="1">
      <c r="B4" s="1218"/>
      <c r="C4" s="3875" t="s">
        <v>1023</v>
      </c>
      <c r="D4" s="3875"/>
      <c r="E4" s="3875"/>
      <c r="F4" s="3875"/>
      <c r="G4" s="3875"/>
      <c r="H4" s="3875"/>
      <c r="I4" s="3875"/>
      <c r="J4" s="3875"/>
      <c r="K4" s="3875"/>
      <c r="L4" s="3875"/>
      <c r="M4" s="3875"/>
      <c r="N4" s="3875"/>
      <c r="O4" s="3875"/>
      <c r="P4" s="3875"/>
      <c r="Q4" s="3875"/>
      <c r="R4" s="3875"/>
      <c r="S4" s="1230"/>
    </row>
    <row r="5" spans="2:20" ht="22.5" customHeight="1">
      <c r="B5" s="1218"/>
      <c r="C5" s="3926" t="s">
        <v>176</v>
      </c>
      <c r="D5" s="4202" t="s">
        <v>1011</v>
      </c>
      <c r="E5" s="4203"/>
      <c r="F5" s="3929" t="s">
        <v>1030</v>
      </c>
      <c r="G5" s="3929"/>
      <c r="H5" s="3929" t="s">
        <v>1013</v>
      </c>
      <c r="I5" s="3929"/>
      <c r="J5" s="4208" t="s">
        <v>1031</v>
      </c>
      <c r="K5" s="4208"/>
      <c r="L5" s="4208"/>
      <c r="M5" s="3929" t="s">
        <v>1025</v>
      </c>
      <c r="N5" s="3929"/>
      <c r="O5" s="3929" t="s">
        <v>1026</v>
      </c>
      <c r="P5" s="3929"/>
      <c r="Q5" s="4208" t="s">
        <v>1027</v>
      </c>
      <c r="R5" s="4208"/>
      <c r="S5" s="1230"/>
    </row>
    <row r="6" spans="2:20" ht="22.5" customHeight="1">
      <c r="B6" s="1218"/>
      <c r="C6" s="3927"/>
      <c r="D6" s="4204"/>
      <c r="E6" s="4205"/>
      <c r="F6" s="3930"/>
      <c r="G6" s="3930"/>
      <c r="H6" s="3930"/>
      <c r="I6" s="3930"/>
      <c r="J6" s="4209"/>
      <c r="K6" s="4209"/>
      <c r="L6" s="4209"/>
      <c r="M6" s="3930"/>
      <c r="N6" s="3930"/>
      <c r="O6" s="3930"/>
      <c r="P6" s="3930"/>
      <c r="Q6" s="4209"/>
      <c r="R6" s="4209"/>
      <c r="S6" s="1230"/>
    </row>
    <row r="7" spans="2:20" ht="32.25" customHeight="1">
      <c r="B7" s="1218"/>
      <c r="C7" s="3928"/>
      <c r="D7" s="4206"/>
      <c r="E7" s="4207"/>
      <c r="F7" s="3931"/>
      <c r="G7" s="3931"/>
      <c r="H7" s="3931"/>
      <c r="I7" s="3931"/>
      <c r="J7" s="4210"/>
      <c r="K7" s="4210"/>
      <c r="L7" s="4210"/>
      <c r="M7" s="3931"/>
      <c r="N7" s="3931"/>
      <c r="O7" s="3931"/>
      <c r="P7" s="3931"/>
      <c r="Q7" s="4210"/>
      <c r="R7" s="4210"/>
      <c r="S7" s="1237"/>
    </row>
    <row r="8" spans="2:20" ht="22.5" customHeight="1">
      <c r="B8" s="1218"/>
      <c r="C8" s="1272">
        <v>1</v>
      </c>
      <c r="D8" s="4200">
        <v>2</v>
      </c>
      <c r="E8" s="4200"/>
      <c r="F8" s="4200">
        <v>3</v>
      </c>
      <c r="G8" s="4200"/>
      <c r="H8" s="4200">
        <v>4</v>
      </c>
      <c r="I8" s="4200"/>
      <c r="J8" s="4200">
        <v>5</v>
      </c>
      <c r="K8" s="4200"/>
      <c r="L8" s="4200"/>
      <c r="M8" s="4200">
        <v>6</v>
      </c>
      <c r="N8" s="4200"/>
      <c r="O8" s="4200">
        <v>7</v>
      </c>
      <c r="P8" s="4200"/>
      <c r="Q8" s="4200">
        <v>8</v>
      </c>
      <c r="R8" s="4200"/>
      <c r="S8" s="1237"/>
    </row>
    <row r="9" spans="2:20" ht="24" customHeight="1">
      <c r="B9" s="1218"/>
      <c r="C9" s="1272">
        <v>1</v>
      </c>
      <c r="D9" s="4201" t="s">
        <v>1015</v>
      </c>
      <c r="E9" s="4201"/>
      <c r="F9" s="3834">
        <f>'[1] Data Sheet-I'!F22</f>
        <v>565800</v>
      </c>
      <c r="G9" s="3834"/>
      <c r="H9" s="3834">
        <f>'[1] Data Sheet-I'!H22</f>
        <v>4500</v>
      </c>
      <c r="I9" s="3834"/>
      <c r="J9" s="4200">
        <f>SUM(F9:I9)</f>
        <v>570300</v>
      </c>
      <c r="K9" s="4200"/>
      <c r="L9" s="4200"/>
      <c r="M9" s="3834">
        <f>'[1]Formula-I'!I207</f>
        <v>48575</v>
      </c>
      <c r="N9" s="3834"/>
      <c r="O9" s="3834">
        <f>'[1]Formula-II'!I223</f>
        <v>49502</v>
      </c>
      <c r="P9" s="3834"/>
      <c r="Q9" s="3834">
        <f>SUM(O9-M9)</f>
        <v>927</v>
      </c>
      <c r="R9" s="3834"/>
      <c r="S9" s="1237"/>
    </row>
    <row r="10" spans="2:20" ht="24" customHeight="1">
      <c r="B10" s="1218"/>
      <c r="C10" s="1239">
        <v>2</v>
      </c>
      <c r="D10" s="4201" t="s">
        <v>1016</v>
      </c>
      <c r="E10" s="4201"/>
      <c r="F10" s="3834">
        <f>'[1] Data Sheet-I'!F23</f>
        <v>365700</v>
      </c>
      <c r="G10" s="3834"/>
      <c r="H10" s="3834">
        <f>'[1] Data Sheet-I'!H23</f>
        <v>36500</v>
      </c>
      <c r="I10" s="3834"/>
      <c r="J10" s="4200">
        <f t="shared" ref="J10:J16" si="0">SUM(F10:I10)</f>
        <v>402200</v>
      </c>
      <c r="K10" s="4200"/>
      <c r="L10" s="4200"/>
      <c r="M10" s="3834">
        <f>'[1]Formula-I'!I208</f>
        <v>19127</v>
      </c>
      <c r="N10" s="3834"/>
      <c r="O10" s="3834">
        <f>'[1]Formula-II'!I224</f>
        <v>22886</v>
      </c>
      <c r="P10" s="3834"/>
      <c r="Q10" s="3834">
        <f>SUM(O10-M10)</f>
        <v>3759</v>
      </c>
      <c r="R10" s="3834"/>
      <c r="S10" s="1237"/>
    </row>
    <row r="11" spans="2:20" ht="24" customHeight="1">
      <c r="B11" s="1218"/>
      <c r="C11" s="1272">
        <v>3</v>
      </c>
      <c r="D11" s="4201" t="s">
        <v>1017</v>
      </c>
      <c r="E11" s="4201"/>
      <c r="F11" s="3834">
        <f>'[1] Data Sheet-I'!F24</f>
        <v>436500</v>
      </c>
      <c r="G11" s="3834"/>
      <c r="H11" s="3834">
        <f>'[1] Data Sheet-I'!H24</f>
        <v>42800</v>
      </c>
      <c r="I11" s="3834"/>
      <c r="J11" s="4200">
        <f t="shared" si="0"/>
        <v>479300</v>
      </c>
      <c r="K11" s="4200"/>
      <c r="L11" s="4200"/>
      <c r="M11" s="3834">
        <f>'[1]Formula-I'!I209</f>
        <v>24360</v>
      </c>
      <c r="N11" s="3834"/>
      <c r="O11" s="3834">
        <f>'[1]Formula-II'!I225</f>
        <v>28768</v>
      </c>
      <c r="P11" s="3834"/>
      <c r="Q11" s="3834">
        <f t="shared" ref="Q11:Q16" si="1">SUM(O11-M11)</f>
        <v>4408</v>
      </c>
      <c r="R11" s="3834"/>
      <c r="S11" s="1237"/>
    </row>
    <row r="12" spans="2:20" ht="24" customHeight="1">
      <c r="B12" s="1218"/>
      <c r="C12" s="1239">
        <v>4</v>
      </c>
      <c r="D12" s="4201" t="s">
        <v>1018</v>
      </c>
      <c r="E12" s="4201"/>
      <c r="F12" s="3834">
        <f>'[1] Data Sheet-I'!F25</f>
        <v>345268</v>
      </c>
      <c r="G12" s="3834"/>
      <c r="H12" s="3834">
        <f>'[1] Data Sheet-I'!H25</f>
        <v>63455</v>
      </c>
      <c r="I12" s="3834"/>
      <c r="J12" s="4200">
        <f t="shared" si="0"/>
        <v>408723</v>
      </c>
      <c r="K12" s="4200"/>
      <c r="L12" s="4200"/>
      <c r="M12" s="3834">
        <f>'[1]Formula-I'!I210</f>
        <v>12903</v>
      </c>
      <c r="N12" s="3834"/>
      <c r="O12" s="3834">
        <f>'[1]Formula-II'!I226</f>
        <v>19438</v>
      </c>
      <c r="P12" s="3834"/>
      <c r="Q12" s="3834">
        <f t="shared" si="1"/>
        <v>6535</v>
      </c>
      <c r="R12" s="3834"/>
      <c r="S12" s="1237"/>
    </row>
    <row r="13" spans="2:20" ht="24" customHeight="1">
      <c r="B13" s="1218"/>
      <c r="C13" s="1272">
        <v>5</v>
      </c>
      <c r="D13" s="4201" t="s">
        <v>1019</v>
      </c>
      <c r="E13" s="4201"/>
      <c r="F13" s="3834">
        <f>'[1] Data Sheet-I'!F26</f>
        <v>365400</v>
      </c>
      <c r="G13" s="3834"/>
      <c r="H13" s="3834">
        <f>'[1] Data Sheet-I'!H26</f>
        <v>88800</v>
      </c>
      <c r="I13" s="3834"/>
      <c r="J13" s="4200">
        <f t="shared" si="0"/>
        <v>454200</v>
      </c>
      <c r="K13" s="4200"/>
      <c r="L13" s="4200"/>
      <c r="M13" s="3834">
        <f>'[1]Formula-I'!I211</f>
        <v>9826</v>
      </c>
      <c r="N13" s="3834"/>
      <c r="O13" s="3834">
        <f>'[1]Formula-II'!I227</f>
        <v>18972</v>
      </c>
      <c r="P13" s="3834"/>
      <c r="Q13" s="3834">
        <f t="shared" si="1"/>
        <v>9146</v>
      </c>
      <c r="R13" s="3834"/>
      <c r="S13" s="1237"/>
    </row>
    <row r="14" spans="2:20" ht="24" customHeight="1">
      <c r="B14" s="1218"/>
      <c r="C14" s="1272">
        <v>6</v>
      </c>
      <c r="D14" s="4198" t="s">
        <v>1020</v>
      </c>
      <c r="E14" s="4199"/>
      <c r="F14" s="3834">
        <f>'[1] Data Sheet-I'!F27</f>
        <v>425620</v>
      </c>
      <c r="G14" s="3834"/>
      <c r="H14" s="3834">
        <f>'[1] Data Sheet-I'!H27</f>
        <v>68000</v>
      </c>
      <c r="I14" s="3834"/>
      <c r="J14" s="4200">
        <f t="shared" si="0"/>
        <v>493620</v>
      </c>
      <c r="K14" s="4200"/>
      <c r="L14" s="4200"/>
      <c r="M14" s="3834">
        <f>'[1]Formula-I'!I212</f>
        <v>16029</v>
      </c>
      <c r="N14" s="3834"/>
      <c r="O14" s="3834">
        <f>'[1]Formula-II'!I228</f>
        <v>23033</v>
      </c>
      <c r="P14" s="3834"/>
      <c r="Q14" s="3834">
        <f t="shared" si="1"/>
        <v>7004</v>
      </c>
      <c r="R14" s="3834"/>
      <c r="S14" s="1237"/>
    </row>
    <row r="15" spans="2:20" ht="24" customHeight="1">
      <c r="B15" s="1218"/>
      <c r="C15" s="1272">
        <v>7</v>
      </c>
      <c r="D15" s="4198" t="s">
        <v>1021</v>
      </c>
      <c r="E15" s="4199"/>
      <c r="F15" s="3834">
        <f>'[1] Data Sheet-I'!F28</f>
        <v>652800</v>
      </c>
      <c r="G15" s="3834"/>
      <c r="H15" s="3834">
        <f>'[1] Data Sheet-I'!H28</f>
        <v>72000</v>
      </c>
      <c r="I15" s="3834"/>
      <c r="J15" s="4200">
        <f t="shared" si="0"/>
        <v>724800</v>
      </c>
      <c r="K15" s="4200"/>
      <c r="L15" s="4200"/>
      <c r="M15" s="3834">
        <f>'[1]Formula-I'!I213</f>
        <v>57227</v>
      </c>
      <c r="N15" s="3834"/>
      <c r="O15" s="3834">
        <f>'[1]Formula-II'!I229</f>
        <v>72059</v>
      </c>
      <c r="P15" s="3834"/>
      <c r="Q15" s="3834">
        <f t="shared" si="1"/>
        <v>14832</v>
      </c>
      <c r="R15" s="3834"/>
      <c r="S15" s="1237"/>
    </row>
    <row r="16" spans="2:20" ht="24" customHeight="1">
      <c r="B16" s="1218"/>
      <c r="C16" s="1272">
        <v>8</v>
      </c>
      <c r="D16" s="4198" t="s">
        <v>1022</v>
      </c>
      <c r="E16" s="4199"/>
      <c r="F16" s="3834">
        <f>'[1] Data Sheet-I'!F29</f>
        <v>565000</v>
      </c>
      <c r="G16" s="3834"/>
      <c r="H16" s="3834">
        <f>'[1] Data Sheet-I'!H29</f>
        <v>36500</v>
      </c>
      <c r="I16" s="3834"/>
      <c r="J16" s="4200">
        <f t="shared" si="0"/>
        <v>601500</v>
      </c>
      <c r="K16" s="4200"/>
      <c r="L16" s="4200"/>
      <c r="M16" s="3834">
        <f>'[1]Formula-I'!I214</f>
        <v>26265</v>
      </c>
      <c r="N16" s="3834"/>
      <c r="O16" s="3834">
        <f>'[1]Formula-II'!I230</f>
        <v>33784</v>
      </c>
      <c r="P16" s="3834"/>
      <c r="Q16" s="3834">
        <f t="shared" si="1"/>
        <v>7519</v>
      </c>
      <c r="R16" s="3834"/>
      <c r="S16" s="1237"/>
    </row>
    <row r="17" spans="2:19" ht="24" customHeight="1">
      <c r="B17" s="1218"/>
      <c r="C17" s="1273"/>
      <c r="D17" s="4194" t="s">
        <v>22</v>
      </c>
      <c r="E17" s="4194"/>
      <c r="F17" s="3834">
        <f>SUM(F9:G16)</f>
        <v>3722088</v>
      </c>
      <c r="G17" s="3834"/>
      <c r="H17" s="3834">
        <f>SUM(H9:I16)</f>
        <v>412555</v>
      </c>
      <c r="I17" s="3834"/>
      <c r="J17" s="4195">
        <f>SUM(J9:L16)</f>
        <v>4134643</v>
      </c>
      <c r="K17" s="4196"/>
      <c r="L17" s="4197"/>
      <c r="M17" s="3834">
        <f>SUM(M9:N16)</f>
        <v>214312</v>
      </c>
      <c r="N17" s="3834"/>
      <c r="O17" s="3834">
        <f>SUM(O9:P16)</f>
        <v>268442</v>
      </c>
      <c r="P17" s="3834"/>
      <c r="Q17" s="3834">
        <f>SUM(Q9:R16)</f>
        <v>54130</v>
      </c>
      <c r="R17" s="3834"/>
      <c r="S17" s="1237"/>
    </row>
    <row r="18" spans="2:19" ht="4.5" customHeight="1">
      <c r="B18" s="1218"/>
      <c r="C18" s="1240"/>
      <c r="D18" s="1241"/>
      <c r="E18" s="1241"/>
      <c r="F18" s="1241"/>
      <c r="G18" s="1241"/>
      <c r="H18" s="1241"/>
      <c r="I18" s="1242"/>
      <c r="J18" s="1242"/>
      <c r="K18" s="1241"/>
      <c r="L18" s="1240"/>
      <c r="M18" s="1240"/>
      <c r="N18" s="1240"/>
      <c r="O18" s="1241"/>
      <c r="P18" s="1241"/>
      <c r="Q18" s="1243"/>
      <c r="R18" s="1243"/>
      <c r="S18" s="1236"/>
    </row>
    <row r="19" spans="2:19" ht="24" customHeight="1">
      <c r="B19" s="1218"/>
      <c r="C19" s="1274"/>
      <c r="D19" s="1274"/>
      <c r="E19" s="1274"/>
      <c r="F19" s="1274"/>
      <c r="G19" s="1274"/>
      <c r="H19" s="1274"/>
      <c r="I19" s="1274"/>
      <c r="J19" s="1274"/>
      <c r="K19" s="1274"/>
      <c r="L19" s="1274"/>
      <c r="M19" s="1274"/>
      <c r="N19" s="1274"/>
      <c r="O19" s="1274"/>
      <c r="P19" s="1274"/>
      <c r="Q19" s="1274"/>
      <c r="R19" s="1274"/>
      <c r="S19" s="1236"/>
    </row>
    <row r="20" spans="2:19" ht="5.25" customHeight="1">
      <c r="B20" s="1218"/>
      <c r="C20" s="1274"/>
      <c r="D20" s="1274"/>
      <c r="E20" s="1274"/>
      <c r="F20" s="1274"/>
      <c r="G20" s="1274"/>
      <c r="H20" s="1274"/>
      <c r="I20" s="1274"/>
      <c r="J20" s="1274"/>
      <c r="K20" s="1274"/>
      <c r="L20" s="1274"/>
      <c r="M20" s="1274"/>
      <c r="N20" s="1274"/>
      <c r="O20" s="1274"/>
      <c r="P20" s="1274"/>
      <c r="Q20" s="1274"/>
      <c r="R20" s="1274"/>
      <c r="S20" s="1236"/>
    </row>
    <row r="21" spans="2:19" ht="29.25" customHeight="1">
      <c r="B21" s="1218"/>
      <c r="C21" s="1275"/>
      <c r="D21" s="1275"/>
      <c r="E21" s="1275"/>
      <c r="F21" s="1275"/>
      <c r="G21" s="1275"/>
      <c r="H21" s="4191" t="s">
        <v>1028</v>
      </c>
      <c r="I21" s="4191"/>
      <c r="J21" s="4191"/>
      <c r="K21" s="4191"/>
      <c r="L21" s="4191"/>
      <c r="M21" s="1276"/>
      <c r="N21" s="1277"/>
      <c r="O21" s="1277"/>
      <c r="P21" s="1277"/>
      <c r="Q21" s="1277"/>
      <c r="R21" s="1277"/>
      <c r="S21" s="1236"/>
    </row>
    <row r="22" spans="2:19" ht="38.25" customHeight="1">
      <c r="B22" s="1218"/>
      <c r="C22" s="1278"/>
      <c r="D22" s="1278"/>
      <c r="E22" s="1278"/>
      <c r="F22" s="1278"/>
      <c r="G22" s="1278"/>
      <c r="H22" s="4192" t="s">
        <v>1011</v>
      </c>
      <c r="I22" s="4192"/>
      <c r="J22" s="4192"/>
      <c r="K22" s="4193" t="s">
        <v>1029</v>
      </c>
      <c r="L22" s="4193"/>
      <c r="M22" s="1279"/>
      <c r="N22" s="1280"/>
      <c r="O22" s="1280"/>
      <c r="P22" s="1280"/>
      <c r="Q22" s="1277"/>
      <c r="R22" s="1277"/>
      <c r="S22" s="1246"/>
    </row>
    <row r="23" spans="2:19" ht="24" customHeight="1">
      <c r="B23" s="1218"/>
      <c r="C23" s="1281"/>
      <c r="D23" s="1281"/>
      <c r="E23" s="1281"/>
      <c r="F23" s="1281"/>
      <c r="G23" s="1281"/>
      <c r="H23" s="4180" t="s">
        <v>1015</v>
      </c>
      <c r="I23" s="4180"/>
      <c r="J23" s="4180"/>
      <c r="K23" s="4181">
        <f t="shared" ref="K23:K29" si="2">Q9</f>
        <v>927</v>
      </c>
      <c r="L23" s="4181"/>
      <c r="M23" s="1282"/>
      <c r="N23" s="1277"/>
      <c r="O23" s="1283"/>
      <c r="P23" s="1283"/>
      <c r="Q23" s="1277"/>
      <c r="R23" s="1277"/>
      <c r="S23" s="1246"/>
    </row>
    <row r="24" spans="2:19" ht="24" customHeight="1">
      <c r="B24" s="1218"/>
      <c r="C24" s="1284"/>
      <c r="D24" s="1284"/>
      <c r="E24" s="1284"/>
      <c r="F24" s="1284"/>
      <c r="G24" s="1284"/>
      <c r="H24" s="4180" t="s">
        <v>1016</v>
      </c>
      <c r="I24" s="4180"/>
      <c r="J24" s="4180"/>
      <c r="K24" s="4181">
        <f t="shared" si="2"/>
        <v>3759</v>
      </c>
      <c r="L24" s="4181"/>
      <c r="M24" s="1282"/>
      <c r="N24" s="1277"/>
      <c r="O24" s="1285"/>
      <c r="P24" s="1285"/>
      <c r="Q24" s="1277"/>
      <c r="R24" s="1277"/>
      <c r="S24" s="1246"/>
    </row>
    <row r="25" spans="2:19" ht="24" customHeight="1">
      <c r="B25" s="1218"/>
      <c r="C25" s="1286"/>
      <c r="D25" s="1286"/>
      <c r="E25" s="1286"/>
      <c r="F25" s="1286"/>
      <c r="G25" s="1286"/>
      <c r="H25" s="4180" t="s">
        <v>1017</v>
      </c>
      <c r="I25" s="4180"/>
      <c r="J25" s="4180"/>
      <c r="K25" s="4181">
        <f t="shared" si="2"/>
        <v>4408</v>
      </c>
      <c r="L25" s="4181"/>
      <c r="M25" s="1282"/>
      <c r="N25" s="1277"/>
      <c r="O25" s="1285"/>
      <c r="P25" s="1285"/>
      <c r="Q25" s="1277"/>
      <c r="R25" s="1277"/>
      <c r="S25" s="1246"/>
    </row>
    <row r="26" spans="2:19" ht="24" customHeight="1">
      <c r="B26" s="1218"/>
      <c r="C26" s="1287"/>
      <c r="D26" s="1287"/>
      <c r="E26" s="1287"/>
      <c r="F26" s="1287"/>
      <c r="G26" s="1287"/>
      <c r="H26" s="4180" t="s">
        <v>1018</v>
      </c>
      <c r="I26" s="4180"/>
      <c r="J26" s="4180"/>
      <c r="K26" s="4181">
        <f t="shared" si="2"/>
        <v>6535</v>
      </c>
      <c r="L26" s="4181"/>
      <c r="M26" s="1282"/>
      <c r="N26" s="1277"/>
      <c r="O26" s="1285"/>
      <c r="P26" s="1285"/>
      <c r="Q26" s="1277"/>
      <c r="R26" s="1277"/>
      <c r="S26" s="1246"/>
    </row>
    <row r="27" spans="2:19" ht="24" customHeight="1">
      <c r="B27" s="1218"/>
      <c r="C27" s="1274"/>
      <c r="D27" s="1274"/>
      <c r="E27" s="1274"/>
      <c r="F27" s="1274"/>
      <c r="G27" s="1274"/>
      <c r="H27" s="4180" t="s">
        <v>1019</v>
      </c>
      <c r="I27" s="4180"/>
      <c r="J27" s="4180"/>
      <c r="K27" s="4181">
        <f t="shared" si="2"/>
        <v>9146</v>
      </c>
      <c r="L27" s="4181"/>
      <c r="M27" s="1282"/>
      <c r="N27" s="1277"/>
      <c r="O27" s="1285"/>
      <c r="P27" s="1285"/>
      <c r="Q27" s="1277"/>
      <c r="R27" s="1277"/>
      <c r="S27" s="1246"/>
    </row>
    <row r="28" spans="2:19" ht="24" customHeight="1">
      <c r="B28" s="1218"/>
      <c r="C28" s="1274"/>
      <c r="D28" s="1274"/>
      <c r="E28" s="1274"/>
      <c r="F28" s="1274"/>
      <c r="G28" s="1274"/>
      <c r="H28" s="4186" t="s">
        <v>1020</v>
      </c>
      <c r="I28" s="4187"/>
      <c r="J28" s="4188"/>
      <c r="K28" s="4189">
        <f t="shared" si="2"/>
        <v>7004</v>
      </c>
      <c r="L28" s="4190"/>
      <c r="M28" s="1277"/>
      <c r="N28" s="1277"/>
      <c r="O28" s="1285"/>
      <c r="P28" s="1285"/>
      <c r="Q28" s="1277"/>
      <c r="R28" s="1277"/>
      <c r="S28" s="1246"/>
    </row>
    <row r="29" spans="2:19" ht="24" customHeight="1">
      <c r="B29" s="1218"/>
      <c r="C29" s="1274"/>
      <c r="D29" s="1274"/>
      <c r="E29" s="1274"/>
      <c r="F29" s="1274"/>
      <c r="G29" s="1274"/>
      <c r="H29" s="4186" t="s">
        <v>1021</v>
      </c>
      <c r="I29" s="4187"/>
      <c r="J29" s="4188"/>
      <c r="K29" s="4189">
        <f t="shared" si="2"/>
        <v>14832</v>
      </c>
      <c r="L29" s="4190"/>
      <c r="M29" s="1277"/>
      <c r="N29" s="1277"/>
      <c r="O29" s="1285"/>
      <c r="P29" s="1285"/>
      <c r="Q29" s="1277"/>
      <c r="R29" s="1277"/>
      <c r="S29" s="1246"/>
    </row>
    <row r="30" spans="2:19" ht="24" customHeight="1">
      <c r="B30" s="1218"/>
      <c r="C30" s="1274"/>
      <c r="D30" s="1274"/>
      <c r="E30" s="1274"/>
      <c r="F30" s="1274"/>
      <c r="G30" s="1274"/>
      <c r="H30" s="4186" t="s">
        <v>1022</v>
      </c>
      <c r="I30" s="4187"/>
      <c r="J30" s="4188"/>
      <c r="K30" s="4189">
        <f>Q16</f>
        <v>7519</v>
      </c>
      <c r="L30" s="4190"/>
      <c r="M30" s="1277"/>
      <c r="N30" s="1277"/>
      <c r="O30" s="1285"/>
      <c r="P30" s="1285"/>
      <c r="Q30" s="1277"/>
      <c r="R30" s="1277"/>
      <c r="S30" s="1246"/>
    </row>
    <row r="31" spans="2:19" ht="24" customHeight="1">
      <c r="B31" s="1218"/>
      <c r="C31" s="1274"/>
      <c r="D31" s="1274"/>
      <c r="E31" s="1274"/>
      <c r="F31" s="1274"/>
      <c r="G31" s="1274"/>
      <c r="H31" s="4180" t="s">
        <v>22</v>
      </c>
      <c r="I31" s="4180"/>
      <c r="J31" s="4180"/>
      <c r="K31" s="4181">
        <f>Q17</f>
        <v>54130</v>
      </c>
      <c r="L31" s="4181"/>
      <c r="M31" s="1277"/>
      <c r="N31" s="1277"/>
      <c r="O31" s="1285"/>
      <c r="P31" s="1285"/>
      <c r="Q31" s="1277"/>
      <c r="R31" s="1277"/>
      <c r="S31" s="1246"/>
    </row>
    <row r="32" spans="2:19" ht="21.95" customHeight="1">
      <c r="B32" s="1218"/>
      <c r="C32" s="1274"/>
      <c r="D32" s="1274"/>
      <c r="E32" s="1274"/>
      <c r="F32" s="1274"/>
      <c r="G32" s="1274"/>
      <c r="H32" s="4182" t="s">
        <v>1032</v>
      </c>
      <c r="I32" s="4182"/>
      <c r="J32" s="4182"/>
      <c r="K32" s="4183">
        <f>'[1]Formula-III'!BO27</f>
        <v>39883</v>
      </c>
      <c r="L32" s="4183"/>
      <c r="M32" s="1280"/>
      <c r="N32" s="1280"/>
      <c r="O32" s="1288"/>
      <c r="P32" s="1288"/>
      <c r="Q32" s="1277"/>
      <c r="R32" s="1277"/>
      <c r="S32" s="1246"/>
    </row>
    <row r="33" spans="2:19" ht="21.95" customHeight="1">
      <c r="B33" s="1218"/>
      <c r="C33" s="1274"/>
      <c r="D33" s="1274"/>
      <c r="E33" s="1274"/>
      <c r="F33" s="1274"/>
      <c r="G33" s="1274"/>
      <c r="H33" s="4184"/>
      <c r="I33" s="4184"/>
      <c r="J33" s="4184"/>
      <c r="K33" s="4185"/>
      <c r="L33" s="4185"/>
      <c r="M33" s="1277"/>
      <c r="N33" s="1277"/>
      <c r="O33" s="1285"/>
      <c r="P33" s="1285"/>
      <c r="Q33" s="1277"/>
      <c r="R33" s="1277"/>
      <c r="S33" s="1246"/>
    </row>
    <row r="34" spans="2:19" ht="21.95" customHeight="1">
      <c r="B34" s="1218"/>
      <c r="C34" s="1274"/>
      <c r="D34" s="1274"/>
      <c r="E34" s="1274"/>
      <c r="F34" s="1274"/>
      <c r="G34" s="1274"/>
      <c r="H34" s="4178"/>
      <c r="I34" s="4178"/>
      <c r="J34" s="4178"/>
      <c r="K34" s="4179"/>
      <c r="L34" s="4179"/>
      <c r="M34" s="1277"/>
      <c r="N34" s="1277"/>
      <c r="O34" s="1289"/>
      <c r="P34" s="1289"/>
      <c r="Q34" s="1277"/>
      <c r="R34" s="1277"/>
      <c r="S34" s="1246"/>
    </row>
    <row r="35" spans="2:19" ht="21.95" customHeight="1">
      <c r="B35" s="1218"/>
      <c r="C35" s="1274"/>
      <c r="D35" s="1274"/>
      <c r="E35" s="1290"/>
      <c r="F35" s="1274"/>
      <c r="G35" s="1274"/>
      <c r="H35" s="4178"/>
      <c r="I35" s="4178"/>
      <c r="J35" s="4178"/>
      <c r="K35" s="4179"/>
      <c r="L35" s="4179"/>
      <c r="M35" s="1277"/>
      <c r="N35" s="1277"/>
      <c r="O35" s="1277"/>
      <c r="P35" s="1277"/>
      <c r="Q35" s="1277"/>
      <c r="R35" s="1277"/>
      <c r="S35" s="1246"/>
    </row>
    <row r="36" spans="2:19" ht="21.95" customHeight="1">
      <c r="B36" s="1218"/>
      <c r="C36" s="1274"/>
      <c r="D36" s="1274"/>
      <c r="E36" s="1274"/>
      <c r="F36" s="1274"/>
      <c r="G36" s="1274"/>
      <c r="H36" s="1274"/>
      <c r="I36" s="1291"/>
      <c r="J36" s="1291"/>
      <c r="K36" s="1277"/>
      <c r="L36" s="1277"/>
      <c r="M36" s="1277"/>
      <c r="N36" s="1277"/>
      <c r="O36" s="1277"/>
      <c r="P36" s="1277"/>
      <c r="Q36" s="1277"/>
      <c r="R36" s="1277"/>
      <c r="S36" s="1246"/>
    </row>
    <row r="37" spans="2:19" ht="7.5" customHeight="1">
      <c r="B37" s="1218"/>
      <c r="C37" s="1218"/>
      <c r="D37" s="1218"/>
      <c r="E37" s="1218"/>
      <c r="F37" s="1218"/>
      <c r="G37" s="1218"/>
      <c r="H37" s="1218"/>
      <c r="I37" s="1218"/>
      <c r="J37" s="1218"/>
      <c r="K37" s="1218"/>
      <c r="L37" s="1218"/>
      <c r="M37" s="1218"/>
      <c r="N37" s="1218"/>
      <c r="O37" s="1218"/>
      <c r="P37" s="1218"/>
      <c r="Q37" s="1218"/>
      <c r="R37" s="1218"/>
      <c r="S37" s="1219"/>
    </row>
    <row r="38" spans="2:19">
      <c r="C38" s="1270"/>
      <c r="D38" s="1270"/>
      <c r="E38" s="1270"/>
      <c r="F38" s="1270"/>
      <c r="G38" s="1270"/>
      <c r="H38" s="1270"/>
      <c r="I38" s="1270"/>
      <c r="J38" s="1270"/>
      <c r="K38" s="1270"/>
      <c r="L38" s="1270"/>
      <c r="M38" s="1270"/>
      <c r="N38" s="1270"/>
      <c r="O38" s="1270"/>
      <c r="P38" s="1270"/>
      <c r="Q38" s="1270"/>
      <c r="R38" s="1270"/>
      <c r="S38" s="1270"/>
    </row>
    <row r="39" spans="2:19">
      <c r="C39" s="1270"/>
      <c r="D39" s="1270"/>
      <c r="E39" s="1270"/>
      <c r="F39" s="1270"/>
      <c r="G39" s="1270"/>
      <c r="H39" s="1270"/>
      <c r="I39" s="1270"/>
      <c r="J39" s="1270"/>
      <c r="K39" s="1270"/>
      <c r="L39" s="1270"/>
      <c r="M39" s="1270"/>
      <c r="N39" s="1270"/>
      <c r="O39" s="1270"/>
      <c r="P39" s="1270"/>
      <c r="Q39" s="1270"/>
      <c r="R39" s="1270"/>
      <c r="S39" s="1270"/>
    </row>
    <row r="40" spans="2:19">
      <c r="C40" s="1270"/>
      <c r="D40" s="1270"/>
      <c r="E40" s="1270"/>
      <c r="F40" s="1270"/>
      <c r="G40" s="1270"/>
      <c r="H40" s="1270"/>
      <c r="I40" s="1270"/>
      <c r="J40" s="1270"/>
      <c r="K40" s="1270"/>
      <c r="L40" s="1270"/>
      <c r="M40" s="1270"/>
      <c r="N40" s="1270"/>
      <c r="O40" s="1270"/>
      <c r="P40" s="1270"/>
      <c r="Q40" s="1270"/>
      <c r="R40" s="1270"/>
      <c r="S40" s="1270"/>
    </row>
    <row r="41" spans="2:19">
      <c r="C41" s="1270"/>
      <c r="D41" s="1270"/>
      <c r="E41" s="1270"/>
      <c r="F41" s="1270"/>
      <c r="G41" s="1270"/>
      <c r="H41" s="1270"/>
      <c r="I41" s="1270"/>
      <c r="J41" s="1270"/>
      <c r="K41" s="1270"/>
      <c r="L41" s="1270"/>
      <c r="M41" s="1270"/>
      <c r="N41" s="1270"/>
      <c r="O41" s="1270"/>
      <c r="P41" s="1270"/>
      <c r="Q41" s="1270"/>
      <c r="R41" s="1270"/>
      <c r="S41" s="1270"/>
    </row>
    <row r="42" spans="2:19">
      <c r="C42" s="1270"/>
      <c r="D42" s="1270"/>
      <c r="E42" s="1270"/>
      <c r="F42" s="1270"/>
      <c r="G42" s="1270"/>
      <c r="H42" s="1270"/>
      <c r="I42" s="1270"/>
      <c r="J42" s="1270"/>
      <c r="K42" s="1270"/>
      <c r="L42" s="1270"/>
      <c r="M42" s="1270"/>
      <c r="N42" s="1270"/>
      <c r="O42" s="1270"/>
      <c r="P42" s="1270"/>
      <c r="Q42" s="1270"/>
      <c r="R42" s="1270"/>
      <c r="S42" s="1270"/>
    </row>
    <row r="43" spans="2:19">
      <c r="C43" s="1270"/>
      <c r="D43" s="1270"/>
      <c r="E43" s="1270"/>
      <c r="F43" s="1270"/>
      <c r="G43" s="1270"/>
      <c r="H43" s="1270"/>
      <c r="I43" s="1270"/>
      <c r="J43" s="1270"/>
      <c r="K43" s="1270"/>
      <c r="L43" s="1270"/>
      <c r="M43" s="1270"/>
      <c r="N43" s="1270"/>
      <c r="O43" s="1270"/>
      <c r="P43" s="1270"/>
      <c r="Q43" s="1270"/>
      <c r="R43" s="1270"/>
      <c r="S43" s="1270"/>
    </row>
    <row r="44" spans="2:19">
      <c r="C44" s="1270"/>
      <c r="D44" s="1270"/>
      <c r="E44" s="1270"/>
      <c r="F44" s="1270"/>
      <c r="G44" s="1270"/>
      <c r="H44" s="1270"/>
      <c r="I44" s="1270"/>
      <c r="J44" s="1270"/>
      <c r="K44" s="1270"/>
      <c r="L44" s="1270"/>
      <c r="M44" s="1270"/>
      <c r="N44" s="1270"/>
      <c r="O44" s="1270"/>
      <c r="P44" s="1270"/>
      <c r="Q44" s="1270"/>
      <c r="R44" s="1270"/>
      <c r="S44" s="1270"/>
    </row>
    <row r="45" spans="2:19">
      <c r="C45" s="1270"/>
      <c r="D45" s="1270"/>
      <c r="E45" s="1270"/>
      <c r="F45" s="1270"/>
      <c r="G45" s="1270"/>
      <c r="H45" s="1270"/>
      <c r="I45" s="1270"/>
      <c r="J45" s="1270"/>
      <c r="K45" s="1270"/>
      <c r="L45" s="1270"/>
      <c r="M45" s="1270"/>
      <c r="N45" s="1270"/>
      <c r="O45" s="1270"/>
      <c r="P45" s="1270"/>
      <c r="Q45" s="1270"/>
      <c r="R45" s="1270"/>
      <c r="S45" s="1270"/>
    </row>
    <row r="46" spans="2:19">
      <c r="C46" s="1270"/>
      <c r="D46" s="1270"/>
      <c r="E46" s="1270"/>
      <c r="F46" s="1270"/>
      <c r="G46" s="1270"/>
      <c r="H46" s="1270"/>
      <c r="I46" s="1270"/>
      <c r="J46" s="1270"/>
      <c r="K46" s="1270"/>
      <c r="L46" s="1270"/>
      <c r="M46" s="1270"/>
      <c r="N46" s="1270"/>
      <c r="O46" s="1270"/>
      <c r="P46" s="1270"/>
      <c r="Q46" s="1270"/>
      <c r="R46" s="1270"/>
      <c r="S46" s="1270"/>
    </row>
    <row r="47" spans="2:19">
      <c r="C47" s="1270"/>
      <c r="D47" s="1270"/>
      <c r="E47" s="1270"/>
      <c r="F47" s="1270"/>
      <c r="G47" s="1270"/>
      <c r="H47" s="1270"/>
      <c r="I47" s="1270"/>
      <c r="J47" s="1270"/>
      <c r="K47" s="1270"/>
      <c r="L47" s="1270"/>
      <c r="M47" s="1270"/>
      <c r="N47" s="1270"/>
      <c r="O47" s="1270"/>
      <c r="P47" s="1270"/>
      <c r="Q47" s="1270"/>
      <c r="R47" s="1270"/>
      <c r="S47" s="1270"/>
    </row>
    <row r="48" spans="2:19">
      <c r="C48" s="1270"/>
      <c r="D48" s="1270"/>
      <c r="E48" s="1270"/>
      <c r="F48" s="1270"/>
      <c r="G48" s="1270"/>
      <c r="H48" s="1270"/>
      <c r="I48" s="1270"/>
      <c r="J48" s="1270"/>
      <c r="K48" s="1270"/>
      <c r="L48" s="1270"/>
      <c r="M48" s="1270"/>
      <c r="N48" s="1270"/>
      <c r="O48" s="1270"/>
      <c r="P48" s="1270"/>
      <c r="Q48" s="1270"/>
      <c r="R48" s="1270"/>
      <c r="S48" s="1270"/>
    </row>
    <row r="49" spans="3:19">
      <c r="C49" s="1270"/>
      <c r="D49" s="1270"/>
      <c r="E49" s="1270"/>
      <c r="F49" s="1270"/>
      <c r="G49" s="1270"/>
      <c r="H49" s="1270"/>
      <c r="I49" s="1270"/>
      <c r="J49" s="1270"/>
      <c r="K49" s="1270"/>
      <c r="L49" s="1270"/>
      <c r="M49" s="1270"/>
      <c r="N49" s="1270"/>
      <c r="O49" s="1270"/>
      <c r="P49" s="1270"/>
      <c r="Q49" s="1270"/>
      <c r="R49" s="1270"/>
      <c r="S49" s="1270"/>
    </row>
    <row r="50" spans="3:19">
      <c r="C50" s="1270"/>
      <c r="D50" s="1270"/>
      <c r="E50" s="1270"/>
      <c r="F50" s="1270"/>
      <c r="G50" s="1270"/>
      <c r="H50" s="1270"/>
      <c r="I50" s="1270"/>
      <c r="J50" s="1270"/>
      <c r="K50" s="1270"/>
      <c r="L50" s="1270"/>
      <c r="M50" s="1270"/>
      <c r="N50" s="1270"/>
      <c r="O50" s="1270"/>
      <c r="P50" s="1270"/>
      <c r="Q50" s="1270"/>
      <c r="R50" s="1270"/>
      <c r="S50" s="1270"/>
    </row>
    <row r="51" spans="3:19">
      <c r="C51" s="1270"/>
      <c r="D51" s="1270"/>
      <c r="E51" s="1270"/>
      <c r="F51" s="1270"/>
      <c r="G51" s="1270"/>
      <c r="H51" s="1270"/>
      <c r="I51" s="1270"/>
      <c r="J51" s="1270"/>
      <c r="K51" s="1270"/>
      <c r="L51" s="1270"/>
      <c r="M51" s="1270"/>
      <c r="N51" s="1270"/>
      <c r="O51" s="1270"/>
      <c r="P51" s="1270"/>
      <c r="Q51" s="1270"/>
      <c r="R51" s="1270"/>
      <c r="S51" s="1270"/>
    </row>
    <row r="52" spans="3:19">
      <c r="C52" s="1270"/>
      <c r="D52" s="1270"/>
      <c r="E52" s="1270"/>
      <c r="F52" s="1270"/>
      <c r="G52" s="1270"/>
      <c r="H52" s="1270"/>
      <c r="I52" s="1270"/>
      <c r="J52" s="1270"/>
      <c r="K52" s="1270"/>
      <c r="L52" s="1270"/>
      <c r="M52" s="1270"/>
      <c r="N52" s="1270"/>
      <c r="O52" s="1270"/>
      <c r="P52" s="1270"/>
      <c r="Q52" s="1270"/>
      <c r="R52" s="1270"/>
      <c r="S52" s="1270"/>
    </row>
    <row r="53" spans="3:19">
      <c r="C53" s="1270"/>
      <c r="D53" s="1270"/>
      <c r="E53" s="1270"/>
      <c r="F53" s="1270"/>
      <c r="G53" s="1270"/>
      <c r="H53" s="1270"/>
      <c r="I53" s="1270"/>
      <c r="J53" s="1270"/>
      <c r="K53" s="1270"/>
      <c r="L53" s="1270"/>
      <c r="M53" s="1270"/>
      <c r="N53" s="1270"/>
      <c r="O53" s="1270"/>
      <c r="P53" s="1270"/>
      <c r="Q53" s="1270"/>
      <c r="R53" s="1270"/>
      <c r="S53" s="1270"/>
    </row>
    <row r="54" spans="3:19">
      <c r="C54" s="1270"/>
      <c r="D54" s="1270"/>
      <c r="E54" s="1270"/>
      <c r="F54" s="1270"/>
      <c r="G54" s="1270"/>
      <c r="H54" s="1270"/>
      <c r="I54" s="1270"/>
      <c r="J54" s="1270"/>
      <c r="K54" s="1270"/>
      <c r="L54" s="1270"/>
      <c r="M54" s="1270"/>
      <c r="N54" s="1270"/>
      <c r="O54" s="1270"/>
      <c r="P54" s="1270"/>
      <c r="Q54" s="1270"/>
      <c r="R54" s="1270"/>
      <c r="S54" s="1270"/>
    </row>
    <row r="55" spans="3:19">
      <c r="C55" s="1270"/>
      <c r="D55" s="1270"/>
      <c r="E55" s="1270"/>
      <c r="F55" s="1270"/>
      <c r="G55" s="1270"/>
      <c r="H55" s="1270"/>
      <c r="I55" s="1270"/>
      <c r="J55" s="1270"/>
      <c r="K55" s="1270"/>
      <c r="L55" s="1270"/>
      <c r="M55" s="1270"/>
      <c r="N55" s="1270"/>
      <c r="O55" s="1270"/>
      <c r="P55" s="1270"/>
      <c r="Q55" s="1270"/>
      <c r="R55" s="1270"/>
      <c r="S55" s="1270"/>
    </row>
    <row r="56" spans="3:19">
      <c r="C56" s="1270"/>
      <c r="D56" s="1270"/>
      <c r="E56" s="1270"/>
      <c r="F56" s="1270"/>
      <c r="G56" s="1270"/>
      <c r="H56" s="1270"/>
      <c r="I56" s="1270"/>
      <c r="J56" s="1270"/>
      <c r="K56" s="1270"/>
      <c r="L56" s="1270"/>
      <c r="M56" s="1270"/>
      <c r="N56" s="1270"/>
      <c r="O56" s="1270"/>
      <c r="P56" s="1270"/>
      <c r="Q56" s="1270"/>
      <c r="R56" s="1270"/>
      <c r="S56" s="1270"/>
    </row>
    <row r="57" spans="3:19">
      <c r="C57" s="1270"/>
      <c r="D57" s="1270"/>
      <c r="E57" s="1270"/>
      <c r="F57" s="1270"/>
      <c r="G57" s="1270"/>
      <c r="H57" s="1270"/>
      <c r="I57" s="1270"/>
      <c r="J57" s="1270"/>
      <c r="K57" s="1270"/>
      <c r="L57" s="1270"/>
      <c r="M57" s="1270"/>
      <c r="N57" s="1270"/>
      <c r="O57" s="1270"/>
      <c r="P57" s="1270"/>
      <c r="Q57" s="1270"/>
      <c r="R57" s="1270"/>
      <c r="S57" s="1270"/>
    </row>
    <row r="58" spans="3:19">
      <c r="C58" s="1270"/>
      <c r="D58" s="1270"/>
      <c r="E58" s="1270"/>
      <c r="F58" s="1270"/>
      <c r="G58" s="1270"/>
      <c r="H58" s="1270"/>
      <c r="I58" s="1270"/>
      <c r="J58" s="1270"/>
      <c r="K58" s="1270"/>
      <c r="L58" s="1270"/>
      <c r="M58" s="1270"/>
      <c r="N58" s="1270"/>
      <c r="O58" s="1270"/>
      <c r="P58" s="1270"/>
      <c r="Q58" s="1270"/>
      <c r="R58" s="1270"/>
      <c r="S58" s="1270"/>
    </row>
    <row r="59" spans="3:19">
      <c r="C59" s="1270"/>
      <c r="D59" s="1270"/>
      <c r="E59" s="1270"/>
      <c r="F59" s="1270"/>
      <c r="G59" s="1270"/>
      <c r="H59" s="1270"/>
      <c r="I59" s="1270"/>
      <c r="J59" s="1270"/>
      <c r="K59" s="1270"/>
      <c r="L59" s="1270"/>
      <c r="M59" s="1270"/>
      <c r="N59" s="1270"/>
      <c r="O59" s="1270"/>
      <c r="P59" s="1270"/>
      <c r="Q59" s="1270"/>
      <c r="R59" s="1270"/>
      <c r="S59" s="1270"/>
    </row>
    <row r="60" spans="3:19">
      <c r="C60" s="1270"/>
      <c r="D60" s="1270"/>
      <c r="E60" s="1270"/>
      <c r="F60" s="1270"/>
      <c r="G60" s="1270"/>
      <c r="H60" s="1270"/>
      <c r="I60" s="1270"/>
      <c r="J60" s="1270"/>
      <c r="K60" s="1270"/>
      <c r="L60" s="1270"/>
      <c r="M60" s="1270"/>
      <c r="N60" s="1270"/>
      <c r="O60" s="1270"/>
      <c r="P60" s="1270"/>
      <c r="Q60" s="1270"/>
      <c r="R60" s="1270"/>
      <c r="S60" s="1270"/>
    </row>
    <row r="61" spans="3:19">
      <c r="C61" s="1270"/>
      <c r="D61" s="1270"/>
      <c r="E61" s="1270"/>
      <c r="F61" s="1270"/>
      <c r="G61" s="1270"/>
      <c r="H61" s="1270"/>
      <c r="I61" s="1270"/>
      <c r="J61" s="1270"/>
      <c r="K61" s="1270"/>
      <c r="L61" s="1270"/>
      <c r="M61" s="1270"/>
      <c r="N61" s="1270"/>
      <c r="O61" s="1270"/>
      <c r="P61" s="1270"/>
      <c r="Q61" s="1270"/>
      <c r="R61" s="1270"/>
      <c r="S61" s="1270"/>
    </row>
    <row r="62" spans="3:19">
      <c r="C62" s="1270"/>
      <c r="D62" s="1270"/>
      <c r="E62" s="1270"/>
      <c r="F62" s="1270"/>
      <c r="G62" s="1270"/>
      <c r="H62" s="1270"/>
      <c r="I62" s="1270"/>
      <c r="J62" s="1270"/>
      <c r="K62" s="1270"/>
      <c r="L62" s="1270"/>
      <c r="M62" s="1270"/>
      <c r="N62" s="1270"/>
      <c r="O62" s="1270"/>
      <c r="P62" s="1270"/>
      <c r="Q62" s="1270"/>
      <c r="R62" s="1270"/>
      <c r="S62" s="1270"/>
    </row>
    <row r="63" spans="3:19">
      <c r="C63" s="1270"/>
      <c r="D63" s="1270"/>
      <c r="E63" s="1270"/>
      <c r="F63" s="1270"/>
      <c r="G63" s="1270"/>
      <c r="H63" s="1270"/>
      <c r="I63" s="1270"/>
      <c r="J63" s="1270"/>
      <c r="K63" s="1270"/>
      <c r="L63" s="1270"/>
      <c r="M63" s="1270"/>
      <c r="N63" s="1270"/>
      <c r="O63" s="1270"/>
      <c r="P63" s="1270"/>
      <c r="Q63" s="1270"/>
      <c r="R63" s="1270"/>
      <c r="S63" s="1270"/>
    </row>
    <row r="64" spans="3:19">
      <c r="C64" s="1270"/>
      <c r="D64" s="1270"/>
      <c r="E64" s="1270"/>
      <c r="F64" s="1270"/>
      <c r="G64" s="1270"/>
      <c r="H64" s="1270"/>
      <c r="I64" s="1270"/>
      <c r="J64" s="1270"/>
      <c r="K64" s="1270"/>
      <c r="L64" s="1270"/>
      <c r="M64" s="1270"/>
      <c r="N64" s="1270"/>
      <c r="O64" s="1270"/>
      <c r="P64" s="1270"/>
      <c r="Q64" s="1270"/>
      <c r="R64" s="1270"/>
      <c r="S64" s="1270"/>
    </row>
    <row r="65" spans="3:19">
      <c r="C65" s="1270"/>
      <c r="D65" s="1270"/>
      <c r="E65" s="1270"/>
      <c r="F65" s="1270"/>
      <c r="G65" s="1270"/>
      <c r="H65" s="1270"/>
      <c r="I65" s="1270"/>
      <c r="J65" s="1270"/>
      <c r="K65" s="1270"/>
      <c r="L65" s="1270"/>
      <c r="M65" s="1270"/>
      <c r="N65" s="1270"/>
      <c r="O65" s="1270"/>
      <c r="P65" s="1270"/>
      <c r="Q65" s="1270"/>
      <c r="R65" s="1270"/>
      <c r="S65" s="1270"/>
    </row>
    <row r="66" spans="3:19">
      <c r="C66" s="1270"/>
      <c r="D66" s="1270"/>
      <c r="E66" s="1270"/>
      <c r="F66" s="1270"/>
      <c r="G66" s="1270"/>
      <c r="H66" s="1270"/>
      <c r="I66" s="1270"/>
      <c r="J66" s="1270"/>
      <c r="K66" s="1270"/>
      <c r="L66" s="1270"/>
      <c r="M66" s="1270"/>
      <c r="N66" s="1270"/>
      <c r="O66" s="1270"/>
      <c r="P66" s="1270"/>
      <c r="Q66" s="1270"/>
      <c r="R66" s="1270"/>
      <c r="S66" s="1270"/>
    </row>
    <row r="67" spans="3:19">
      <c r="C67" s="1270"/>
      <c r="D67" s="1270"/>
      <c r="E67" s="1270"/>
      <c r="F67" s="1270"/>
      <c r="G67" s="1270"/>
      <c r="H67" s="1270"/>
      <c r="I67" s="1270"/>
      <c r="J67" s="1270"/>
      <c r="K67" s="1270"/>
      <c r="L67" s="1270"/>
      <c r="M67" s="1270"/>
      <c r="N67" s="1270"/>
      <c r="O67" s="1270"/>
      <c r="P67" s="1270"/>
      <c r="Q67" s="1270"/>
      <c r="R67" s="1270"/>
      <c r="S67" s="1270"/>
    </row>
    <row r="68" spans="3:19">
      <c r="C68" s="1270"/>
      <c r="D68" s="1270"/>
      <c r="E68" s="1270"/>
      <c r="F68" s="1270"/>
      <c r="G68" s="1270"/>
      <c r="H68" s="1270"/>
      <c r="I68" s="1270"/>
      <c r="J68" s="1270"/>
      <c r="K68" s="1270"/>
      <c r="L68" s="1270"/>
      <c r="M68" s="1270"/>
      <c r="N68" s="1270"/>
      <c r="O68" s="1270"/>
      <c r="P68" s="1270"/>
      <c r="Q68" s="1270"/>
      <c r="R68" s="1270"/>
      <c r="S68" s="1270"/>
    </row>
    <row r="69" spans="3:19">
      <c r="C69" s="1270"/>
      <c r="D69" s="1270"/>
      <c r="E69" s="1270"/>
      <c r="F69" s="1270"/>
      <c r="G69" s="1270"/>
      <c r="H69" s="1270"/>
      <c r="I69" s="1270"/>
      <c r="J69" s="1270"/>
      <c r="K69" s="1270"/>
      <c r="L69" s="1270"/>
      <c r="M69" s="1270"/>
      <c r="N69" s="1270"/>
      <c r="O69" s="1270"/>
      <c r="P69" s="1270"/>
      <c r="Q69" s="1270"/>
      <c r="R69" s="1270"/>
      <c r="S69" s="1270"/>
    </row>
    <row r="70" spans="3:19">
      <c r="C70" s="1270"/>
      <c r="D70" s="1270"/>
      <c r="E70" s="1270"/>
      <c r="F70" s="1270"/>
      <c r="G70" s="1270"/>
      <c r="H70" s="1270"/>
      <c r="I70" s="1270"/>
      <c r="J70" s="1270"/>
      <c r="K70" s="1270"/>
      <c r="L70" s="1270"/>
      <c r="M70" s="1270"/>
      <c r="N70" s="1270"/>
      <c r="O70" s="1270"/>
      <c r="P70" s="1270"/>
      <c r="Q70" s="1270"/>
      <c r="R70" s="1270"/>
      <c r="S70" s="1270"/>
    </row>
    <row r="71" spans="3:19">
      <c r="C71" s="1270"/>
      <c r="D71" s="1270"/>
      <c r="E71" s="1270"/>
      <c r="F71" s="1270"/>
      <c r="G71" s="1270"/>
      <c r="H71" s="1270"/>
      <c r="I71" s="1270"/>
      <c r="J71" s="1270"/>
      <c r="K71" s="1270"/>
      <c r="L71" s="1270"/>
      <c r="M71" s="1270"/>
      <c r="N71" s="1270"/>
      <c r="O71" s="1270"/>
      <c r="P71" s="1270"/>
      <c r="Q71" s="1270"/>
      <c r="R71" s="1270"/>
      <c r="S71" s="1270"/>
    </row>
    <row r="72" spans="3:19">
      <c r="C72" s="1270"/>
      <c r="D72" s="1270"/>
      <c r="E72" s="1270"/>
      <c r="F72" s="1270"/>
      <c r="G72" s="1270"/>
      <c r="H72" s="1270"/>
      <c r="I72" s="1270"/>
      <c r="J72" s="1270"/>
      <c r="K72" s="1270"/>
      <c r="L72" s="1270"/>
      <c r="M72" s="1270"/>
      <c r="N72" s="1270"/>
      <c r="O72" s="1270"/>
      <c r="P72" s="1270"/>
      <c r="Q72" s="1270"/>
      <c r="R72" s="1270"/>
      <c r="S72" s="1270"/>
    </row>
    <row r="73" spans="3:19">
      <c r="C73" s="1270"/>
      <c r="D73" s="1270"/>
      <c r="E73" s="1270"/>
      <c r="F73" s="1270"/>
      <c r="G73" s="1270"/>
      <c r="H73" s="1270"/>
      <c r="I73" s="1270"/>
      <c r="J73" s="1270"/>
      <c r="K73" s="1270"/>
      <c r="L73" s="1270"/>
      <c r="M73" s="1270"/>
      <c r="N73" s="1270"/>
      <c r="O73" s="1270"/>
      <c r="P73" s="1270"/>
      <c r="Q73" s="1270"/>
      <c r="R73" s="1270"/>
      <c r="S73" s="1270"/>
    </row>
    <row r="74" spans="3:19">
      <c r="C74" s="1270"/>
      <c r="D74" s="1270"/>
      <c r="E74" s="1270"/>
      <c r="F74" s="1270"/>
      <c r="G74" s="1270"/>
      <c r="H74" s="1270"/>
      <c r="I74" s="1270"/>
      <c r="J74" s="1270"/>
      <c r="K74" s="1270"/>
      <c r="L74" s="1270"/>
      <c r="M74" s="1270"/>
      <c r="N74" s="1270"/>
      <c r="O74" s="1270"/>
      <c r="P74" s="1270"/>
      <c r="Q74" s="1270"/>
      <c r="R74" s="1270"/>
      <c r="S74" s="1270"/>
    </row>
    <row r="75" spans="3:19">
      <c r="C75" s="1270"/>
      <c r="D75" s="1270"/>
      <c r="E75" s="1270"/>
      <c r="F75" s="1270"/>
      <c r="G75" s="1270"/>
      <c r="H75" s="1270"/>
      <c r="I75" s="1270"/>
      <c r="J75" s="1270"/>
      <c r="K75" s="1270"/>
      <c r="L75" s="1270"/>
      <c r="M75" s="1270"/>
      <c r="N75" s="1270"/>
      <c r="O75" s="1270"/>
      <c r="P75" s="1270"/>
      <c r="Q75" s="1270"/>
      <c r="R75" s="1270"/>
      <c r="S75" s="1270"/>
    </row>
    <row r="76" spans="3:19">
      <c r="C76" s="1270"/>
      <c r="D76" s="1270"/>
      <c r="E76" s="1270"/>
      <c r="F76" s="1270"/>
      <c r="G76" s="1270"/>
      <c r="H76" s="1270"/>
      <c r="I76" s="1270"/>
      <c r="J76" s="1270"/>
      <c r="K76" s="1270"/>
      <c r="L76" s="1270"/>
      <c r="M76" s="1270"/>
      <c r="N76" s="1270"/>
      <c r="O76" s="1270"/>
      <c r="P76" s="1270"/>
      <c r="Q76" s="1270"/>
      <c r="R76" s="1270"/>
      <c r="S76" s="1270"/>
    </row>
    <row r="77" spans="3:19">
      <c r="C77" s="1270"/>
      <c r="D77" s="1270"/>
      <c r="E77" s="1270"/>
      <c r="F77" s="1270"/>
      <c r="G77" s="1270"/>
      <c r="H77" s="1270"/>
      <c r="I77" s="1270"/>
      <c r="J77" s="1270"/>
      <c r="K77" s="1270"/>
      <c r="L77" s="1270"/>
      <c r="M77" s="1270"/>
      <c r="N77" s="1270"/>
      <c r="O77" s="1270"/>
      <c r="P77" s="1270"/>
      <c r="Q77" s="1270"/>
      <c r="R77" s="1270"/>
      <c r="S77" s="1270"/>
    </row>
    <row r="78" spans="3:19">
      <c r="C78" s="1270"/>
      <c r="D78" s="1270"/>
      <c r="E78" s="1270"/>
      <c r="F78" s="1270"/>
      <c r="G78" s="1270"/>
      <c r="H78" s="1270"/>
      <c r="I78" s="1270"/>
      <c r="J78" s="1270"/>
      <c r="K78" s="1270"/>
      <c r="L78" s="1270"/>
      <c r="M78" s="1270"/>
      <c r="N78" s="1270"/>
      <c r="O78" s="1270"/>
      <c r="P78" s="1270"/>
      <c r="Q78" s="1270"/>
      <c r="R78" s="1270"/>
      <c r="S78" s="1270"/>
    </row>
    <row r="79" spans="3:19">
      <c r="C79" s="1270"/>
      <c r="D79" s="1270"/>
      <c r="E79" s="1270"/>
      <c r="F79" s="1270"/>
      <c r="G79" s="1270"/>
      <c r="H79" s="1270"/>
      <c r="I79" s="1270"/>
      <c r="J79" s="1270"/>
      <c r="K79" s="1270"/>
      <c r="L79" s="1270"/>
      <c r="M79" s="1270"/>
      <c r="N79" s="1270"/>
      <c r="O79" s="1270"/>
      <c r="P79" s="1270"/>
      <c r="Q79" s="1270"/>
      <c r="R79" s="1270"/>
      <c r="S79" s="1270"/>
    </row>
    <row r="80" spans="3:19">
      <c r="C80" s="1270"/>
      <c r="D80" s="1270"/>
      <c r="E80" s="1270"/>
      <c r="F80" s="1270"/>
      <c r="G80" s="1270"/>
      <c r="H80" s="1270"/>
      <c r="I80" s="1270"/>
      <c r="J80" s="1270"/>
      <c r="K80" s="1270"/>
      <c r="L80" s="1270"/>
      <c r="M80" s="1270"/>
      <c r="N80" s="1270"/>
      <c r="O80" s="1270"/>
      <c r="P80" s="1270"/>
      <c r="Q80" s="1270"/>
      <c r="R80" s="1270"/>
      <c r="S80" s="1270"/>
    </row>
    <row r="81" spans="3:19">
      <c r="C81" s="1270"/>
      <c r="D81" s="1270"/>
      <c r="E81" s="1270"/>
      <c r="F81" s="1270"/>
      <c r="G81" s="1270"/>
      <c r="H81" s="1270"/>
      <c r="I81" s="1270"/>
      <c r="J81" s="1270"/>
      <c r="K81" s="1270"/>
      <c r="L81" s="1270"/>
      <c r="M81" s="1270"/>
      <c r="N81" s="1270"/>
      <c r="O81" s="1270"/>
      <c r="P81" s="1270"/>
      <c r="Q81" s="1270"/>
      <c r="R81" s="1270"/>
      <c r="S81" s="1270"/>
    </row>
    <row r="82" spans="3:19">
      <c r="C82" s="1270"/>
      <c r="D82" s="1270"/>
      <c r="E82" s="1270"/>
      <c r="F82" s="1270"/>
      <c r="G82" s="1270"/>
      <c r="H82" s="1270"/>
      <c r="I82" s="1270"/>
      <c r="J82" s="1270"/>
      <c r="K82" s="1270"/>
      <c r="L82" s="1270"/>
      <c r="M82" s="1270"/>
      <c r="N82" s="1270"/>
      <c r="O82" s="1270"/>
      <c r="P82" s="1270"/>
      <c r="Q82" s="1270"/>
      <c r="R82" s="1270"/>
      <c r="S82" s="1270"/>
    </row>
    <row r="83" spans="3:19">
      <c r="C83" s="1270"/>
      <c r="D83" s="1270"/>
      <c r="E83" s="1270"/>
      <c r="F83" s="1270"/>
      <c r="G83" s="1270"/>
      <c r="H83" s="1270"/>
      <c r="I83" s="1270"/>
      <c r="J83" s="1270"/>
      <c r="K83" s="1270"/>
      <c r="L83" s="1270"/>
      <c r="M83" s="1270"/>
      <c r="N83" s="1270"/>
      <c r="O83" s="1270"/>
      <c r="P83" s="1270"/>
      <c r="Q83" s="1270"/>
      <c r="R83" s="1270"/>
      <c r="S83" s="1270"/>
    </row>
    <row r="84" spans="3:19">
      <c r="C84" s="1270"/>
      <c r="D84" s="1270"/>
      <c r="E84" s="1270"/>
      <c r="F84" s="1270"/>
      <c r="G84" s="1270"/>
      <c r="H84" s="1270"/>
      <c r="I84" s="1270"/>
      <c r="J84" s="1270"/>
      <c r="K84" s="1270"/>
      <c r="L84" s="1270"/>
      <c r="M84" s="1270"/>
      <c r="N84" s="1270"/>
      <c r="O84" s="1270"/>
      <c r="P84" s="1270"/>
      <c r="Q84" s="1270"/>
      <c r="R84" s="1270"/>
      <c r="S84" s="1270"/>
    </row>
    <row r="85" spans="3:19">
      <c r="C85" s="1270"/>
      <c r="D85" s="1270"/>
      <c r="E85" s="1270"/>
      <c r="F85" s="1270"/>
      <c r="G85" s="1270"/>
      <c r="H85" s="1270"/>
      <c r="I85" s="1270"/>
      <c r="J85" s="1270"/>
      <c r="K85" s="1270"/>
      <c r="L85" s="1270"/>
      <c r="M85" s="1270"/>
      <c r="N85" s="1270"/>
      <c r="O85" s="1270"/>
      <c r="P85" s="1270"/>
      <c r="Q85" s="1270"/>
      <c r="R85" s="1270"/>
      <c r="S85" s="1270"/>
    </row>
    <row r="86" spans="3:19">
      <c r="C86" s="1270"/>
      <c r="D86" s="1270"/>
      <c r="E86" s="1270"/>
      <c r="F86" s="1270"/>
      <c r="G86" s="1270"/>
      <c r="H86" s="1270"/>
      <c r="I86" s="1270"/>
      <c r="J86" s="1270"/>
      <c r="K86" s="1270"/>
      <c r="L86" s="1270"/>
      <c r="M86" s="1270"/>
      <c r="N86" s="1270"/>
      <c r="O86" s="1270"/>
      <c r="P86" s="1270"/>
      <c r="Q86" s="1270"/>
      <c r="R86" s="1270"/>
      <c r="S86" s="1270"/>
    </row>
    <row r="87" spans="3:19">
      <c r="C87" s="1270"/>
      <c r="D87" s="1270"/>
      <c r="E87" s="1270"/>
      <c r="F87" s="1270"/>
      <c r="G87" s="1270"/>
      <c r="H87" s="1270"/>
      <c r="I87" s="1270"/>
      <c r="J87" s="1270"/>
      <c r="K87" s="1270"/>
      <c r="L87" s="1270"/>
      <c r="M87" s="1270"/>
      <c r="N87" s="1270"/>
      <c r="O87" s="1270"/>
      <c r="P87" s="1270"/>
      <c r="Q87" s="1270"/>
      <c r="R87" s="1270"/>
      <c r="S87" s="1270"/>
    </row>
    <row r="88" spans="3:19">
      <c r="C88" s="1270"/>
      <c r="D88" s="1270"/>
      <c r="E88" s="1270"/>
      <c r="F88" s="1270"/>
      <c r="G88" s="1270"/>
      <c r="H88" s="1270"/>
      <c r="I88" s="1270"/>
      <c r="J88" s="1270"/>
      <c r="K88" s="1270"/>
      <c r="L88" s="1270"/>
      <c r="M88" s="1270"/>
      <c r="N88" s="1270"/>
      <c r="O88" s="1270"/>
      <c r="P88" s="1270"/>
      <c r="Q88" s="1270"/>
      <c r="R88" s="1270"/>
      <c r="S88" s="1270"/>
    </row>
    <row r="89" spans="3:19">
      <c r="C89" s="1270"/>
      <c r="D89" s="1270"/>
      <c r="E89" s="1270"/>
      <c r="F89" s="1270"/>
      <c r="G89" s="1270"/>
      <c r="H89" s="1270"/>
      <c r="I89" s="1270"/>
      <c r="J89" s="1270"/>
      <c r="K89" s="1270"/>
      <c r="L89" s="1270"/>
      <c r="M89" s="1270"/>
      <c r="N89" s="1270"/>
      <c r="O89" s="1270"/>
      <c r="P89" s="1270"/>
      <c r="Q89" s="1270"/>
      <c r="R89" s="1270"/>
      <c r="S89" s="1270"/>
    </row>
    <row r="90" spans="3:19">
      <c r="C90" s="1270"/>
      <c r="D90" s="1270"/>
      <c r="E90" s="1270"/>
      <c r="F90" s="1270"/>
      <c r="G90" s="1270"/>
      <c r="H90" s="1270"/>
      <c r="I90" s="1270"/>
      <c r="J90" s="1270"/>
      <c r="K90" s="1270"/>
      <c r="L90" s="1270"/>
      <c r="M90" s="1270"/>
      <c r="N90" s="1270"/>
      <c r="O90" s="1270"/>
      <c r="P90" s="1270"/>
      <c r="Q90" s="1270"/>
      <c r="R90" s="1270"/>
      <c r="S90" s="1270"/>
    </row>
    <row r="91" spans="3:19">
      <c r="C91" s="1270"/>
      <c r="D91" s="1270"/>
      <c r="E91" s="1270"/>
      <c r="F91" s="1270"/>
      <c r="G91" s="1270"/>
      <c r="H91" s="1270"/>
      <c r="I91" s="1270"/>
      <c r="J91" s="1270"/>
      <c r="K91" s="1270"/>
      <c r="L91" s="1270"/>
      <c r="M91" s="1270"/>
      <c r="N91" s="1270"/>
      <c r="O91" s="1270"/>
      <c r="P91" s="1270"/>
      <c r="Q91" s="1270"/>
      <c r="R91" s="1270"/>
      <c r="S91" s="1270"/>
    </row>
    <row r="92" spans="3:19">
      <c r="C92" s="1270"/>
      <c r="D92" s="1270"/>
      <c r="E92" s="1270"/>
      <c r="F92" s="1270"/>
      <c r="G92" s="1270"/>
      <c r="H92" s="1270"/>
      <c r="I92" s="1270"/>
      <c r="J92" s="1270"/>
      <c r="K92" s="1270"/>
      <c r="L92" s="1270"/>
      <c r="M92" s="1270"/>
      <c r="N92" s="1270"/>
      <c r="O92" s="1270"/>
      <c r="P92" s="1270"/>
      <c r="Q92" s="1270"/>
      <c r="R92" s="1270"/>
      <c r="S92" s="1270"/>
    </row>
    <row r="93" spans="3:19">
      <c r="C93" s="1270"/>
      <c r="D93" s="1270"/>
      <c r="E93" s="1270"/>
      <c r="F93" s="1270"/>
      <c r="G93" s="1270"/>
      <c r="H93" s="1270"/>
      <c r="I93" s="1270"/>
      <c r="J93" s="1270"/>
      <c r="K93" s="1270"/>
      <c r="L93" s="1270"/>
      <c r="M93" s="1270"/>
      <c r="N93" s="1270"/>
      <c r="O93" s="1270"/>
      <c r="P93" s="1270"/>
      <c r="Q93" s="1270"/>
      <c r="R93" s="1270"/>
      <c r="S93" s="1270"/>
    </row>
    <row r="94" spans="3:19">
      <c r="C94" s="1270"/>
      <c r="D94" s="1270"/>
      <c r="E94" s="1270"/>
      <c r="F94" s="1270"/>
      <c r="G94" s="1270"/>
      <c r="H94" s="1270"/>
      <c r="I94" s="1270"/>
      <c r="J94" s="1270"/>
      <c r="K94" s="1270"/>
      <c r="L94" s="1270"/>
      <c r="M94" s="1270"/>
      <c r="N94" s="1270"/>
      <c r="O94" s="1270"/>
      <c r="P94" s="1270"/>
      <c r="Q94" s="1270"/>
      <c r="R94" s="1270"/>
      <c r="S94" s="1270"/>
    </row>
    <row r="95" spans="3:19">
      <c r="C95" s="1270"/>
      <c r="D95" s="1270"/>
      <c r="E95" s="1270"/>
      <c r="F95" s="1270"/>
      <c r="G95" s="1270"/>
      <c r="H95" s="1270"/>
      <c r="I95" s="1270"/>
      <c r="J95" s="1270"/>
      <c r="K95" s="1270"/>
      <c r="L95" s="1270"/>
      <c r="M95" s="1270"/>
      <c r="N95" s="1270"/>
      <c r="O95" s="1270"/>
      <c r="P95" s="1270"/>
      <c r="Q95" s="1270"/>
      <c r="R95" s="1270"/>
      <c r="S95" s="1270"/>
    </row>
    <row r="96" spans="3:19">
      <c r="C96" s="1270"/>
      <c r="D96" s="1270"/>
      <c r="E96" s="1270"/>
      <c r="F96" s="1270"/>
      <c r="G96" s="1270"/>
      <c r="H96" s="1270"/>
      <c r="I96" s="1270"/>
      <c r="J96" s="1270"/>
      <c r="K96" s="1270"/>
      <c r="L96" s="1270"/>
      <c r="M96" s="1270"/>
      <c r="N96" s="1270"/>
      <c r="O96" s="1270"/>
      <c r="P96" s="1270"/>
      <c r="Q96" s="1270"/>
      <c r="R96" s="1270"/>
      <c r="S96" s="1270"/>
    </row>
    <row r="97" spans="3:19">
      <c r="C97" s="1270"/>
      <c r="D97" s="1270"/>
      <c r="E97" s="1270"/>
      <c r="F97" s="1270"/>
      <c r="G97" s="1270"/>
      <c r="H97" s="1270"/>
      <c r="I97" s="1270"/>
      <c r="J97" s="1270"/>
      <c r="K97" s="1270"/>
      <c r="L97" s="1270"/>
      <c r="M97" s="1270"/>
      <c r="N97" s="1270"/>
      <c r="O97" s="1270"/>
      <c r="P97" s="1270"/>
      <c r="Q97" s="1270"/>
      <c r="R97" s="1270"/>
      <c r="S97" s="1270"/>
    </row>
    <row r="98" spans="3:19">
      <c r="C98" s="1270"/>
      <c r="D98" s="1270"/>
      <c r="E98" s="1270"/>
      <c r="F98" s="1270"/>
      <c r="G98" s="1270"/>
      <c r="H98" s="1270"/>
      <c r="I98" s="1270"/>
      <c r="J98" s="1270"/>
      <c r="K98" s="1270"/>
      <c r="L98" s="1270"/>
      <c r="M98" s="1270"/>
      <c r="N98" s="1270"/>
      <c r="O98" s="1270"/>
      <c r="P98" s="1270"/>
      <c r="Q98" s="1270"/>
      <c r="R98" s="1270"/>
      <c r="S98" s="1270"/>
    </row>
    <row r="99" spans="3:19">
      <c r="C99" s="1270"/>
      <c r="D99" s="1270"/>
      <c r="E99" s="1270"/>
      <c r="F99" s="1270"/>
      <c r="G99" s="1270"/>
      <c r="H99" s="1270"/>
      <c r="I99" s="1270"/>
      <c r="J99" s="1270"/>
      <c r="K99" s="1270"/>
      <c r="L99" s="1270"/>
      <c r="M99" s="1270"/>
      <c r="N99" s="1270"/>
      <c r="O99" s="1270"/>
      <c r="P99" s="1270"/>
      <c r="Q99" s="1270"/>
      <c r="R99" s="1270"/>
      <c r="S99" s="1270"/>
    </row>
    <row r="100" spans="3:19">
      <c r="C100" s="1270"/>
      <c r="D100" s="1270"/>
      <c r="E100" s="1270"/>
      <c r="F100" s="1270"/>
      <c r="G100" s="1270"/>
      <c r="H100" s="1270"/>
      <c r="I100" s="1270"/>
      <c r="J100" s="1270"/>
      <c r="K100" s="1270"/>
      <c r="L100" s="1270"/>
      <c r="M100" s="1270"/>
      <c r="N100" s="1270"/>
      <c r="O100" s="1270"/>
      <c r="P100" s="1270"/>
      <c r="Q100" s="1270"/>
      <c r="R100" s="1270"/>
      <c r="S100" s="1270"/>
    </row>
    <row r="101" spans="3:19">
      <c r="C101" s="1270"/>
      <c r="D101" s="1270"/>
      <c r="E101" s="1270"/>
      <c r="F101" s="1270"/>
      <c r="G101" s="1270"/>
      <c r="H101" s="1270"/>
      <c r="I101" s="1270"/>
      <c r="J101" s="1270"/>
      <c r="K101" s="1270"/>
      <c r="L101" s="1270"/>
      <c r="M101" s="1270"/>
      <c r="N101" s="1270"/>
      <c r="O101" s="1270"/>
      <c r="P101" s="1270"/>
      <c r="Q101" s="1270"/>
      <c r="R101" s="1270"/>
      <c r="S101" s="1270"/>
    </row>
    <row r="102" spans="3:19">
      <c r="C102" s="1270"/>
      <c r="D102" s="1270"/>
      <c r="E102" s="1270"/>
      <c r="F102" s="1270"/>
      <c r="G102" s="1270"/>
      <c r="H102" s="1270"/>
      <c r="I102" s="1270"/>
      <c r="J102" s="1270"/>
      <c r="K102" s="1270"/>
      <c r="L102" s="1270"/>
      <c r="M102" s="1270"/>
      <c r="N102" s="1270"/>
      <c r="O102" s="1270"/>
      <c r="P102" s="1270"/>
      <c r="Q102" s="1270"/>
      <c r="R102" s="1270"/>
      <c r="S102" s="1270"/>
    </row>
    <row r="103" spans="3:19">
      <c r="C103" s="1270"/>
      <c r="D103" s="1270"/>
      <c r="E103" s="1270"/>
      <c r="F103" s="1270"/>
      <c r="G103" s="1270"/>
      <c r="H103" s="1270"/>
      <c r="I103" s="1270"/>
      <c r="J103" s="1270"/>
      <c r="K103" s="1270"/>
      <c r="L103" s="1270"/>
      <c r="M103" s="1270"/>
      <c r="N103" s="1270"/>
      <c r="O103" s="1270"/>
      <c r="P103" s="1270"/>
      <c r="Q103" s="1270"/>
      <c r="R103" s="1270"/>
      <c r="S103" s="1270"/>
    </row>
    <row r="104" spans="3:19">
      <c r="C104" s="1270"/>
      <c r="D104" s="1270"/>
      <c r="E104" s="1270"/>
      <c r="F104" s="1270"/>
      <c r="G104" s="1270"/>
      <c r="H104" s="1270"/>
      <c r="I104" s="1270"/>
      <c r="J104" s="1270"/>
      <c r="K104" s="1270"/>
      <c r="L104" s="1270"/>
      <c r="M104" s="1270"/>
      <c r="N104" s="1270"/>
      <c r="O104" s="1270"/>
      <c r="P104" s="1270"/>
      <c r="Q104" s="1270"/>
      <c r="R104" s="1270"/>
      <c r="S104" s="1270"/>
    </row>
    <row r="105" spans="3:19">
      <c r="C105" s="1270"/>
      <c r="D105" s="1270"/>
      <c r="E105" s="1270"/>
      <c r="F105" s="1270"/>
      <c r="G105" s="1270"/>
      <c r="H105" s="1270"/>
      <c r="I105" s="1270"/>
      <c r="J105" s="1270"/>
      <c r="K105" s="1270"/>
      <c r="L105" s="1270"/>
      <c r="M105" s="1270"/>
      <c r="N105" s="1270"/>
      <c r="O105" s="1270"/>
      <c r="P105" s="1270"/>
      <c r="Q105" s="1270"/>
      <c r="R105" s="1270"/>
      <c r="S105" s="1270"/>
    </row>
    <row r="106" spans="3:19">
      <c r="C106" s="1270"/>
      <c r="D106" s="1270"/>
      <c r="E106" s="1270"/>
      <c r="F106" s="1270"/>
      <c r="G106" s="1270"/>
      <c r="H106" s="1270"/>
      <c r="I106" s="1270"/>
      <c r="J106" s="1270"/>
      <c r="K106" s="1270"/>
      <c r="L106" s="1270"/>
      <c r="M106" s="1270"/>
      <c r="N106" s="1270"/>
      <c r="O106" s="1270"/>
      <c r="P106" s="1270"/>
      <c r="Q106" s="1270"/>
      <c r="R106" s="1270"/>
      <c r="S106" s="1270"/>
    </row>
    <row r="107" spans="3:19">
      <c r="C107" s="1270"/>
      <c r="D107" s="1270"/>
      <c r="E107" s="1270"/>
      <c r="F107" s="1270"/>
      <c r="G107" s="1270"/>
      <c r="H107" s="1270"/>
      <c r="I107" s="1270"/>
      <c r="J107" s="1270"/>
      <c r="K107" s="1270"/>
      <c r="L107" s="1270"/>
      <c r="M107" s="1270"/>
      <c r="N107" s="1270"/>
      <c r="O107" s="1270"/>
      <c r="P107" s="1270"/>
      <c r="Q107" s="1270"/>
      <c r="R107" s="1270"/>
      <c r="S107" s="1270"/>
    </row>
    <row r="108" spans="3:19">
      <c r="C108" s="1270"/>
      <c r="D108" s="1270"/>
      <c r="E108" s="1270"/>
      <c r="F108" s="1270"/>
      <c r="G108" s="1270"/>
      <c r="H108" s="1270"/>
      <c r="I108" s="1270"/>
      <c r="J108" s="1270"/>
      <c r="K108" s="1270"/>
      <c r="L108" s="1270"/>
      <c r="M108" s="1270"/>
      <c r="N108" s="1270"/>
      <c r="O108" s="1270"/>
      <c r="P108" s="1270"/>
      <c r="Q108" s="1270"/>
      <c r="R108" s="1270"/>
      <c r="S108" s="1270"/>
    </row>
    <row r="109" spans="3:19">
      <c r="C109" s="1270"/>
      <c r="D109" s="1270"/>
      <c r="E109" s="1270"/>
      <c r="F109" s="1270"/>
      <c r="G109" s="1270"/>
      <c r="H109" s="1270"/>
      <c r="I109" s="1270"/>
      <c r="J109" s="1270"/>
      <c r="K109" s="1270"/>
      <c r="L109" s="1270"/>
      <c r="M109" s="1270"/>
      <c r="N109" s="1270"/>
      <c r="O109" s="1270"/>
      <c r="P109" s="1270"/>
      <c r="Q109" s="1270"/>
      <c r="R109" s="1270"/>
      <c r="S109" s="1270"/>
    </row>
    <row r="110" spans="3:19">
      <c r="C110" s="1270"/>
      <c r="D110" s="1270"/>
      <c r="E110" s="1270"/>
      <c r="F110" s="1270"/>
      <c r="G110" s="1270"/>
      <c r="H110" s="1270"/>
      <c r="I110" s="1270"/>
      <c r="J110" s="1270"/>
      <c r="K110" s="1270"/>
      <c r="L110" s="1270"/>
      <c r="M110" s="1270"/>
      <c r="N110" s="1270"/>
      <c r="O110" s="1270"/>
      <c r="P110" s="1270"/>
      <c r="Q110" s="1270"/>
      <c r="R110" s="1270"/>
      <c r="S110" s="1270"/>
    </row>
    <row r="111" spans="3:19">
      <c r="C111" s="1270"/>
      <c r="D111" s="1270"/>
      <c r="E111" s="1270"/>
      <c r="F111" s="1270"/>
      <c r="G111" s="1270"/>
      <c r="H111" s="1270"/>
      <c r="I111" s="1270"/>
      <c r="J111" s="1270"/>
      <c r="K111" s="1270"/>
      <c r="L111" s="1270"/>
      <c r="M111" s="1270"/>
      <c r="N111" s="1270"/>
      <c r="O111" s="1270"/>
      <c r="P111" s="1270"/>
      <c r="Q111" s="1270"/>
      <c r="R111" s="1270"/>
      <c r="S111" s="1270"/>
    </row>
    <row r="112" spans="3:19">
      <c r="C112" s="1270"/>
      <c r="D112" s="1270"/>
      <c r="E112" s="1270"/>
      <c r="F112" s="1270"/>
      <c r="G112" s="1270"/>
      <c r="H112" s="1270"/>
      <c r="I112" s="1270"/>
      <c r="J112" s="1270"/>
      <c r="K112" s="1270"/>
      <c r="L112" s="1270"/>
      <c r="M112" s="1270"/>
      <c r="N112" s="1270"/>
      <c r="O112" s="1270"/>
      <c r="P112" s="1270"/>
      <c r="Q112" s="1270"/>
      <c r="R112" s="1270"/>
      <c r="S112" s="1270"/>
    </row>
    <row r="113" spans="3:19">
      <c r="C113" s="1270"/>
      <c r="D113" s="1270"/>
      <c r="E113" s="1270"/>
      <c r="F113" s="1270"/>
      <c r="G113" s="1270"/>
      <c r="H113" s="1270"/>
      <c r="I113" s="1270"/>
      <c r="J113" s="1270"/>
      <c r="K113" s="1270"/>
      <c r="L113" s="1270"/>
      <c r="M113" s="1270"/>
      <c r="N113" s="1270"/>
      <c r="O113" s="1270"/>
      <c r="P113" s="1270"/>
      <c r="Q113" s="1270"/>
      <c r="R113" s="1270"/>
      <c r="S113" s="1270"/>
    </row>
    <row r="114" spans="3:19">
      <c r="C114" s="1270"/>
      <c r="D114" s="1270"/>
      <c r="E114" s="1270"/>
      <c r="F114" s="1270"/>
      <c r="G114" s="1270"/>
      <c r="H114" s="1270"/>
      <c r="I114" s="1270"/>
      <c r="J114" s="1270"/>
      <c r="K114" s="1270"/>
      <c r="L114" s="1270"/>
      <c r="M114" s="1270"/>
      <c r="N114" s="1270"/>
      <c r="O114" s="1270"/>
      <c r="P114" s="1270"/>
      <c r="Q114" s="1270"/>
      <c r="R114" s="1270"/>
      <c r="S114" s="1270"/>
    </row>
    <row r="115" spans="3:19">
      <c r="C115" s="1270"/>
      <c r="D115" s="1270"/>
      <c r="E115" s="1270"/>
      <c r="F115" s="1270"/>
      <c r="G115" s="1270"/>
      <c r="H115" s="1270"/>
      <c r="I115" s="1270"/>
      <c r="J115" s="1270"/>
      <c r="K115" s="1270"/>
      <c r="L115" s="1270"/>
      <c r="M115" s="1270"/>
      <c r="N115" s="1270"/>
      <c r="O115" s="1270"/>
      <c r="P115" s="1270"/>
      <c r="Q115" s="1270"/>
      <c r="R115" s="1270"/>
      <c r="S115" s="1270"/>
    </row>
    <row r="116" spans="3:19">
      <c r="C116" s="1270"/>
      <c r="D116" s="1270"/>
      <c r="E116" s="1270"/>
      <c r="F116" s="1270"/>
      <c r="G116" s="1270"/>
      <c r="H116" s="1270"/>
      <c r="I116" s="1270"/>
      <c r="J116" s="1270"/>
      <c r="K116" s="1270"/>
      <c r="L116" s="1270"/>
      <c r="M116" s="1270"/>
      <c r="N116" s="1270"/>
      <c r="O116" s="1270"/>
      <c r="P116" s="1270"/>
      <c r="Q116" s="1270"/>
      <c r="R116" s="1270"/>
      <c r="S116" s="1270"/>
    </row>
    <row r="117" spans="3:19">
      <c r="C117" s="1270"/>
      <c r="D117" s="1270"/>
      <c r="E117" s="1270"/>
      <c r="F117" s="1270"/>
      <c r="G117" s="1270"/>
      <c r="H117" s="1270"/>
      <c r="I117" s="1270"/>
      <c r="J117" s="1270"/>
      <c r="K117" s="1270"/>
      <c r="L117" s="1270"/>
      <c r="M117" s="1270"/>
      <c r="N117" s="1270"/>
      <c r="O117" s="1270"/>
      <c r="P117" s="1270"/>
      <c r="Q117" s="1270"/>
      <c r="R117" s="1270"/>
      <c r="S117" s="1270"/>
    </row>
    <row r="118" spans="3:19">
      <c r="C118" s="1270"/>
      <c r="D118" s="1270"/>
      <c r="E118" s="1270"/>
      <c r="F118" s="1270"/>
      <c r="G118" s="1270"/>
      <c r="H118" s="1270"/>
      <c r="I118" s="1270"/>
      <c r="J118" s="1270"/>
      <c r="K118" s="1270"/>
      <c r="L118" s="1270"/>
      <c r="M118" s="1270"/>
      <c r="N118" s="1270"/>
      <c r="O118" s="1270"/>
      <c r="P118" s="1270"/>
      <c r="Q118" s="1270"/>
      <c r="R118" s="1270"/>
      <c r="S118" s="1270"/>
    </row>
    <row r="119" spans="3:19">
      <c r="C119" s="1270"/>
      <c r="D119" s="1270"/>
      <c r="E119" s="1270"/>
      <c r="F119" s="1270"/>
      <c r="G119" s="1270"/>
      <c r="H119" s="1270"/>
      <c r="I119" s="1270"/>
      <c r="J119" s="1270"/>
      <c r="K119" s="1270"/>
      <c r="L119" s="1270"/>
      <c r="M119" s="1270"/>
      <c r="N119" s="1270"/>
      <c r="O119" s="1270"/>
      <c r="P119" s="1270"/>
      <c r="Q119" s="1270"/>
      <c r="R119" s="1270"/>
      <c r="S119" s="1270"/>
    </row>
    <row r="120" spans="3:19">
      <c r="C120" s="1270"/>
      <c r="D120" s="1270"/>
      <c r="E120" s="1270"/>
      <c r="F120" s="1270"/>
      <c r="G120" s="1270"/>
      <c r="H120" s="1270"/>
      <c r="I120" s="1270"/>
      <c r="J120" s="1270"/>
      <c r="K120" s="1270"/>
      <c r="L120" s="1270"/>
      <c r="M120" s="1270"/>
      <c r="N120" s="1270"/>
      <c r="O120" s="1270"/>
      <c r="P120" s="1270"/>
      <c r="Q120" s="1270"/>
      <c r="R120" s="1270"/>
      <c r="S120" s="1270"/>
    </row>
    <row r="121" spans="3:19">
      <c r="C121" s="1270"/>
      <c r="D121" s="1270"/>
      <c r="E121" s="1270"/>
      <c r="F121" s="1270"/>
      <c r="G121" s="1270"/>
      <c r="H121" s="1270"/>
      <c r="I121" s="1270"/>
      <c r="J121" s="1270"/>
      <c r="K121" s="1270"/>
      <c r="L121" s="1270"/>
      <c r="M121" s="1270"/>
      <c r="N121" s="1270"/>
      <c r="O121" s="1270"/>
      <c r="P121" s="1270"/>
      <c r="Q121" s="1270"/>
      <c r="R121" s="1270"/>
      <c r="S121" s="1270"/>
    </row>
    <row r="122" spans="3:19">
      <c r="C122" s="1270"/>
      <c r="D122" s="1270"/>
      <c r="E122" s="1270"/>
      <c r="F122" s="1270"/>
      <c r="G122" s="1270"/>
      <c r="H122" s="1270"/>
      <c r="I122" s="1270"/>
      <c r="J122" s="1270"/>
      <c r="K122" s="1270"/>
      <c r="L122" s="1270"/>
      <c r="M122" s="1270"/>
      <c r="N122" s="1270"/>
      <c r="O122" s="1270"/>
      <c r="P122" s="1270"/>
      <c r="Q122" s="1270"/>
      <c r="R122" s="1270"/>
      <c r="S122" s="1270"/>
    </row>
    <row r="123" spans="3:19">
      <c r="C123" s="1270"/>
      <c r="D123" s="1270"/>
      <c r="E123" s="1270"/>
      <c r="F123" s="1270"/>
      <c r="G123" s="1270"/>
      <c r="H123" s="1270"/>
      <c r="I123" s="1270"/>
      <c r="J123" s="1270"/>
      <c r="K123" s="1270"/>
      <c r="L123" s="1270"/>
      <c r="M123" s="1270"/>
      <c r="N123" s="1270"/>
      <c r="O123" s="1270"/>
      <c r="P123" s="1270"/>
      <c r="Q123" s="1270"/>
      <c r="R123" s="1270"/>
      <c r="S123" s="1270"/>
    </row>
    <row r="124" spans="3:19">
      <c r="C124" s="1270"/>
      <c r="D124" s="1270"/>
      <c r="E124" s="1270"/>
      <c r="F124" s="1270"/>
      <c r="G124" s="1270"/>
      <c r="H124" s="1270"/>
      <c r="I124" s="1270"/>
      <c r="J124" s="1270"/>
      <c r="K124" s="1270"/>
      <c r="L124" s="1270"/>
      <c r="M124" s="1270"/>
      <c r="N124" s="1270"/>
      <c r="O124" s="1270"/>
      <c r="P124" s="1270"/>
      <c r="Q124" s="1270"/>
      <c r="R124" s="1270"/>
      <c r="S124" s="1270"/>
    </row>
    <row r="125" spans="3:19">
      <c r="C125" s="1270"/>
      <c r="D125" s="1270"/>
      <c r="E125" s="1270"/>
      <c r="F125" s="1270"/>
      <c r="G125" s="1270"/>
      <c r="H125" s="1270"/>
      <c r="I125" s="1270"/>
      <c r="J125" s="1270"/>
      <c r="K125" s="1270"/>
      <c r="L125" s="1270"/>
      <c r="M125" s="1270"/>
      <c r="N125" s="1270"/>
      <c r="O125" s="1270"/>
      <c r="P125" s="1270"/>
      <c r="Q125" s="1270"/>
      <c r="R125" s="1270"/>
      <c r="S125" s="1270"/>
    </row>
    <row r="126" spans="3:19">
      <c r="C126" s="1270"/>
      <c r="D126" s="1270"/>
      <c r="E126" s="1270"/>
      <c r="F126" s="1270"/>
      <c r="G126" s="1270"/>
      <c r="H126" s="1270"/>
      <c r="I126" s="1270"/>
      <c r="J126" s="1270"/>
      <c r="K126" s="1270"/>
      <c r="L126" s="1270"/>
      <c r="M126" s="1270"/>
      <c r="N126" s="1270"/>
      <c r="O126" s="1270"/>
      <c r="P126" s="1270"/>
      <c r="Q126" s="1270"/>
      <c r="R126" s="1270"/>
      <c r="S126" s="1270"/>
    </row>
    <row r="127" spans="3:19">
      <c r="C127" s="1270"/>
      <c r="D127" s="1270"/>
      <c r="E127" s="1270"/>
      <c r="F127" s="1270"/>
      <c r="G127" s="1270"/>
      <c r="H127" s="1270"/>
      <c r="I127" s="1270"/>
      <c r="J127" s="1270"/>
      <c r="K127" s="1270"/>
      <c r="L127" s="1270"/>
      <c r="M127" s="1270"/>
      <c r="N127" s="1270"/>
      <c r="O127" s="1270"/>
      <c r="P127" s="1270"/>
      <c r="Q127" s="1270"/>
      <c r="R127" s="1270"/>
      <c r="S127" s="1270"/>
    </row>
    <row r="128" spans="3:19">
      <c r="C128" s="1270"/>
      <c r="D128" s="1270"/>
      <c r="E128" s="1270"/>
      <c r="F128" s="1270"/>
      <c r="G128" s="1270"/>
      <c r="H128" s="1270"/>
      <c r="I128" s="1270"/>
      <c r="J128" s="1270"/>
      <c r="K128" s="1270"/>
      <c r="L128" s="1270"/>
      <c r="M128" s="1270"/>
      <c r="N128" s="1270"/>
      <c r="O128" s="1270"/>
      <c r="P128" s="1270"/>
      <c r="Q128" s="1270"/>
      <c r="R128" s="1270"/>
      <c r="S128" s="1270"/>
    </row>
    <row r="129" spans="3:19">
      <c r="C129" s="1270"/>
      <c r="D129" s="1270"/>
      <c r="E129" s="1270"/>
      <c r="F129" s="1270"/>
      <c r="G129" s="1270"/>
      <c r="H129" s="1270"/>
      <c r="I129" s="1270"/>
      <c r="J129" s="1270"/>
      <c r="K129" s="1270"/>
      <c r="L129" s="1270"/>
      <c r="M129" s="1270"/>
      <c r="N129" s="1270"/>
      <c r="O129" s="1270"/>
      <c r="P129" s="1270"/>
      <c r="Q129" s="1270"/>
      <c r="R129" s="1270"/>
      <c r="S129" s="1270"/>
    </row>
    <row r="130" spans="3:19">
      <c r="C130" s="1270"/>
      <c r="D130" s="1270"/>
      <c r="E130" s="1270"/>
      <c r="F130" s="1270"/>
      <c r="G130" s="1270"/>
      <c r="H130" s="1270"/>
      <c r="I130" s="1270"/>
      <c r="J130" s="1270"/>
      <c r="K130" s="1270"/>
      <c r="L130" s="1270"/>
      <c r="M130" s="1270"/>
      <c r="N130" s="1270"/>
      <c r="O130" s="1270"/>
      <c r="P130" s="1270"/>
      <c r="Q130" s="1270"/>
      <c r="R130" s="1270"/>
      <c r="S130" s="1270"/>
    </row>
    <row r="131" spans="3:19">
      <c r="C131" s="1270"/>
      <c r="D131" s="1270"/>
      <c r="E131" s="1270"/>
      <c r="F131" s="1270"/>
      <c r="G131" s="1270"/>
      <c r="H131" s="1270"/>
      <c r="I131" s="1270"/>
      <c r="J131" s="1270"/>
      <c r="K131" s="1270"/>
      <c r="L131" s="1270"/>
      <c r="M131" s="1270"/>
      <c r="N131" s="1270"/>
      <c r="O131" s="1270"/>
      <c r="P131" s="1270"/>
      <c r="Q131" s="1270"/>
      <c r="R131" s="1270"/>
      <c r="S131" s="1270"/>
    </row>
    <row r="132" spans="3:19">
      <c r="C132" s="1270"/>
      <c r="D132" s="1270"/>
      <c r="E132" s="1270"/>
      <c r="F132" s="1270"/>
      <c r="G132" s="1270"/>
      <c r="H132" s="1270"/>
      <c r="I132" s="1270"/>
      <c r="J132" s="1270"/>
      <c r="K132" s="1270"/>
      <c r="L132" s="1270"/>
      <c r="M132" s="1270"/>
      <c r="N132" s="1270"/>
      <c r="O132" s="1270"/>
      <c r="P132" s="1270"/>
      <c r="Q132" s="1270"/>
      <c r="R132" s="1270"/>
      <c r="S132" s="1270"/>
    </row>
    <row r="133" spans="3:19">
      <c r="C133" s="1270"/>
      <c r="D133" s="1270"/>
      <c r="E133" s="1270"/>
      <c r="F133" s="1270"/>
      <c r="G133" s="1270"/>
      <c r="H133" s="1270"/>
      <c r="I133" s="1270"/>
      <c r="J133" s="1270"/>
      <c r="K133" s="1270"/>
      <c r="L133" s="1270"/>
      <c r="M133" s="1270"/>
      <c r="N133" s="1270"/>
      <c r="O133" s="1270"/>
      <c r="P133" s="1270"/>
      <c r="Q133" s="1270"/>
      <c r="R133" s="1270"/>
      <c r="S133" s="1270"/>
    </row>
    <row r="134" spans="3:19">
      <c r="C134" s="1270"/>
      <c r="D134" s="1270"/>
      <c r="E134" s="1270"/>
      <c r="F134" s="1270"/>
      <c r="G134" s="1270"/>
      <c r="H134" s="1270"/>
      <c r="I134" s="1270"/>
      <c r="J134" s="1270"/>
      <c r="K134" s="1270"/>
      <c r="L134" s="1270"/>
      <c r="M134" s="1270"/>
      <c r="N134" s="1270"/>
      <c r="O134" s="1270"/>
      <c r="P134" s="1270"/>
      <c r="Q134" s="1270"/>
      <c r="R134" s="1270"/>
      <c r="S134" s="1270"/>
    </row>
    <row r="135" spans="3:19">
      <c r="C135" s="1270"/>
      <c r="D135" s="1270"/>
      <c r="E135" s="1270"/>
      <c r="F135" s="1270"/>
      <c r="G135" s="1270"/>
      <c r="H135" s="1270"/>
      <c r="I135" s="1270"/>
      <c r="J135" s="1270"/>
      <c r="K135" s="1270"/>
      <c r="L135" s="1270"/>
      <c r="M135" s="1270"/>
      <c r="N135" s="1270"/>
      <c r="O135" s="1270"/>
      <c r="P135" s="1270"/>
      <c r="Q135" s="1270"/>
      <c r="R135" s="1270"/>
      <c r="S135" s="1270"/>
    </row>
    <row r="136" spans="3:19">
      <c r="C136" s="1270"/>
      <c r="D136" s="1270"/>
      <c r="E136" s="1270"/>
      <c r="F136" s="1270"/>
      <c r="G136" s="1270"/>
      <c r="H136" s="1270"/>
      <c r="I136" s="1270"/>
      <c r="J136" s="1270"/>
      <c r="K136" s="1270"/>
      <c r="L136" s="1270"/>
      <c r="M136" s="1270"/>
      <c r="N136" s="1270"/>
      <c r="O136" s="1270"/>
      <c r="P136" s="1270"/>
      <c r="Q136" s="1270"/>
      <c r="R136" s="1270"/>
      <c r="S136" s="1270"/>
    </row>
    <row r="137" spans="3:19">
      <c r="C137" s="1270"/>
      <c r="D137" s="1270"/>
      <c r="E137" s="1270"/>
      <c r="F137" s="1270"/>
      <c r="G137" s="1270"/>
      <c r="H137" s="1270"/>
      <c r="I137" s="1270"/>
      <c r="J137" s="1270"/>
      <c r="K137" s="1270"/>
      <c r="L137" s="1270"/>
      <c r="M137" s="1270"/>
      <c r="N137" s="1270"/>
      <c r="O137" s="1270"/>
      <c r="P137" s="1270"/>
      <c r="Q137" s="1270"/>
      <c r="R137" s="1270"/>
      <c r="S137" s="1270"/>
    </row>
    <row r="138" spans="3:19">
      <c r="C138" s="1270"/>
      <c r="D138" s="1270"/>
      <c r="E138" s="1270"/>
      <c r="F138" s="1270"/>
      <c r="G138" s="1270"/>
      <c r="H138" s="1270"/>
      <c r="I138" s="1270"/>
      <c r="J138" s="1270"/>
      <c r="K138" s="1270"/>
      <c r="L138" s="1270"/>
      <c r="M138" s="1270"/>
      <c r="N138" s="1270"/>
      <c r="O138" s="1270"/>
      <c r="P138" s="1270"/>
      <c r="Q138" s="1270"/>
      <c r="R138" s="1270"/>
      <c r="S138" s="1270"/>
    </row>
    <row r="139" spans="3:19">
      <c r="C139" s="1270"/>
      <c r="D139" s="1270"/>
      <c r="E139" s="1270"/>
      <c r="F139" s="1270"/>
      <c r="G139" s="1270"/>
      <c r="H139" s="1270"/>
      <c r="I139" s="1270"/>
      <c r="J139" s="1270"/>
      <c r="K139" s="1270"/>
      <c r="L139" s="1270"/>
      <c r="M139" s="1270"/>
      <c r="N139" s="1270"/>
      <c r="O139" s="1270"/>
      <c r="P139" s="1270"/>
      <c r="Q139" s="1270"/>
      <c r="R139" s="1270"/>
      <c r="S139" s="1270"/>
    </row>
    <row r="140" spans="3:19">
      <c r="C140" s="1270"/>
      <c r="D140" s="1270"/>
      <c r="E140" s="1270"/>
      <c r="F140" s="1270"/>
      <c r="G140" s="1270"/>
      <c r="H140" s="1270"/>
      <c r="I140" s="1270"/>
      <c r="J140" s="1270"/>
      <c r="K140" s="1270"/>
      <c r="L140" s="1270"/>
      <c r="M140" s="1270"/>
      <c r="N140" s="1270"/>
      <c r="O140" s="1270"/>
      <c r="P140" s="1270"/>
      <c r="Q140" s="1270"/>
      <c r="R140" s="1270"/>
      <c r="S140" s="1270"/>
    </row>
    <row r="141" spans="3:19">
      <c r="C141" s="1270"/>
      <c r="D141" s="1270"/>
      <c r="E141" s="1270"/>
      <c r="F141" s="1270"/>
      <c r="G141" s="1270"/>
      <c r="H141" s="1270"/>
      <c r="I141" s="1270"/>
      <c r="J141" s="1270"/>
      <c r="K141" s="1270"/>
      <c r="L141" s="1270"/>
      <c r="M141" s="1270"/>
      <c r="N141" s="1270"/>
      <c r="O141" s="1270"/>
      <c r="P141" s="1270"/>
      <c r="Q141" s="1270"/>
      <c r="R141" s="1270"/>
      <c r="S141" s="1270"/>
    </row>
    <row r="142" spans="3:19">
      <c r="C142" s="1270"/>
      <c r="D142" s="1270"/>
      <c r="E142" s="1270"/>
      <c r="F142" s="1270"/>
      <c r="G142" s="1270"/>
      <c r="H142" s="1270"/>
      <c r="I142" s="1270"/>
      <c r="J142" s="1270"/>
      <c r="K142" s="1270"/>
      <c r="L142" s="1270"/>
      <c r="M142" s="1270"/>
      <c r="N142" s="1270"/>
      <c r="O142" s="1270"/>
      <c r="P142" s="1270"/>
      <c r="Q142" s="1270"/>
      <c r="R142" s="1270"/>
      <c r="S142" s="1270"/>
    </row>
    <row r="143" spans="3:19">
      <c r="C143" s="1270"/>
      <c r="D143" s="1270"/>
      <c r="E143" s="1270"/>
      <c r="F143" s="1270"/>
      <c r="G143" s="1270"/>
      <c r="H143" s="1270"/>
      <c r="I143" s="1270"/>
      <c r="J143" s="1270"/>
      <c r="K143" s="1270"/>
      <c r="L143" s="1270"/>
      <c r="M143" s="1270"/>
      <c r="N143" s="1270"/>
      <c r="O143" s="1270"/>
      <c r="P143" s="1270"/>
      <c r="Q143" s="1270"/>
      <c r="R143" s="1270"/>
      <c r="S143" s="1270"/>
    </row>
    <row r="144" spans="3:19">
      <c r="C144" s="1270"/>
      <c r="D144" s="1270"/>
      <c r="E144" s="1270"/>
      <c r="F144" s="1270"/>
      <c r="G144" s="1270"/>
      <c r="H144" s="1270"/>
      <c r="I144" s="1270"/>
      <c r="J144" s="1270"/>
      <c r="K144" s="1270"/>
      <c r="L144" s="1270"/>
      <c r="M144" s="1270"/>
      <c r="N144" s="1270"/>
      <c r="O144" s="1270"/>
      <c r="P144" s="1270"/>
      <c r="Q144" s="1270"/>
      <c r="R144" s="1270"/>
      <c r="S144" s="1270"/>
    </row>
    <row r="145" spans="3:19">
      <c r="C145" s="1270"/>
      <c r="D145" s="1270"/>
      <c r="E145" s="1270"/>
      <c r="F145" s="1270"/>
      <c r="G145" s="1270"/>
      <c r="H145" s="1270"/>
      <c r="I145" s="1270"/>
      <c r="J145" s="1270"/>
      <c r="K145" s="1270"/>
      <c r="L145" s="1270"/>
      <c r="M145" s="1270"/>
      <c r="N145" s="1270"/>
      <c r="O145" s="1270"/>
      <c r="P145" s="1270"/>
      <c r="Q145" s="1270"/>
      <c r="R145" s="1270"/>
      <c r="S145" s="1270"/>
    </row>
    <row r="146" spans="3:19">
      <c r="C146" s="1270"/>
      <c r="D146" s="1270"/>
      <c r="E146" s="1270"/>
      <c r="F146" s="1270"/>
      <c r="G146" s="1270"/>
      <c r="H146" s="1270"/>
      <c r="I146" s="1270"/>
      <c r="J146" s="1270"/>
      <c r="K146" s="1270"/>
      <c r="L146" s="1270"/>
      <c r="M146" s="1270"/>
      <c r="N146" s="1270"/>
      <c r="O146" s="1270"/>
      <c r="P146" s="1270"/>
      <c r="Q146" s="1270"/>
      <c r="R146" s="1270"/>
      <c r="S146" s="1270"/>
    </row>
    <row r="147" spans="3:19">
      <c r="C147" s="1270"/>
      <c r="D147" s="1270"/>
      <c r="E147" s="1270"/>
      <c r="F147" s="1270"/>
      <c r="G147" s="1270"/>
      <c r="H147" s="1270"/>
      <c r="I147" s="1270"/>
      <c r="J147" s="1270"/>
      <c r="K147" s="1270"/>
      <c r="L147" s="1270"/>
      <c r="M147" s="1270"/>
      <c r="N147" s="1270"/>
      <c r="O147" s="1270"/>
      <c r="P147" s="1270"/>
      <c r="Q147" s="1270"/>
      <c r="R147" s="1270"/>
      <c r="S147" s="1270"/>
    </row>
    <row r="148" spans="3:19">
      <c r="C148" s="1270"/>
      <c r="D148" s="1270"/>
      <c r="E148" s="1270"/>
      <c r="F148" s="1270"/>
      <c r="G148" s="1270"/>
      <c r="H148" s="1270"/>
      <c r="I148" s="1270"/>
      <c r="J148" s="1270"/>
      <c r="K148" s="1270"/>
      <c r="L148" s="1270"/>
      <c r="M148" s="1270"/>
      <c r="N148" s="1270"/>
      <c r="O148" s="1270"/>
      <c r="P148" s="1270"/>
      <c r="Q148" s="1270"/>
      <c r="R148" s="1270"/>
      <c r="S148" s="1270"/>
    </row>
    <row r="149" spans="3:19">
      <c r="C149" s="1270"/>
      <c r="D149" s="1270"/>
      <c r="E149" s="1270"/>
      <c r="F149" s="1270"/>
      <c r="G149" s="1270"/>
      <c r="H149" s="1270"/>
      <c r="I149" s="1270"/>
      <c r="J149" s="1270"/>
      <c r="K149" s="1270"/>
      <c r="L149" s="1270"/>
      <c r="M149" s="1270"/>
      <c r="N149" s="1270"/>
      <c r="O149" s="1270"/>
      <c r="P149" s="1270"/>
      <c r="Q149" s="1270"/>
      <c r="R149" s="1270"/>
      <c r="S149" s="1270"/>
    </row>
    <row r="150" spans="3:19">
      <c r="C150" s="1270"/>
      <c r="D150" s="1270"/>
      <c r="E150" s="1270"/>
      <c r="F150" s="1270"/>
      <c r="G150" s="1270"/>
      <c r="H150" s="1270"/>
      <c r="I150" s="1270"/>
      <c r="J150" s="1270"/>
      <c r="K150" s="1270"/>
      <c r="L150" s="1270"/>
      <c r="M150" s="1270"/>
      <c r="N150" s="1270"/>
      <c r="O150" s="1270"/>
      <c r="P150" s="1270"/>
      <c r="Q150" s="1270"/>
      <c r="R150" s="1270"/>
      <c r="S150" s="1270"/>
    </row>
    <row r="151" spans="3:19">
      <c r="C151" s="1270"/>
      <c r="D151" s="1270"/>
      <c r="E151" s="1270"/>
      <c r="F151" s="1270"/>
      <c r="G151" s="1270"/>
      <c r="H151" s="1270"/>
      <c r="I151" s="1270"/>
      <c r="J151" s="1270"/>
      <c r="K151" s="1270"/>
      <c r="L151" s="1270"/>
      <c r="M151" s="1270"/>
      <c r="N151" s="1270"/>
      <c r="O151" s="1270"/>
      <c r="P151" s="1270"/>
      <c r="Q151" s="1270"/>
      <c r="R151" s="1270"/>
      <c r="S151" s="1270"/>
    </row>
    <row r="152" spans="3:19">
      <c r="C152" s="1270"/>
      <c r="D152" s="1270"/>
      <c r="E152" s="1270"/>
      <c r="F152" s="1270"/>
      <c r="G152" s="1270"/>
      <c r="H152" s="1270"/>
      <c r="I152" s="1270"/>
      <c r="J152" s="1270"/>
      <c r="K152" s="1270"/>
      <c r="L152" s="1270"/>
      <c r="M152" s="1270"/>
      <c r="N152" s="1270"/>
      <c r="O152" s="1270"/>
      <c r="P152" s="1270"/>
      <c r="Q152" s="1270"/>
      <c r="R152" s="1270"/>
      <c r="S152" s="1270"/>
    </row>
    <row r="153" spans="3:19">
      <c r="C153" s="1270"/>
      <c r="D153" s="1270"/>
      <c r="E153" s="1270"/>
      <c r="F153" s="1270"/>
      <c r="G153" s="1270"/>
      <c r="H153" s="1270"/>
      <c r="I153" s="1270"/>
      <c r="J153" s="1270"/>
      <c r="K153" s="1270"/>
      <c r="L153" s="1270"/>
      <c r="M153" s="1270"/>
      <c r="N153" s="1270"/>
      <c r="O153" s="1270"/>
      <c r="P153" s="1270"/>
      <c r="Q153" s="1270"/>
      <c r="R153" s="1270"/>
      <c r="S153" s="1270"/>
    </row>
    <row r="154" spans="3:19">
      <c r="C154" s="1270"/>
      <c r="D154" s="1270"/>
      <c r="E154" s="1270"/>
      <c r="F154" s="1270"/>
      <c r="G154" s="1270"/>
      <c r="H154" s="1270"/>
      <c r="I154" s="1270"/>
      <c r="J154" s="1270"/>
      <c r="K154" s="1270"/>
      <c r="L154" s="1270"/>
      <c r="M154" s="1270"/>
      <c r="N154" s="1270"/>
      <c r="O154" s="1270"/>
      <c r="P154" s="1270"/>
      <c r="Q154" s="1270"/>
      <c r="R154" s="1270"/>
      <c r="S154" s="1270"/>
    </row>
    <row r="155" spans="3:19">
      <c r="C155" s="1270"/>
      <c r="D155" s="1270"/>
      <c r="E155" s="1270"/>
      <c r="F155" s="1270"/>
      <c r="G155" s="1270"/>
      <c r="H155" s="1270"/>
      <c r="I155" s="1270"/>
      <c r="J155" s="1270"/>
      <c r="K155" s="1270"/>
      <c r="L155" s="1270"/>
      <c r="M155" s="1270"/>
      <c r="N155" s="1270"/>
      <c r="O155" s="1270"/>
      <c r="P155" s="1270"/>
      <c r="Q155" s="1270"/>
      <c r="R155" s="1270"/>
      <c r="S155" s="1270"/>
    </row>
    <row r="156" spans="3:19">
      <c r="C156" s="1270"/>
      <c r="D156" s="1270"/>
      <c r="E156" s="1270"/>
      <c r="F156" s="1270"/>
      <c r="G156" s="1270"/>
      <c r="H156" s="1270"/>
      <c r="I156" s="1270"/>
      <c r="J156" s="1270"/>
      <c r="K156" s="1270"/>
      <c r="L156" s="1270"/>
      <c r="M156" s="1270"/>
      <c r="N156" s="1270"/>
      <c r="O156" s="1270"/>
      <c r="P156" s="1270"/>
      <c r="Q156" s="1270"/>
      <c r="R156" s="1270"/>
      <c r="S156" s="1270"/>
    </row>
    <row r="157" spans="3:19">
      <c r="C157" s="1270"/>
      <c r="D157" s="1270"/>
      <c r="E157" s="1270"/>
      <c r="F157" s="1270"/>
      <c r="G157" s="1270"/>
      <c r="H157" s="1270"/>
      <c r="I157" s="1270"/>
      <c r="J157" s="1270"/>
      <c r="K157" s="1270"/>
      <c r="L157" s="1270"/>
      <c r="M157" s="1270"/>
      <c r="N157" s="1270"/>
      <c r="O157" s="1270"/>
      <c r="P157" s="1270"/>
      <c r="Q157" s="1270"/>
      <c r="R157" s="1270"/>
      <c r="S157" s="1270"/>
    </row>
    <row r="158" spans="3:19">
      <c r="C158" s="1270"/>
      <c r="D158" s="1270"/>
      <c r="E158" s="1270"/>
      <c r="F158" s="1270"/>
      <c r="G158" s="1270"/>
      <c r="H158" s="1270"/>
      <c r="I158" s="1270"/>
      <c r="J158" s="1270"/>
      <c r="K158" s="1270"/>
      <c r="L158" s="1270"/>
      <c r="M158" s="1270"/>
      <c r="N158" s="1270"/>
      <c r="O158" s="1270"/>
      <c r="P158" s="1270"/>
      <c r="Q158" s="1270"/>
      <c r="R158" s="1270"/>
      <c r="S158" s="1270"/>
    </row>
    <row r="159" spans="3:19">
      <c r="C159" s="1270"/>
      <c r="D159" s="1270"/>
      <c r="E159" s="1270"/>
      <c r="F159" s="1270"/>
      <c r="G159" s="1270"/>
      <c r="H159" s="1270"/>
      <c r="I159" s="1270"/>
      <c r="J159" s="1270"/>
      <c r="K159" s="1270"/>
      <c r="L159" s="1270"/>
      <c r="M159" s="1270"/>
      <c r="N159" s="1270"/>
      <c r="O159" s="1270"/>
      <c r="P159" s="1270"/>
      <c r="Q159" s="1270"/>
      <c r="R159" s="1270"/>
      <c r="S159" s="1270"/>
    </row>
    <row r="160" spans="3:19">
      <c r="C160" s="1270"/>
      <c r="D160" s="1270"/>
      <c r="E160" s="1270"/>
      <c r="F160" s="1270"/>
      <c r="G160" s="1270"/>
      <c r="H160" s="1270"/>
      <c r="I160" s="1270"/>
      <c r="J160" s="1270"/>
      <c r="K160" s="1270"/>
      <c r="L160" s="1270"/>
      <c r="M160" s="1270"/>
      <c r="N160" s="1270"/>
      <c r="O160" s="1270"/>
      <c r="P160" s="1270"/>
      <c r="Q160" s="1270"/>
      <c r="R160" s="1270"/>
      <c r="S160" s="1270"/>
    </row>
    <row r="161" spans="3:19">
      <c r="C161" s="1270"/>
      <c r="D161" s="1270"/>
      <c r="E161" s="1270"/>
      <c r="F161" s="1270"/>
      <c r="G161" s="1270"/>
      <c r="H161" s="1270"/>
      <c r="I161" s="1270"/>
      <c r="J161" s="1270"/>
      <c r="K161" s="1270"/>
      <c r="L161" s="1270"/>
      <c r="M161" s="1270"/>
      <c r="N161" s="1270"/>
      <c r="O161" s="1270"/>
      <c r="P161" s="1270"/>
      <c r="Q161" s="1270"/>
      <c r="R161" s="1270"/>
      <c r="S161" s="1270"/>
    </row>
    <row r="162" spans="3:19">
      <c r="C162" s="1270"/>
      <c r="D162" s="1270"/>
      <c r="E162" s="1270"/>
      <c r="F162" s="1270"/>
      <c r="G162" s="1270"/>
      <c r="H162" s="1270"/>
      <c r="I162" s="1270"/>
      <c r="J162" s="1270"/>
      <c r="K162" s="1270"/>
      <c r="L162" s="1270"/>
      <c r="M162" s="1270"/>
      <c r="N162" s="1270"/>
      <c r="O162" s="1270"/>
      <c r="P162" s="1270"/>
      <c r="Q162" s="1270"/>
      <c r="R162" s="1270"/>
      <c r="S162" s="1270"/>
    </row>
    <row r="163" spans="3:19">
      <c r="C163" s="1270"/>
      <c r="D163" s="1270"/>
      <c r="E163" s="1270"/>
      <c r="F163" s="1270"/>
      <c r="G163" s="1270"/>
      <c r="H163" s="1270"/>
      <c r="I163" s="1270"/>
      <c r="J163" s="1270"/>
      <c r="K163" s="1270"/>
      <c r="L163" s="1270"/>
      <c r="M163" s="1270"/>
      <c r="N163" s="1270"/>
      <c r="O163" s="1270"/>
      <c r="P163" s="1270"/>
      <c r="Q163" s="1270"/>
      <c r="R163" s="1270"/>
      <c r="S163" s="1270"/>
    </row>
    <row r="164" spans="3:19">
      <c r="C164" s="1270"/>
      <c r="D164" s="1270"/>
      <c r="E164" s="1270"/>
      <c r="F164" s="1270"/>
      <c r="G164" s="1270"/>
      <c r="H164" s="1270"/>
      <c r="I164" s="1270"/>
      <c r="J164" s="1270"/>
      <c r="K164" s="1270"/>
      <c r="L164" s="1270"/>
      <c r="M164" s="1270"/>
      <c r="N164" s="1270"/>
      <c r="O164" s="1270"/>
      <c r="P164" s="1270"/>
      <c r="Q164" s="1270"/>
      <c r="R164" s="1270"/>
      <c r="S164" s="1270"/>
    </row>
    <row r="165" spans="3:19">
      <c r="C165" s="1270"/>
      <c r="D165" s="1270"/>
      <c r="E165" s="1270"/>
      <c r="F165" s="1270"/>
      <c r="G165" s="1270"/>
      <c r="H165" s="1270"/>
      <c r="I165" s="1270"/>
      <c r="J165" s="1270"/>
      <c r="K165" s="1270"/>
      <c r="L165" s="1270"/>
      <c r="M165" s="1270"/>
      <c r="N165" s="1270"/>
      <c r="O165" s="1270"/>
      <c r="P165" s="1270"/>
      <c r="Q165" s="1270"/>
      <c r="R165" s="1270"/>
      <c r="S165" s="1270"/>
    </row>
    <row r="166" spans="3:19">
      <c r="C166" s="1270"/>
      <c r="D166" s="1270"/>
      <c r="E166" s="1270"/>
      <c r="F166" s="1270"/>
      <c r="G166" s="1270"/>
      <c r="H166" s="1270"/>
      <c r="I166" s="1270"/>
      <c r="J166" s="1270"/>
      <c r="K166" s="1270"/>
      <c r="L166" s="1270"/>
      <c r="M166" s="1270"/>
      <c r="N166" s="1270"/>
      <c r="O166" s="1270"/>
      <c r="P166" s="1270"/>
      <c r="Q166" s="1270"/>
      <c r="R166" s="1270"/>
      <c r="S166" s="1270"/>
    </row>
    <row r="167" spans="3:19">
      <c r="C167" s="1270"/>
      <c r="D167" s="1270"/>
      <c r="E167" s="1270"/>
      <c r="F167" s="1270"/>
      <c r="G167" s="1270"/>
      <c r="H167" s="1270"/>
      <c r="I167" s="1270"/>
      <c r="J167" s="1270"/>
      <c r="K167" s="1270"/>
      <c r="L167" s="1270"/>
      <c r="M167" s="1270"/>
      <c r="N167" s="1270"/>
      <c r="O167" s="1270"/>
      <c r="P167" s="1270"/>
      <c r="Q167" s="1270"/>
      <c r="R167" s="1270"/>
      <c r="S167" s="1270"/>
    </row>
    <row r="168" spans="3:19">
      <c r="C168" s="1270"/>
      <c r="D168" s="1270"/>
      <c r="E168" s="1270"/>
      <c r="F168" s="1270"/>
      <c r="G168" s="1270"/>
      <c r="H168" s="1270"/>
      <c r="I168" s="1270"/>
      <c r="J168" s="1270"/>
      <c r="K168" s="1270"/>
      <c r="L168" s="1270"/>
      <c r="M168" s="1270"/>
      <c r="N168" s="1270"/>
      <c r="O168" s="1270"/>
      <c r="P168" s="1270"/>
      <c r="Q168" s="1270"/>
      <c r="R168" s="1270"/>
      <c r="S168" s="1270"/>
    </row>
    <row r="169" spans="3:19">
      <c r="C169" s="1270"/>
      <c r="D169" s="1270"/>
      <c r="E169" s="1270"/>
      <c r="F169" s="1270"/>
      <c r="G169" s="1270"/>
      <c r="H169" s="1270"/>
      <c r="I169" s="1270"/>
      <c r="J169" s="1270"/>
      <c r="K169" s="1270"/>
      <c r="L169" s="1270"/>
      <c r="M169" s="1270"/>
      <c r="N169" s="1270"/>
      <c r="O169" s="1270"/>
      <c r="P169" s="1270"/>
      <c r="Q169" s="1270"/>
      <c r="R169" s="1270"/>
      <c r="S169" s="1270"/>
    </row>
    <row r="170" spans="3:19">
      <c r="C170" s="1270"/>
      <c r="D170" s="1270"/>
      <c r="E170" s="1270"/>
      <c r="F170" s="1270"/>
      <c r="G170" s="1270"/>
      <c r="H170" s="1270"/>
      <c r="I170" s="1270"/>
      <c r="J170" s="1270"/>
      <c r="K170" s="1270"/>
      <c r="L170" s="1270"/>
      <c r="M170" s="1270"/>
      <c r="N170" s="1270"/>
      <c r="O170" s="1270"/>
      <c r="P170" s="1270"/>
      <c r="Q170" s="1270"/>
      <c r="R170" s="1270"/>
      <c r="S170" s="1270"/>
    </row>
    <row r="171" spans="3:19">
      <c r="C171" s="1270"/>
      <c r="D171" s="1270"/>
      <c r="E171" s="1270"/>
      <c r="F171" s="1270"/>
      <c r="G171" s="1270"/>
      <c r="H171" s="1270"/>
      <c r="I171" s="1270"/>
      <c r="J171" s="1270"/>
      <c r="K171" s="1270"/>
      <c r="L171" s="1270"/>
      <c r="M171" s="1270"/>
      <c r="N171" s="1270"/>
      <c r="O171" s="1270"/>
      <c r="P171" s="1270"/>
      <c r="Q171" s="1270"/>
      <c r="R171" s="1270"/>
      <c r="S171" s="1270"/>
    </row>
    <row r="172" spans="3:19">
      <c r="C172" s="1270"/>
      <c r="D172" s="1270"/>
      <c r="E172" s="1270"/>
      <c r="F172" s="1270"/>
      <c r="G172" s="1270"/>
      <c r="H172" s="1270"/>
      <c r="I172" s="1270"/>
      <c r="J172" s="1270"/>
      <c r="K172" s="1270"/>
      <c r="L172" s="1270"/>
      <c r="M172" s="1270"/>
      <c r="N172" s="1270"/>
      <c r="O172" s="1270"/>
      <c r="P172" s="1270"/>
      <c r="Q172" s="1270"/>
      <c r="R172" s="1270"/>
      <c r="S172" s="1270"/>
    </row>
    <row r="173" spans="3:19">
      <c r="C173" s="1270"/>
      <c r="D173" s="1270"/>
      <c r="E173" s="1270"/>
      <c r="F173" s="1270"/>
      <c r="G173" s="1270"/>
      <c r="H173" s="1270"/>
      <c r="I173" s="1270"/>
      <c r="J173" s="1270"/>
      <c r="K173" s="1270"/>
      <c r="L173" s="1270"/>
      <c r="M173" s="1270"/>
      <c r="N173" s="1270"/>
      <c r="O173" s="1270"/>
      <c r="P173" s="1270"/>
      <c r="Q173" s="1270"/>
      <c r="R173" s="1270"/>
      <c r="S173" s="1270"/>
    </row>
    <row r="174" spans="3:19">
      <c r="C174" s="1270"/>
      <c r="D174" s="1270"/>
      <c r="E174" s="1270"/>
      <c r="F174" s="1270"/>
      <c r="G174" s="1270"/>
      <c r="H174" s="1270"/>
      <c r="I174" s="1270"/>
      <c r="J174" s="1270"/>
      <c r="K174" s="1270"/>
      <c r="L174" s="1270"/>
      <c r="M174" s="1270"/>
      <c r="N174" s="1270"/>
      <c r="O174" s="1270"/>
      <c r="P174" s="1270"/>
      <c r="Q174" s="1270"/>
      <c r="R174" s="1270"/>
      <c r="S174" s="1270"/>
    </row>
    <row r="175" spans="3:19">
      <c r="C175" s="1270"/>
      <c r="D175" s="1270"/>
      <c r="E175" s="1270"/>
      <c r="F175" s="1270"/>
      <c r="G175" s="1270"/>
      <c r="H175" s="1270"/>
      <c r="I175" s="1270"/>
      <c r="J175" s="1270"/>
      <c r="K175" s="1270"/>
      <c r="L175" s="1270"/>
      <c r="M175" s="1270"/>
      <c r="N175" s="1270"/>
      <c r="O175" s="1270"/>
      <c r="P175" s="1270"/>
      <c r="Q175" s="1270"/>
      <c r="R175" s="1270"/>
      <c r="S175" s="1270"/>
    </row>
    <row r="176" spans="3:19">
      <c r="C176" s="1270"/>
      <c r="D176" s="1270"/>
      <c r="E176" s="1270"/>
      <c r="F176" s="1270"/>
      <c r="G176" s="1270"/>
      <c r="H176" s="1270"/>
      <c r="I176" s="1270"/>
      <c r="J176" s="1270"/>
      <c r="K176" s="1270"/>
      <c r="L176" s="1270"/>
      <c r="M176" s="1270"/>
      <c r="N176" s="1270"/>
      <c r="O176" s="1270"/>
      <c r="P176" s="1270"/>
      <c r="Q176" s="1270"/>
      <c r="R176" s="1270"/>
      <c r="S176" s="1270"/>
    </row>
    <row r="177" spans="3:19">
      <c r="C177" s="1270"/>
      <c r="D177" s="1270"/>
      <c r="E177" s="1270"/>
      <c r="F177" s="1270"/>
      <c r="G177" s="1270"/>
      <c r="H177" s="1270"/>
      <c r="I177" s="1270"/>
      <c r="J177" s="1270"/>
      <c r="K177" s="1270"/>
      <c r="L177" s="1270"/>
      <c r="M177" s="1270"/>
      <c r="N177" s="1270"/>
      <c r="O177" s="1270"/>
      <c r="P177" s="1270"/>
      <c r="Q177" s="1270"/>
      <c r="R177" s="1270"/>
      <c r="S177" s="1270"/>
    </row>
    <row r="178" spans="3:19">
      <c r="C178" s="1270"/>
      <c r="D178" s="1270"/>
      <c r="E178" s="1270"/>
      <c r="F178" s="1270"/>
      <c r="G178" s="1270"/>
      <c r="H178" s="1270"/>
      <c r="I178" s="1270"/>
      <c r="J178" s="1270"/>
      <c r="K178" s="1270"/>
      <c r="L178" s="1270"/>
      <c r="M178" s="1270"/>
      <c r="N178" s="1270"/>
      <c r="O178" s="1270"/>
      <c r="P178" s="1270"/>
      <c r="Q178" s="1270"/>
      <c r="R178" s="1270"/>
      <c r="S178" s="1270"/>
    </row>
    <row r="179" spans="3:19">
      <c r="C179" s="1270"/>
      <c r="D179" s="1270"/>
      <c r="E179" s="1270"/>
      <c r="F179" s="1270"/>
      <c r="G179" s="1270"/>
      <c r="H179" s="1270"/>
      <c r="I179" s="1270"/>
      <c r="J179" s="1270"/>
      <c r="K179" s="1270"/>
      <c r="L179" s="1270"/>
      <c r="M179" s="1270"/>
      <c r="N179" s="1270"/>
      <c r="O179" s="1270"/>
      <c r="P179" s="1270"/>
      <c r="Q179" s="1270"/>
      <c r="R179" s="1270"/>
      <c r="S179" s="1270"/>
    </row>
    <row r="180" spans="3:19">
      <c r="C180" s="1270"/>
      <c r="D180" s="1270"/>
      <c r="E180" s="1270"/>
      <c r="F180" s="1270"/>
      <c r="G180" s="1270"/>
      <c r="H180" s="1270"/>
      <c r="I180" s="1270"/>
      <c r="J180" s="1270"/>
      <c r="K180" s="1270"/>
      <c r="L180" s="1270"/>
      <c r="M180" s="1270"/>
      <c r="N180" s="1270"/>
      <c r="O180" s="1270"/>
      <c r="P180" s="1270"/>
      <c r="Q180" s="1270"/>
      <c r="R180" s="1270"/>
      <c r="S180" s="1270"/>
    </row>
    <row r="181" spans="3:19">
      <c r="C181" s="1270"/>
      <c r="D181" s="1270"/>
      <c r="E181" s="1270"/>
      <c r="F181" s="1270"/>
      <c r="G181" s="1270"/>
      <c r="H181" s="1270"/>
      <c r="I181" s="1270"/>
      <c r="J181" s="1270"/>
      <c r="K181" s="1270"/>
      <c r="L181" s="1270"/>
      <c r="M181" s="1270"/>
      <c r="N181" s="1270"/>
      <c r="O181" s="1270"/>
      <c r="P181" s="1270"/>
      <c r="Q181" s="1270"/>
      <c r="R181" s="1270"/>
      <c r="S181" s="1270"/>
    </row>
    <row r="182" spans="3:19">
      <c r="C182" s="1270"/>
      <c r="D182" s="1270"/>
      <c r="E182" s="1270"/>
      <c r="F182" s="1270"/>
      <c r="G182" s="1270"/>
      <c r="H182" s="1270"/>
      <c r="I182" s="1270"/>
      <c r="J182" s="1270"/>
      <c r="K182" s="1270"/>
      <c r="L182" s="1270"/>
      <c r="M182" s="1270"/>
      <c r="N182" s="1270"/>
      <c r="O182" s="1270"/>
      <c r="P182" s="1270"/>
      <c r="Q182" s="1270"/>
      <c r="R182" s="1270"/>
      <c r="S182" s="1270"/>
    </row>
    <row r="183" spans="3:19">
      <c r="C183" s="1270"/>
      <c r="D183" s="1270"/>
      <c r="E183" s="1270"/>
      <c r="F183" s="1270"/>
      <c r="G183" s="1270"/>
      <c r="H183" s="1270"/>
      <c r="I183" s="1270"/>
      <c r="J183" s="1270"/>
      <c r="K183" s="1270"/>
      <c r="L183" s="1270"/>
      <c r="M183" s="1270"/>
      <c r="N183" s="1270"/>
      <c r="O183" s="1270"/>
      <c r="P183" s="1270"/>
      <c r="Q183" s="1270"/>
      <c r="R183" s="1270"/>
      <c r="S183" s="1270"/>
    </row>
    <row r="184" spans="3:19">
      <c r="C184" s="1270"/>
      <c r="D184" s="1270"/>
      <c r="E184" s="1270"/>
      <c r="F184" s="1270"/>
      <c r="G184" s="1270"/>
      <c r="H184" s="1270"/>
      <c r="I184" s="1270"/>
      <c r="J184" s="1270"/>
      <c r="K184" s="1270"/>
      <c r="L184" s="1270"/>
      <c r="M184" s="1270"/>
      <c r="N184" s="1270"/>
      <c r="O184" s="1270"/>
      <c r="P184" s="1270"/>
      <c r="Q184" s="1270"/>
      <c r="R184" s="1270"/>
      <c r="S184" s="1270"/>
    </row>
    <row r="185" spans="3:19">
      <c r="C185" s="1270"/>
      <c r="D185" s="1270"/>
      <c r="E185" s="1270"/>
      <c r="F185" s="1270"/>
      <c r="G185" s="1270"/>
      <c r="H185" s="1270"/>
      <c r="I185" s="1270"/>
      <c r="J185" s="1270"/>
      <c r="K185" s="1270"/>
      <c r="L185" s="1270"/>
      <c r="M185" s="1270"/>
      <c r="N185" s="1270"/>
      <c r="O185" s="1270"/>
      <c r="P185" s="1270"/>
      <c r="Q185" s="1270"/>
      <c r="R185" s="1270"/>
      <c r="S185" s="1270"/>
    </row>
    <row r="186" spans="3:19">
      <c r="C186" s="1270"/>
      <c r="D186" s="1270"/>
      <c r="E186" s="1270"/>
      <c r="F186" s="1270"/>
      <c r="G186" s="1270"/>
      <c r="H186" s="1270"/>
      <c r="I186" s="1270"/>
      <c r="J186" s="1270"/>
      <c r="K186" s="1270"/>
      <c r="L186" s="1270"/>
      <c r="M186" s="1270"/>
      <c r="N186" s="1270"/>
      <c r="O186" s="1270"/>
      <c r="P186" s="1270"/>
      <c r="Q186" s="1270"/>
      <c r="R186" s="1270"/>
      <c r="S186" s="1270"/>
    </row>
    <row r="187" spans="3:19">
      <c r="C187" s="1270"/>
      <c r="D187" s="1270"/>
      <c r="E187" s="1270"/>
      <c r="F187" s="1270"/>
      <c r="G187" s="1270"/>
      <c r="H187" s="1270"/>
      <c r="I187" s="1270"/>
      <c r="J187" s="1270"/>
      <c r="K187" s="1270"/>
      <c r="L187" s="1270"/>
      <c r="M187" s="1270"/>
      <c r="N187" s="1270"/>
      <c r="O187" s="1270"/>
      <c r="P187" s="1270"/>
      <c r="Q187" s="1270"/>
      <c r="R187" s="1270"/>
      <c r="S187" s="1270"/>
    </row>
    <row r="188" spans="3:19">
      <c r="C188" s="1270"/>
      <c r="D188" s="1270"/>
      <c r="E188" s="1270"/>
      <c r="F188" s="1270"/>
      <c r="G188" s="1270"/>
      <c r="H188" s="1270"/>
      <c r="I188" s="1270"/>
      <c r="J188" s="1270"/>
      <c r="K188" s="1270"/>
      <c r="L188" s="1270"/>
      <c r="M188" s="1270"/>
      <c r="N188" s="1270"/>
      <c r="O188" s="1270"/>
      <c r="P188" s="1270"/>
      <c r="Q188" s="1270"/>
      <c r="R188" s="1270"/>
      <c r="S188" s="1270"/>
    </row>
    <row r="189" spans="3:19">
      <c r="C189" s="1270"/>
      <c r="D189" s="1270"/>
      <c r="E189" s="1270"/>
      <c r="F189" s="1270"/>
      <c r="G189" s="1270"/>
      <c r="H189" s="1270"/>
      <c r="I189" s="1270"/>
      <c r="J189" s="1270"/>
      <c r="K189" s="1270"/>
      <c r="L189" s="1270"/>
      <c r="M189" s="1270"/>
      <c r="N189" s="1270"/>
      <c r="O189" s="1270"/>
      <c r="P189" s="1270"/>
      <c r="Q189" s="1270"/>
      <c r="R189" s="1270"/>
      <c r="S189" s="1270"/>
    </row>
    <row r="190" spans="3:19">
      <c r="C190" s="1270"/>
      <c r="D190" s="1270"/>
      <c r="E190" s="1270"/>
      <c r="F190" s="1270"/>
      <c r="G190" s="1270"/>
      <c r="H190" s="1270"/>
      <c r="I190" s="1270"/>
      <c r="J190" s="1270"/>
      <c r="K190" s="1270"/>
      <c r="L190" s="1270"/>
      <c r="M190" s="1270"/>
      <c r="N190" s="1270"/>
      <c r="O190" s="1270"/>
      <c r="P190" s="1270"/>
      <c r="Q190" s="1270"/>
      <c r="R190" s="1270"/>
      <c r="S190" s="1270"/>
    </row>
    <row r="191" spans="3:19">
      <c r="C191" s="1270"/>
      <c r="D191" s="1270"/>
      <c r="E191" s="1270"/>
      <c r="F191" s="1270"/>
      <c r="G191" s="1270"/>
      <c r="H191" s="1270"/>
      <c r="I191" s="1270"/>
      <c r="J191" s="1270"/>
      <c r="K191" s="1270"/>
      <c r="L191" s="1270"/>
      <c r="M191" s="1270"/>
      <c r="N191" s="1270"/>
      <c r="O191" s="1270"/>
      <c r="P191" s="1270"/>
      <c r="Q191" s="1270"/>
      <c r="R191" s="1270"/>
      <c r="S191" s="1270"/>
    </row>
    <row r="192" spans="3:19">
      <c r="C192" s="1270"/>
      <c r="D192" s="1270"/>
      <c r="E192" s="1270"/>
      <c r="F192" s="1270"/>
      <c r="G192" s="1270"/>
      <c r="H192" s="1270"/>
      <c r="I192" s="1270"/>
      <c r="J192" s="1270"/>
      <c r="K192" s="1270"/>
      <c r="L192" s="1270"/>
      <c r="M192" s="1270"/>
      <c r="N192" s="1270"/>
      <c r="O192" s="1270"/>
      <c r="P192" s="1270"/>
      <c r="Q192" s="1270"/>
      <c r="R192" s="1270"/>
      <c r="S192" s="1270"/>
    </row>
    <row r="193" spans="3:19">
      <c r="C193" s="1270"/>
      <c r="D193" s="1270"/>
      <c r="E193" s="1270"/>
      <c r="F193" s="1270"/>
      <c r="G193" s="1270"/>
      <c r="H193" s="1270"/>
      <c r="I193" s="1270"/>
      <c r="J193" s="1270"/>
      <c r="K193" s="1270"/>
      <c r="L193" s="1270"/>
      <c r="M193" s="1270"/>
      <c r="N193" s="1270"/>
      <c r="O193" s="1270"/>
      <c r="P193" s="1270"/>
      <c r="Q193" s="1270"/>
      <c r="R193" s="1270"/>
      <c r="S193" s="1270"/>
    </row>
    <row r="194" spans="3:19">
      <c r="C194" s="1270"/>
      <c r="D194" s="1270"/>
      <c r="E194" s="1270"/>
      <c r="F194" s="1270"/>
      <c r="G194" s="1270"/>
      <c r="H194" s="1270"/>
      <c r="I194" s="1270"/>
      <c r="J194" s="1270"/>
      <c r="K194" s="1270"/>
      <c r="L194" s="1270"/>
      <c r="M194" s="1270"/>
      <c r="N194" s="1270"/>
      <c r="O194" s="1270"/>
      <c r="P194" s="1270"/>
      <c r="Q194" s="1270"/>
      <c r="R194" s="1270"/>
      <c r="S194" s="1270"/>
    </row>
    <row r="195" spans="3:19">
      <c r="C195" s="1270"/>
      <c r="D195" s="1270"/>
      <c r="E195" s="1270"/>
      <c r="F195" s="1270"/>
      <c r="G195" s="1270"/>
      <c r="H195" s="1270"/>
      <c r="I195" s="1270"/>
      <c r="J195" s="1270"/>
      <c r="K195" s="1270"/>
      <c r="L195" s="1270"/>
      <c r="M195" s="1270"/>
      <c r="N195" s="1270"/>
      <c r="O195" s="1270"/>
      <c r="P195" s="1270"/>
      <c r="Q195" s="1270"/>
      <c r="R195" s="1270"/>
      <c r="S195" s="1270"/>
    </row>
    <row r="196" spans="3:19">
      <c r="C196" s="1270"/>
      <c r="D196" s="1270"/>
      <c r="E196" s="1270"/>
      <c r="F196" s="1270"/>
      <c r="G196" s="1270"/>
      <c r="H196" s="1270"/>
      <c r="I196" s="1270"/>
      <c r="J196" s="1270"/>
      <c r="K196" s="1270"/>
      <c r="L196" s="1270"/>
      <c r="M196" s="1270"/>
      <c r="N196" s="1270"/>
      <c r="O196" s="1270"/>
      <c r="P196" s="1270"/>
      <c r="Q196" s="1270"/>
      <c r="R196" s="1270"/>
      <c r="S196" s="1270"/>
    </row>
    <row r="197" spans="3:19">
      <c r="C197" s="1270"/>
      <c r="D197" s="1270"/>
      <c r="E197" s="1270"/>
      <c r="F197" s="1270"/>
      <c r="G197" s="1270"/>
      <c r="H197" s="1270"/>
      <c r="I197" s="1270"/>
      <c r="J197" s="1270"/>
      <c r="K197" s="1270"/>
      <c r="L197" s="1270"/>
      <c r="M197" s="1270"/>
      <c r="N197" s="1270"/>
      <c r="O197" s="1270"/>
      <c r="P197" s="1270"/>
      <c r="Q197" s="1270"/>
      <c r="R197" s="1270"/>
      <c r="S197" s="1270"/>
    </row>
    <row r="198" spans="3:19">
      <c r="C198" s="1270"/>
      <c r="D198" s="1270"/>
      <c r="E198" s="1270"/>
      <c r="F198" s="1270"/>
      <c r="G198" s="1270"/>
      <c r="H198" s="1270"/>
      <c r="I198" s="1270"/>
      <c r="J198" s="1270"/>
      <c r="K198" s="1270"/>
      <c r="L198" s="1270"/>
      <c r="M198" s="1270"/>
      <c r="N198" s="1270"/>
      <c r="O198" s="1270"/>
      <c r="P198" s="1270"/>
      <c r="Q198" s="1270"/>
      <c r="R198" s="1270"/>
      <c r="S198" s="1270"/>
    </row>
    <row r="199" spans="3:19">
      <c r="C199" s="1270"/>
      <c r="D199" s="1270"/>
      <c r="E199" s="1270"/>
      <c r="F199" s="1270"/>
      <c r="G199" s="1270"/>
      <c r="H199" s="1270"/>
      <c r="I199" s="1270"/>
      <c r="J199" s="1270"/>
      <c r="K199" s="1270"/>
      <c r="L199" s="1270"/>
      <c r="M199" s="1270"/>
      <c r="N199" s="1270"/>
      <c r="O199" s="1270"/>
      <c r="P199" s="1270"/>
      <c r="Q199" s="1270"/>
      <c r="R199" s="1270"/>
      <c r="S199" s="1270"/>
    </row>
    <row r="200" spans="3:19">
      <c r="C200" s="1270"/>
      <c r="D200" s="1270"/>
      <c r="E200" s="1270"/>
      <c r="F200" s="1270"/>
      <c r="G200" s="1270"/>
      <c r="H200" s="1270"/>
      <c r="I200" s="1270"/>
      <c r="J200" s="1270"/>
      <c r="K200" s="1270"/>
      <c r="L200" s="1270"/>
      <c r="M200" s="1270"/>
      <c r="N200" s="1270"/>
      <c r="O200" s="1270"/>
      <c r="P200" s="1270"/>
      <c r="Q200" s="1270"/>
      <c r="R200" s="1270"/>
      <c r="S200" s="1270"/>
    </row>
    <row r="201" spans="3:19">
      <c r="C201" s="1270"/>
      <c r="D201" s="1270"/>
      <c r="E201" s="1270"/>
      <c r="F201" s="1270"/>
      <c r="G201" s="1270"/>
      <c r="H201" s="1270"/>
      <c r="I201" s="1270"/>
      <c r="J201" s="1270"/>
      <c r="K201" s="1270"/>
      <c r="L201" s="1270"/>
      <c r="M201" s="1270"/>
      <c r="N201" s="1270"/>
      <c r="O201" s="1270"/>
      <c r="P201" s="1270"/>
      <c r="Q201" s="1270"/>
      <c r="R201" s="1270"/>
      <c r="S201" s="1270"/>
    </row>
    <row r="202" spans="3:19">
      <c r="C202" s="1270"/>
      <c r="D202" s="1270"/>
      <c r="E202" s="1270"/>
      <c r="F202" s="1270"/>
      <c r="G202" s="1270"/>
      <c r="H202" s="1270"/>
      <c r="I202" s="1270"/>
      <c r="J202" s="1270"/>
      <c r="K202" s="1270"/>
      <c r="L202" s="1270"/>
      <c r="M202" s="1270"/>
      <c r="N202" s="1270"/>
      <c r="O202" s="1270"/>
      <c r="P202" s="1270"/>
      <c r="Q202" s="1270"/>
      <c r="R202" s="1270"/>
      <c r="S202" s="1270"/>
    </row>
    <row r="203" spans="3:19">
      <c r="C203" s="1270"/>
      <c r="D203" s="1270"/>
      <c r="E203" s="1270"/>
      <c r="F203" s="1270"/>
      <c r="G203" s="1270"/>
      <c r="H203" s="1270"/>
      <c r="I203" s="1270"/>
      <c r="J203" s="1270"/>
      <c r="K203" s="1270"/>
      <c r="L203" s="1270"/>
      <c r="M203" s="1270"/>
      <c r="N203" s="1270"/>
      <c r="O203" s="1270"/>
      <c r="P203" s="1270"/>
      <c r="Q203" s="1270"/>
      <c r="R203" s="1270"/>
      <c r="S203" s="1270"/>
    </row>
    <row r="204" spans="3:19">
      <c r="C204" s="1270"/>
      <c r="D204" s="1270"/>
      <c r="E204" s="1270"/>
      <c r="F204" s="1270"/>
      <c r="G204" s="1270"/>
      <c r="H204" s="1270"/>
      <c r="I204" s="1270"/>
      <c r="J204" s="1270"/>
      <c r="K204" s="1270"/>
      <c r="L204" s="1270"/>
      <c r="M204" s="1270"/>
      <c r="N204" s="1270"/>
      <c r="O204" s="1270"/>
      <c r="P204" s="1270"/>
      <c r="Q204" s="1270"/>
      <c r="R204" s="1270"/>
      <c r="S204" s="1270"/>
    </row>
    <row r="205" spans="3:19">
      <c r="C205" s="1270"/>
      <c r="D205" s="1270"/>
      <c r="E205" s="1270"/>
      <c r="F205" s="1270"/>
      <c r="G205" s="1270"/>
      <c r="H205" s="1270"/>
      <c r="I205" s="1270"/>
      <c r="J205" s="1270"/>
      <c r="K205" s="1270"/>
      <c r="L205" s="1270"/>
      <c r="M205" s="1270"/>
      <c r="N205" s="1270"/>
      <c r="O205" s="1270"/>
      <c r="P205" s="1270"/>
      <c r="Q205" s="1270"/>
      <c r="R205" s="1270"/>
      <c r="S205" s="1270"/>
    </row>
    <row r="206" spans="3:19">
      <c r="C206" s="1270"/>
      <c r="D206" s="1270"/>
      <c r="E206" s="1270"/>
      <c r="F206" s="1270"/>
      <c r="G206" s="1270"/>
      <c r="H206" s="1270"/>
      <c r="I206" s="1270"/>
      <c r="J206" s="1270"/>
      <c r="K206" s="1270"/>
      <c r="L206" s="1270"/>
      <c r="M206" s="1270"/>
      <c r="N206" s="1270"/>
      <c r="O206" s="1270"/>
      <c r="P206" s="1270"/>
      <c r="Q206" s="1270"/>
      <c r="R206" s="1270"/>
      <c r="S206" s="1270"/>
    </row>
    <row r="207" spans="3:19">
      <c r="C207" s="1270"/>
      <c r="D207" s="1270"/>
      <c r="E207" s="1270"/>
      <c r="F207" s="1270"/>
      <c r="G207" s="1270"/>
      <c r="H207" s="1270"/>
      <c r="I207" s="1270"/>
      <c r="J207" s="1270"/>
      <c r="K207" s="1270"/>
      <c r="L207" s="1270"/>
      <c r="M207" s="1270"/>
      <c r="N207" s="1270"/>
      <c r="O207" s="1270"/>
      <c r="P207" s="1270"/>
      <c r="Q207" s="1270"/>
      <c r="R207" s="1270"/>
      <c r="S207" s="1270"/>
    </row>
    <row r="208" spans="3:19">
      <c r="C208" s="1270"/>
      <c r="D208" s="1270"/>
      <c r="E208" s="1270"/>
      <c r="F208" s="1270"/>
      <c r="G208" s="1270"/>
      <c r="H208" s="1270"/>
      <c r="I208" s="1270"/>
      <c r="J208" s="1270"/>
      <c r="K208" s="1270"/>
      <c r="L208" s="1270"/>
      <c r="M208" s="1270"/>
      <c r="N208" s="1270"/>
      <c r="O208" s="1270"/>
      <c r="P208" s="1270"/>
      <c r="Q208" s="1270"/>
      <c r="R208" s="1270"/>
      <c r="S208" s="1270"/>
    </row>
    <row r="209" spans="3:19">
      <c r="C209" s="1270"/>
      <c r="D209" s="1270"/>
      <c r="E209" s="1270"/>
      <c r="F209" s="1270"/>
      <c r="G209" s="1270"/>
      <c r="H209" s="1270"/>
      <c r="I209" s="1270"/>
      <c r="J209" s="1270"/>
      <c r="K209" s="1270"/>
      <c r="L209" s="1270"/>
      <c r="M209" s="1270"/>
      <c r="N209" s="1270"/>
      <c r="O209" s="1270"/>
      <c r="P209" s="1270"/>
      <c r="Q209" s="1270"/>
      <c r="R209" s="1270"/>
      <c r="S209" s="1270"/>
    </row>
    <row r="210" spans="3:19">
      <c r="C210" s="1270"/>
      <c r="D210" s="1270"/>
      <c r="E210" s="1270"/>
      <c r="F210" s="1270"/>
      <c r="G210" s="1270"/>
      <c r="H210" s="1270"/>
      <c r="I210" s="1270"/>
      <c r="J210" s="1270"/>
      <c r="K210" s="1270"/>
      <c r="L210" s="1270"/>
      <c r="M210" s="1270"/>
      <c r="N210" s="1270"/>
      <c r="O210" s="1270"/>
      <c r="P210" s="1270"/>
      <c r="Q210" s="1270"/>
      <c r="R210" s="1270"/>
      <c r="S210" s="1270"/>
    </row>
    <row r="211" spans="3:19">
      <c r="C211" s="1270"/>
      <c r="D211" s="1270"/>
      <c r="E211" s="1270"/>
      <c r="F211" s="1270"/>
      <c r="G211" s="1270"/>
      <c r="H211" s="1270"/>
      <c r="I211" s="1270"/>
      <c r="J211" s="1270"/>
      <c r="K211" s="1270"/>
      <c r="L211" s="1270"/>
      <c r="M211" s="1270"/>
      <c r="N211" s="1270"/>
      <c r="O211" s="1270"/>
      <c r="P211" s="1270"/>
      <c r="Q211" s="1270"/>
      <c r="R211" s="1270"/>
      <c r="S211" s="1270"/>
    </row>
    <row r="212" spans="3:19">
      <c r="C212" s="1270"/>
      <c r="D212" s="1270"/>
      <c r="E212" s="1270"/>
      <c r="F212" s="1270"/>
      <c r="G212" s="1270"/>
      <c r="H212" s="1270"/>
      <c r="I212" s="1270"/>
      <c r="J212" s="1270"/>
      <c r="K212" s="1270"/>
      <c r="L212" s="1270"/>
      <c r="M212" s="1270"/>
      <c r="N212" s="1270"/>
      <c r="O212" s="1270"/>
      <c r="P212" s="1270"/>
      <c r="Q212" s="1270"/>
      <c r="R212" s="1270"/>
      <c r="S212" s="1270"/>
    </row>
    <row r="213" spans="3:19">
      <c r="C213" s="1270"/>
      <c r="D213" s="1270"/>
      <c r="E213" s="1270"/>
      <c r="F213" s="1270"/>
      <c r="G213" s="1270"/>
      <c r="H213" s="1270"/>
      <c r="I213" s="1270"/>
      <c r="J213" s="1270"/>
      <c r="K213" s="1270"/>
      <c r="L213" s="1270"/>
      <c r="M213" s="1270"/>
      <c r="N213" s="1270"/>
      <c r="O213" s="1270"/>
      <c r="P213" s="1270"/>
      <c r="Q213" s="1270"/>
      <c r="R213" s="1270"/>
      <c r="S213" s="1270"/>
    </row>
    <row r="214" spans="3:19">
      <c r="C214" s="1270"/>
      <c r="D214" s="1270"/>
      <c r="E214" s="1270"/>
      <c r="F214" s="1270"/>
      <c r="G214" s="1270"/>
      <c r="H214" s="1270"/>
      <c r="I214" s="1270"/>
      <c r="J214" s="1270"/>
      <c r="K214" s="1270"/>
      <c r="L214" s="1270"/>
      <c r="M214" s="1270"/>
      <c r="N214" s="1270"/>
      <c r="O214" s="1270"/>
      <c r="P214" s="1270"/>
      <c r="Q214" s="1270"/>
      <c r="R214" s="1270"/>
      <c r="S214" s="1270"/>
    </row>
    <row r="215" spans="3:19">
      <c r="C215" s="1270"/>
      <c r="D215" s="1270"/>
      <c r="E215" s="1270"/>
      <c r="F215" s="1270"/>
      <c r="G215" s="1270"/>
      <c r="H215" s="1270"/>
      <c r="I215" s="1270"/>
      <c r="J215" s="1270"/>
      <c r="K215" s="1270"/>
      <c r="L215" s="1270"/>
      <c r="M215" s="1270"/>
      <c r="N215" s="1270"/>
      <c r="O215" s="1270"/>
      <c r="P215" s="1270"/>
      <c r="Q215" s="1270"/>
      <c r="R215" s="1270"/>
      <c r="S215" s="1270"/>
    </row>
    <row r="216" spans="3:19">
      <c r="C216" s="1270"/>
      <c r="D216" s="1270"/>
      <c r="E216" s="1270"/>
      <c r="F216" s="1270"/>
      <c r="G216" s="1270"/>
      <c r="H216" s="1270"/>
      <c r="I216" s="1270"/>
      <c r="J216" s="1270"/>
      <c r="K216" s="1270"/>
      <c r="L216" s="1270"/>
      <c r="M216" s="1270"/>
      <c r="N216" s="1270"/>
      <c r="O216" s="1270"/>
      <c r="P216" s="1270"/>
      <c r="Q216" s="1270"/>
      <c r="R216" s="1270"/>
      <c r="S216" s="1270"/>
    </row>
    <row r="217" spans="3:19">
      <c r="C217" s="1270"/>
      <c r="D217" s="1270"/>
      <c r="E217" s="1270"/>
      <c r="F217" s="1270"/>
      <c r="G217" s="1270"/>
      <c r="H217" s="1270"/>
      <c r="I217" s="1270"/>
      <c r="J217" s="1270"/>
      <c r="K217" s="1270"/>
      <c r="L217" s="1270"/>
      <c r="M217" s="1270"/>
      <c r="N217" s="1270"/>
      <c r="O217" s="1270"/>
      <c r="P217" s="1270"/>
      <c r="Q217" s="1270"/>
      <c r="R217" s="1270"/>
      <c r="S217" s="1270"/>
    </row>
    <row r="218" spans="3:19">
      <c r="C218" s="1270"/>
      <c r="D218" s="1270"/>
      <c r="E218" s="1270"/>
      <c r="F218" s="1270"/>
      <c r="G218" s="1270"/>
      <c r="H218" s="1270"/>
      <c r="I218" s="1270"/>
      <c r="J218" s="1270"/>
      <c r="K218" s="1270"/>
      <c r="L218" s="1270"/>
      <c r="M218" s="1270"/>
      <c r="N218" s="1270"/>
      <c r="O218" s="1270"/>
      <c r="P218" s="1270"/>
      <c r="Q218" s="1270"/>
      <c r="R218" s="1270"/>
      <c r="S218" s="1270"/>
    </row>
    <row r="219" spans="3:19">
      <c r="C219" s="1270"/>
      <c r="D219" s="1270"/>
      <c r="E219" s="1270"/>
      <c r="F219" s="1270"/>
      <c r="G219" s="1270"/>
      <c r="H219" s="1270"/>
      <c r="I219" s="1270"/>
      <c r="J219" s="1270"/>
      <c r="K219" s="1270"/>
      <c r="L219" s="1270"/>
      <c r="M219" s="1270"/>
      <c r="N219" s="1270"/>
      <c r="O219" s="1270"/>
      <c r="P219" s="1270"/>
      <c r="Q219" s="1270"/>
      <c r="R219" s="1270"/>
      <c r="S219" s="1270"/>
    </row>
    <row r="220" spans="3:19">
      <c r="C220" s="1270"/>
      <c r="D220" s="1270"/>
      <c r="E220" s="1270"/>
      <c r="F220" s="1270"/>
      <c r="G220" s="1270"/>
      <c r="H220" s="1270"/>
      <c r="I220" s="1270"/>
      <c r="J220" s="1270"/>
      <c r="K220" s="1270"/>
      <c r="L220" s="1270"/>
      <c r="M220" s="1270"/>
      <c r="N220" s="1270"/>
      <c r="O220" s="1270"/>
      <c r="P220" s="1270"/>
      <c r="Q220" s="1270"/>
      <c r="R220" s="1270"/>
      <c r="S220" s="1270"/>
    </row>
    <row r="221" spans="3:19">
      <c r="C221" s="1270"/>
      <c r="D221" s="1270"/>
      <c r="E221" s="1270"/>
      <c r="F221" s="1270"/>
      <c r="G221" s="1270"/>
      <c r="H221" s="1270"/>
      <c r="I221" s="1270"/>
      <c r="J221" s="1270"/>
      <c r="K221" s="1270"/>
      <c r="L221" s="1270"/>
      <c r="M221" s="1270"/>
      <c r="N221" s="1270"/>
      <c r="O221" s="1270"/>
      <c r="P221" s="1270"/>
      <c r="Q221" s="1270"/>
      <c r="R221" s="1270"/>
      <c r="S221" s="1270"/>
    </row>
    <row r="222" spans="3:19">
      <c r="C222" s="1270"/>
      <c r="D222" s="1270"/>
      <c r="E222" s="1270"/>
      <c r="F222" s="1270"/>
      <c r="G222" s="1270"/>
      <c r="H222" s="1270"/>
      <c r="I222" s="1270"/>
      <c r="J222" s="1270"/>
      <c r="K222" s="1270"/>
      <c r="L222" s="1270"/>
      <c r="M222" s="1270"/>
      <c r="N222" s="1270"/>
      <c r="O222" s="1270"/>
      <c r="P222" s="1270"/>
      <c r="Q222" s="1270"/>
      <c r="R222" s="1270"/>
      <c r="S222" s="1270"/>
    </row>
    <row r="223" spans="3:19">
      <c r="C223" s="1270"/>
      <c r="D223" s="1270"/>
      <c r="E223" s="1270"/>
      <c r="F223" s="1270"/>
      <c r="G223" s="1270"/>
      <c r="H223" s="1270"/>
      <c r="I223" s="1270"/>
      <c r="J223" s="1270"/>
      <c r="K223" s="1270"/>
      <c r="L223" s="1270"/>
      <c r="M223" s="1270"/>
      <c r="N223" s="1270"/>
      <c r="O223" s="1270"/>
      <c r="P223" s="1270"/>
      <c r="Q223" s="1270"/>
      <c r="R223" s="1270"/>
      <c r="S223" s="1270"/>
    </row>
    <row r="224" spans="3:19">
      <c r="C224" s="1270"/>
      <c r="D224" s="1270"/>
      <c r="E224" s="1270"/>
      <c r="F224" s="1270"/>
      <c r="G224" s="1270"/>
      <c r="H224" s="1270"/>
      <c r="I224" s="1270"/>
      <c r="J224" s="1270"/>
      <c r="K224" s="1270"/>
      <c r="L224" s="1270"/>
      <c r="M224" s="1270"/>
      <c r="N224" s="1270"/>
      <c r="O224" s="1270"/>
      <c r="P224" s="1270"/>
      <c r="Q224" s="1270"/>
      <c r="R224" s="1270"/>
      <c r="S224" s="1270"/>
    </row>
    <row r="225" spans="3:19">
      <c r="C225" s="1270"/>
      <c r="D225" s="1270"/>
      <c r="E225" s="1270"/>
      <c r="F225" s="1270"/>
      <c r="G225" s="1270"/>
      <c r="H225" s="1270"/>
      <c r="I225" s="1270"/>
      <c r="J225" s="1270"/>
      <c r="K225" s="1270"/>
      <c r="L225" s="1270"/>
      <c r="M225" s="1270"/>
      <c r="N225" s="1270"/>
      <c r="O225" s="1270"/>
      <c r="P225" s="1270"/>
      <c r="Q225" s="1270"/>
      <c r="R225" s="1270"/>
      <c r="S225" s="1270"/>
    </row>
    <row r="226" spans="3:19">
      <c r="C226" s="1270"/>
      <c r="D226" s="1270"/>
      <c r="E226" s="1270"/>
      <c r="F226" s="1270"/>
      <c r="G226" s="1270"/>
      <c r="H226" s="1270"/>
      <c r="I226" s="1270"/>
      <c r="J226" s="1270"/>
      <c r="K226" s="1270"/>
      <c r="L226" s="1270"/>
      <c r="M226" s="1270"/>
      <c r="N226" s="1270"/>
      <c r="O226" s="1270"/>
      <c r="P226" s="1270"/>
      <c r="Q226" s="1270"/>
      <c r="R226" s="1270"/>
      <c r="S226" s="1270"/>
    </row>
    <row r="227" spans="3:19">
      <c r="C227" s="1270"/>
      <c r="D227" s="1270"/>
      <c r="E227" s="1270"/>
      <c r="F227" s="1270"/>
      <c r="G227" s="1270"/>
      <c r="H227" s="1270"/>
      <c r="I227" s="1270"/>
      <c r="J227" s="1270"/>
      <c r="K227" s="1270"/>
      <c r="L227" s="1270"/>
      <c r="M227" s="1270"/>
      <c r="N227" s="1270"/>
      <c r="O227" s="1270"/>
      <c r="P227" s="1270"/>
      <c r="Q227" s="1270"/>
      <c r="R227" s="1270"/>
      <c r="S227" s="1270"/>
    </row>
    <row r="228" spans="3:19">
      <c r="C228" s="1270"/>
      <c r="D228" s="1270"/>
      <c r="E228" s="1270"/>
      <c r="F228" s="1270"/>
      <c r="G228" s="1270"/>
      <c r="H228" s="1270"/>
      <c r="I228" s="1270"/>
      <c r="J228" s="1270"/>
      <c r="K228" s="1270"/>
      <c r="L228" s="1270"/>
      <c r="M228" s="1270"/>
      <c r="N228" s="1270"/>
      <c r="O228" s="1270"/>
      <c r="P228" s="1270"/>
      <c r="Q228" s="1270"/>
      <c r="R228" s="1270"/>
      <c r="S228" s="1270"/>
    </row>
    <row r="229" spans="3:19">
      <c r="C229" s="1270"/>
      <c r="D229" s="1270"/>
      <c r="E229" s="1270"/>
      <c r="F229" s="1270"/>
      <c r="G229" s="1270"/>
      <c r="H229" s="1270"/>
      <c r="I229" s="1270"/>
      <c r="J229" s="1270"/>
      <c r="K229" s="1270"/>
      <c r="L229" s="1270"/>
      <c r="M229" s="1270"/>
      <c r="N229" s="1270"/>
      <c r="O229" s="1270"/>
      <c r="P229" s="1270"/>
      <c r="Q229" s="1270"/>
      <c r="R229" s="1270"/>
      <c r="S229" s="1270"/>
    </row>
    <row r="230" spans="3:19">
      <c r="C230" s="1270"/>
      <c r="D230" s="1270"/>
      <c r="E230" s="1270"/>
      <c r="F230" s="1270"/>
      <c r="G230" s="1270"/>
      <c r="H230" s="1270"/>
      <c r="I230" s="1270"/>
      <c r="J230" s="1270"/>
      <c r="K230" s="1270"/>
      <c r="L230" s="1270"/>
      <c r="M230" s="1270"/>
      <c r="N230" s="1270"/>
      <c r="O230" s="1270"/>
      <c r="P230" s="1270"/>
      <c r="Q230" s="1270"/>
      <c r="R230" s="1270"/>
      <c r="S230" s="1270"/>
    </row>
    <row r="231" spans="3:19">
      <c r="C231" s="1270"/>
      <c r="D231" s="1270"/>
      <c r="E231" s="1270"/>
      <c r="F231" s="1270"/>
      <c r="G231" s="1270"/>
      <c r="H231" s="1270"/>
      <c r="I231" s="1270"/>
      <c r="J231" s="1270"/>
      <c r="K231" s="1270"/>
      <c r="L231" s="1270"/>
      <c r="M231" s="1270"/>
      <c r="N231" s="1270"/>
      <c r="O231" s="1270"/>
      <c r="P231" s="1270"/>
      <c r="Q231" s="1270"/>
      <c r="R231" s="1270"/>
      <c r="S231" s="1270"/>
    </row>
    <row r="232" spans="3:19">
      <c r="C232" s="1270"/>
      <c r="D232" s="1270"/>
      <c r="E232" s="1270"/>
      <c r="F232" s="1270"/>
      <c r="G232" s="1270"/>
      <c r="H232" s="1270"/>
      <c r="I232" s="1270"/>
      <c r="J232" s="1270"/>
      <c r="K232" s="1270"/>
      <c r="L232" s="1270"/>
      <c r="M232" s="1270"/>
      <c r="N232" s="1270"/>
      <c r="O232" s="1270"/>
      <c r="P232" s="1270"/>
      <c r="Q232" s="1270"/>
      <c r="R232" s="1270"/>
      <c r="S232" s="1270"/>
    </row>
    <row r="233" spans="3:19">
      <c r="C233" s="1270"/>
      <c r="D233" s="1270"/>
      <c r="E233" s="1270"/>
      <c r="F233" s="1270"/>
      <c r="G233" s="1270"/>
      <c r="H233" s="1270"/>
      <c r="I233" s="1270"/>
      <c r="J233" s="1270"/>
      <c r="K233" s="1270"/>
      <c r="L233" s="1270"/>
      <c r="M233" s="1270"/>
      <c r="N233" s="1270"/>
      <c r="O233" s="1270"/>
      <c r="P233" s="1270"/>
      <c r="Q233" s="1270"/>
      <c r="R233" s="1270"/>
      <c r="S233" s="1270"/>
    </row>
    <row r="234" spans="3:19">
      <c r="C234" s="1270"/>
      <c r="D234" s="1270"/>
      <c r="E234" s="1270"/>
      <c r="F234" s="1270"/>
      <c r="G234" s="1270"/>
      <c r="H234" s="1270"/>
      <c r="I234" s="1270"/>
      <c r="J234" s="1270"/>
      <c r="K234" s="1270"/>
      <c r="L234" s="1270"/>
      <c r="M234" s="1270"/>
      <c r="N234" s="1270"/>
      <c r="O234" s="1270"/>
      <c r="P234" s="1270"/>
      <c r="Q234" s="1270"/>
      <c r="R234" s="1270"/>
      <c r="S234" s="1270"/>
    </row>
    <row r="235" spans="3:19">
      <c r="C235" s="1270"/>
      <c r="D235" s="1270"/>
      <c r="E235" s="1270"/>
      <c r="F235" s="1270"/>
      <c r="G235" s="1270"/>
      <c r="H235" s="1270"/>
      <c r="I235" s="1270"/>
      <c r="J235" s="1270"/>
      <c r="K235" s="1270"/>
      <c r="L235" s="1270"/>
      <c r="M235" s="1270"/>
      <c r="N235" s="1270"/>
      <c r="O235" s="1270"/>
      <c r="P235" s="1270"/>
      <c r="Q235" s="1270"/>
      <c r="R235" s="1270"/>
      <c r="S235" s="1270"/>
    </row>
    <row r="236" spans="3:19">
      <c r="C236" s="1270"/>
      <c r="D236" s="1270"/>
      <c r="E236" s="1270"/>
      <c r="F236" s="1270"/>
      <c r="G236" s="1270"/>
      <c r="H236" s="1270"/>
      <c r="I236" s="1270"/>
      <c r="J236" s="1270"/>
      <c r="K236" s="1270"/>
      <c r="L236" s="1270"/>
      <c r="M236" s="1270"/>
      <c r="N236" s="1270"/>
      <c r="O236" s="1270"/>
      <c r="P236" s="1270"/>
      <c r="Q236" s="1270"/>
      <c r="R236" s="1270"/>
      <c r="S236" s="1270"/>
    </row>
    <row r="237" spans="3:19">
      <c r="C237" s="1270"/>
      <c r="D237" s="1270"/>
      <c r="E237" s="1270"/>
      <c r="F237" s="1270"/>
      <c r="G237" s="1270"/>
      <c r="H237" s="1270"/>
      <c r="I237" s="1270"/>
      <c r="J237" s="1270"/>
      <c r="K237" s="1270"/>
      <c r="L237" s="1270"/>
      <c r="M237" s="1270"/>
      <c r="N237" s="1270"/>
      <c r="O237" s="1270"/>
      <c r="P237" s="1270"/>
      <c r="Q237" s="1270"/>
      <c r="R237" s="1270"/>
      <c r="S237" s="1270"/>
    </row>
    <row r="238" spans="3:19">
      <c r="C238" s="1270"/>
      <c r="D238" s="1270"/>
      <c r="E238" s="1270"/>
      <c r="F238" s="1270"/>
      <c r="G238" s="1270"/>
      <c r="H238" s="1270"/>
      <c r="I238" s="1270"/>
      <c r="J238" s="1270"/>
      <c r="K238" s="1270"/>
      <c r="L238" s="1270"/>
      <c r="M238" s="1270"/>
      <c r="N238" s="1270"/>
      <c r="O238" s="1270"/>
      <c r="P238" s="1270"/>
      <c r="Q238" s="1270"/>
      <c r="R238" s="1270"/>
      <c r="S238" s="1270"/>
    </row>
    <row r="239" spans="3:19">
      <c r="C239" s="1270"/>
      <c r="D239" s="1270"/>
      <c r="E239" s="1270"/>
      <c r="F239" s="1270"/>
      <c r="G239" s="1270"/>
      <c r="H239" s="1270"/>
      <c r="I239" s="1270"/>
      <c r="J239" s="1270"/>
      <c r="K239" s="1270"/>
      <c r="L239" s="1270"/>
      <c r="M239" s="1270"/>
      <c r="N239" s="1270"/>
      <c r="O239" s="1270"/>
      <c r="P239" s="1270"/>
      <c r="Q239" s="1270"/>
      <c r="R239" s="1270"/>
      <c r="S239" s="1270"/>
    </row>
    <row r="240" spans="3:19">
      <c r="C240" s="1270"/>
      <c r="D240" s="1270"/>
      <c r="E240" s="1270"/>
      <c r="F240" s="1270"/>
      <c r="G240" s="1270"/>
      <c r="H240" s="1270"/>
      <c r="I240" s="1270"/>
      <c r="J240" s="1270"/>
      <c r="K240" s="1270"/>
      <c r="L240" s="1270"/>
      <c r="M240" s="1270"/>
      <c r="N240" s="1270"/>
      <c r="O240" s="1270"/>
      <c r="P240" s="1270"/>
      <c r="Q240" s="1270"/>
      <c r="R240" s="1270"/>
      <c r="S240" s="1270"/>
    </row>
    <row r="241" spans="3:19">
      <c r="C241" s="1270"/>
      <c r="D241" s="1270"/>
      <c r="E241" s="1270"/>
      <c r="F241" s="1270"/>
      <c r="G241" s="1270"/>
      <c r="H241" s="1270"/>
      <c r="I241" s="1270"/>
      <c r="J241" s="1270"/>
      <c r="K241" s="1270"/>
      <c r="L241" s="1270"/>
      <c r="M241" s="1270"/>
      <c r="N241" s="1270"/>
      <c r="O241" s="1270"/>
      <c r="P241" s="1270"/>
      <c r="Q241" s="1270"/>
      <c r="R241" s="1270"/>
      <c r="S241" s="1270"/>
    </row>
    <row r="242" spans="3:19">
      <c r="C242" s="1270"/>
      <c r="D242" s="1270"/>
      <c r="E242" s="1270"/>
      <c r="F242" s="1270"/>
      <c r="G242" s="1270"/>
      <c r="H242" s="1270"/>
      <c r="I242" s="1270"/>
      <c r="J242" s="1270"/>
      <c r="K242" s="1270"/>
      <c r="L242" s="1270"/>
      <c r="M242" s="1270"/>
      <c r="N242" s="1270"/>
      <c r="O242" s="1270"/>
      <c r="P242" s="1270"/>
      <c r="Q242" s="1270"/>
      <c r="R242" s="1270"/>
      <c r="S242" s="1270"/>
    </row>
    <row r="243" spans="3:19">
      <c r="C243" s="1270"/>
      <c r="D243" s="1270"/>
      <c r="E243" s="1270"/>
      <c r="F243" s="1270"/>
      <c r="G243" s="1270"/>
      <c r="H243" s="1270"/>
      <c r="I243" s="1270"/>
      <c r="J243" s="1270"/>
      <c r="K243" s="1270"/>
      <c r="L243" s="1270"/>
      <c r="M243" s="1270"/>
      <c r="N243" s="1270"/>
      <c r="O243" s="1270"/>
      <c r="P243" s="1270"/>
      <c r="Q243" s="1270"/>
      <c r="R243" s="1270"/>
      <c r="S243" s="1270"/>
    </row>
    <row r="244" spans="3:19">
      <c r="C244" s="1270"/>
      <c r="D244" s="1270"/>
      <c r="E244" s="1270"/>
      <c r="F244" s="1270"/>
      <c r="G244" s="1270"/>
      <c r="H244" s="1270"/>
      <c r="I244" s="1270"/>
      <c r="J244" s="1270"/>
      <c r="K244" s="1270"/>
      <c r="L244" s="1270"/>
      <c r="M244" s="1270"/>
      <c r="N244" s="1270"/>
      <c r="O244" s="1270"/>
      <c r="P244" s="1270"/>
      <c r="Q244" s="1270"/>
      <c r="R244" s="1270"/>
      <c r="S244" s="1270"/>
    </row>
    <row r="245" spans="3:19">
      <c r="C245" s="1270"/>
      <c r="D245" s="1270"/>
      <c r="E245" s="1270"/>
      <c r="F245" s="1270"/>
      <c r="G245" s="1270"/>
      <c r="H245" s="1270"/>
      <c r="I245" s="1270"/>
      <c r="J245" s="1270"/>
      <c r="K245" s="1270"/>
      <c r="L245" s="1270"/>
      <c r="M245" s="1270"/>
      <c r="N245" s="1270"/>
      <c r="O245" s="1270"/>
      <c r="P245" s="1270"/>
      <c r="Q245" s="1270"/>
      <c r="R245" s="1270"/>
      <c r="S245" s="1270"/>
    </row>
    <row r="246" spans="3:19">
      <c r="C246" s="1270"/>
      <c r="D246" s="1270"/>
      <c r="E246" s="1270"/>
      <c r="F246" s="1270"/>
      <c r="G246" s="1270"/>
      <c r="H246" s="1270"/>
      <c r="I246" s="1270"/>
      <c r="J246" s="1270"/>
      <c r="K246" s="1270"/>
      <c r="L246" s="1270"/>
      <c r="M246" s="1270"/>
      <c r="N246" s="1270"/>
      <c r="O246" s="1270"/>
      <c r="P246" s="1270"/>
      <c r="Q246" s="1270"/>
      <c r="R246" s="1270"/>
      <c r="S246" s="1270"/>
    </row>
    <row r="247" spans="3:19">
      <c r="C247" s="1270"/>
      <c r="D247" s="1270"/>
      <c r="E247" s="1270"/>
      <c r="F247" s="1270"/>
      <c r="G247" s="1270"/>
      <c r="H247" s="1270"/>
      <c r="I247" s="1270"/>
      <c r="J247" s="1270"/>
      <c r="K247" s="1270"/>
      <c r="L247" s="1270"/>
      <c r="M247" s="1270"/>
      <c r="N247" s="1270"/>
      <c r="O247" s="1270"/>
      <c r="P247" s="1270"/>
      <c r="Q247" s="1270"/>
      <c r="R247" s="1270"/>
      <c r="S247" s="1270"/>
    </row>
    <row r="248" spans="3:19">
      <c r="C248" s="1270"/>
      <c r="D248" s="1270"/>
      <c r="E248" s="1270"/>
      <c r="F248" s="1270"/>
      <c r="G248" s="1270"/>
      <c r="H248" s="1270"/>
      <c r="I248" s="1270"/>
      <c r="J248" s="1270"/>
      <c r="K248" s="1270"/>
      <c r="L248" s="1270"/>
      <c r="M248" s="1270"/>
      <c r="N248" s="1270"/>
      <c r="O248" s="1270"/>
      <c r="P248" s="1270"/>
      <c r="Q248" s="1270"/>
      <c r="R248" s="1270"/>
      <c r="S248" s="1270"/>
    </row>
    <row r="249" spans="3:19">
      <c r="C249" s="1270"/>
      <c r="D249" s="1270"/>
      <c r="E249" s="1270"/>
      <c r="F249" s="1270"/>
      <c r="G249" s="1270"/>
      <c r="H249" s="1270"/>
      <c r="I249" s="1270"/>
      <c r="J249" s="1270"/>
      <c r="K249" s="1270"/>
      <c r="L249" s="1270"/>
      <c r="M249" s="1270"/>
      <c r="N249" s="1270"/>
      <c r="O249" s="1270"/>
      <c r="P249" s="1270"/>
      <c r="Q249" s="1270"/>
      <c r="R249" s="1270"/>
      <c r="S249" s="1270"/>
    </row>
    <row r="250" spans="3:19">
      <c r="C250" s="1270"/>
      <c r="D250" s="1270"/>
      <c r="E250" s="1270"/>
      <c r="F250" s="1270"/>
      <c r="G250" s="1270"/>
      <c r="H250" s="1270"/>
      <c r="I250" s="1270"/>
      <c r="J250" s="1270"/>
      <c r="K250" s="1270"/>
      <c r="L250" s="1270"/>
      <c r="M250" s="1270"/>
      <c r="N250" s="1270"/>
      <c r="O250" s="1270"/>
      <c r="P250" s="1270"/>
      <c r="Q250" s="1270"/>
      <c r="R250" s="1270"/>
      <c r="S250" s="1270"/>
    </row>
    <row r="251" spans="3:19">
      <c r="C251" s="1270"/>
      <c r="D251" s="1270"/>
      <c r="E251" s="1270"/>
      <c r="F251" s="1270"/>
      <c r="G251" s="1270"/>
      <c r="H251" s="1270"/>
      <c r="I251" s="1270"/>
      <c r="J251" s="1270"/>
      <c r="K251" s="1270"/>
      <c r="L251" s="1270"/>
      <c r="M251" s="1270"/>
      <c r="N251" s="1270"/>
      <c r="O251" s="1270"/>
      <c r="P251" s="1270"/>
      <c r="Q251" s="1270"/>
      <c r="R251" s="1270"/>
      <c r="S251" s="1270"/>
    </row>
    <row r="252" spans="3:19">
      <c r="C252" s="1270"/>
      <c r="D252" s="1270"/>
      <c r="E252" s="1270"/>
      <c r="F252" s="1270"/>
      <c r="G252" s="1270"/>
      <c r="H252" s="1270"/>
      <c r="I252" s="1270"/>
      <c r="J252" s="1270"/>
      <c r="K252" s="1270"/>
      <c r="L252" s="1270"/>
      <c r="M252" s="1270"/>
      <c r="N252" s="1270"/>
      <c r="O252" s="1270"/>
      <c r="P252" s="1270"/>
      <c r="Q252" s="1270"/>
      <c r="R252" s="1270"/>
      <c r="S252" s="1270"/>
    </row>
    <row r="253" spans="3:19">
      <c r="C253" s="1270"/>
      <c r="D253" s="1270"/>
      <c r="E253" s="1270"/>
      <c r="F253" s="1270"/>
      <c r="G253" s="1270"/>
      <c r="H253" s="1270"/>
      <c r="I253" s="1270"/>
      <c r="J253" s="1270"/>
      <c r="K253" s="1270"/>
      <c r="L253" s="1270"/>
      <c r="M253" s="1270"/>
      <c r="N253" s="1270"/>
      <c r="O253" s="1270"/>
      <c r="P253" s="1270"/>
      <c r="Q253" s="1270"/>
      <c r="R253" s="1270"/>
      <c r="S253" s="1270"/>
    </row>
    <row r="254" spans="3:19">
      <c r="C254" s="1270"/>
      <c r="D254" s="1270"/>
      <c r="E254" s="1270"/>
      <c r="F254" s="1270"/>
      <c r="G254" s="1270"/>
      <c r="H254" s="1270"/>
      <c r="I254" s="1270"/>
      <c r="J254" s="1270"/>
      <c r="K254" s="1270"/>
      <c r="L254" s="1270"/>
      <c r="M254" s="1270"/>
      <c r="N254" s="1270"/>
      <c r="O254" s="1270"/>
      <c r="P254" s="1270"/>
      <c r="Q254" s="1270"/>
      <c r="R254" s="1270"/>
      <c r="S254" s="1270"/>
    </row>
    <row r="255" spans="3:19">
      <c r="C255" s="1270"/>
      <c r="D255" s="1270"/>
      <c r="E255" s="1270"/>
      <c r="F255" s="1270"/>
      <c r="G255" s="1270"/>
      <c r="H255" s="1270"/>
      <c r="I255" s="1270"/>
      <c r="J255" s="1270"/>
      <c r="K255" s="1270"/>
      <c r="L255" s="1270"/>
      <c r="M255" s="1270"/>
      <c r="N255" s="1270"/>
      <c r="O255" s="1270"/>
      <c r="P255" s="1270"/>
      <c r="Q255" s="1270"/>
      <c r="R255" s="1270"/>
      <c r="S255" s="1270"/>
    </row>
    <row r="256" spans="3:19">
      <c r="C256" s="1270"/>
      <c r="D256" s="1270"/>
      <c r="E256" s="1270"/>
      <c r="F256" s="1270"/>
      <c r="G256" s="1270"/>
      <c r="H256" s="1270"/>
      <c r="I256" s="1270"/>
      <c r="J256" s="1270"/>
      <c r="K256" s="1270"/>
      <c r="L256" s="1270"/>
      <c r="M256" s="1270"/>
      <c r="N256" s="1270"/>
      <c r="O256" s="1270"/>
      <c r="P256" s="1270"/>
      <c r="Q256" s="1270"/>
      <c r="R256" s="1270"/>
      <c r="S256" s="1270"/>
    </row>
    <row r="257" spans="3:19">
      <c r="C257" s="1270"/>
      <c r="D257" s="1270"/>
      <c r="E257" s="1270"/>
      <c r="F257" s="1270"/>
      <c r="G257" s="1270"/>
      <c r="H257" s="1270"/>
      <c r="I257" s="1270"/>
      <c r="J257" s="1270"/>
      <c r="K257" s="1270"/>
      <c r="L257" s="1270"/>
      <c r="M257" s="1270"/>
      <c r="N257" s="1270"/>
      <c r="O257" s="1270"/>
      <c r="P257" s="1270"/>
      <c r="Q257" s="1270"/>
      <c r="R257" s="1270"/>
      <c r="S257" s="1270"/>
    </row>
    <row r="258" spans="3:19">
      <c r="C258" s="1270"/>
      <c r="D258" s="1270"/>
      <c r="E258" s="1270"/>
      <c r="F258" s="1270"/>
      <c r="G258" s="1270"/>
      <c r="H258" s="1270"/>
      <c r="I258" s="1270"/>
      <c r="J258" s="1270"/>
      <c r="K258" s="1270"/>
      <c r="L258" s="1270"/>
      <c r="M258" s="1270"/>
      <c r="N258" s="1270"/>
      <c r="O258" s="1270"/>
      <c r="P258" s="1270"/>
      <c r="Q258" s="1270"/>
      <c r="R258" s="1270"/>
      <c r="S258" s="1270"/>
    </row>
    <row r="259" spans="3:19">
      <c r="C259" s="1270"/>
      <c r="D259" s="1270"/>
      <c r="E259" s="1270"/>
      <c r="F259" s="1270"/>
      <c r="G259" s="1270"/>
      <c r="H259" s="1270"/>
      <c r="I259" s="1270"/>
      <c r="J259" s="1270"/>
      <c r="K259" s="1270"/>
      <c r="L259" s="1270"/>
      <c r="M259" s="1270"/>
      <c r="N259" s="1270"/>
      <c r="O259" s="1270"/>
      <c r="P259" s="1270"/>
      <c r="Q259" s="1270"/>
      <c r="R259" s="1270"/>
      <c r="S259" s="1270"/>
    </row>
    <row r="260" spans="3:19">
      <c r="C260" s="1270"/>
      <c r="D260" s="1270"/>
      <c r="E260" s="1270"/>
      <c r="F260" s="1270"/>
      <c r="G260" s="1270"/>
      <c r="H260" s="1270"/>
      <c r="I260" s="1270"/>
      <c r="J260" s="1270"/>
      <c r="K260" s="1270"/>
      <c r="L260" s="1270"/>
      <c r="M260" s="1270"/>
      <c r="N260" s="1270"/>
      <c r="O260" s="1270"/>
      <c r="P260" s="1270"/>
      <c r="Q260" s="1270"/>
      <c r="R260" s="1270"/>
      <c r="S260" s="1270"/>
    </row>
    <row r="261" spans="3:19">
      <c r="C261" s="1270"/>
      <c r="D261" s="1270"/>
      <c r="E261" s="1270"/>
      <c r="F261" s="1270"/>
      <c r="G261" s="1270"/>
      <c r="H261" s="1270"/>
      <c r="I261" s="1270"/>
      <c r="J261" s="1270"/>
      <c r="K261" s="1270"/>
      <c r="L261" s="1270"/>
      <c r="M261" s="1270"/>
      <c r="N261" s="1270"/>
      <c r="O261" s="1270"/>
      <c r="P261" s="1270"/>
      <c r="Q261" s="1270"/>
      <c r="R261" s="1270"/>
      <c r="S261" s="1270"/>
    </row>
    <row r="262" spans="3:19">
      <c r="C262" s="1270"/>
      <c r="D262" s="1270"/>
      <c r="E262" s="1270"/>
      <c r="F262" s="1270"/>
      <c r="G262" s="1270"/>
      <c r="H262" s="1270"/>
      <c r="I262" s="1270"/>
      <c r="J262" s="1270"/>
      <c r="K262" s="1270"/>
      <c r="L262" s="1270"/>
      <c r="M262" s="1270"/>
      <c r="N262" s="1270"/>
      <c r="O262" s="1270"/>
      <c r="P262" s="1270"/>
      <c r="Q262" s="1270"/>
      <c r="R262" s="1270"/>
      <c r="S262" s="1270"/>
    </row>
    <row r="263" spans="3:19">
      <c r="C263" s="1270"/>
      <c r="D263" s="1270"/>
      <c r="E263" s="1270"/>
      <c r="F263" s="1270"/>
      <c r="G263" s="1270"/>
      <c r="H263" s="1270"/>
      <c r="I263" s="1270"/>
      <c r="J263" s="1270"/>
      <c r="K263" s="1270"/>
      <c r="L263" s="1270"/>
      <c r="M263" s="1270"/>
      <c r="N263" s="1270"/>
      <c r="O263" s="1270"/>
      <c r="P263" s="1270"/>
      <c r="Q263" s="1270"/>
      <c r="R263" s="1270"/>
      <c r="S263" s="1270"/>
    </row>
    <row r="264" spans="3:19">
      <c r="C264" s="1270"/>
      <c r="D264" s="1270"/>
      <c r="E264" s="1270"/>
      <c r="F264" s="1270"/>
      <c r="G264" s="1270"/>
      <c r="H264" s="1270"/>
      <c r="I264" s="1270"/>
      <c r="J264" s="1270"/>
      <c r="K264" s="1270"/>
      <c r="L264" s="1270"/>
      <c r="M264" s="1270"/>
      <c r="N264" s="1270"/>
      <c r="O264" s="1270"/>
      <c r="P264" s="1270"/>
      <c r="Q264" s="1270"/>
      <c r="R264" s="1270"/>
      <c r="S264" s="1270"/>
    </row>
    <row r="265" spans="3:19">
      <c r="C265" s="1270"/>
      <c r="D265" s="1270"/>
      <c r="E265" s="1270"/>
      <c r="F265" s="1270"/>
      <c r="G265" s="1270"/>
      <c r="H265" s="1270"/>
      <c r="I265" s="1270"/>
      <c r="J265" s="1270"/>
      <c r="K265" s="1270"/>
      <c r="L265" s="1270"/>
      <c r="M265" s="1270"/>
      <c r="N265" s="1270"/>
      <c r="O265" s="1270"/>
      <c r="P265" s="1270"/>
      <c r="Q265" s="1270"/>
      <c r="R265" s="1270"/>
      <c r="S265" s="1270"/>
    </row>
    <row r="266" spans="3:19">
      <c r="C266" s="1270"/>
      <c r="D266" s="1270"/>
      <c r="E266" s="1270"/>
      <c r="F266" s="1270"/>
      <c r="G266" s="1270"/>
      <c r="H266" s="1270"/>
      <c r="I266" s="1270"/>
      <c r="J266" s="1270"/>
      <c r="K266" s="1270"/>
      <c r="L266" s="1270"/>
      <c r="M266" s="1270"/>
      <c r="N266" s="1270"/>
      <c r="O266" s="1270"/>
      <c r="P266" s="1270"/>
      <c r="Q266" s="1270"/>
      <c r="R266" s="1270"/>
      <c r="S266" s="1270"/>
    </row>
    <row r="267" spans="3:19">
      <c r="C267" s="1270"/>
      <c r="D267" s="1270"/>
      <c r="E267" s="1270"/>
      <c r="F267" s="1270"/>
      <c r="G267" s="1270"/>
      <c r="H267" s="1270"/>
      <c r="I267" s="1270"/>
      <c r="J267" s="1270"/>
      <c r="K267" s="1270"/>
      <c r="L267" s="1270"/>
      <c r="M267" s="1270"/>
      <c r="N267" s="1270"/>
      <c r="O267" s="1270"/>
      <c r="P267" s="1270"/>
      <c r="Q267" s="1270"/>
      <c r="R267" s="1270"/>
      <c r="S267" s="1270"/>
    </row>
    <row r="268" spans="3:19">
      <c r="C268" s="1270"/>
      <c r="D268" s="1270"/>
      <c r="E268" s="1270"/>
      <c r="F268" s="1270"/>
      <c r="G268" s="1270"/>
      <c r="H268" s="1270"/>
      <c r="I268" s="1270"/>
      <c r="J268" s="1270"/>
      <c r="K268" s="1270"/>
      <c r="L268" s="1270"/>
      <c r="M268" s="1270"/>
      <c r="N268" s="1270"/>
      <c r="O268" s="1270"/>
      <c r="P268" s="1270"/>
      <c r="Q268" s="1270"/>
      <c r="R268" s="1270"/>
      <c r="S268" s="1270"/>
    </row>
    <row r="269" spans="3:19">
      <c r="C269" s="1270"/>
      <c r="D269" s="1270"/>
      <c r="E269" s="1270"/>
      <c r="F269" s="1270"/>
      <c r="G269" s="1270"/>
      <c r="H269" s="1270"/>
      <c r="I269" s="1270"/>
      <c r="J269" s="1270"/>
      <c r="K269" s="1270"/>
      <c r="L269" s="1270"/>
      <c r="M269" s="1270"/>
      <c r="N269" s="1270"/>
      <c r="O269" s="1270"/>
      <c r="P269" s="1270"/>
      <c r="Q269" s="1270"/>
      <c r="R269" s="1270"/>
      <c r="S269" s="1270"/>
    </row>
    <row r="270" spans="3:19">
      <c r="C270" s="1270"/>
      <c r="D270" s="1270"/>
      <c r="E270" s="1270"/>
      <c r="F270" s="1270"/>
      <c r="G270" s="1270"/>
      <c r="H270" s="1270"/>
      <c r="I270" s="1270"/>
      <c r="J270" s="1270"/>
      <c r="K270" s="1270"/>
      <c r="L270" s="1270"/>
      <c r="M270" s="1270"/>
      <c r="N270" s="1270"/>
      <c r="O270" s="1270"/>
      <c r="P270" s="1270"/>
      <c r="Q270" s="1270"/>
      <c r="R270" s="1270"/>
      <c r="S270" s="1270"/>
    </row>
    <row r="271" spans="3:19">
      <c r="C271" s="1270"/>
      <c r="D271" s="1270"/>
      <c r="E271" s="1270"/>
      <c r="F271" s="1270"/>
      <c r="G271" s="1270"/>
      <c r="H271" s="1270"/>
      <c r="I271" s="1270"/>
      <c r="J271" s="1270"/>
      <c r="K271" s="1270"/>
      <c r="L271" s="1270"/>
      <c r="M271" s="1270"/>
      <c r="N271" s="1270"/>
      <c r="O271" s="1270"/>
      <c r="P271" s="1270"/>
      <c r="Q271" s="1270"/>
      <c r="R271" s="1270"/>
      <c r="S271" s="1270"/>
    </row>
    <row r="272" spans="3:19">
      <c r="C272" s="1270"/>
      <c r="D272" s="1270"/>
      <c r="E272" s="1270"/>
      <c r="F272" s="1270"/>
      <c r="G272" s="1270"/>
      <c r="H272" s="1270"/>
      <c r="I272" s="1270"/>
      <c r="J272" s="1270"/>
      <c r="K272" s="1270"/>
      <c r="L272" s="1270"/>
      <c r="M272" s="1270"/>
      <c r="N272" s="1270"/>
      <c r="O272" s="1270"/>
      <c r="P272" s="1270"/>
      <c r="Q272" s="1270"/>
      <c r="R272" s="1270"/>
      <c r="S272" s="1270"/>
    </row>
    <row r="273" spans="3:19">
      <c r="C273" s="1270"/>
      <c r="D273" s="1270"/>
      <c r="E273" s="1270"/>
      <c r="F273" s="1270"/>
      <c r="G273" s="1270"/>
      <c r="H273" s="1270"/>
      <c r="I273" s="1270"/>
      <c r="J273" s="1270"/>
      <c r="K273" s="1270"/>
      <c r="L273" s="1270"/>
      <c r="M273" s="1270"/>
      <c r="N273" s="1270"/>
      <c r="O273" s="1270"/>
      <c r="P273" s="1270"/>
      <c r="Q273" s="1270"/>
      <c r="R273" s="1270"/>
      <c r="S273" s="1270"/>
    </row>
    <row r="274" spans="3:19">
      <c r="C274" s="1270"/>
      <c r="D274" s="1270"/>
      <c r="E274" s="1270"/>
      <c r="F274" s="1270"/>
      <c r="G274" s="1270"/>
      <c r="H274" s="1270"/>
      <c r="I274" s="1270"/>
      <c r="J274" s="1270"/>
      <c r="K274" s="1270"/>
      <c r="L274" s="1270"/>
      <c r="M274" s="1270"/>
      <c r="N274" s="1270"/>
      <c r="O274" s="1270"/>
      <c r="P274" s="1270"/>
      <c r="Q274" s="1270"/>
      <c r="R274" s="1270"/>
      <c r="S274" s="1270"/>
    </row>
    <row r="275" spans="3:19">
      <c r="C275" s="1270"/>
      <c r="D275" s="1270"/>
      <c r="E275" s="1270"/>
      <c r="F275" s="1270"/>
      <c r="G275" s="1270"/>
      <c r="H275" s="1270"/>
      <c r="I275" s="1270"/>
      <c r="J275" s="1270"/>
      <c r="K275" s="1270"/>
      <c r="L275" s="1270"/>
      <c r="M275" s="1270"/>
      <c r="N275" s="1270"/>
      <c r="O275" s="1270"/>
      <c r="P275" s="1270"/>
      <c r="Q275" s="1270"/>
      <c r="R275" s="1270"/>
      <c r="S275" s="1270"/>
    </row>
    <row r="276" spans="3:19">
      <c r="C276" s="1270"/>
      <c r="D276" s="1270"/>
      <c r="E276" s="1270"/>
      <c r="F276" s="1270"/>
      <c r="G276" s="1270"/>
      <c r="H276" s="1270"/>
      <c r="I276" s="1270"/>
      <c r="J276" s="1270"/>
      <c r="K276" s="1270"/>
      <c r="L276" s="1270"/>
      <c r="M276" s="1270"/>
      <c r="N276" s="1270"/>
      <c r="O276" s="1270"/>
      <c r="P276" s="1270"/>
      <c r="Q276" s="1270"/>
      <c r="R276" s="1270"/>
      <c r="S276" s="1270"/>
    </row>
    <row r="277" spans="3:19">
      <c r="C277" s="1270"/>
      <c r="D277" s="1270"/>
      <c r="E277" s="1270"/>
      <c r="F277" s="1270"/>
      <c r="G277" s="1270"/>
      <c r="H277" s="1270"/>
      <c r="I277" s="1270"/>
      <c r="J277" s="1270"/>
      <c r="K277" s="1270"/>
      <c r="L277" s="1270"/>
      <c r="M277" s="1270"/>
      <c r="N277" s="1270"/>
      <c r="O277" s="1270"/>
      <c r="P277" s="1270"/>
      <c r="Q277" s="1270"/>
      <c r="R277" s="1270"/>
      <c r="S277" s="1270"/>
    </row>
    <row r="278" spans="3:19">
      <c r="C278" s="1270"/>
      <c r="D278" s="1270"/>
      <c r="E278" s="1270"/>
      <c r="F278" s="1270"/>
      <c r="G278" s="1270"/>
      <c r="H278" s="1270"/>
      <c r="I278" s="1270"/>
      <c r="J278" s="1270"/>
      <c r="K278" s="1270"/>
      <c r="L278" s="1270"/>
      <c r="M278" s="1270"/>
      <c r="N278" s="1270"/>
      <c r="O278" s="1270"/>
      <c r="P278" s="1270"/>
      <c r="Q278" s="1270"/>
      <c r="R278" s="1270"/>
      <c r="S278" s="1270"/>
    </row>
    <row r="279" spans="3:19">
      <c r="C279" s="1270"/>
      <c r="D279" s="1270"/>
      <c r="E279" s="1270"/>
      <c r="F279" s="1270"/>
      <c r="G279" s="1270"/>
      <c r="H279" s="1270"/>
      <c r="I279" s="1270"/>
      <c r="J279" s="1270"/>
      <c r="K279" s="1270"/>
      <c r="L279" s="1270"/>
      <c r="M279" s="1270"/>
      <c r="N279" s="1270"/>
      <c r="O279" s="1270"/>
      <c r="P279" s="1270"/>
      <c r="Q279" s="1270"/>
      <c r="R279" s="1270"/>
      <c r="S279" s="1270"/>
    </row>
    <row r="280" spans="3:19">
      <c r="C280" s="1270"/>
      <c r="D280" s="1270"/>
      <c r="E280" s="1270"/>
      <c r="F280" s="1270"/>
      <c r="G280" s="1270"/>
      <c r="H280" s="1270"/>
      <c r="I280" s="1270"/>
      <c r="J280" s="1270"/>
      <c r="K280" s="1270"/>
      <c r="L280" s="1270"/>
      <c r="M280" s="1270"/>
      <c r="N280" s="1270"/>
      <c r="O280" s="1270"/>
      <c r="P280" s="1270"/>
      <c r="Q280" s="1270"/>
      <c r="R280" s="1270"/>
      <c r="S280" s="1270"/>
    </row>
    <row r="281" spans="3:19">
      <c r="C281" s="1270"/>
      <c r="D281" s="1270"/>
      <c r="E281" s="1270"/>
      <c r="F281" s="1270"/>
      <c r="G281" s="1270"/>
      <c r="H281" s="1270"/>
      <c r="I281" s="1270"/>
      <c r="J281" s="1270"/>
      <c r="K281" s="1270"/>
      <c r="L281" s="1270"/>
      <c r="M281" s="1270"/>
      <c r="N281" s="1270"/>
      <c r="O281" s="1270"/>
      <c r="P281" s="1270"/>
      <c r="Q281" s="1270"/>
      <c r="R281" s="1270"/>
      <c r="S281" s="1270"/>
    </row>
    <row r="282" spans="3:19">
      <c r="C282" s="1270"/>
      <c r="D282" s="1270"/>
      <c r="E282" s="1270"/>
      <c r="F282" s="1270"/>
      <c r="G282" s="1270"/>
      <c r="H282" s="1270"/>
      <c r="I282" s="1270"/>
      <c r="J282" s="1270"/>
      <c r="K282" s="1270"/>
      <c r="L282" s="1270"/>
      <c r="M282" s="1270"/>
      <c r="N282" s="1270"/>
      <c r="O282" s="1270"/>
      <c r="P282" s="1270"/>
      <c r="Q282" s="1270"/>
      <c r="R282" s="1270"/>
      <c r="S282" s="1270"/>
    </row>
    <row r="283" spans="3:19">
      <c r="C283" s="1270"/>
      <c r="D283" s="1270"/>
      <c r="E283" s="1270"/>
      <c r="F283" s="1270"/>
      <c r="G283" s="1270"/>
      <c r="H283" s="1270"/>
      <c r="I283" s="1270"/>
      <c r="J283" s="1270"/>
      <c r="K283" s="1270"/>
      <c r="L283" s="1270"/>
      <c r="M283" s="1270"/>
      <c r="N283" s="1270"/>
      <c r="O283" s="1270"/>
      <c r="P283" s="1270"/>
      <c r="Q283" s="1270"/>
      <c r="R283" s="1270"/>
      <c r="S283" s="1270"/>
    </row>
    <row r="284" spans="3:19">
      <c r="C284" s="1270"/>
      <c r="D284" s="1270"/>
      <c r="E284" s="1270"/>
      <c r="F284" s="1270"/>
      <c r="G284" s="1270"/>
      <c r="H284" s="1270"/>
      <c r="I284" s="1270"/>
      <c r="J284" s="1270"/>
      <c r="K284" s="1270"/>
      <c r="L284" s="1270"/>
      <c r="M284" s="1270"/>
      <c r="N284" s="1270"/>
      <c r="O284" s="1270"/>
      <c r="P284" s="1270"/>
      <c r="Q284" s="1270"/>
      <c r="R284" s="1270"/>
      <c r="S284" s="1270"/>
    </row>
    <row r="285" spans="3:19">
      <c r="C285" s="1270"/>
      <c r="D285" s="1270"/>
      <c r="E285" s="1270"/>
      <c r="F285" s="1270"/>
      <c r="G285" s="1270"/>
      <c r="H285" s="1270"/>
      <c r="I285" s="1270"/>
      <c r="J285" s="1270"/>
      <c r="K285" s="1270"/>
      <c r="L285" s="1270"/>
      <c r="M285" s="1270"/>
      <c r="N285" s="1270"/>
      <c r="O285" s="1270"/>
      <c r="P285" s="1270"/>
      <c r="Q285" s="1270"/>
      <c r="R285" s="1270"/>
      <c r="S285" s="1270"/>
    </row>
    <row r="286" spans="3:19">
      <c r="C286" s="1270"/>
      <c r="D286" s="1270"/>
      <c r="E286" s="1270"/>
      <c r="F286" s="1270"/>
      <c r="G286" s="1270"/>
      <c r="H286" s="1270"/>
      <c r="I286" s="1270"/>
      <c r="J286" s="1270"/>
      <c r="K286" s="1270"/>
      <c r="L286" s="1270"/>
      <c r="M286" s="1270"/>
      <c r="N286" s="1270"/>
      <c r="O286" s="1270"/>
      <c r="P286" s="1270"/>
      <c r="Q286" s="1270"/>
      <c r="R286" s="1270"/>
      <c r="S286" s="1270"/>
    </row>
    <row r="287" spans="3:19">
      <c r="C287" s="1270"/>
      <c r="D287" s="1270"/>
      <c r="E287" s="1270"/>
      <c r="F287" s="1270"/>
      <c r="G287" s="1270"/>
      <c r="H287" s="1270"/>
      <c r="I287" s="1270"/>
      <c r="J287" s="1270"/>
      <c r="K287" s="1270"/>
      <c r="L287" s="1270"/>
      <c r="M287" s="1270"/>
      <c r="N287" s="1270"/>
      <c r="O287" s="1270"/>
      <c r="P287" s="1270"/>
      <c r="Q287" s="1270"/>
      <c r="R287" s="1270"/>
      <c r="S287" s="1270"/>
    </row>
    <row r="288" spans="3:19">
      <c r="C288" s="1270"/>
      <c r="D288" s="1270"/>
      <c r="E288" s="1270"/>
      <c r="F288" s="1270"/>
      <c r="G288" s="1270"/>
      <c r="H288" s="1270"/>
      <c r="I288" s="1270"/>
      <c r="J288" s="1270"/>
      <c r="K288" s="1270"/>
      <c r="L288" s="1270"/>
      <c r="M288" s="1270"/>
      <c r="N288" s="1270"/>
      <c r="O288" s="1270"/>
      <c r="P288" s="1270"/>
      <c r="Q288" s="1270"/>
      <c r="R288" s="1270"/>
      <c r="S288" s="1270"/>
    </row>
    <row r="289" spans="3:19">
      <c r="C289" s="1270"/>
      <c r="D289" s="1270"/>
      <c r="E289" s="1270"/>
      <c r="F289" s="1270"/>
      <c r="G289" s="1270"/>
      <c r="H289" s="1270"/>
      <c r="I289" s="1270"/>
      <c r="J289" s="1270"/>
      <c r="K289" s="1270"/>
      <c r="L289" s="1270"/>
      <c r="M289" s="1270"/>
      <c r="N289" s="1270"/>
      <c r="O289" s="1270"/>
      <c r="P289" s="1270"/>
      <c r="Q289" s="1270"/>
      <c r="R289" s="1270"/>
      <c r="S289" s="1270"/>
    </row>
  </sheetData>
  <sheetProtection selectLockedCells="1"/>
  <customSheetViews>
    <customSheetView guid="{DDA22D69-94B5-45BC-9EE2-6055A845129B}" state="hidden">
      <selection activeCell="U24" sqref="U24"/>
      <pageMargins left="0.7" right="0.7" top="0.75" bottom="0.75" header="0.3" footer="0.3"/>
      <pageSetup orientation="portrait" r:id="rId1"/>
    </customSheetView>
    <customSheetView guid="{1B7577DB-E3C4-4E68-B7CF-8F86FF7C5A82}" state="hidden">
      <selection activeCell="U24" sqref="U24"/>
      <pageMargins left="0.7" right="0.7" top="0.75" bottom="0.75" header="0.3" footer="0.3"/>
      <pageSetup orientation="portrait" r:id="rId2"/>
    </customSheetView>
    <customSheetView guid="{E7B1C62B-1F1D-4A62-BD87-EE62D3A36B6C}" state="hidden">
      <selection activeCell="U24" sqref="U24"/>
      <pageMargins left="0.7" right="0.7" top="0.75" bottom="0.75" header="0.3" footer="0.3"/>
      <pageSetup orientation="portrait" r:id="rId3"/>
    </customSheetView>
  </customSheetViews>
  <mergeCells count="108">
    <mergeCell ref="C4:R4"/>
    <mergeCell ref="C5:C7"/>
    <mergeCell ref="D5:E7"/>
    <mergeCell ref="F5:G7"/>
    <mergeCell ref="H5:I7"/>
    <mergeCell ref="J5:L7"/>
    <mergeCell ref="M5:N7"/>
    <mergeCell ref="O5:P7"/>
    <mergeCell ref="Q5:R7"/>
    <mergeCell ref="Q8:R8"/>
    <mergeCell ref="D9:E9"/>
    <mergeCell ref="F9:G9"/>
    <mergeCell ref="H9:I9"/>
    <mergeCell ref="J9:L9"/>
    <mergeCell ref="M9:N9"/>
    <mergeCell ref="O9:P9"/>
    <mergeCell ref="Q9:R9"/>
    <mergeCell ref="D8:E8"/>
    <mergeCell ref="F8:G8"/>
    <mergeCell ref="H8:I8"/>
    <mergeCell ref="J8:L8"/>
    <mergeCell ref="M8:N8"/>
    <mergeCell ref="O8:P8"/>
    <mergeCell ref="Q10:R10"/>
    <mergeCell ref="D11:E11"/>
    <mergeCell ref="F11:G11"/>
    <mergeCell ref="H11:I11"/>
    <mergeCell ref="J11:L11"/>
    <mergeCell ref="M11:N11"/>
    <mergeCell ref="O11:P11"/>
    <mergeCell ref="Q11:R11"/>
    <mergeCell ref="D10:E10"/>
    <mergeCell ref="F10:G10"/>
    <mergeCell ref="H10:I10"/>
    <mergeCell ref="J10:L10"/>
    <mergeCell ref="M10:N10"/>
    <mergeCell ref="O10:P10"/>
    <mergeCell ref="Q12:R12"/>
    <mergeCell ref="D13:E13"/>
    <mergeCell ref="F13:G13"/>
    <mergeCell ref="H13:I13"/>
    <mergeCell ref="J13:L13"/>
    <mergeCell ref="M13:N13"/>
    <mergeCell ref="O13:P13"/>
    <mergeCell ref="Q13:R13"/>
    <mergeCell ref="D12:E12"/>
    <mergeCell ref="F12:G12"/>
    <mergeCell ref="H12:I12"/>
    <mergeCell ref="J12:L12"/>
    <mergeCell ref="M12:N12"/>
    <mergeCell ref="O12:P12"/>
    <mergeCell ref="Q14:R14"/>
    <mergeCell ref="D15:E15"/>
    <mergeCell ref="F15:G15"/>
    <mergeCell ref="H15:I15"/>
    <mergeCell ref="J15:L15"/>
    <mergeCell ref="M15:N15"/>
    <mergeCell ref="O15:P15"/>
    <mergeCell ref="Q15:R15"/>
    <mergeCell ref="D14:E14"/>
    <mergeCell ref="F14:G14"/>
    <mergeCell ref="H14:I14"/>
    <mergeCell ref="J14:L14"/>
    <mergeCell ref="M14:N14"/>
    <mergeCell ref="O14:P14"/>
    <mergeCell ref="H21:L21"/>
    <mergeCell ref="H22:J22"/>
    <mergeCell ref="K22:L22"/>
    <mergeCell ref="H23:J23"/>
    <mergeCell ref="K23:L23"/>
    <mergeCell ref="H24:J24"/>
    <mergeCell ref="K24:L24"/>
    <mergeCell ref="Q16:R16"/>
    <mergeCell ref="D17:E17"/>
    <mergeCell ref="F17:G17"/>
    <mergeCell ref="H17:I17"/>
    <mergeCell ref="J17:L17"/>
    <mergeCell ref="M17:N17"/>
    <mergeCell ref="O17:P17"/>
    <mergeCell ref="Q17:R17"/>
    <mergeCell ref="D16:E16"/>
    <mergeCell ref="F16:G16"/>
    <mergeCell ref="H16:I16"/>
    <mergeCell ref="J16:L16"/>
    <mergeCell ref="M16:N16"/>
    <mergeCell ref="O16:P16"/>
    <mergeCell ref="H28:J28"/>
    <mergeCell ref="K28:L28"/>
    <mergeCell ref="H29:J29"/>
    <mergeCell ref="K29:L29"/>
    <mergeCell ref="H30:J30"/>
    <mergeCell ref="K30:L30"/>
    <mergeCell ref="H25:J25"/>
    <mergeCell ref="K25:L25"/>
    <mergeCell ref="H26:J26"/>
    <mergeCell ref="K26:L26"/>
    <mergeCell ref="H27:J27"/>
    <mergeCell ref="K27:L27"/>
    <mergeCell ref="H34:J34"/>
    <mergeCell ref="K34:L34"/>
    <mergeCell ref="H35:J35"/>
    <mergeCell ref="K35:L35"/>
    <mergeCell ref="H31:J31"/>
    <mergeCell ref="K31:L31"/>
    <mergeCell ref="H32:J32"/>
    <mergeCell ref="K32:L32"/>
    <mergeCell ref="H33:J33"/>
    <mergeCell ref="K33:L33"/>
  </mergeCells>
  <pageMargins left="0.7" right="0.7" top="0.75" bottom="0.75" header="0.3" footer="0.3"/>
  <pageSetup orientation="portrait" r:id="rId4"/>
  <ignoredErrors>
    <ignoredError sqref="K23:L31" unlockedFormula="1"/>
  </ignoredError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2060"/>
  </sheetPr>
  <dimension ref="B1:CS321"/>
  <sheetViews>
    <sheetView tabSelected="1" topLeftCell="A56" workbookViewId="0">
      <selection activeCell="L60" sqref="L60"/>
    </sheetView>
  </sheetViews>
  <sheetFormatPr defaultColWidth="9.140625" defaultRowHeight="0" customHeight="1" zeroHeight="1"/>
  <cols>
    <col min="1" max="1" width="0.5703125" customWidth="1"/>
    <col min="2" max="2" width="1.140625" customWidth="1"/>
    <col min="3" max="3" width="10" customWidth="1"/>
    <col min="4" max="4" width="10.5703125" customWidth="1"/>
    <col min="5" max="5" width="10.85546875" customWidth="1"/>
    <col min="6" max="7" width="9.140625" customWidth="1"/>
    <col min="8" max="8" width="0.85546875" customWidth="1"/>
    <col min="9" max="9" width="0.140625" customWidth="1"/>
    <col min="10" max="10" width="0.28515625" hidden="1" customWidth="1"/>
    <col min="11" max="11" width="0.140625" hidden="1" customWidth="1"/>
    <col min="12" max="12" width="12.42578125" customWidth="1"/>
    <col min="13" max="13" width="7" customWidth="1"/>
    <col min="14" max="14" width="7.42578125" customWidth="1"/>
    <col min="15" max="15" width="13" customWidth="1"/>
    <col min="16" max="16" width="1" customWidth="1"/>
    <col min="17" max="17" width="10.28515625" customWidth="1"/>
    <col min="18" max="18" width="10" customWidth="1"/>
    <col min="19" max="19" width="12.28515625" customWidth="1"/>
    <col min="20" max="20" width="9.85546875" customWidth="1"/>
    <col min="21" max="21" width="11" customWidth="1"/>
    <col min="22" max="22" width="14.85546875" customWidth="1"/>
    <col min="23" max="23" width="0.5703125" customWidth="1"/>
    <col min="24" max="24" width="13.140625" customWidth="1"/>
    <col min="25" max="25" width="9.140625" customWidth="1"/>
    <col min="26" max="26" width="8.85546875" customWidth="1"/>
    <col min="27" max="27" width="10.140625" customWidth="1"/>
    <col min="28" max="28" width="11" customWidth="1"/>
    <col min="29" max="29" width="1.140625" customWidth="1"/>
    <col min="30" max="30" width="10.28515625" bestFit="1" customWidth="1"/>
    <col min="31" max="31" width="4.140625" customWidth="1"/>
    <col min="32" max="32" width="20.7109375" customWidth="1"/>
    <col min="33" max="33" width="1.140625" customWidth="1"/>
    <col min="34" max="34" width="8.140625" customWidth="1"/>
    <col min="35" max="35" width="7.7109375" hidden="1" customWidth="1"/>
    <col min="36" max="36" width="13.5703125" hidden="1" customWidth="1"/>
    <col min="37" max="37" width="9.140625" hidden="1" customWidth="1"/>
    <col min="38" max="38" width="2.7109375" hidden="1" customWidth="1"/>
    <col min="39" max="39" width="13.140625" hidden="1" customWidth="1"/>
    <col min="40" max="40" width="9" style="831" customWidth="1"/>
    <col min="41" max="41" width="12.28515625" customWidth="1"/>
    <col min="42" max="42" width="12.85546875" customWidth="1"/>
    <col min="43" max="43" width="13.42578125" customWidth="1"/>
    <col min="44" max="44" width="14.5703125" customWidth="1"/>
    <col min="45" max="45" width="17" customWidth="1"/>
    <col min="46" max="46" width="9.140625" style="831" customWidth="1"/>
    <col min="47" max="50" width="9.140625" customWidth="1"/>
    <col min="51" max="51" width="14.5703125" customWidth="1"/>
    <col min="52" max="64" width="9.140625" customWidth="1"/>
    <col min="65" max="65" width="10.28515625" customWidth="1"/>
    <col min="66" max="66" width="10.7109375" customWidth="1"/>
    <col min="67" max="68" width="9.140625" customWidth="1"/>
    <col min="69" max="69" width="17.28515625" customWidth="1"/>
    <col min="70" max="70" width="16" customWidth="1"/>
    <col min="71" max="79" width="9.140625" customWidth="1"/>
    <col min="80" max="80" width="24.28515625" customWidth="1"/>
  </cols>
  <sheetData>
    <row r="1" spans="2:97" ht="8.25" customHeight="1" thickBot="1">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942"/>
      <c r="AI1" s="942"/>
      <c r="AJ1" s="942"/>
      <c r="AK1" s="942"/>
      <c r="AL1" s="942"/>
      <c r="AM1" s="942"/>
      <c r="AN1" s="942"/>
      <c r="AO1" s="942"/>
      <c r="AP1" s="942"/>
      <c r="AQ1" s="942"/>
      <c r="AR1" s="942"/>
      <c r="AS1" s="942"/>
      <c r="AT1" s="942"/>
      <c r="AU1" s="942"/>
      <c r="AV1" s="1"/>
      <c r="AW1" s="1"/>
      <c r="AX1" s="1"/>
      <c r="AY1" s="1"/>
      <c r="AZ1" s="1"/>
      <c r="BA1" s="1"/>
      <c r="BB1" s="1"/>
      <c r="BC1" s="1"/>
      <c r="BD1" s="1"/>
      <c r="BE1" s="634"/>
      <c r="BF1" s="634"/>
      <c r="BG1" s="634"/>
      <c r="BH1" s="634"/>
      <c r="BI1" s="634"/>
      <c r="BJ1" s="634"/>
      <c r="BK1" s="634"/>
      <c r="BL1" s="634"/>
      <c r="BM1" s="634"/>
      <c r="BN1" s="634"/>
      <c r="BO1" s="634"/>
      <c r="BP1" s="634"/>
      <c r="BQ1" s="634"/>
      <c r="BR1" s="634"/>
      <c r="BS1" s="3"/>
      <c r="BT1" s="3"/>
      <c r="BU1" s="3"/>
      <c r="BV1" s="3"/>
      <c r="BW1" s="3"/>
      <c r="BX1" s="3"/>
      <c r="BY1" s="3"/>
      <c r="BZ1" s="3"/>
      <c r="CA1" s="3"/>
      <c r="CB1" s="831"/>
      <c r="CC1" s="831"/>
      <c r="CD1" s="831"/>
      <c r="CE1" s="831"/>
      <c r="CF1" s="831"/>
      <c r="CG1" s="831"/>
      <c r="CH1" s="831"/>
      <c r="CI1" s="831"/>
      <c r="CJ1" s="831"/>
      <c r="CK1" s="831"/>
      <c r="CL1" s="831"/>
      <c r="CM1" s="831"/>
      <c r="CN1" s="831"/>
      <c r="CO1" s="831"/>
      <c r="CP1" s="831"/>
      <c r="CQ1" s="831"/>
      <c r="CR1" s="831"/>
      <c r="CS1" s="831"/>
    </row>
    <row r="2" spans="2:97" ht="15" customHeight="1">
      <c r="B2" s="10"/>
      <c r="C2" s="4658" t="s">
        <v>1697</v>
      </c>
      <c r="D2" s="4658"/>
      <c r="E2" s="4658"/>
      <c r="F2" s="4658"/>
      <c r="G2" s="4658"/>
      <c r="H2" s="4658"/>
      <c r="I2" s="4658"/>
      <c r="J2" s="4658"/>
      <c r="K2" s="4658"/>
      <c r="L2" s="4658"/>
      <c r="M2" s="4658"/>
      <c r="N2" s="4658"/>
      <c r="O2" s="4658"/>
      <c r="P2" s="4658"/>
      <c r="Q2" s="4658"/>
      <c r="R2" s="4658"/>
      <c r="S2" s="4658"/>
      <c r="T2" s="4658"/>
      <c r="U2" s="4658"/>
      <c r="V2" s="4658"/>
      <c r="W2" s="4658"/>
      <c r="X2" s="4658"/>
      <c r="Y2" s="4658"/>
      <c r="Z2" s="4658"/>
      <c r="AA2" s="4658"/>
      <c r="AB2" s="4658"/>
      <c r="AC2" s="10"/>
      <c r="AD2" s="4626"/>
      <c r="AE2" s="4627"/>
      <c r="AF2" s="4628"/>
      <c r="AG2" s="10"/>
      <c r="AH2" s="942"/>
      <c r="AI2" s="942"/>
      <c r="AJ2" s="942"/>
      <c r="AK2" s="942"/>
      <c r="AL2" s="942"/>
      <c r="AM2" s="942"/>
      <c r="AN2" s="942"/>
      <c r="AO2" s="942"/>
      <c r="AP2" s="942"/>
      <c r="AQ2" s="942"/>
      <c r="AR2" s="942"/>
      <c r="AS2" s="942"/>
      <c r="AT2" s="942"/>
      <c r="AU2" s="942"/>
      <c r="AV2" s="1"/>
      <c r="AW2" s="1"/>
      <c r="AX2" s="1"/>
      <c r="AY2" s="1"/>
      <c r="AZ2" s="1"/>
      <c r="BA2" s="1"/>
      <c r="BB2" s="1"/>
      <c r="BC2" s="1"/>
      <c r="BD2" s="1"/>
      <c r="BE2" s="634"/>
      <c r="BF2" s="634"/>
      <c r="BG2" s="634"/>
      <c r="BH2" s="634"/>
      <c r="BI2" s="634"/>
      <c r="BJ2" s="634"/>
      <c r="BK2" s="634"/>
      <c r="BL2" s="634"/>
      <c r="BM2" s="634"/>
      <c r="BN2" s="634"/>
      <c r="BO2" s="634"/>
      <c r="BP2" s="634"/>
      <c r="BQ2" s="634"/>
      <c r="BR2" s="634"/>
      <c r="BS2" s="3"/>
      <c r="BT2" s="3"/>
      <c r="BU2" s="3"/>
      <c r="BV2" s="3"/>
      <c r="BW2" s="3"/>
      <c r="BX2" s="3"/>
      <c r="BY2" s="3"/>
      <c r="BZ2" s="3"/>
      <c r="CA2" s="3"/>
      <c r="CB2" s="831"/>
      <c r="CC2" s="831"/>
      <c r="CD2" s="831"/>
      <c r="CE2" s="831"/>
      <c r="CF2" s="831"/>
      <c r="CG2" s="831"/>
      <c r="CH2" s="831"/>
      <c r="CI2" s="831"/>
      <c r="CJ2" s="831"/>
      <c r="CK2" s="831"/>
      <c r="CL2" s="831"/>
      <c r="CM2" s="831"/>
      <c r="CN2" s="831"/>
      <c r="CO2" s="831"/>
      <c r="CP2" s="831"/>
      <c r="CQ2" s="831"/>
      <c r="CR2" s="831"/>
      <c r="CS2" s="831"/>
    </row>
    <row r="3" spans="2:97" ht="15" customHeight="1">
      <c r="B3" s="10"/>
      <c r="C3" s="4658"/>
      <c r="D3" s="4658"/>
      <c r="E3" s="4658"/>
      <c r="F3" s="4658"/>
      <c r="G3" s="4658"/>
      <c r="H3" s="4658"/>
      <c r="I3" s="4658"/>
      <c r="J3" s="4658"/>
      <c r="K3" s="4658"/>
      <c r="L3" s="4658"/>
      <c r="M3" s="4658"/>
      <c r="N3" s="4658"/>
      <c r="O3" s="4658"/>
      <c r="P3" s="4658"/>
      <c r="Q3" s="4658"/>
      <c r="R3" s="4658"/>
      <c r="S3" s="4658"/>
      <c r="T3" s="4658"/>
      <c r="U3" s="4658"/>
      <c r="V3" s="4658"/>
      <c r="W3" s="4658"/>
      <c r="X3" s="4658"/>
      <c r="Y3" s="4658"/>
      <c r="Z3" s="4658"/>
      <c r="AA3" s="4658"/>
      <c r="AB3" s="4658"/>
      <c r="AC3" s="10"/>
      <c r="AD3" s="4629"/>
      <c r="AE3" s="4630"/>
      <c r="AF3" s="4631"/>
      <c r="AG3" s="10"/>
      <c r="AH3" s="942"/>
      <c r="AI3" s="942"/>
      <c r="AJ3" s="942"/>
      <c r="AK3" s="942"/>
      <c r="AL3" s="942"/>
      <c r="AM3" s="942"/>
      <c r="AN3" s="942"/>
      <c r="AO3" s="942"/>
      <c r="AP3" s="942"/>
      <c r="AQ3" s="942"/>
      <c r="AR3" s="942"/>
      <c r="AS3" s="942"/>
      <c r="AT3" s="942"/>
      <c r="AU3" s="942"/>
      <c r="AV3" s="1"/>
      <c r="AW3" s="1"/>
      <c r="AX3" s="1"/>
      <c r="AY3" s="1"/>
      <c r="AZ3" s="1"/>
      <c r="BA3" s="1"/>
      <c r="BB3" s="1"/>
      <c r="BC3" s="1"/>
      <c r="BD3" s="1"/>
      <c r="BE3" s="634"/>
      <c r="BF3" s="634"/>
      <c r="BG3" s="634"/>
      <c r="BH3" s="634"/>
      <c r="BI3" s="634"/>
      <c r="BJ3" s="634"/>
      <c r="BK3" s="634"/>
      <c r="BL3" s="634"/>
      <c r="BM3" s="634"/>
      <c r="BN3" s="634"/>
      <c r="BO3" s="634"/>
      <c r="BP3" s="634"/>
      <c r="BQ3" s="634"/>
      <c r="BR3" s="634"/>
      <c r="BS3" s="3"/>
      <c r="BT3" s="3"/>
      <c r="BU3" s="3"/>
      <c r="BV3" s="3"/>
      <c r="BW3" s="3"/>
      <c r="BX3" s="3"/>
      <c r="BY3" s="3"/>
      <c r="BZ3" s="3"/>
      <c r="CA3" s="3"/>
      <c r="CB3" s="831"/>
      <c r="CC3" s="831"/>
      <c r="CD3" s="831"/>
      <c r="CE3" s="831"/>
      <c r="CF3" s="831"/>
      <c r="CG3" s="831"/>
      <c r="CH3" s="831"/>
      <c r="CI3" s="831"/>
      <c r="CJ3" s="831"/>
      <c r="CK3" s="831"/>
      <c r="CL3" s="831"/>
      <c r="CM3" s="831"/>
      <c r="CN3" s="831"/>
      <c r="CO3" s="831"/>
      <c r="CP3" s="831"/>
      <c r="CQ3" s="831"/>
      <c r="CR3" s="831"/>
      <c r="CS3" s="831"/>
    </row>
    <row r="4" spans="2:97" ht="15" customHeight="1">
      <c r="B4" s="10"/>
      <c r="C4" s="4658"/>
      <c r="D4" s="4658"/>
      <c r="E4" s="4658"/>
      <c r="F4" s="4658"/>
      <c r="G4" s="4658"/>
      <c r="H4" s="4658"/>
      <c r="I4" s="4658"/>
      <c r="J4" s="4658"/>
      <c r="K4" s="4658"/>
      <c r="L4" s="4658"/>
      <c r="M4" s="4658"/>
      <c r="N4" s="4658"/>
      <c r="O4" s="4658"/>
      <c r="P4" s="4658"/>
      <c r="Q4" s="4658"/>
      <c r="R4" s="4658"/>
      <c r="S4" s="4658"/>
      <c r="T4" s="4658"/>
      <c r="U4" s="4658"/>
      <c r="V4" s="4658"/>
      <c r="W4" s="4658"/>
      <c r="X4" s="4658"/>
      <c r="Y4" s="4658"/>
      <c r="Z4" s="4658"/>
      <c r="AA4" s="4658"/>
      <c r="AB4" s="4658"/>
      <c r="AC4" s="10"/>
      <c r="AD4" s="4629"/>
      <c r="AE4" s="4630"/>
      <c r="AF4" s="4631"/>
      <c r="AG4" s="10"/>
      <c r="AH4" s="942"/>
      <c r="AI4" s="942"/>
      <c r="AJ4" s="942"/>
      <c r="AK4" s="942"/>
      <c r="AL4" s="942"/>
      <c r="AM4" s="942"/>
      <c r="AN4" s="942"/>
      <c r="AO4" s="942"/>
      <c r="AP4" s="942"/>
      <c r="AQ4" s="942"/>
      <c r="AR4" s="942"/>
      <c r="AS4" s="942"/>
      <c r="AT4" s="942"/>
      <c r="AU4" s="942"/>
      <c r="AV4" s="1"/>
      <c r="AW4" s="1"/>
      <c r="AX4" s="1"/>
      <c r="AY4" s="1"/>
      <c r="AZ4" s="1"/>
      <c r="BA4" s="1"/>
      <c r="BB4" s="1"/>
      <c r="BC4" s="1"/>
      <c r="BD4" s="1"/>
      <c r="BE4" s="634"/>
      <c r="BF4" s="634"/>
      <c r="BG4" s="634"/>
      <c r="BH4" s="634"/>
      <c r="BI4" s="634"/>
      <c r="BJ4" s="634"/>
      <c r="BK4" s="634"/>
      <c r="BL4" s="634"/>
      <c r="BM4" s="634"/>
      <c r="BN4" s="634"/>
      <c r="BO4" s="634"/>
      <c r="BP4" s="634"/>
      <c r="BQ4" s="634"/>
      <c r="BR4" s="634"/>
      <c r="BS4" s="3"/>
      <c r="BT4" s="3"/>
      <c r="BU4" s="3"/>
      <c r="BV4" s="3"/>
      <c r="BW4" s="3"/>
      <c r="BX4" s="3"/>
      <c r="BY4" s="3"/>
      <c r="BZ4" s="3"/>
      <c r="CA4" s="3"/>
      <c r="CB4" s="831"/>
      <c r="CC4" s="831"/>
      <c r="CD4" s="831"/>
      <c r="CE4" s="831"/>
      <c r="CF4" s="831"/>
      <c r="CG4" s="831"/>
      <c r="CH4" s="831"/>
      <c r="CI4" s="831"/>
      <c r="CJ4" s="831"/>
      <c r="CK4" s="831"/>
      <c r="CL4" s="831"/>
      <c r="CM4" s="831"/>
      <c r="CN4" s="831"/>
      <c r="CO4" s="831"/>
      <c r="CP4" s="831"/>
      <c r="CQ4" s="831"/>
      <c r="CR4" s="831"/>
      <c r="CS4" s="831"/>
    </row>
    <row r="5" spans="2:97" ht="15" customHeight="1" thickBot="1">
      <c r="B5" s="10"/>
      <c r="C5" s="4658"/>
      <c r="D5" s="4658"/>
      <c r="E5" s="4658"/>
      <c r="F5" s="4658"/>
      <c r="G5" s="4658"/>
      <c r="H5" s="4658"/>
      <c r="I5" s="4658"/>
      <c r="J5" s="4658"/>
      <c r="K5" s="4658"/>
      <c r="L5" s="4658"/>
      <c r="M5" s="4658"/>
      <c r="N5" s="4658"/>
      <c r="O5" s="4658"/>
      <c r="P5" s="4658"/>
      <c r="Q5" s="4658"/>
      <c r="R5" s="4658"/>
      <c r="S5" s="4658"/>
      <c r="T5" s="4658"/>
      <c r="U5" s="4658"/>
      <c r="V5" s="4658"/>
      <c r="W5" s="4658"/>
      <c r="X5" s="4658"/>
      <c r="Y5" s="4658"/>
      <c r="Z5" s="4658"/>
      <c r="AA5" s="4658"/>
      <c r="AB5" s="4658"/>
      <c r="AC5" s="10"/>
      <c r="AD5" s="2094"/>
      <c r="AE5" s="2095"/>
      <c r="AF5" s="2096"/>
      <c r="AG5" s="10"/>
      <c r="AH5" s="942"/>
      <c r="AI5" s="942"/>
      <c r="AJ5" s="942"/>
      <c r="AK5" s="942"/>
      <c r="AL5" s="942"/>
      <c r="AM5" s="942"/>
      <c r="AN5" s="942"/>
      <c r="AO5" s="942"/>
      <c r="AP5" s="942"/>
      <c r="AQ5" s="942"/>
      <c r="AR5" s="942"/>
      <c r="AS5" s="942"/>
      <c r="AT5" s="942"/>
      <c r="AU5" s="942"/>
      <c r="AV5" s="1"/>
      <c r="AW5" s="1"/>
      <c r="AX5" s="1"/>
      <c r="AY5" s="1"/>
      <c r="AZ5" s="1"/>
      <c r="BA5" s="1"/>
      <c r="BB5" s="1"/>
      <c r="BC5" s="1"/>
      <c r="BD5" s="1"/>
      <c r="BE5" s="634"/>
      <c r="BF5" s="634"/>
      <c r="BG5" s="634"/>
      <c r="BH5" s="634"/>
      <c r="BI5" s="634"/>
      <c r="BJ5" s="634"/>
      <c r="BK5" s="634"/>
      <c r="BL5" s="634"/>
      <c r="BM5" s="634"/>
      <c r="BN5" s="634"/>
      <c r="BO5" s="634"/>
      <c r="BP5" s="634"/>
      <c r="BQ5" s="634"/>
      <c r="BR5" s="634"/>
      <c r="BS5" s="3"/>
      <c r="BT5" s="3"/>
      <c r="BU5" s="3"/>
      <c r="BV5" s="3"/>
      <c r="BW5" s="3"/>
      <c r="BX5" s="3"/>
      <c r="BY5" s="3"/>
      <c r="BZ5" s="3"/>
      <c r="CA5" s="3"/>
      <c r="CB5" s="831"/>
      <c r="CC5" s="831"/>
      <c r="CD5" s="831"/>
      <c r="CE5" s="831"/>
      <c r="CF5" s="831"/>
      <c r="CG5" s="831"/>
      <c r="CH5" s="831"/>
      <c r="CI5" s="831"/>
      <c r="CJ5" s="831"/>
      <c r="CK5" s="831"/>
      <c r="CL5" s="831"/>
      <c r="CM5" s="831"/>
      <c r="CN5" s="831"/>
      <c r="CO5" s="831"/>
      <c r="CP5" s="831"/>
      <c r="CQ5" s="831"/>
      <c r="CR5" s="831"/>
      <c r="CS5" s="831"/>
    </row>
    <row r="6" spans="2:97" ht="5.25" customHeight="1" thickBot="1">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942"/>
      <c r="AI6" s="942"/>
      <c r="AJ6" s="942"/>
      <c r="AK6" s="942"/>
      <c r="AL6" s="942"/>
      <c r="AM6" s="942"/>
      <c r="AN6" s="942"/>
      <c r="AO6" s="942"/>
      <c r="AP6" s="942"/>
      <c r="AQ6" s="942"/>
      <c r="AR6" s="942"/>
      <c r="AS6" s="942"/>
      <c r="AT6" s="942"/>
      <c r="AU6" s="942"/>
      <c r="AV6" s="1"/>
      <c r="AW6" s="1"/>
      <c r="AX6" s="1"/>
      <c r="AY6" s="1"/>
      <c r="AZ6" s="1"/>
      <c r="BA6" s="1"/>
      <c r="BB6" s="1"/>
      <c r="BC6" s="1"/>
      <c r="BD6" s="1"/>
      <c r="BE6" s="634"/>
      <c r="BF6" s="634"/>
      <c r="BG6" s="634"/>
      <c r="BH6" s="634"/>
      <c r="BI6" s="634"/>
      <c r="BJ6" s="634"/>
      <c r="BK6" s="634"/>
      <c r="BL6" s="634"/>
      <c r="BM6" s="634"/>
      <c r="BN6" s="634"/>
      <c r="BO6" s="634"/>
      <c r="BP6" s="634"/>
      <c r="BQ6" s="634"/>
      <c r="BR6" s="634"/>
      <c r="BS6" s="3"/>
      <c r="BT6" s="3"/>
      <c r="BU6" s="3"/>
      <c r="BV6" s="3"/>
      <c r="BW6" s="3"/>
      <c r="BX6" s="3"/>
      <c r="BY6" s="3"/>
      <c r="BZ6" s="3"/>
      <c r="CA6" s="3"/>
      <c r="CB6" s="831"/>
      <c r="CC6" s="831"/>
      <c r="CD6" s="831"/>
      <c r="CE6" s="831"/>
      <c r="CF6" s="831"/>
      <c r="CG6" s="831"/>
      <c r="CH6" s="831"/>
      <c r="CI6" s="831"/>
      <c r="CJ6" s="831"/>
      <c r="CK6" s="831"/>
      <c r="CL6" s="831"/>
      <c r="CM6" s="831"/>
      <c r="CN6" s="831"/>
      <c r="CO6" s="831"/>
      <c r="CP6" s="831"/>
      <c r="CQ6" s="831"/>
      <c r="CR6" s="831"/>
      <c r="CS6" s="831"/>
    </row>
    <row r="7" spans="2:97" ht="24.75" customHeight="1" thickBot="1">
      <c r="B7" s="10"/>
      <c r="C7" s="4632" t="s">
        <v>511</v>
      </c>
      <c r="D7" s="4633"/>
      <c r="E7" s="4633"/>
      <c r="F7" s="4633"/>
      <c r="G7" s="4633"/>
      <c r="H7" s="4633"/>
      <c r="I7" s="4633"/>
      <c r="J7" s="4633"/>
      <c r="K7" s="4633"/>
      <c r="L7" s="4633"/>
      <c r="M7" s="4633"/>
      <c r="N7" s="4633"/>
      <c r="O7" s="4634"/>
      <c r="P7" s="10"/>
      <c r="Q7" s="4635" t="s">
        <v>1401</v>
      </c>
      <c r="R7" s="4636"/>
      <c r="S7" s="4636"/>
      <c r="T7" s="4636"/>
      <c r="U7" s="4636"/>
      <c r="V7" s="4636"/>
      <c r="W7" s="4637"/>
      <c r="X7" s="4636"/>
      <c r="Y7" s="4636"/>
      <c r="Z7" s="4636"/>
      <c r="AA7" s="4636"/>
      <c r="AB7" s="4638"/>
      <c r="AC7" s="10"/>
      <c r="AD7" s="4659"/>
      <c r="AE7" s="4660"/>
      <c r="AF7" s="4661"/>
      <c r="AG7" s="10"/>
      <c r="AH7" s="942"/>
      <c r="AI7" s="942"/>
      <c r="AJ7" s="942"/>
      <c r="AK7" s="942"/>
      <c r="AL7" s="942"/>
      <c r="AM7" s="942"/>
      <c r="AN7" s="942"/>
      <c r="AO7" s="942"/>
      <c r="AP7" s="942"/>
      <c r="AQ7" s="942"/>
      <c r="AR7" s="942"/>
      <c r="AS7" s="942"/>
      <c r="AT7" s="942"/>
      <c r="AU7" s="942"/>
      <c r="AV7" s="1"/>
      <c r="AW7" s="1"/>
      <c r="AX7" s="1"/>
      <c r="AY7" s="1"/>
      <c r="AZ7" s="1"/>
      <c r="BA7" s="1"/>
      <c r="BB7" s="1"/>
      <c r="BC7" s="1"/>
      <c r="BD7" s="1"/>
      <c r="BE7" s="634"/>
      <c r="BF7" s="634"/>
      <c r="BG7" s="634"/>
      <c r="BH7" s="634"/>
      <c r="BI7" s="634"/>
      <c r="BJ7" s="634"/>
      <c r="BK7" s="634"/>
      <c r="BL7" s="634"/>
      <c r="BM7" s="634"/>
      <c r="BN7" s="634"/>
      <c r="BO7" s="634"/>
      <c r="BP7" s="634"/>
      <c r="BQ7" s="634"/>
      <c r="BR7" s="634"/>
      <c r="BS7" s="3"/>
      <c r="BT7" s="3"/>
      <c r="BU7" s="3"/>
      <c r="BV7" s="3"/>
      <c r="BW7" s="3"/>
      <c r="BX7" s="3"/>
      <c r="BY7" s="3"/>
      <c r="BZ7" s="3"/>
      <c r="CA7" s="3"/>
      <c r="CB7" s="831"/>
      <c r="CC7" s="831"/>
      <c r="CD7" s="831"/>
      <c r="CE7" s="831"/>
      <c r="CF7" s="831"/>
      <c r="CG7" s="831"/>
      <c r="CH7" s="831"/>
      <c r="CI7" s="831"/>
      <c r="CJ7" s="831"/>
      <c r="CK7" s="831"/>
      <c r="CL7" s="831"/>
      <c r="CM7" s="831"/>
      <c r="CN7" s="831"/>
      <c r="CO7" s="831"/>
      <c r="CP7" s="831"/>
      <c r="CQ7" s="831"/>
      <c r="CR7" s="831"/>
      <c r="CS7" s="831"/>
    </row>
    <row r="8" spans="2:97" ht="25.5" customHeight="1" thickBot="1">
      <c r="B8" s="10"/>
      <c r="C8" s="4336" t="s">
        <v>14</v>
      </c>
      <c r="D8" s="4336"/>
      <c r="E8" s="4336"/>
      <c r="F8" s="4336"/>
      <c r="G8" s="4639"/>
      <c r="H8" s="283"/>
      <c r="I8" s="300"/>
      <c r="J8" s="300"/>
      <c r="K8" s="300"/>
      <c r="L8" s="4640" t="s">
        <v>501</v>
      </c>
      <c r="M8" s="4641"/>
      <c r="N8" s="4641"/>
      <c r="O8" s="4642"/>
      <c r="P8" s="11"/>
      <c r="Q8" s="4666" t="s">
        <v>1713</v>
      </c>
      <c r="R8" s="4667"/>
      <c r="S8" s="4667"/>
      <c r="T8" s="4667"/>
      <c r="U8" s="4667"/>
      <c r="V8" s="4668"/>
      <c r="W8" s="1096"/>
      <c r="X8" s="2518"/>
      <c r="Y8" s="2519"/>
      <c r="Z8" s="2520"/>
      <c r="AA8" s="2518"/>
      <c r="AB8" s="2518"/>
      <c r="AC8" s="10"/>
      <c r="AD8" s="2097"/>
      <c r="AE8" s="2098"/>
      <c r="AF8" s="2099"/>
      <c r="AG8" s="10"/>
      <c r="AH8" s="942"/>
      <c r="AI8" s="942"/>
      <c r="AJ8" s="942"/>
      <c r="AK8" s="942"/>
      <c r="AL8" s="942"/>
      <c r="AM8" s="942"/>
      <c r="AN8" s="942"/>
      <c r="AO8" s="942"/>
      <c r="AP8" s="942"/>
      <c r="AQ8" s="942"/>
      <c r="AR8" s="942"/>
      <c r="AS8" s="942"/>
      <c r="AT8" s="942"/>
      <c r="AU8" s="942"/>
      <c r="AV8" s="1"/>
      <c r="AW8" s="1"/>
      <c r="AX8" s="1"/>
      <c r="AY8" s="1"/>
      <c r="AZ8" s="1"/>
      <c r="BA8" s="1"/>
      <c r="BB8" s="1"/>
      <c r="BC8" s="1"/>
      <c r="BD8" s="1"/>
      <c r="BE8" s="634"/>
      <c r="BF8" s="634"/>
      <c r="BG8" s="634"/>
      <c r="BH8" s="634"/>
      <c r="BI8" s="634"/>
      <c r="BJ8" s="634"/>
      <c r="BK8" s="634"/>
      <c r="BL8" s="634"/>
      <c r="BM8" s="634"/>
      <c r="BN8" s="634"/>
      <c r="BO8" s="634"/>
      <c r="BP8" s="634"/>
      <c r="BQ8" s="634"/>
      <c r="BR8" s="634"/>
      <c r="BS8" s="3"/>
      <c r="BT8" s="3"/>
      <c r="BU8" s="3"/>
      <c r="BV8" s="3"/>
      <c r="BW8" s="3"/>
      <c r="BX8" s="3"/>
      <c r="BY8" s="3"/>
      <c r="BZ8" s="3"/>
      <c r="CA8" s="3"/>
      <c r="CB8" s="831"/>
      <c r="CC8" s="831"/>
      <c r="CD8" s="831"/>
      <c r="CE8" s="831"/>
      <c r="CF8" s="831"/>
      <c r="CG8" s="831"/>
      <c r="CH8" s="831"/>
      <c r="CI8" s="831"/>
      <c r="CJ8" s="831"/>
      <c r="CK8" s="831"/>
      <c r="CL8" s="831"/>
      <c r="CM8" s="831"/>
      <c r="CN8" s="831"/>
      <c r="CO8" s="831"/>
      <c r="CP8" s="831"/>
      <c r="CQ8" s="831"/>
      <c r="CR8" s="831"/>
      <c r="CS8" s="831"/>
    </row>
    <row r="9" spans="2:97" ht="26.25" customHeight="1" thickBot="1">
      <c r="B9" s="10"/>
      <c r="C9" s="4336" t="s">
        <v>15</v>
      </c>
      <c r="D9" s="4336"/>
      <c r="E9" s="4336"/>
      <c r="F9" s="4336"/>
      <c r="G9" s="4639"/>
      <c r="H9" s="283"/>
      <c r="I9" s="300"/>
      <c r="J9" s="300"/>
      <c r="K9" s="300"/>
      <c r="L9" s="4662" t="s">
        <v>1638</v>
      </c>
      <c r="M9" s="4604"/>
      <c r="N9" s="4604"/>
      <c r="O9" s="4663"/>
      <c r="P9" s="11"/>
      <c r="Q9" s="4643" t="s">
        <v>836</v>
      </c>
      <c r="R9" s="4644"/>
      <c r="S9" s="4644"/>
      <c r="T9" s="4644"/>
      <c r="U9" s="4644"/>
      <c r="V9" s="4645"/>
      <c r="W9" s="1096"/>
      <c r="X9" s="2521"/>
      <c r="Y9" s="4664">
        <f>Formula!BF3</f>
        <v>11</v>
      </c>
      <c r="Z9" s="4665"/>
      <c r="AA9" s="2522"/>
      <c r="AB9" s="2521"/>
      <c r="AC9" s="10"/>
      <c r="AD9" s="2100"/>
      <c r="AE9" s="2101"/>
      <c r="AF9" s="2102"/>
      <c r="AG9" s="10"/>
      <c r="AH9" s="942"/>
      <c r="AI9" s="942"/>
      <c r="AJ9" s="942"/>
      <c r="AK9" s="942"/>
      <c r="AL9" s="942"/>
      <c r="AM9" s="942"/>
      <c r="AN9" s="942"/>
      <c r="AO9" s="942"/>
      <c r="AP9" s="942"/>
      <c r="AQ9" s="942"/>
      <c r="AR9" s="942"/>
      <c r="AS9" s="942"/>
      <c r="AT9" s="942"/>
      <c r="AU9" s="942"/>
      <c r="AV9" s="1"/>
      <c r="AW9" s="1"/>
      <c r="AX9" s="1"/>
      <c r="AY9" s="1"/>
      <c r="AZ9" s="1"/>
      <c r="BA9" s="1"/>
      <c r="BB9" s="1"/>
      <c r="BC9" s="1"/>
      <c r="BD9" s="1"/>
      <c r="BE9" s="634"/>
      <c r="BF9" s="634"/>
      <c r="BG9" s="634"/>
      <c r="BH9" s="634"/>
      <c r="BI9" s="634"/>
      <c r="BJ9" s="634"/>
      <c r="BK9" s="634"/>
      <c r="BL9" s="634"/>
      <c r="BM9" s="634"/>
      <c r="BN9" s="634"/>
      <c r="BO9" s="634"/>
      <c r="BP9" s="634"/>
      <c r="BQ9" s="634"/>
      <c r="BR9" s="634"/>
      <c r="BS9" s="3"/>
      <c r="BT9" s="3"/>
      <c r="BU9" s="3"/>
      <c r="BV9" s="3"/>
      <c r="BW9" s="3"/>
      <c r="BX9" s="3"/>
      <c r="BY9" s="3"/>
      <c r="BZ9" s="3"/>
      <c r="CA9" s="3"/>
      <c r="CB9" s="831"/>
      <c r="CC9" s="831"/>
      <c r="CD9" s="831"/>
      <c r="CE9" s="831"/>
      <c r="CF9" s="831"/>
      <c r="CG9" s="831"/>
      <c r="CH9" s="831"/>
      <c r="CI9" s="831"/>
      <c r="CJ9" s="831"/>
      <c r="CK9" s="831"/>
      <c r="CL9" s="831"/>
      <c r="CM9" s="831"/>
      <c r="CN9" s="831"/>
      <c r="CO9" s="831"/>
      <c r="CP9" s="831"/>
      <c r="CQ9" s="831"/>
      <c r="CR9" s="831"/>
      <c r="CS9" s="831"/>
    </row>
    <row r="10" spans="2:97" ht="27" customHeight="1">
      <c r="B10" s="10"/>
      <c r="C10" s="4336" t="s">
        <v>16</v>
      </c>
      <c r="D10" s="4336"/>
      <c r="E10" s="4336"/>
      <c r="F10" s="4336"/>
      <c r="G10" s="4639"/>
      <c r="H10" s="283"/>
      <c r="I10" s="300"/>
      <c r="J10" s="300"/>
      <c r="K10" s="300"/>
      <c r="L10" s="4649" t="s">
        <v>810</v>
      </c>
      <c r="M10" s="4650"/>
      <c r="N10" s="4650"/>
      <c r="O10" s="4651"/>
      <c r="P10" s="11"/>
      <c r="Q10" s="4643" t="s">
        <v>1714</v>
      </c>
      <c r="R10" s="4644"/>
      <c r="S10" s="4644"/>
      <c r="T10" s="4644"/>
      <c r="U10" s="4644"/>
      <c r="V10" s="4645"/>
      <c r="W10" s="1096"/>
      <c r="X10" s="2521"/>
      <c r="Y10" s="4652"/>
      <c r="Z10" s="4653"/>
      <c r="AA10" s="2522"/>
      <c r="AB10" s="2521"/>
      <c r="AC10" s="10"/>
      <c r="AD10" s="4669" t="s">
        <v>1656</v>
      </c>
      <c r="AE10" s="4670"/>
      <c r="AF10" s="4671"/>
      <c r="AG10" s="10"/>
      <c r="AH10" s="942"/>
      <c r="AI10" s="942"/>
      <c r="AJ10" s="942"/>
      <c r="AK10" s="942"/>
      <c r="AL10" s="942"/>
      <c r="AM10" s="942"/>
      <c r="AN10" s="942"/>
      <c r="AO10" s="942"/>
      <c r="AP10" s="942"/>
      <c r="AQ10" s="942"/>
      <c r="AR10" s="942"/>
      <c r="AS10" s="942"/>
      <c r="AT10" s="942"/>
      <c r="AU10" s="942"/>
      <c r="AV10" s="842"/>
      <c r="AW10" s="842"/>
      <c r="AX10" s="842"/>
      <c r="AY10" s="842"/>
      <c r="AZ10" s="842"/>
      <c r="BA10" s="842"/>
      <c r="BB10" s="842"/>
      <c r="BC10" s="842"/>
      <c r="BD10" s="842"/>
      <c r="BE10" s="634"/>
      <c r="BF10" s="634"/>
      <c r="BG10" s="634"/>
      <c r="BH10" s="634"/>
      <c r="BI10" s="634"/>
      <c r="BJ10" s="634"/>
      <c r="BK10" s="634"/>
      <c r="BL10" s="634"/>
      <c r="BM10" s="634"/>
      <c r="BN10" s="634"/>
      <c r="BO10" s="634"/>
      <c r="BP10" s="634"/>
      <c r="BQ10" s="634"/>
      <c r="BR10" s="634"/>
      <c r="BS10" s="3"/>
      <c r="BT10" s="3"/>
      <c r="BU10" s="3"/>
      <c r="BV10" s="3"/>
      <c r="BW10" s="3"/>
      <c r="BX10" s="3"/>
      <c r="BY10" s="3"/>
      <c r="BZ10" s="3"/>
      <c r="CA10" s="3"/>
      <c r="CB10" s="831"/>
      <c r="CC10" s="831"/>
      <c r="CD10" s="831"/>
      <c r="CE10" s="831"/>
      <c r="CF10" s="831"/>
      <c r="CG10" s="831"/>
      <c r="CH10" s="831"/>
      <c r="CI10" s="831"/>
      <c r="CJ10" s="831"/>
      <c r="CK10" s="831"/>
      <c r="CL10" s="831"/>
      <c r="CM10" s="831"/>
      <c r="CN10" s="831"/>
      <c r="CO10" s="831"/>
      <c r="CP10" s="831"/>
      <c r="CQ10" s="831"/>
      <c r="CR10" s="831"/>
      <c r="CS10" s="831"/>
    </row>
    <row r="11" spans="2:97" ht="24.75" customHeight="1" thickBot="1">
      <c r="B11" s="10"/>
      <c r="C11" s="4336" t="s">
        <v>21</v>
      </c>
      <c r="D11" s="4336"/>
      <c r="E11" s="4336"/>
      <c r="F11" s="4336"/>
      <c r="G11" s="4639"/>
      <c r="H11" s="283"/>
      <c r="I11" s="300"/>
      <c r="J11" s="300"/>
      <c r="K11" s="300"/>
      <c r="L11" s="4654" t="s">
        <v>659</v>
      </c>
      <c r="M11" s="4404"/>
      <c r="N11" s="4404"/>
      <c r="O11" s="4655"/>
      <c r="P11" s="11"/>
      <c r="Q11" s="4646" t="s">
        <v>837</v>
      </c>
      <c r="R11" s="4647"/>
      <c r="S11" s="4647"/>
      <c r="T11" s="4647"/>
      <c r="U11" s="4647"/>
      <c r="V11" s="4648"/>
      <c r="W11" s="2112"/>
      <c r="X11" s="2523"/>
      <c r="Y11" s="4656"/>
      <c r="Z11" s="4657"/>
      <c r="AA11" s="2524"/>
      <c r="AB11" s="2523"/>
      <c r="AC11" s="10"/>
      <c r="AD11" s="2103"/>
      <c r="AE11" s="2104"/>
      <c r="AF11" s="2105"/>
      <c r="AG11" s="10"/>
      <c r="AH11" s="942"/>
      <c r="AI11" s="942"/>
      <c r="AJ11" s="4606"/>
      <c r="AK11" s="4607"/>
      <c r="AL11" s="4607"/>
      <c r="AM11" s="4424"/>
      <c r="AN11" s="3358"/>
      <c r="AO11" s="3373"/>
      <c r="AP11" s="3373"/>
      <c r="AQ11" s="3374"/>
      <c r="AR11" s="3374"/>
      <c r="AS11" s="942"/>
      <c r="AT11" s="942"/>
      <c r="AU11" s="942"/>
      <c r="AV11" s="842"/>
      <c r="AW11" s="842"/>
      <c r="AX11" s="842"/>
      <c r="AY11" s="842"/>
      <c r="AZ11" s="842"/>
      <c r="BA11" s="842"/>
      <c r="BB11" s="842"/>
      <c r="BC11" s="842"/>
      <c r="BD11" s="842"/>
      <c r="BE11" s="634"/>
      <c r="BF11" s="634"/>
      <c r="BG11" s="634"/>
      <c r="BH11" s="634"/>
      <c r="BI11" s="634"/>
      <c r="BJ11" s="634"/>
      <c r="BK11" s="634"/>
      <c r="BL11" s="634"/>
      <c r="BM11" s="634"/>
      <c r="BN11" s="634"/>
      <c r="BO11" s="634"/>
      <c r="BP11" s="634"/>
      <c r="BQ11" s="634"/>
      <c r="BR11" s="634"/>
      <c r="BS11" s="3"/>
      <c r="BT11" s="3"/>
      <c r="BU11" s="3"/>
      <c r="BV11" s="3"/>
      <c r="BW11" s="3"/>
      <c r="BX11" s="3"/>
      <c r="BY11" s="3"/>
      <c r="BZ11" s="3"/>
      <c r="CA11" s="3"/>
      <c r="CB11" s="831"/>
      <c r="CC11" s="831"/>
      <c r="CD11" s="831"/>
      <c r="CE11" s="831"/>
      <c r="CF11" s="831"/>
      <c r="CG11" s="831"/>
      <c r="CH11" s="831"/>
      <c r="CI11" s="831"/>
      <c r="CJ11" s="831"/>
      <c r="CK11" s="831"/>
      <c r="CL11" s="831"/>
      <c r="CM11" s="831"/>
      <c r="CN11" s="831"/>
      <c r="CO11" s="831"/>
      <c r="CP11" s="831"/>
      <c r="CQ11" s="831"/>
      <c r="CR11" s="831"/>
      <c r="CS11" s="831"/>
    </row>
    <row r="12" spans="2:97" ht="23.25" customHeight="1">
      <c r="B12" s="10"/>
      <c r="C12" s="4611" t="s">
        <v>512</v>
      </c>
      <c r="D12" s="4612"/>
      <c r="E12" s="4612"/>
      <c r="F12" s="4612"/>
      <c r="G12" s="4612"/>
      <c r="H12" s="4612"/>
      <c r="I12" s="4612"/>
      <c r="J12" s="4612"/>
      <c r="K12" s="4612"/>
      <c r="L12" s="4612"/>
      <c r="M12" s="4612"/>
      <c r="N12" s="4612"/>
      <c r="O12" s="4613"/>
      <c r="P12" s="11"/>
      <c r="Q12" s="4623" t="s">
        <v>838</v>
      </c>
      <c r="R12" s="4624"/>
      <c r="S12" s="4624"/>
      <c r="T12" s="4624"/>
      <c r="U12" s="4624"/>
      <c r="V12" s="4625"/>
      <c r="W12" s="2113"/>
      <c r="X12" s="2525"/>
      <c r="Y12" s="2526"/>
      <c r="Z12" s="2527"/>
      <c r="AA12" s="2525"/>
      <c r="AB12" s="2525"/>
      <c r="AC12" s="10"/>
      <c r="AD12" s="4618" t="s">
        <v>182</v>
      </c>
      <c r="AE12" s="4619"/>
      <c r="AF12" s="4619" t="s">
        <v>183</v>
      </c>
      <c r="AG12" s="10"/>
      <c r="AH12" s="942"/>
      <c r="AI12" s="4606"/>
      <c r="AJ12" s="4606"/>
      <c r="AK12" s="4607"/>
      <c r="AL12" s="4607"/>
      <c r="AM12" s="4424"/>
      <c r="AN12" s="4408" t="s">
        <v>1717</v>
      </c>
      <c r="AO12" s="4409"/>
      <c r="AP12" s="4409"/>
      <c r="AQ12" s="4409"/>
      <c r="AR12" s="4409"/>
      <c r="AS12" s="4409"/>
      <c r="AT12" s="4410"/>
      <c r="AU12" s="942"/>
      <c r="AV12" s="842"/>
      <c r="AW12" s="842"/>
      <c r="AX12" s="842"/>
      <c r="AY12" s="842"/>
      <c r="AZ12" s="842"/>
      <c r="BA12" s="842"/>
      <c r="BB12" s="842"/>
      <c r="BC12" s="842"/>
      <c r="BD12" s="842"/>
      <c r="BE12" s="634"/>
      <c r="BF12" s="634"/>
      <c r="BG12" s="634"/>
      <c r="BH12" s="634"/>
      <c r="BI12" s="634"/>
      <c r="BJ12" s="634"/>
      <c r="BK12" s="634"/>
      <c r="BL12" s="634"/>
      <c r="BM12" s="634"/>
      <c r="BN12" s="634"/>
      <c r="BO12" s="634"/>
      <c r="BP12" s="634"/>
      <c r="BQ12" s="634"/>
      <c r="BR12" s="634"/>
      <c r="BS12" s="3"/>
      <c r="BT12" s="3"/>
      <c r="BU12" s="3"/>
      <c r="BV12" s="3"/>
      <c r="BW12" s="3"/>
      <c r="BX12" s="3"/>
      <c r="BY12" s="3"/>
      <c r="BZ12" s="3"/>
      <c r="CA12" s="3"/>
      <c r="CB12" s="831"/>
      <c r="CC12" s="831"/>
      <c r="CD12" s="831"/>
      <c r="CE12" s="831"/>
      <c r="CF12" s="831"/>
      <c r="CG12" s="831"/>
      <c r="CH12" s="831"/>
      <c r="CI12" s="831"/>
      <c r="CJ12" s="831"/>
      <c r="CK12" s="831"/>
      <c r="CL12" s="831"/>
      <c r="CM12" s="831"/>
      <c r="CN12" s="831"/>
      <c r="CO12" s="831"/>
      <c r="CP12" s="831"/>
      <c r="CQ12" s="831"/>
      <c r="CR12" s="831"/>
      <c r="CS12" s="831"/>
    </row>
    <row r="13" spans="2:97" ht="10.5" customHeight="1" thickBot="1">
      <c r="B13" s="10"/>
      <c r="C13" s="4614"/>
      <c r="D13" s="4615"/>
      <c r="E13" s="4615"/>
      <c r="F13" s="4615"/>
      <c r="G13" s="4615"/>
      <c r="H13" s="4616"/>
      <c r="I13" s="4615"/>
      <c r="J13" s="4615"/>
      <c r="K13" s="4615"/>
      <c r="L13" s="4615"/>
      <c r="M13" s="4615"/>
      <c r="N13" s="4615"/>
      <c r="O13" s="4617"/>
      <c r="P13" s="11"/>
      <c r="Q13" s="4623"/>
      <c r="R13" s="4624"/>
      <c r="S13" s="4624"/>
      <c r="T13" s="4624"/>
      <c r="U13" s="4624"/>
      <c r="V13" s="4625"/>
      <c r="W13" s="2113"/>
      <c r="X13" s="2525"/>
      <c r="Y13" s="2526"/>
      <c r="Z13" s="2527"/>
      <c r="AA13" s="2525"/>
      <c r="AB13" s="2525"/>
      <c r="AC13" s="10"/>
      <c r="AD13" s="4614"/>
      <c r="AE13" s="4617"/>
      <c r="AF13" s="4617"/>
      <c r="AG13" s="10"/>
      <c r="AH13" s="942"/>
      <c r="AI13" s="4606"/>
      <c r="AJ13" s="4606"/>
      <c r="AK13" s="4607"/>
      <c r="AL13" s="4607"/>
      <c r="AM13" s="4424"/>
      <c r="AN13" s="4411"/>
      <c r="AO13" s="4412"/>
      <c r="AP13" s="4412"/>
      <c r="AQ13" s="4412"/>
      <c r="AR13" s="4412"/>
      <c r="AS13" s="4412"/>
      <c r="AT13" s="4413"/>
      <c r="AU13" s="942"/>
      <c r="AV13" s="842"/>
      <c r="AW13" s="842"/>
      <c r="AX13" s="842"/>
      <c r="AY13" s="842"/>
      <c r="AZ13" s="842"/>
      <c r="BA13" s="842"/>
      <c r="BB13" s="842"/>
      <c r="BC13" s="842"/>
      <c r="BD13" s="842"/>
      <c r="BE13" s="634"/>
      <c r="BF13" s="634"/>
      <c r="BG13" s="634"/>
      <c r="BH13" s="634"/>
      <c r="BI13" s="634"/>
      <c r="BJ13" s="634"/>
      <c r="BK13" s="634"/>
      <c r="BL13" s="634"/>
      <c r="BM13" s="634"/>
      <c r="BN13" s="634"/>
      <c r="BO13" s="634"/>
      <c r="BP13" s="634"/>
      <c r="BQ13" s="634"/>
      <c r="BR13" s="634"/>
      <c r="BS13" s="3"/>
      <c r="BT13" s="3"/>
      <c r="BU13" s="3"/>
      <c r="BV13" s="3"/>
      <c r="BW13" s="3"/>
      <c r="BX13" s="3"/>
      <c r="BY13" s="3"/>
      <c r="BZ13" s="3"/>
      <c r="CA13" s="3"/>
      <c r="CB13" s="831"/>
      <c r="CC13" s="831"/>
      <c r="CD13" s="831"/>
      <c r="CE13" s="831"/>
      <c r="CF13" s="831"/>
      <c r="CG13" s="831"/>
      <c r="CH13" s="831"/>
      <c r="CI13" s="831"/>
      <c r="CJ13" s="831"/>
      <c r="CK13" s="831"/>
      <c r="CL13" s="831"/>
      <c r="CM13" s="831"/>
      <c r="CN13" s="831"/>
      <c r="CO13" s="831"/>
      <c r="CP13" s="831"/>
      <c r="CQ13" s="831"/>
      <c r="CR13" s="831"/>
      <c r="CS13" s="831"/>
    </row>
    <row r="14" spans="2:97" ht="27" customHeight="1">
      <c r="B14" s="10"/>
      <c r="C14" s="4211" t="s">
        <v>17</v>
      </c>
      <c r="D14" s="4212"/>
      <c r="E14" s="4212"/>
      <c r="F14" s="4212"/>
      <c r="G14" s="4213"/>
      <c r="H14" s="2886"/>
      <c r="I14" s="300"/>
      <c r="J14" s="300"/>
      <c r="K14" s="300"/>
      <c r="L14" s="4608" t="s">
        <v>1686</v>
      </c>
      <c r="M14" s="4609"/>
      <c r="N14" s="4609"/>
      <c r="O14" s="4610"/>
      <c r="P14" s="11"/>
      <c r="Q14" s="4620" t="s">
        <v>839</v>
      </c>
      <c r="R14" s="4621"/>
      <c r="S14" s="4621"/>
      <c r="T14" s="4621"/>
      <c r="U14" s="4621"/>
      <c r="V14" s="4622"/>
      <c r="W14" s="1095"/>
      <c r="X14" s="2521"/>
      <c r="Y14" s="2528"/>
      <c r="Z14" s="2529"/>
      <c r="AA14" s="2521"/>
      <c r="AB14" s="2521"/>
      <c r="AC14" s="10"/>
      <c r="AD14" s="4416">
        <v>45717</v>
      </c>
      <c r="AE14" s="4417"/>
      <c r="AF14" s="3657">
        <f>IF(Formula!BI47&gt;0,Formula!BI47,"")</f>
        <v>82300</v>
      </c>
      <c r="AG14" s="10"/>
      <c r="AH14" s="942"/>
      <c r="AI14" s="942"/>
      <c r="AJ14" s="2894"/>
      <c r="AK14" s="3081"/>
      <c r="AL14" s="3081"/>
      <c r="AM14" s="3082"/>
      <c r="AN14" s="3375">
        <v>1</v>
      </c>
      <c r="AO14" s="4385" t="s">
        <v>1679</v>
      </c>
      <c r="AP14" s="4385"/>
      <c r="AQ14" s="4385"/>
      <c r="AR14" s="4385"/>
      <c r="AS14" s="4385"/>
      <c r="AT14" s="3377"/>
      <c r="AU14" s="942"/>
      <c r="AV14" s="842"/>
      <c r="AW14" s="842"/>
      <c r="AX14" s="842"/>
      <c r="AY14" s="842"/>
      <c r="AZ14" s="842"/>
      <c r="BA14" s="842"/>
      <c r="BB14" s="842"/>
      <c r="BC14" s="842"/>
      <c r="BD14" s="842"/>
      <c r="BE14" s="634"/>
      <c r="BF14" s="634"/>
      <c r="BG14" s="634"/>
      <c r="BH14" s="634"/>
      <c r="BI14" s="634"/>
      <c r="BJ14" s="634"/>
      <c r="BK14" s="634"/>
      <c r="BL14" s="634"/>
      <c r="BM14" s="634"/>
      <c r="BN14" s="634"/>
      <c r="BO14" s="634"/>
      <c r="BP14" s="634"/>
      <c r="BQ14" s="634"/>
      <c r="BR14" s="634"/>
      <c r="BS14" s="3"/>
      <c r="BT14" s="3"/>
      <c r="BU14" s="3"/>
      <c r="BV14" s="3"/>
      <c r="BW14" s="3"/>
      <c r="BX14" s="3"/>
      <c r="BY14" s="3"/>
      <c r="BZ14" s="3"/>
      <c r="CA14" s="3"/>
      <c r="CB14" s="831"/>
      <c r="CC14" s="831"/>
      <c r="CD14" s="831"/>
      <c r="CE14" s="831"/>
      <c r="CF14" s="831"/>
      <c r="CG14" s="831"/>
      <c r="CH14" s="831"/>
      <c r="CI14" s="831"/>
      <c r="CJ14" s="831"/>
      <c r="CK14" s="831"/>
      <c r="CL14" s="831"/>
      <c r="CM14" s="831"/>
      <c r="CN14" s="831"/>
      <c r="CO14" s="831"/>
      <c r="CP14" s="831"/>
      <c r="CQ14" s="831"/>
      <c r="CR14" s="831"/>
      <c r="CS14" s="831"/>
    </row>
    <row r="15" spans="2:97" ht="31.5" customHeight="1" thickBot="1">
      <c r="B15" s="10"/>
      <c r="C15" s="4335" t="s">
        <v>18</v>
      </c>
      <c r="D15" s="4336"/>
      <c r="E15" s="4336"/>
      <c r="F15" s="4336"/>
      <c r="G15" s="4337"/>
      <c r="H15" s="2886"/>
      <c r="I15" s="300"/>
      <c r="J15" s="300"/>
      <c r="K15" s="300"/>
      <c r="L15" s="4603" t="s">
        <v>502</v>
      </c>
      <c r="M15" s="4604"/>
      <c r="N15" s="4604"/>
      <c r="O15" s="4605"/>
      <c r="P15" s="11"/>
      <c r="Q15" s="4421" t="s">
        <v>964</v>
      </c>
      <c r="R15" s="4422"/>
      <c r="S15" s="4422"/>
      <c r="T15" s="4422"/>
      <c r="U15" s="4422"/>
      <c r="V15" s="4423"/>
      <c r="W15" s="1095"/>
      <c r="X15" s="2521"/>
      <c r="Y15" s="2528"/>
      <c r="Z15" s="2529"/>
      <c r="AA15" s="2521"/>
      <c r="AB15" s="2521"/>
      <c r="AC15" s="10"/>
      <c r="AD15" s="4416">
        <v>45748</v>
      </c>
      <c r="AE15" s="4417"/>
      <c r="AF15" s="3658">
        <f>IF(Formula!BI48&gt;0,Formula!BI48,"")</f>
        <v>82300</v>
      </c>
      <c r="AG15" s="10"/>
      <c r="AH15" s="942"/>
      <c r="AI15" s="942"/>
      <c r="AJ15" s="2894"/>
      <c r="AK15" s="3081"/>
      <c r="AL15" s="3081"/>
      <c r="AM15" s="3082"/>
      <c r="AN15" s="3376">
        <v>2</v>
      </c>
      <c r="AO15" s="4385" t="s">
        <v>1650</v>
      </c>
      <c r="AP15" s="4385"/>
      <c r="AQ15" s="4385"/>
      <c r="AR15" s="4385"/>
      <c r="AS15" s="4385"/>
      <c r="AT15" s="3378"/>
      <c r="AU15" s="942"/>
      <c r="AV15" s="842"/>
      <c r="AW15" s="842"/>
      <c r="AX15" s="842"/>
      <c r="AY15" s="842"/>
      <c r="AZ15" s="842"/>
      <c r="BA15" s="842"/>
      <c r="BB15" s="842"/>
      <c r="BC15" s="842"/>
      <c r="BD15" s="842"/>
      <c r="BE15" s="634"/>
      <c r="BF15" s="634"/>
      <c r="BG15" s="634"/>
      <c r="BH15" s="634"/>
      <c r="BI15" s="636"/>
      <c r="BJ15" s="636"/>
      <c r="BK15" s="636"/>
      <c r="BL15" s="636"/>
      <c r="BM15" s="636"/>
      <c r="BN15" s="634"/>
      <c r="BO15" s="634"/>
      <c r="BP15" s="634"/>
      <c r="BQ15" s="634"/>
      <c r="BR15" s="634"/>
      <c r="BS15" s="3"/>
      <c r="BT15" s="3"/>
      <c r="BU15" s="3"/>
      <c r="BV15" s="3"/>
      <c r="BW15" s="3"/>
      <c r="BX15" s="3"/>
      <c r="BY15" s="3"/>
      <c r="BZ15" s="3"/>
      <c r="CA15" s="3"/>
      <c r="CB15" s="831"/>
      <c r="CC15" s="831"/>
      <c r="CD15" s="831"/>
      <c r="CE15" s="831"/>
      <c r="CF15" s="831"/>
      <c r="CG15" s="831"/>
      <c r="CH15" s="831"/>
      <c r="CI15" s="831"/>
      <c r="CJ15" s="831"/>
      <c r="CK15" s="831"/>
      <c r="CL15" s="831"/>
      <c r="CM15" s="831"/>
      <c r="CN15" s="831"/>
      <c r="CO15" s="831"/>
      <c r="CP15" s="831"/>
      <c r="CQ15" s="831"/>
      <c r="CR15" s="831"/>
      <c r="CS15" s="831"/>
    </row>
    <row r="16" spans="2:97" ht="31.5" customHeight="1" thickBot="1">
      <c r="B16" s="10"/>
      <c r="C16" s="4335" t="s">
        <v>19</v>
      </c>
      <c r="D16" s="4336"/>
      <c r="E16" s="4336"/>
      <c r="F16" s="4336"/>
      <c r="G16" s="4337"/>
      <c r="H16" s="2886"/>
      <c r="I16" s="300"/>
      <c r="J16" s="300"/>
      <c r="K16" s="300"/>
      <c r="L16" s="4603" t="s">
        <v>814</v>
      </c>
      <c r="M16" s="4604"/>
      <c r="N16" s="4604"/>
      <c r="O16" s="4605"/>
      <c r="P16" s="11"/>
      <c r="Q16" s="4713" t="s">
        <v>1591</v>
      </c>
      <c r="R16" s="4714"/>
      <c r="S16" s="4714"/>
      <c r="T16" s="4714"/>
      <c r="U16" s="4714"/>
      <c r="V16" s="4715"/>
      <c r="W16" s="1095"/>
      <c r="X16" s="1104" t="s">
        <v>521</v>
      </c>
      <c r="Y16" s="1212" t="s">
        <v>188</v>
      </c>
      <c r="Z16" s="1212" t="s">
        <v>189</v>
      </c>
      <c r="AA16" s="1104" t="s">
        <v>31</v>
      </c>
      <c r="AB16" s="1104" t="str">
        <f>IF(Formula!GE3=2,"CPS","")</f>
        <v/>
      </c>
      <c r="AC16" s="10"/>
      <c r="AD16" s="4416">
        <v>45778</v>
      </c>
      <c r="AE16" s="4417"/>
      <c r="AF16" s="3658">
        <f>IF(Formula!BI49&gt;0,Formula!BI49,"")</f>
        <v>82300</v>
      </c>
      <c r="AG16" s="10"/>
      <c r="AH16" s="942"/>
      <c r="AI16" s="942"/>
      <c r="AJ16" s="2894"/>
      <c r="AK16" s="3081"/>
      <c r="AL16" s="3081"/>
      <c r="AM16" s="3082"/>
      <c r="AN16" s="3376">
        <v>3</v>
      </c>
      <c r="AO16" s="4385" t="s">
        <v>1647</v>
      </c>
      <c r="AP16" s="4385"/>
      <c r="AQ16" s="4385"/>
      <c r="AR16" s="4385"/>
      <c r="AS16" s="4385"/>
      <c r="AT16" s="3378"/>
      <c r="AU16" s="942"/>
      <c r="AV16" s="842"/>
      <c r="AW16" s="842"/>
      <c r="AX16" s="842"/>
      <c r="AY16" s="842"/>
      <c r="AZ16" s="842"/>
      <c r="BA16" s="842"/>
      <c r="BB16" s="842"/>
      <c r="BC16" s="842"/>
      <c r="BD16" s="842"/>
      <c r="BE16" s="634"/>
      <c r="BF16" s="634"/>
      <c r="BG16" s="634"/>
      <c r="BH16" s="634"/>
      <c r="BI16" s="636"/>
      <c r="BJ16" s="636"/>
      <c r="BK16" s="636"/>
      <c r="BL16" s="636"/>
      <c r="BM16" s="636"/>
      <c r="BN16" s="634"/>
      <c r="BO16" s="634"/>
      <c r="BP16" s="634"/>
      <c r="BQ16" s="634"/>
      <c r="BR16" s="634"/>
      <c r="BS16" s="3"/>
      <c r="BT16" s="3"/>
      <c r="BU16" s="3"/>
      <c r="BV16" s="3"/>
      <c r="BW16" s="3"/>
      <c r="BX16" s="3"/>
      <c r="BY16" s="3"/>
      <c r="BZ16" s="3"/>
      <c r="CA16" s="3"/>
      <c r="CB16" s="831"/>
      <c r="CC16" s="831"/>
      <c r="CD16" s="831"/>
      <c r="CE16" s="831"/>
      <c r="CF16" s="831"/>
      <c r="CG16" s="831"/>
      <c r="CH16" s="831"/>
      <c r="CI16" s="831"/>
      <c r="CJ16" s="831"/>
      <c r="CK16" s="831"/>
      <c r="CL16" s="831"/>
      <c r="CM16" s="831"/>
      <c r="CN16" s="831"/>
      <c r="CO16" s="831"/>
      <c r="CP16" s="831"/>
      <c r="CQ16" s="831"/>
      <c r="CR16" s="831"/>
      <c r="CS16" s="831"/>
    </row>
    <row r="17" spans="2:97" ht="31.5" customHeight="1" thickBot="1">
      <c r="B17" s="10"/>
      <c r="C17" s="4335" t="s">
        <v>20</v>
      </c>
      <c r="D17" s="4336"/>
      <c r="E17" s="4336"/>
      <c r="F17" s="4336"/>
      <c r="G17" s="4337"/>
      <c r="H17" s="2886"/>
      <c r="I17" s="300"/>
      <c r="J17" s="300"/>
      <c r="K17" s="300"/>
      <c r="L17" s="4672" t="s">
        <v>815</v>
      </c>
      <c r="M17" s="4673"/>
      <c r="N17" s="4673"/>
      <c r="O17" s="4674"/>
      <c r="P17" s="11"/>
      <c r="Q17" s="3567"/>
      <c r="R17" s="3568"/>
      <c r="S17" s="3568"/>
      <c r="T17" s="3568"/>
      <c r="U17" s="3568"/>
      <c r="V17" s="3569"/>
      <c r="W17" s="1095"/>
      <c r="X17" s="2541" t="str">
        <f>IF(AND(Formula!BG8=2,Formula!Z185&gt;0),Formula!Z185,"")</f>
        <v/>
      </c>
      <c r="Y17" s="2541" t="str">
        <f>IF(AND(Formula!BG8=2,Formula!AA185&gt;0),Formula!AA185,"")</f>
        <v/>
      </c>
      <c r="Z17" s="2541" t="str">
        <f>IF(AND(Formula!BG8=2,Formula!AB185&gt;0),Formula!AB185,"")</f>
        <v/>
      </c>
      <c r="AA17" s="2860" t="str">
        <f>IFERROR(SUM(X17+Y17+Z17),"")</f>
        <v/>
      </c>
      <c r="AB17" s="2541" t="str">
        <f>IF(AND(Formula!BG8=2,Formula!GE3=2,Formula!AD185&gt;0),Formula!AD185,"")</f>
        <v/>
      </c>
      <c r="AC17" s="10"/>
      <c r="AD17" s="4416">
        <v>45809</v>
      </c>
      <c r="AE17" s="4417"/>
      <c r="AF17" s="3658">
        <f>IF(Formula!BI50&gt;0,Formula!BI50,"")</f>
        <v>82300</v>
      </c>
      <c r="AG17" s="10"/>
      <c r="AH17" s="942"/>
      <c r="AI17" s="942"/>
      <c r="AJ17" s="2894"/>
      <c r="AK17" s="3081"/>
      <c r="AL17" s="3081"/>
      <c r="AM17" s="3082"/>
      <c r="AN17" s="3376">
        <v>4</v>
      </c>
      <c r="AO17" s="4385" t="s">
        <v>1648</v>
      </c>
      <c r="AP17" s="4385"/>
      <c r="AQ17" s="4385"/>
      <c r="AR17" s="4385"/>
      <c r="AS17" s="4385"/>
      <c r="AT17" s="3378"/>
      <c r="AU17" s="942"/>
      <c r="AV17" s="842"/>
      <c r="AW17" s="842"/>
      <c r="AX17" s="842"/>
      <c r="AY17" s="842"/>
      <c r="AZ17" s="842"/>
      <c r="BA17" s="842"/>
      <c r="BB17" s="842"/>
      <c r="BC17" s="842"/>
      <c r="BD17" s="842"/>
      <c r="BE17" s="634"/>
      <c r="BF17" s="634"/>
      <c r="BG17" s="634"/>
      <c r="BH17" s="634"/>
      <c r="BI17" s="636"/>
      <c r="BJ17" s="636"/>
      <c r="BK17" s="636"/>
      <c r="BL17" s="636"/>
      <c r="BM17" s="636"/>
      <c r="BN17" s="634"/>
      <c r="BO17" s="634"/>
      <c r="BP17" s="634"/>
      <c r="BQ17" s="634"/>
      <c r="BR17" s="634"/>
      <c r="BS17" s="3"/>
      <c r="BT17" s="3"/>
      <c r="BU17" s="3"/>
      <c r="BV17" s="3"/>
      <c r="BW17" s="3"/>
      <c r="BX17" s="3"/>
      <c r="BY17" s="3"/>
      <c r="BZ17" s="3"/>
      <c r="CA17" s="3"/>
      <c r="CB17" s="831"/>
      <c r="CC17" s="831"/>
      <c r="CD17" s="831"/>
      <c r="CE17" s="831"/>
      <c r="CF17" s="831"/>
      <c r="CG17" s="831"/>
      <c r="CH17" s="831"/>
      <c r="CI17" s="831"/>
      <c r="CJ17" s="831"/>
      <c r="CK17" s="831"/>
      <c r="CL17" s="831"/>
      <c r="CM17" s="831"/>
      <c r="CN17" s="831"/>
      <c r="CO17" s="831"/>
      <c r="CP17" s="831"/>
      <c r="CQ17" s="831"/>
      <c r="CR17" s="831"/>
      <c r="CS17" s="831"/>
    </row>
    <row r="18" spans="2:97" ht="28.5" customHeight="1" thickBot="1">
      <c r="B18" s="10"/>
      <c r="C18" s="3555"/>
      <c r="D18" s="3556"/>
      <c r="E18" s="3556"/>
      <c r="F18" s="3556"/>
      <c r="G18" s="3557"/>
      <c r="H18" s="2886"/>
      <c r="I18" s="300"/>
      <c r="J18" s="300"/>
      <c r="K18" s="300"/>
      <c r="L18" s="3561"/>
      <c r="M18" s="3562"/>
      <c r="N18" s="3562"/>
      <c r="O18" s="3563"/>
      <c r="P18" s="11"/>
      <c r="Q18" s="4390" t="s">
        <v>970</v>
      </c>
      <c r="R18" s="4391"/>
      <c r="S18" s="4391"/>
      <c r="T18" s="4391"/>
      <c r="U18" s="4391"/>
      <c r="V18" s="4391"/>
      <c r="W18" s="4391"/>
      <c r="X18" s="4391"/>
      <c r="Y18" s="4391"/>
      <c r="Z18" s="4391"/>
      <c r="AA18" s="4391"/>
      <c r="AB18" s="4392"/>
      <c r="AC18" s="10"/>
      <c r="AD18" s="4416">
        <v>45839</v>
      </c>
      <c r="AE18" s="4417"/>
      <c r="AF18" s="3658">
        <f>IF(Formula!BI51&gt;0,Formula!BI51,"")</f>
        <v>82300</v>
      </c>
      <c r="AG18" s="10"/>
      <c r="AH18" s="942"/>
      <c r="AI18" s="942"/>
      <c r="AJ18" s="2894"/>
      <c r="AK18" s="3081"/>
      <c r="AL18" s="3081"/>
      <c r="AM18" s="3082"/>
      <c r="AN18" s="3376">
        <v>5</v>
      </c>
      <c r="AO18" s="4385" t="s">
        <v>1667</v>
      </c>
      <c r="AP18" s="4385"/>
      <c r="AQ18" s="4385"/>
      <c r="AR18" s="4385"/>
      <c r="AS18" s="4385"/>
      <c r="AT18" s="3378"/>
      <c r="AU18" s="942"/>
      <c r="AV18" s="1"/>
      <c r="AW18" s="1"/>
      <c r="AX18" s="1"/>
      <c r="AY18" s="1"/>
      <c r="AZ18" s="1"/>
      <c r="BA18" s="1"/>
      <c r="BB18" s="1"/>
      <c r="BC18" s="1"/>
      <c r="BD18" s="1"/>
      <c r="BE18" s="634"/>
      <c r="BF18" s="634"/>
      <c r="BG18" s="634"/>
      <c r="BH18" s="634"/>
      <c r="BI18" s="636"/>
      <c r="BJ18" s="636"/>
      <c r="BK18" s="636"/>
      <c r="BL18" s="636"/>
      <c r="BM18" s="636"/>
      <c r="BN18" s="634"/>
      <c r="BO18" s="634"/>
      <c r="BP18" s="634"/>
      <c r="BQ18" s="634"/>
      <c r="BR18" s="634"/>
      <c r="BS18" s="3"/>
      <c r="BT18" s="3"/>
      <c r="BU18" s="3"/>
      <c r="BV18" s="3"/>
      <c r="BW18" s="3"/>
      <c r="BX18" s="3"/>
      <c r="BY18" s="3"/>
      <c r="BZ18" s="3"/>
      <c r="CA18" s="3"/>
      <c r="CB18" s="831"/>
      <c r="CC18" s="831"/>
      <c r="CD18" s="831"/>
      <c r="CE18" s="831"/>
      <c r="CF18" s="831"/>
      <c r="CG18" s="831"/>
      <c r="CH18" s="831"/>
      <c r="CI18" s="831"/>
      <c r="CJ18" s="831"/>
      <c r="CK18" s="831"/>
      <c r="CL18" s="831"/>
      <c r="CM18" s="831"/>
      <c r="CN18" s="831"/>
      <c r="CO18" s="831"/>
      <c r="CP18" s="831"/>
      <c r="CQ18" s="831"/>
      <c r="CR18" s="831"/>
      <c r="CS18" s="831"/>
    </row>
    <row r="19" spans="2:97" ht="30.75" customHeight="1" thickBot="1">
      <c r="B19" s="10"/>
      <c r="C19" s="3555"/>
      <c r="D19" s="3556"/>
      <c r="E19" s="3556"/>
      <c r="F19" s="3556"/>
      <c r="G19" s="3557"/>
      <c r="H19" s="2887"/>
      <c r="I19" s="300"/>
      <c r="J19" s="300"/>
      <c r="K19" s="300"/>
      <c r="L19" s="3561"/>
      <c r="M19" s="3562"/>
      <c r="N19" s="3562"/>
      <c r="O19" s="3563"/>
      <c r="P19" s="11"/>
      <c r="Q19" s="4418" t="s">
        <v>1574</v>
      </c>
      <c r="R19" s="4419"/>
      <c r="S19" s="4419"/>
      <c r="T19" s="4419"/>
      <c r="U19" s="4419"/>
      <c r="V19" s="4420"/>
      <c r="W19" s="2114"/>
      <c r="X19" s="2530"/>
      <c r="Y19" s="4414"/>
      <c r="Z19" s="4415"/>
      <c r="AA19" s="2531"/>
      <c r="AB19" s="2530"/>
      <c r="AC19" s="10"/>
      <c r="AD19" s="4416">
        <v>45870</v>
      </c>
      <c r="AE19" s="4417"/>
      <c r="AF19" s="3658">
        <f>IF(Formula!BI52&gt;0,Formula!BI52,"")</f>
        <v>82300</v>
      </c>
      <c r="AG19" s="10"/>
      <c r="AH19" s="942"/>
      <c r="AI19" s="942"/>
      <c r="AJ19" s="2894"/>
      <c r="AK19" s="3081"/>
      <c r="AL19" s="3081"/>
      <c r="AM19" s="3082"/>
      <c r="AN19" s="3376">
        <v>6</v>
      </c>
      <c r="AO19" s="4385" t="s">
        <v>1649</v>
      </c>
      <c r="AP19" s="4385"/>
      <c r="AQ19" s="4385"/>
      <c r="AR19" s="4385"/>
      <c r="AS19" s="4385"/>
      <c r="AT19" s="3378"/>
      <c r="AU19" s="942"/>
      <c r="AV19" s="1"/>
      <c r="AW19" s="1"/>
      <c r="AX19" s="1"/>
      <c r="AY19" s="1"/>
      <c r="AZ19" s="1"/>
      <c r="BA19" s="1"/>
      <c r="BB19" s="1"/>
      <c r="BC19" s="1"/>
      <c r="BD19" s="1"/>
      <c r="BE19" s="634"/>
      <c r="BF19" s="634"/>
      <c r="BG19" s="634"/>
      <c r="BH19" s="634"/>
      <c r="BI19" s="636"/>
      <c r="BJ19" s="637"/>
      <c r="BK19" s="637"/>
      <c r="BL19" s="637"/>
      <c r="BM19" s="637"/>
      <c r="BN19" s="634"/>
      <c r="BO19" s="634"/>
      <c r="BP19" s="634"/>
      <c r="BQ19" s="634"/>
      <c r="BR19" s="634"/>
      <c r="BS19" s="3"/>
      <c r="BT19" s="3"/>
      <c r="BU19" s="3"/>
      <c r="BV19" s="3"/>
      <c r="BW19" s="3"/>
      <c r="BX19" s="3"/>
      <c r="BY19" s="3"/>
      <c r="BZ19" s="3"/>
      <c r="CA19" s="3"/>
      <c r="CB19" s="831"/>
      <c r="CC19" s="831"/>
      <c r="CD19" s="831"/>
      <c r="CE19" s="831"/>
      <c r="CF19" s="831"/>
      <c r="CG19" s="831"/>
      <c r="CH19" s="831"/>
      <c r="CI19" s="831"/>
      <c r="CJ19" s="831"/>
      <c r="CK19" s="831"/>
      <c r="CL19" s="831"/>
      <c r="CM19" s="831"/>
      <c r="CN19" s="831"/>
      <c r="CO19" s="831"/>
      <c r="CP19" s="831"/>
      <c r="CQ19" s="831"/>
      <c r="CR19" s="831"/>
      <c r="CS19" s="831"/>
    </row>
    <row r="20" spans="2:97" ht="32.25" customHeight="1" thickBot="1">
      <c r="B20" s="10"/>
      <c r="C20" s="3558"/>
      <c r="D20" s="3559"/>
      <c r="E20" s="3559"/>
      <c r="F20" s="3559"/>
      <c r="G20" s="3560"/>
      <c r="H20" s="1960"/>
      <c r="I20" s="2882"/>
      <c r="J20" s="2882"/>
      <c r="K20" s="2882"/>
      <c r="L20" s="3564"/>
      <c r="M20" s="3565"/>
      <c r="N20" s="3565"/>
      <c r="O20" s="3566"/>
      <c r="P20" s="11"/>
      <c r="Q20" s="4298" t="s">
        <v>843</v>
      </c>
      <c r="R20" s="4299"/>
      <c r="S20" s="4299"/>
      <c r="T20" s="4299"/>
      <c r="U20" s="4299"/>
      <c r="V20" s="4300"/>
      <c r="W20" s="2115"/>
      <c r="X20" s="2532"/>
      <c r="Y20" s="2533"/>
      <c r="Z20" s="2534"/>
      <c r="AA20" s="2532"/>
      <c r="AB20" s="2532"/>
      <c r="AC20" s="10"/>
      <c r="AD20" s="4416">
        <v>45901</v>
      </c>
      <c r="AE20" s="4417"/>
      <c r="AF20" s="3658">
        <f>IF(Formula!BI53&gt;0,Formula!BI53,"")</f>
        <v>82300</v>
      </c>
      <c r="AG20" s="10"/>
      <c r="AH20" s="942"/>
      <c r="AI20" s="942"/>
      <c r="AJ20" s="2894"/>
      <c r="AK20" s="3081"/>
      <c r="AL20" s="3081"/>
      <c r="AM20" s="3082"/>
      <c r="AN20" s="3376">
        <v>7</v>
      </c>
      <c r="AO20" s="4385" t="s">
        <v>1668</v>
      </c>
      <c r="AP20" s="4385"/>
      <c r="AQ20" s="4385"/>
      <c r="AR20" s="4385"/>
      <c r="AS20" s="4385"/>
      <c r="AT20" s="3378"/>
      <c r="AU20" s="942"/>
      <c r="AV20" s="524"/>
      <c r="AW20" s="524"/>
      <c r="AX20" s="524"/>
      <c r="AY20" s="524"/>
      <c r="AZ20" s="1"/>
      <c r="BA20" s="1"/>
      <c r="BB20" s="1"/>
      <c r="BC20" s="1"/>
      <c r="BD20" s="1"/>
      <c r="BE20" s="634"/>
      <c r="BF20" s="634"/>
      <c r="BG20" s="634"/>
      <c r="BH20" s="634"/>
      <c r="BI20" s="634"/>
      <c r="BJ20" s="634"/>
      <c r="BK20" s="634"/>
      <c r="BL20" s="634"/>
      <c r="BM20" s="634"/>
      <c r="BN20" s="634"/>
      <c r="BO20" s="634"/>
      <c r="BP20" s="634"/>
      <c r="BQ20" s="634"/>
      <c r="BR20" s="634"/>
      <c r="BS20" s="3"/>
      <c r="BT20" s="3"/>
      <c r="BU20" s="3"/>
      <c r="BV20" s="3"/>
      <c r="BW20" s="3"/>
      <c r="BX20" s="3"/>
      <c r="BY20" s="3"/>
      <c r="BZ20" s="3"/>
      <c r="CA20" s="3"/>
      <c r="CB20" s="831"/>
      <c r="CC20" s="831"/>
      <c r="CD20" s="831"/>
      <c r="CE20" s="831"/>
      <c r="CF20" s="831"/>
      <c r="CG20" s="831"/>
      <c r="CH20" s="831"/>
      <c r="CI20" s="831"/>
      <c r="CJ20" s="831"/>
      <c r="CK20" s="831"/>
      <c r="CL20" s="831"/>
      <c r="CM20" s="831"/>
      <c r="CN20" s="831"/>
      <c r="CO20" s="831"/>
      <c r="CP20" s="831"/>
      <c r="CQ20" s="831"/>
      <c r="CR20" s="831"/>
      <c r="CS20" s="831"/>
    </row>
    <row r="21" spans="2:97" ht="32.25" customHeight="1" thickBot="1">
      <c r="B21" s="10"/>
      <c r="C21" s="4338" t="s">
        <v>513</v>
      </c>
      <c r="D21" s="4339"/>
      <c r="E21" s="4339"/>
      <c r="F21" s="4339"/>
      <c r="G21" s="4339"/>
      <c r="H21" s="4678"/>
      <c r="I21" s="4339"/>
      <c r="J21" s="4339"/>
      <c r="K21" s="4339"/>
      <c r="L21" s="4339"/>
      <c r="M21" s="4339"/>
      <c r="N21" s="4339"/>
      <c r="O21" s="4340"/>
      <c r="P21" s="11"/>
      <c r="Q21" s="4679" t="str">
        <f>Formula!BM6</f>
        <v>Select the Date of Acquiring of Ph.D  Qualification</v>
      </c>
      <c r="R21" s="4680"/>
      <c r="S21" s="4680"/>
      <c r="T21" s="4680"/>
      <c r="U21" s="4680"/>
      <c r="V21" s="4681"/>
      <c r="W21" s="2115"/>
      <c r="X21" s="2532"/>
      <c r="Y21" s="2533"/>
      <c r="Z21" s="2534"/>
      <c r="AA21" s="2532"/>
      <c r="AB21" s="2532"/>
      <c r="AC21" s="10"/>
      <c r="AD21" s="4416">
        <v>45931</v>
      </c>
      <c r="AE21" s="4417"/>
      <c r="AF21" s="3658">
        <f>IF(Formula!BI54&gt;0,Formula!BI54,"")</f>
        <v>82300</v>
      </c>
      <c r="AG21" s="10"/>
      <c r="AH21" s="942"/>
      <c r="AI21" s="942"/>
      <c r="AJ21" s="2894"/>
      <c r="AK21" s="3081"/>
      <c r="AL21" s="3081"/>
      <c r="AM21" s="3082"/>
      <c r="AN21" s="3376">
        <v>9</v>
      </c>
      <c r="AO21" s="4385" t="s">
        <v>1651</v>
      </c>
      <c r="AP21" s="4385"/>
      <c r="AQ21" s="4385"/>
      <c r="AR21" s="4385"/>
      <c r="AS21" s="4385"/>
      <c r="AT21" s="3378"/>
      <c r="AU21" s="942"/>
      <c r="AV21" s="524"/>
      <c r="AW21" s="524"/>
      <c r="AX21" s="524"/>
      <c r="AY21" s="524"/>
      <c r="AZ21" s="1"/>
      <c r="BA21" s="1"/>
      <c r="BB21" s="1"/>
      <c r="BC21" s="1"/>
      <c r="BD21" s="1"/>
      <c r="BE21" s="634"/>
      <c r="BF21" s="634"/>
      <c r="BG21" s="634"/>
      <c r="BH21" s="634"/>
      <c r="BI21" s="634"/>
      <c r="BJ21" s="634"/>
      <c r="BK21" s="634"/>
      <c r="BL21" s="634"/>
      <c r="BM21" s="634"/>
      <c r="BN21" s="634"/>
      <c r="BO21" s="634"/>
      <c r="BP21" s="634"/>
      <c r="BQ21" s="634"/>
      <c r="BR21" s="634"/>
      <c r="BS21" s="3"/>
      <c r="BT21" s="3"/>
      <c r="BU21" s="3"/>
      <c r="BV21" s="3"/>
      <c r="BW21" s="3"/>
      <c r="BX21" s="3"/>
      <c r="BY21" s="3"/>
      <c r="BZ21" s="3"/>
      <c r="CA21" s="3"/>
      <c r="CB21" s="831"/>
      <c r="CC21" s="831"/>
      <c r="CD21" s="831"/>
      <c r="CE21" s="831"/>
      <c r="CF21" s="831"/>
      <c r="CG21" s="831"/>
      <c r="CH21" s="831"/>
      <c r="CI21" s="831"/>
      <c r="CJ21" s="831"/>
      <c r="CK21" s="831"/>
      <c r="CL21" s="831"/>
      <c r="CM21" s="831"/>
      <c r="CN21" s="831"/>
      <c r="CO21" s="831"/>
      <c r="CP21" s="831"/>
      <c r="CQ21" s="831"/>
      <c r="CR21" s="831"/>
      <c r="CS21" s="831"/>
    </row>
    <row r="22" spans="2:97" ht="29.25" customHeight="1" thickBot="1">
      <c r="B22" s="10"/>
      <c r="C22" s="4211" t="s">
        <v>514</v>
      </c>
      <c r="D22" s="4212"/>
      <c r="E22" s="4212"/>
      <c r="F22" s="4212"/>
      <c r="G22" s="4213"/>
      <c r="H22" s="283"/>
      <c r="I22" s="300"/>
      <c r="J22" s="300"/>
      <c r="K22" s="300"/>
      <c r="L22" s="4608" t="s">
        <v>1687</v>
      </c>
      <c r="M22" s="4609"/>
      <c r="N22" s="4609"/>
      <c r="O22" s="4610"/>
      <c r="P22" s="10"/>
      <c r="Q22" s="4732" t="str">
        <f>Formula!BN7</f>
        <v>Select Your UGC-2016 Pay Scale as on  the Date of Acquiring of Ph.D  Qualification</v>
      </c>
      <c r="R22" s="4733"/>
      <c r="S22" s="4733"/>
      <c r="T22" s="4733"/>
      <c r="U22" s="4733"/>
      <c r="V22" s="4734"/>
      <c r="W22" s="2116"/>
      <c r="X22" s="2535"/>
      <c r="Y22" s="2536"/>
      <c r="Z22" s="2537"/>
      <c r="AA22" s="2535"/>
      <c r="AB22" s="2535"/>
      <c r="AC22" s="10"/>
      <c r="AD22" s="4416">
        <v>45962</v>
      </c>
      <c r="AE22" s="4417"/>
      <c r="AF22" s="3658">
        <f>IF(Formula!BI55&gt;0,Formula!BI55,"")</f>
        <v>82300</v>
      </c>
      <c r="AG22" s="10"/>
      <c r="AH22" s="942"/>
      <c r="AI22" s="942"/>
      <c r="AJ22" s="2894"/>
      <c r="AK22" s="3081"/>
      <c r="AL22" s="3081"/>
      <c r="AM22" s="3082"/>
      <c r="AN22" s="3376">
        <v>10</v>
      </c>
      <c r="AO22" s="4385" t="s">
        <v>1666</v>
      </c>
      <c r="AP22" s="4385"/>
      <c r="AQ22" s="4385"/>
      <c r="AR22" s="4385"/>
      <c r="AS22" s="4385"/>
      <c r="AT22" s="3378"/>
      <c r="AU22" s="942"/>
      <c r="AV22" s="524"/>
      <c r="AW22" s="524"/>
      <c r="AX22" s="524"/>
      <c r="AY22" s="524"/>
      <c r="AZ22" s="1"/>
      <c r="BA22" s="1"/>
      <c r="BB22" s="1"/>
      <c r="BC22" s="1"/>
      <c r="BD22" s="1"/>
      <c r="BE22" s="634"/>
      <c r="BF22" s="634"/>
      <c r="BG22" s="634"/>
      <c r="BH22" s="634"/>
      <c r="BI22" s="634"/>
      <c r="BJ22" s="634"/>
      <c r="BK22" s="634"/>
      <c r="BL22" s="634"/>
      <c r="BM22" s="634"/>
      <c r="BN22" s="634"/>
      <c r="BO22" s="634"/>
      <c r="BP22" s="634"/>
      <c r="BQ22" s="634"/>
      <c r="BR22" s="634"/>
      <c r="BS22" s="3"/>
      <c r="BT22" s="3"/>
      <c r="BU22" s="3"/>
      <c r="BV22" s="3"/>
      <c r="BW22" s="3"/>
      <c r="BX22" s="3"/>
      <c r="BY22" s="3"/>
      <c r="BZ22" s="3"/>
      <c r="CA22" s="3"/>
      <c r="CB22" s="831"/>
      <c r="CC22" s="831"/>
      <c r="CD22" s="831"/>
      <c r="CE22" s="831"/>
      <c r="CF22" s="831"/>
      <c r="CG22" s="831"/>
      <c r="CH22" s="831"/>
      <c r="CI22" s="831"/>
      <c r="CJ22" s="831"/>
      <c r="CK22" s="831"/>
      <c r="CL22" s="831"/>
      <c r="CM22" s="831"/>
      <c r="CN22" s="831"/>
      <c r="CO22" s="831"/>
      <c r="CP22" s="831"/>
      <c r="CQ22" s="831"/>
      <c r="CR22" s="831"/>
      <c r="CS22" s="831"/>
    </row>
    <row r="23" spans="2:97" ht="29.25" customHeight="1" thickBot="1">
      <c r="B23" s="10"/>
      <c r="C23" s="4335" t="s">
        <v>515</v>
      </c>
      <c r="D23" s="4336"/>
      <c r="E23" s="4336"/>
      <c r="F23" s="4336"/>
      <c r="G23" s="4337"/>
      <c r="H23" s="283"/>
      <c r="I23" s="300"/>
      <c r="J23" s="300"/>
      <c r="K23" s="300"/>
      <c r="L23" s="4603" t="s">
        <v>1688</v>
      </c>
      <c r="M23" s="4604"/>
      <c r="N23" s="4604"/>
      <c r="O23" s="4605"/>
      <c r="P23" s="10"/>
      <c r="Q23" s="4328" t="s">
        <v>836</v>
      </c>
      <c r="R23" s="4329"/>
      <c r="S23" s="4329"/>
      <c r="T23" s="4329"/>
      <c r="U23" s="4329"/>
      <c r="V23" s="4330"/>
      <c r="W23" s="2116"/>
      <c r="X23" s="2535"/>
      <c r="Y23" s="4664">
        <f>Formula!BV8</f>
        <v>11</v>
      </c>
      <c r="Z23" s="4665"/>
      <c r="AA23" s="2535"/>
      <c r="AB23" s="2535"/>
      <c r="AC23" s="10"/>
      <c r="AD23" s="4416">
        <v>45992</v>
      </c>
      <c r="AE23" s="4417"/>
      <c r="AF23" s="3658">
        <f>IF(Formula!BI56&gt;0,Formula!BI56,"")</f>
        <v>82300</v>
      </c>
      <c r="AG23" s="10"/>
      <c r="AH23" s="942"/>
      <c r="AI23" s="942"/>
      <c r="AJ23" s="2894"/>
      <c r="AK23" s="3081"/>
      <c r="AL23" s="3081"/>
      <c r="AM23" s="3082"/>
      <c r="AN23" s="3376">
        <v>11</v>
      </c>
      <c r="AO23" s="4385" t="s">
        <v>1652</v>
      </c>
      <c r="AP23" s="4385"/>
      <c r="AQ23" s="4385"/>
      <c r="AR23" s="4385"/>
      <c r="AS23" s="4385"/>
      <c r="AT23" s="3378"/>
      <c r="AU23" s="942"/>
      <c r="AV23" s="524"/>
      <c r="AW23" s="524"/>
      <c r="AX23" s="524"/>
      <c r="AY23" s="524"/>
      <c r="AZ23" s="1"/>
      <c r="BA23" s="1"/>
      <c r="BB23" s="1"/>
      <c r="BC23" s="1"/>
      <c r="BD23" s="1"/>
      <c r="BE23" s="634"/>
      <c r="BF23" s="634"/>
      <c r="BG23" s="634"/>
      <c r="BH23" s="634"/>
      <c r="BI23" s="634"/>
      <c r="BJ23" s="634"/>
      <c r="BK23" s="634"/>
      <c r="BL23" s="634"/>
      <c r="BM23" s="634"/>
      <c r="BN23" s="634"/>
      <c r="BO23" s="634"/>
      <c r="BP23" s="634"/>
      <c r="BQ23" s="634"/>
      <c r="BR23" s="634"/>
      <c r="BS23" s="3"/>
      <c r="BT23" s="3"/>
      <c r="BU23" s="3"/>
      <c r="BV23" s="3"/>
      <c r="BW23" s="3"/>
      <c r="BX23" s="3"/>
      <c r="BY23" s="3"/>
      <c r="BZ23" s="3"/>
      <c r="CA23" s="3"/>
      <c r="CB23" s="831"/>
      <c r="CC23" s="831"/>
      <c r="CD23" s="831"/>
      <c r="CE23" s="831"/>
      <c r="CF23" s="831"/>
      <c r="CG23" s="831"/>
      <c r="CH23" s="831"/>
      <c r="CI23" s="831"/>
      <c r="CJ23" s="831"/>
      <c r="CK23" s="831"/>
      <c r="CL23" s="831"/>
      <c r="CM23" s="831"/>
      <c r="CN23" s="831"/>
      <c r="CO23" s="831"/>
      <c r="CP23" s="831"/>
      <c r="CQ23" s="831"/>
      <c r="CR23" s="831"/>
      <c r="CS23" s="831"/>
    </row>
    <row r="24" spans="2:97" ht="37.5" customHeight="1" thickBot="1">
      <c r="B24" s="10"/>
      <c r="C24" s="4335" t="s">
        <v>517</v>
      </c>
      <c r="D24" s="4336"/>
      <c r="E24" s="4336"/>
      <c r="F24" s="4336"/>
      <c r="G24" s="4337"/>
      <c r="H24" s="283"/>
      <c r="I24" s="300"/>
      <c r="J24" s="300"/>
      <c r="K24" s="300"/>
      <c r="L24" s="4603" t="s">
        <v>1689</v>
      </c>
      <c r="M24" s="4604"/>
      <c r="N24" s="4604"/>
      <c r="O24" s="4605"/>
      <c r="P24" s="10"/>
      <c r="Q24" s="4675" t="str">
        <f>Formula!BM9</f>
        <v>Select Basic Pay as on the Date of Aquiring of  Ph.D  Qualification</v>
      </c>
      <c r="R24" s="4676"/>
      <c r="S24" s="4676"/>
      <c r="T24" s="4676"/>
      <c r="U24" s="4676"/>
      <c r="V24" s="4677"/>
      <c r="W24" s="2117"/>
      <c r="X24" s="2535"/>
      <c r="Y24" s="4729"/>
      <c r="Z24" s="4730"/>
      <c r="AA24" s="2535"/>
      <c r="AB24" s="2535"/>
      <c r="AC24" s="10"/>
      <c r="AD24" s="4416">
        <v>46023</v>
      </c>
      <c r="AE24" s="4417"/>
      <c r="AF24" s="3658">
        <f>IF(Formula!BI57&gt;0,Formula!BI57,"")</f>
        <v>84800</v>
      </c>
      <c r="AG24" s="10"/>
      <c r="AH24" s="942"/>
      <c r="AI24" s="942"/>
      <c r="AJ24" s="2894"/>
      <c r="AK24" s="3081"/>
      <c r="AL24" s="3081"/>
      <c r="AM24" s="3082"/>
      <c r="AN24" s="3376">
        <v>12</v>
      </c>
      <c r="AO24" s="4385" t="s">
        <v>1653</v>
      </c>
      <c r="AP24" s="4385"/>
      <c r="AQ24" s="4385"/>
      <c r="AR24" s="4385"/>
      <c r="AS24" s="4385"/>
      <c r="AT24" s="3378"/>
      <c r="AU24" s="942"/>
      <c r="AV24" s="524"/>
      <c r="AW24" s="524"/>
      <c r="AX24" s="524"/>
      <c r="AY24" s="524"/>
      <c r="AZ24" s="1"/>
      <c r="BA24" s="1"/>
      <c r="BB24" s="1"/>
      <c r="BC24" s="1"/>
      <c r="BD24" s="1"/>
      <c r="BE24" s="634"/>
      <c r="BF24" s="634"/>
      <c r="BG24" s="634"/>
      <c r="BH24" s="634"/>
      <c r="BI24" s="634"/>
      <c r="BJ24" s="634"/>
      <c r="BK24" s="634"/>
      <c r="BL24" s="634"/>
      <c r="BM24" s="634"/>
      <c r="BN24" s="634"/>
      <c r="BO24" s="634"/>
      <c r="BP24" s="634"/>
      <c r="BQ24" s="634"/>
      <c r="BR24" s="634"/>
      <c r="BS24" s="3"/>
      <c r="BT24" s="3"/>
      <c r="BU24" s="3"/>
      <c r="BV24" s="3"/>
      <c r="BW24" s="3"/>
      <c r="BX24" s="3"/>
      <c r="BY24" s="3"/>
      <c r="BZ24" s="3"/>
      <c r="CA24" s="3"/>
      <c r="CB24" s="831"/>
      <c r="CC24" s="831"/>
      <c r="CD24" s="831"/>
      <c r="CE24" s="831"/>
      <c r="CF24" s="831"/>
      <c r="CG24" s="831"/>
      <c r="CH24" s="831"/>
      <c r="CI24" s="831"/>
      <c r="CJ24" s="831"/>
      <c r="CK24" s="831"/>
      <c r="CL24" s="831"/>
      <c r="CM24" s="831"/>
      <c r="CN24" s="831"/>
      <c r="CO24" s="831"/>
      <c r="CP24" s="831"/>
      <c r="CQ24" s="831"/>
      <c r="CR24" s="831"/>
      <c r="CS24" s="831"/>
    </row>
    <row r="25" spans="2:97" ht="30" customHeight="1" thickBot="1">
      <c r="B25" s="10"/>
      <c r="C25" s="4335" t="s">
        <v>518</v>
      </c>
      <c r="D25" s="4336"/>
      <c r="E25" s="4336"/>
      <c r="F25" s="4336"/>
      <c r="G25" s="4337"/>
      <c r="H25" s="283"/>
      <c r="I25" s="300"/>
      <c r="J25" s="300"/>
      <c r="K25" s="300"/>
      <c r="L25" s="4403" t="s">
        <v>1637</v>
      </c>
      <c r="M25" s="4404"/>
      <c r="N25" s="4404"/>
      <c r="O25" s="4405"/>
      <c r="P25" s="10"/>
      <c r="Q25" s="4689" t="str">
        <f>Formula!BL10</f>
        <v>Select the Date of Next AGI in the Existing Academic Level-11</v>
      </c>
      <c r="R25" s="4690"/>
      <c r="S25" s="4690"/>
      <c r="T25" s="4690"/>
      <c r="U25" s="4690"/>
      <c r="V25" s="4691"/>
      <c r="W25" s="1096"/>
      <c r="X25" s="2535"/>
      <c r="Y25" s="4664"/>
      <c r="Z25" s="4665"/>
      <c r="AA25" s="2535"/>
      <c r="AB25" s="2535"/>
      <c r="AC25" s="10"/>
      <c r="AD25" s="4416">
        <v>46054</v>
      </c>
      <c r="AE25" s="4417"/>
      <c r="AF25" s="3658">
        <f>IF(Formula!BI58&gt;0,Formula!BI58,"")</f>
        <v>84800</v>
      </c>
      <c r="AG25" s="10"/>
      <c r="AH25" s="942"/>
      <c r="AI25" s="942"/>
      <c r="AJ25" s="2894"/>
      <c r="AK25" s="3081"/>
      <c r="AL25" s="3081"/>
      <c r="AM25" s="3082"/>
      <c r="AN25" s="3376">
        <v>13</v>
      </c>
      <c r="AO25" s="4385" t="s">
        <v>1654</v>
      </c>
      <c r="AP25" s="4385"/>
      <c r="AQ25" s="4385"/>
      <c r="AR25" s="4385"/>
      <c r="AS25" s="4385"/>
      <c r="AT25" s="3378"/>
      <c r="AU25" s="942"/>
      <c r="AV25" s="524"/>
      <c r="AW25" s="524"/>
      <c r="AX25" s="524"/>
      <c r="AY25" s="524"/>
      <c r="AZ25" s="1"/>
      <c r="BA25" s="1"/>
      <c r="BB25" s="1"/>
      <c r="BC25" s="1"/>
      <c r="BD25" s="1"/>
      <c r="BE25" s="634"/>
      <c r="BF25" s="634"/>
      <c r="BG25" s="634"/>
      <c r="BH25" s="634"/>
      <c r="BI25" s="634"/>
      <c r="BJ25" s="634"/>
      <c r="BK25" s="634"/>
      <c r="BL25" s="634"/>
      <c r="BM25" s="634"/>
      <c r="BN25" s="634"/>
      <c r="BO25" s="634"/>
      <c r="BP25" s="634"/>
      <c r="BQ25" s="634"/>
      <c r="BR25" s="634"/>
      <c r="BS25" s="3"/>
      <c r="BT25" s="3"/>
      <c r="BU25" s="3"/>
      <c r="BV25" s="3"/>
      <c r="BW25" s="3"/>
      <c r="BX25" s="3"/>
      <c r="BY25" s="3"/>
      <c r="BZ25" s="3"/>
      <c r="CA25" s="3"/>
      <c r="CB25" s="831"/>
      <c r="CC25" s="831"/>
      <c r="CD25" s="831"/>
      <c r="CE25" s="831"/>
      <c r="CF25" s="831"/>
      <c r="CG25" s="831"/>
      <c r="CH25" s="831"/>
      <c r="CI25" s="831"/>
      <c r="CJ25" s="831"/>
      <c r="CK25" s="831"/>
      <c r="CL25" s="831"/>
      <c r="CM25" s="831"/>
      <c r="CN25" s="831"/>
      <c r="CO25" s="831"/>
      <c r="CP25" s="831"/>
      <c r="CQ25" s="831"/>
      <c r="CR25" s="831"/>
      <c r="CS25" s="831"/>
    </row>
    <row r="26" spans="2:97" ht="33" customHeight="1" thickBot="1">
      <c r="B26" s="10"/>
      <c r="C26" s="3570"/>
      <c r="D26" s="3571"/>
      <c r="E26" s="3571"/>
      <c r="F26" s="3571"/>
      <c r="G26" s="3572"/>
      <c r="H26" s="3046"/>
      <c r="I26" s="3047"/>
      <c r="J26" s="3047"/>
      <c r="K26" s="3047"/>
      <c r="L26" s="3579"/>
      <c r="M26" s="3580"/>
      <c r="N26" s="3580"/>
      <c r="O26" s="3581"/>
      <c r="P26" s="10"/>
      <c r="Q26" s="4676" t="str">
        <f>Formula!BL31</f>
        <v>After Sanction of Incentive Increments for Ph.D Qualification .The Pay  as on 6-Sep-25   will be fixed at</v>
      </c>
      <c r="R26" s="4676"/>
      <c r="S26" s="4676"/>
      <c r="T26" s="4676"/>
      <c r="U26" s="4676"/>
      <c r="V26" s="4676"/>
      <c r="W26" s="1096"/>
      <c r="X26" s="2535"/>
      <c r="Y26" s="4683">
        <f>Formula!BV27</f>
        <v>104200</v>
      </c>
      <c r="Z26" s="4683"/>
      <c r="AA26" s="2535"/>
      <c r="AB26" s="2535"/>
      <c r="AC26" s="10"/>
      <c r="AD26" s="2858"/>
      <c r="AE26" s="2859"/>
      <c r="AF26" s="314"/>
      <c r="AG26" s="10"/>
      <c r="AH26" s="942"/>
      <c r="AI26" s="942"/>
      <c r="AJ26" s="2894"/>
      <c r="AK26" s="3081"/>
      <c r="AL26" s="3081"/>
      <c r="AM26" s="3082"/>
      <c r="AN26" s="3376">
        <v>14</v>
      </c>
      <c r="AO26" s="4385" t="s">
        <v>1655</v>
      </c>
      <c r="AP26" s="4385"/>
      <c r="AQ26" s="4385"/>
      <c r="AR26" s="4385"/>
      <c r="AS26" s="4385"/>
      <c r="AT26" s="3378"/>
      <c r="AU26" s="942"/>
      <c r="AV26" s="524"/>
      <c r="AW26" s="524"/>
      <c r="AX26" s="524"/>
      <c r="AY26" s="524"/>
      <c r="AZ26" s="1"/>
      <c r="BA26" s="1"/>
      <c r="BB26" s="1"/>
      <c r="BC26" s="1"/>
      <c r="BD26" s="1"/>
      <c r="BE26" s="634"/>
      <c r="BF26" s="634"/>
      <c r="BG26" s="634"/>
      <c r="BH26" s="634"/>
      <c r="BI26" s="634"/>
      <c r="BJ26" s="634"/>
      <c r="BK26" s="634"/>
      <c r="BL26" s="634"/>
      <c r="BM26" s="634"/>
      <c r="BN26" s="634"/>
      <c r="BO26" s="634"/>
      <c r="BP26" s="634"/>
      <c r="BQ26" s="634"/>
      <c r="BR26" s="634"/>
      <c r="BS26" s="3"/>
      <c r="BT26" s="3"/>
      <c r="BU26" s="3"/>
      <c r="BV26" s="3"/>
      <c r="BW26" s="3"/>
      <c r="BX26" s="3"/>
      <c r="BY26" s="3"/>
      <c r="BZ26" s="3"/>
      <c r="CA26" s="3"/>
      <c r="CB26" s="831"/>
      <c r="CC26" s="831"/>
      <c r="CD26" s="831"/>
      <c r="CE26" s="831"/>
      <c r="CF26" s="831"/>
      <c r="CG26" s="831"/>
      <c r="CH26" s="831"/>
      <c r="CI26" s="831"/>
      <c r="CJ26" s="831"/>
      <c r="CK26" s="831"/>
      <c r="CL26" s="831"/>
      <c r="CM26" s="831"/>
      <c r="CN26" s="831"/>
      <c r="CO26" s="831"/>
      <c r="CP26" s="831"/>
      <c r="CQ26" s="831"/>
      <c r="CR26" s="831"/>
      <c r="CS26" s="831"/>
    </row>
    <row r="27" spans="2:97" ht="30" customHeight="1" thickBot="1">
      <c r="B27" s="10"/>
      <c r="C27" s="3570"/>
      <c r="D27" s="3571"/>
      <c r="E27" s="3571"/>
      <c r="F27" s="3571"/>
      <c r="G27" s="3572"/>
      <c r="H27" s="283"/>
      <c r="I27" s="300"/>
      <c r="J27" s="300"/>
      <c r="K27" s="300"/>
      <c r="L27" s="3579"/>
      <c r="M27" s="3580"/>
      <c r="N27" s="3580"/>
      <c r="O27" s="3581"/>
      <c r="P27" s="10"/>
      <c r="Q27" s="4695" t="str">
        <f>Formula!BL12</f>
        <v>You have claimed  Ph.D  Incentive Increments Arrears upto the Month</v>
      </c>
      <c r="R27" s="4695"/>
      <c r="S27" s="4695"/>
      <c r="T27" s="4695"/>
      <c r="U27" s="4695"/>
      <c r="V27" s="4695"/>
      <c r="W27" s="1096"/>
      <c r="X27" s="2535"/>
      <c r="Y27" s="3037"/>
      <c r="Z27" s="3037"/>
      <c r="AA27" s="2535"/>
      <c r="AB27" s="2535"/>
      <c r="AC27" s="10"/>
      <c r="AD27" s="2858"/>
      <c r="AE27" s="2859"/>
      <c r="AF27" s="314"/>
      <c r="AG27" s="10"/>
      <c r="AH27" s="942"/>
      <c r="AI27" s="942"/>
      <c r="AJ27" s="2894"/>
      <c r="AK27" s="3081"/>
      <c r="AL27" s="3081"/>
      <c r="AM27" s="3082"/>
      <c r="AN27" s="3401">
        <v>15</v>
      </c>
      <c r="AO27" s="4699" t="s">
        <v>1669</v>
      </c>
      <c r="AP27" s="4700"/>
      <c r="AQ27" s="4700"/>
      <c r="AR27" s="4700"/>
      <c r="AS27" s="4701"/>
      <c r="AT27" s="3402"/>
      <c r="AU27" s="942"/>
      <c r="AV27" s="524"/>
      <c r="AW27" s="524"/>
      <c r="AX27" s="524"/>
      <c r="AY27" s="524"/>
      <c r="AZ27" s="1"/>
      <c r="BA27" s="1"/>
      <c r="BB27" s="1"/>
      <c r="BC27" s="1"/>
      <c r="BD27" s="1"/>
      <c r="BE27" s="634"/>
      <c r="BF27" s="634"/>
      <c r="BG27" s="634"/>
      <c r="BH27" s="634"/>
      <c r="BI27" s="634"/>
      <c r="BJ27" s="634"/>
      <c r="BK27" s="634"/>
      <c r="BL27" s="634"/>
      <c r="BM27" s="634"/>
      <c r="BN27" s="634"/>
      <c r="BO27" s="634"/>
      <c r="BP27" s="634"/>
      <c r="BQ27" s="634"/>
      <c r="BR27" s="634"/>
      <c r="BS27" s="3"/>
      <c r="BT27" s="3"/>
      <c r="BU27" s="3"/>
      <c r="BV27" s="3"/>
      <c r="BW27" s="3"/>
      <c r="BX27" s="3"/>
      <c r="BY27" s="3"/>
      <c r="BZ27" s="3"/>
      <c r="CA27" s="3"/>
      <c r="CB27" s="831"/>
      <c r="CC27" s="831"/>
      <c r="CD27" s="831"/>
      <c r="CE27" s="831"/>
      <c r="CF27" s="831"/>
      <c r="CG27" s="831"/>
      <c r="CH27" s="831"/>
      <c r="CI27" s="831"/>
      <c r="CJ27" s="831"/>
      <c r="CK27" s="831"/>
      <c r="CL27" s="831"/>
      <c r="CM27" s="831"/>
      <c r="CN27" s="831"/>
      <c r="CO27" s="831"/>
      <c r="CP27" s="831"/>
      <c r="CQ27" s="831"/>
      <c r="CR27" s="831"/>
      <c r="CS27" s="831"/>
    </row>
    <row r="28" spans="2:97" ht="33" customHeight="1" thickBot="1">
      <c r="B28" s="10"/>
      <c r="C28" s="3573"/>
      <c r="D28" s="3574"/>
      <c r="E28" s="3574"/>
      <c r="F28" s="3574"/>
      <c r="G28" s="3575"/>
      <c r="H28" s="2885"/>
      <c r="I28" s="300"/>
      <c r="J28" s="300"/>
      <c r="K28" s="300"/>
      <c r="L28" s="3561"/>
      <c r="M28" s="3562"/>
      <c r="N28" s="3562"/>
      <c r="O28" s="3563"/>
      <c r="P28" s="10"/>
      <c r="Q28" s="4686" t="str">
        <f>Formula!AR168</f>
        <v>Ph.D Incentive  Increment Arrears Details</v>
      </c>
      <c r="R28" s="4687"/>
      <c r="S28" s="4687"/>
      <c r="T28" s="4687"/>
      <c r="U28" s="4687"/>
      <c r="V28" s="4688"/>
      <c r="W28" s="1096"/>
      <c r="X28" s="1104" t="s">
        <v>521</v>
      </c>
      <c r="Y28" s="1212" t="s">
        <v>188</v>
      </c>
      <c r="Z28" s="1212" t="s">
        <v>189</v>
      </c>
      <c r="AA28" s="1104" t="s">
        <v>31</v>
      </c>
      <c r="AB28" s="1104" t="str">
        <f>IF(Formula!GE3=2,"CPS","")</f>
        <v/>
      </c>
      <c r="AC28" s="10"/>
      <c r="AD28" s="4684"/>
      <c r="AE28" s="4685"/>
      <c r="AF28" s="314"/>
      <c r="AG28" s="10"/>
      <c r="AH28" s="942"/>
      <c r="AI28" s="942"/>
      <c r="AJ28" s="2894"/>
      <c r="AK28" s="3081"/>
      <c r="AL28" s="3081"/>
      <c r="AM28" s="3082"/>
      <c r="AN28" s="4696"/>
      <c r="AO28" s="4697"/>
      <c r="AP28" s="4697"/>
      <c r="AQ28" s="4697"/>
      <c r="AR28" s="4697"/>
      <c r="AS28" s="4697"/>
      <c r="AT28" s="4698"/>
      <c r="AU28" s="942"/>
      <c r="AV28" s="524"/>
      <c r="AW28" s="524"/>
      <c r="AX28" s="524"/>
      <c r="AY28" s="524"/>
      <c r="AZ28" s="1"/>
      <c r="BA28" s="1"/>
      <c r="BB28" s="1"/>
      <c r="BC28" s="1"/>
      <c r="BD28" s="1"/>
      <c r="BE28" s="634"/>
      <c r="BF28" s="634"/>
      <c r="BG28" s="634"/>
      <c r="BH28" s="634"/>
      <c r="BI28" s="634"/>
      <c r="BJ28" s="634"/>
      <c r="BK28" s="634"/>
      <c r="BL28" s="634"/>
      <c r="BM28" s="634"/>
      <c r="BN28" s="634"/>
      <c r="BO28" s="634"/>
      <c r="BP28" s="634"/>
      <c r="BQ28" s="634"/>
      <c r="BR28" s="634"/>
      <c r="BS28" s="3"/>
      <c r="BT28" s="3"/>
      <c r="BU28" s="3"/>
      <c r="BV28" s="3"/>
      <c r="BW28" s="3"/>
      <c r="BX28" s="3"/>
      <c r="BY28" s="3"/>
      <c r="BZ28" s="3"/>
      <c r="CA28" s="3"/>
      <c r="CB28" s="831"/>
      <c r="CC28" s="831"/>
      <c r="CD28" s="831"/>
      <c r="CE28" s="831"/>
      <c r="CF28" s="831"/>
      <c r="CG28" s="831"/>
      <c r="CH28" s="831"/>
      <c r="CI28" s="831"/>
      <c r="CJ28" s="831"/>
      <c r="CK28" s="831"/>
      <c r="CL28" s="831"/>
      <c r="CM28" s="831"/>
      <c r="CN28" s="831"/>
      <c r="CO28" s="831"/>
      <c r="CP28" s="831"/>
      <c r="CQ28" s="831"/>
      <c r="CR28" s="831"/>
      <c r="CS28" s="831"/>
    </row>
    <row r="29" spans="2:97" ht="33.75" customHeight="1" thickBot="1">
      <c r="B29" s="10"/>
      <c r="C29" s="3576"/>
      <c r="D29" s="3577"/>
      <c r="E29" s="3577"/>
      <c r="F29" s="3577"/>
      <c r="G29" s="3578"/>
      <c r="H29" s="2884"/>
      <c r="I29" s="2883"/>
      <c r="J29" s="2883"/>
      <c r="K29" s="2883"/>
      <c r="L29" s="3576"/>
      <c r="M29" s="3577"/>
      <c r="N29" s="3577"/>
      <c r="O29" s="3578"/>
      <c r="P29" s="10"/>
      <c r="Q29" s="2861"/>
      <c r="R29" s="2861"/>
      <c r="S29" s="2861"/>
      <c r="T29" s="2861"/>
      <c r="U29" s="2861"/>
      <c r="V29" s="2861"/>
      <c r="W29" s="1096"/>
      <c r="X29" s="2862" t="str">
        <f>IF(AND(Formula!BW2=2,Formula!BF185&gt;0),Formula!BF185,"")</f>
        <v/>
      </c>
      <c r="Y29" s="2862" t="str">
        <f>IF(AND(Formula!BW2=2,Formula!BG185&gt;0),Formula!BG185,"")</f>
        <v/>
      </c>
      <c r="Z29" s="2862" t="str">
        <f>IF(AND(Formula!BW2=2,Formula!BH185&gt;0),Formula!BH185,"")</f>
        <v/>
      </c>
      <c r="AA29" s="2863" t="str">
        <f>IFERROR(SUM(X29+Y29+Z29),"")</f>
        <v/>
      </c>
      <c r="AB29" s="2862" t="str">
        <f>IF(AND(Formula!BW2=2,Formula!GE3=2,Formula!BJ185&gt;0),Formula!BJ185,"")</f>
        <v/>
      </c>
      <c r="AC29" s="10"/>
      <c r="AD29" s="4684"/>
      <c r="AE29" s="4685"/>
      <c r="AF29" s="314"/>
      <c r="AG29" s="10"/>
      <c r="AH29" s="942"/>
      <c r="AI29" s="942"/>
      <c r="AJ29" s="2894"/>
      <c r="AK29" s="3081"/>
      <c r="AL29" s="3081"/>
      <c r="AM29" s="3082"/>
      <c r="AN29" s="3082"/>
      <c r="AO29" s="3082"/>
      <c r="AP29" s="3082"/>
      <c r="AQ29" s="3082"/>
      <c r="AR29" s="3082"/>
      <c r="AS29" s="942"/>
      <c r="AT29" s="942"/>
      <c r="AU29" s="942"/>
      <c r="AV29" s="524"/>
      <c r="AW29" s="524"/>
      <c r="AX29" s="524"/>
      <c r="AY29" s="524"/>
      <c r="AZ29" s="1"/>
      <c r="BA29" s="1"/>
      <c r="BB29" s="1"/>
      <c r="BC29" s="1"/>
      <c r="BD29" s="1"/>
      <c r="BE29" s="634"/>
      <c r="BF29" s="634"/>
      <c r="BG29" s="634"/>
      <c r="BH29" s="634"/>
      <c r="BI29" s="634"/>
      <c r="BJ29" s="634"/>
      <c r="BK29" s="634"/>
      <c r="BL29" s="634"/>
      <c r="BM29" s="634"/>
      <c r="BN29" s="634"/>
      <c r="BO29" s="634"/>
      <c r="BP29" s="634"/>
      <c r="BQ29" s="634"/>
      <c r="BR29" s="634"/>
      <c r="BS29" s="3"/>
      <c r="BT29" s="3"/>
      <c r="BU29" s="3"/>
      <c r="BV29" s="3"/>
      <c r="BW29" s="3"/>
      <c r="BX29" s="3"/>
      <c r="BY29" s="3"/>
      <c r="BZ29" s="3"/>
      <c r="CA29" s="3"/>
      <c r="CB29" s="831"/>
      <c r="CC29" s="831"/>
      <c r="CD29" s="831"/>
      <c r="CE29" s="831"/>
      <c r="CF29" s="831"/>
      <c r="CG29" s="831"/>
      <c r="CH29" s="831"/>
      <c r="CI29" s="831"/>
      <c r="CJ29" s="831"/>
      <c r="CK29" s="831"/>
      <c r="CL29" s="831"/>
      <c r="CM29" s="831"/>
      <c r="CN29" s="831"/>
      <c r="CO29" s="831"/>
      <c r="CP29" s="831"/>
      <c r="CQ29" s="831"/>
      <c r="CR29" s="831"/>
      <c r="CS29" s="831"/>
    </row>
    <row r="30" spans="2:97" ht="33.75" customHeight="1" thickBot="1">
      <c r="B30" s="10"/>
      <c r="C30" s="4400" t="s">
        <v>516</v>
      </c>
      <c r="D30" s="4401"/>
      <c r="E30" s="4401"/>
      <c r="F30" s="4401"/>
      <c r="G30" s="4401"/>
      <c r="H30" s="4401"/>
      <c r="I30" s="4401"/>
      <c r="J30" s="4401"/>
      <c r="K30" s="4401"/>
      <c r="L30" s="4401"/>
      <c r="M30" s="4401"/>
      <c r="N30" s="4401"/>
      <c r="O30" s="4402"/>
      <c r="P30" s="10"/>
      <c r="Q30" s="4721" t="s">
        <v>1592</v>
      </c>
      <c r="R30" s="4722"/>
      <c r="S30" s="4722"/>
      <c r="T30" s="4722"/>
      <c r="U30" s="4722"/>
      <c r="V30" s="4723"/>
      <c r="W30" s="1096"/>
      <c r="X30" s="2862"/>
      <c r="Y30" s="2535"/>
      <c r="Z30" s="2535"/>
      <c r="AA30" s="2535"/>
      <c r="AB30" s="2535"/>
      <c r="AC30" s="10"/>
      <c r="AD30" s="2858"/>
      <c r="AE30" s="2859"/>
      <c r="AF30" s="314"/>
      <c r="AG30" s="10"/>
      <c r="AH30" s="942"/>
      <c r="AI30" s="942"/>
      <c r="AJ30" s="3083"/>
      <c r="AK30" s="3083"/>
      <c r="AL30" s="3083"/>
      <c r="AM30" s="3083"/>
      <c r="AN30" s="3083"/>
      <c r="AO30" s="3083"/>
      <c r="AP30" s="3084"/>
      <c r="AQ30" s="3084"/>
      <c r="AR30" s="3084"/>
      <c r="AS30" s="942"/>
      <c r="AT30" s="942"/>
      <c r="AU30" s="942"/>
      <c r="AV30" s="524"/>
      <c r="AW30" s="524"/>
      <c r="AX30" s="524"/>
      <c r="AY30" s="524"/>
      <c r="AZ30" s="1"/>
      <c r="BA30" s="1"/>
      <c r="BB30" s="1"/>
      <c r="BC30" s="1"/>
      <c r="BD30" s="1"/>
      <c r="BE30" s="634"/>
      <c r="BF30" s="634"/>
      <c r="BG30" s="634"/>
      <c r="BH30" s="634"/>
      <c r="BI30" s="634"/>
      <c r="BJ30" s="634"/>
      <c r="BK30" s="634"/>
      <c r="BL30" s="634"/>
      <c r="BM30" s="634"/>
      <c r="BN30" s="634"/>
      <c r="BO30" s="634"/>
      <c r="BP30" s="634"/>
      <c r="BQ30" s="634"/>
      <c r="BR30" s="634"/>
      <c r="BS30" s="3"/>
      <c r="BT30" s="3"/>
      <c r="BU30" s="3"/>
      <c r="BV30" s="3"/>
      <c r="BW30" s="3"/>
      <c r="BX30" s="3"/>
      <c r="BY30" s="3"/>
      <c r="BZ30" s="3"/>
      <c r="CA30" s="3"/>
      <c r="CB30" s="831"/>
      <c r="CC30" s="831"/>
      <c r="CD30" s="831"/>
      <c r="CE30" s="831"/>
      <c r="CF30" s="831"/>
      <c r="CG30" s="831"/>
      <c r="CH30" s="831"/>
      <c r="CI30" s="831"/>
      <c r="CJ30" s="831"/>
      <c r="CK30" s="831"/>
      <c r="CL30" s="831"/>
      <c r="CM30" s="831"/>
      <c r="CN30" s="831"/>
      <c r="CO30" s="831"/>
      <c r="CP30" s="831"/>
      <c r="CQ30" s="831"/>
      <c r="CR30" s="831"/>
      <c r="CS30" s="831"/>
    </row>
    <row r="31" spans="2:97" ht="31.5" customHeight="1" thickBot="1">
      <c r="B31" s="10"/>
      <c r="C31" s="4211" t="s">
        <v>195</v>
      </c>
      <c r="D31" s="4212"/>
      <c r="E31" s="4212"/>
      <c r="F31" s="4212"/>
      <c r="G31" s="4213"/>
      <c r="H31" s="286"/>
      <c r="I31" s="285"/>
      <c r="J31" s="285"/>
      <c r="K31" s="285"/>
      <c r="L31" s="4397" t="s">
        <v>1686</v>
      </c>
      <c r="M31" s="4398"/>
      <c r="N31" s="4398"/>
      <c r="O31" s="4399"/>
      <c r="P31" s="10"/>
      <c r="Q31" s="4727" t="s">
        <v>965</v>
      </c>
      <c r="R31" s="4728"/>
      <c r="S31" s="4728"/>
      <c r="T31" s="4728"/>
      <c r="U31" s="4728"/>
      <c r="V31" s="4728"/>
      <c r="W31" s="4391"/>
      <c r="X31" s="4391"/>
      <c r="Y31" s="4391"/>
      <c r="Z31" s="4391"/>
      <c r="AA31" s="4391"/>
      <c r="AB31" s="4392"/>
      <c r="AC31" s="10"/>
      <c r="AD31" s="4692" t="s">
        <v>171</v>
      </c>
      <c r="AE31" s="4693"/>
      <c r="AF31" s="4694"/>
      <c r="AG31" s="10"/>
      <c r="AH31" s="942"/>
      <c r="AI31" s="942"/>
      <c r="AJ31" s="2894"/>
      <c r="AK31" s="2894"/>
      <c r="AL31" s="2894"/>
      <c r="AM31" s="2894"/>
      <c r="AN31" s="2894"/>
      <c r="AO31" s="2894"/>
      <c r="AP31" s="2894"/>
      <c r="AQ31" s="2894"/>
      <c r="AR31" s="2894"/>
      <c r="AS31" s="942"/>
      <c r="AT31" s="942"/>
      <c r="AU31" s="942"/>
      <c r="AV31" s="524"/>
      <c r="AW31" s="524"/>
      <c r="AX31" s="524"/>
      <c r="AY31" s="524"/>
      <c r="AZ31" s="1"/>
      <c r="BA31" s="1"/>
      <c r="BB31" s="1"/>
      <c r="BC31" s="1"/>
      <c r="BD31" s="1"/>
      <c r="BE31" s="634"/>
      <c r="BF31" s="634"/>
      <c r="BG31" s="634"/>
      <c r="BH31" s="634"/>
      <c r="BI31" s="634"/>
      <c r="BJ31" s="634"/>
      <c r="BK31" s="634"/>
      <c r="BL31" s="634"/>
      <c r="BM31" s="634"/>
      <c r="BN31" s="634"/>
      <c r="BO31" s="634"/>
      <c r="BP31" s="634"/>
      <c r="BQ31" s="634"/>
      <c r="BR31" s="634"/>
      <c r="BS31" s="3"/>
      <c r="BT31" s="3"/>
      <c r="BU31" s="3"/>
      <c r="BV31" s="3"/>
      <c r="BW31" s="3"/>
      <c r="BX31" s="3"/>
      <c r="BY31" s="3"/>
      <c r="BZ31" s="3"/>
      <c r="CA31" s="3"/>
      <c r="CB31" s="831"/>
      <c r="CC31" s="831"/>
      <c r="CD31" s="831"/>
      <c r="CE31" s="831"/>
      <c r="CF31" s="831"/>
      <c r="CG31" s="831"/>
      <c r="CH31" s="831"/>
      <c r="CI31" s="831"/>
      <c r="CJ31" s="831"/>
      <c r="CK31" s="831"/>
      <c r="CL31" s="831"/>
      <c r="CM31" s="831"/>
      <c r="CN31" s="831"/>
      <c r="CO31" s="831"/>
      <c r="CP31" s="831"/>
      <c r="CQ31" s="831"/>
      <c r="CR31" s="831"/>
      <c r="CS31" s="831"/>
    </row>
    <row r="32" spans="2:97" ht="29.25" customHeight="1">
      <c r="B32" s="10"/>
      <c r="C32" s="4335" t="s">
        <v>18</v>
      </c>
      <c r="D32" s="4336"/>
      <c r="E32" s="4336"/>
      <c r="F32" s="4336"/>
      <c r="G32" s="4337"/>
      <c r="H32" s="283"/>
      <c r="I32" s="300"/>
      <c r="J32" s="300"/>
      <c r="K32" s="300"/>
      <c r="L32" s="4251" t="s">
        <v>502</v>
      </c>
      <c r="M32" s="4252"/>
      <c r="N32" s="4252"/>
      <c r="O32" s="4253"/>
      <c r="P32" s="10"/>
      <c r="Q32" s="4254" t="s">
        <v>1410</v>
      </c>
      <c r="R32" s="4255"/>
      <c r="S32" s="4255"/>
      <c r="T32" s="4255"/>
      <c r="U32" s="4255"/>
      <c r="V32" s="4256"/>
      <c r="W32" s="1096"/>
      <c r="X32" s="2538"/>
      <c r="Y32" s="2538"/>
      <c r="Z32" s="2538"/>
      <c r="AA32" s="2538"/>
      <c r="AB32" s="2538"/>
      <c r="AC32" s="10"/>
      <c r="AD32" s="4719"/>
      <c r="AE32" s="4720"/>
      <c r="AF32" s="3051"/>
      <c r="AG32" s="10"/>
      <c r="AH32" s="942"/>
      <c r="AI32" s="942"/>
      <c r="AJ32" s="2894"/>
      <c r="AK32" s="2894"/>
      <c r="AL32" s="2894"/>
      <c r="AM32" s="2894"/>
      <c r="AN32" s="2894"/>
      <c r="AO32" s="2894"/>
      <c r="AP32" s="2894"/>
      <c r="AQ32" s="2894"/>
      <c r="AR32" s="2894"/>
      <c r="AS32" s="942"/>
      <c r="AT32" s="942"/>
      <c r="AU32" s="942"/>
      <c r="AV32" s="524"/>
      <c r="AW32" s="524"/>
      <c r="AX32" s="524"/>
      <c r="AY32" s="524"/>
      <c r="AZ32" s="1"/>
      <c r="BA32" s="1"/>
      <c r="BB32" s="1"/>
      <c r="BC32" s="1"/>
      <c r="BD32" s="1"/>
      <c r="BE32" s="634"/>
      <c r="BF32" s="634"/>
      <c r="BG32" s="634"/>
      <c r="BH32" s="634"/>
      <c r="BI32" s="634"/>
      <c r="BJ32" s="634"/>
      <c r="BK32" s="634"/>
      <c r="BL32" s="634"/>
      <c r="BM32" s="634"/>
      <c r="BN32" s="634"/>
      <c r="BO32" s="634"/>
      <c r="BP32" s="634"/>
      <c r="BQ32" s="634"/>
      <c r="BR32" s="634"/>
      <c r="BS32" s="3"/>
      <c r="BT32" s="3"/>
      <c r="BU32" s="3"/>
      <c r="BV32" s="3"/>
      <c r="BW32" s="3"/>
      <c r="BX32" s="3"/>
      <c r="BY32" s="3"/>
      <c r="BZ32" s="3"/>
      <c r="CA32" s="3"/>
      <c r="CB32" s="831"/>
      <c r="CC32" s="831"/>
      <c r="CD32" s="831"/>
      <c r="CE32" s="831"/>
      <c r="CF32" s="831"/>
      <c r="CG32" s="831"/>
      <c r="CH32" s="831"/>
      <c r="CI32" s="831"/>
      <c r="CJ32" s="831"/>
      <c r="CK32" s="831"/>
      <c r="CL32" s="831"/>
      <c r="CM32" s="831"/>
      <c r="CN32" s="831"/>
      <c r="CO32" s="831"/>
      <c r="CP32" s="831"/>
      <c r="CQ32" s="831"/>
      <c r="CR32" s="831"/>
      <c r="CS32" s="831"/>
    </row>
    <row r="33" spans="2:97" ht="26.25" customHeight="1" thickBot="1">
      <c r="B33" s="10"/>
      <c r="C33" s="4335" t="s">
        <v>19</v>
      </c>
      <c r="D33" s="4336"/>
      <c r="E33" s="4336"/>
      <c r="F33" s="4336"/>
      <c r="G33" s="4337"/>
      <c r="H33" s="283"/>
      <c r="I33" s="300"/>
      <c r="J33" s="300"/>
      <c r="K33" s="300"/>
      <c r="L33" s="4251" t="s">
        <v>814</v>
      </c>
      <c r="M33" s="4252"/>
      <c r="N33" s="4252"/>
      <c r="O33" s="4253"/>
      <c r="P33" s="10"/>
      <c r="Q33" s="4279" t="s">
        <v>966</v>
      </c>
      <c r="R33" s="4280"/>
      <c r="S33" s="4280"/>
      <c r="T33" s="4280"/>
      <c r="U33" s="4280"/>
      <c r="V33" s="4281"/>
      <c r="W33" s="1096"/>
      <c r="X33" s="2535"/>
      <c r="Y33" s="2535"/>
      <c r="Z33" s="2535"/>
      <c r="AA33" s="2535"/>
      <c r="AB33" s="2535"/>
      <c r="AC33" s="10"/>
      <c r="AD33" s="4719"/>
      <c r="AE33" s="4720"/>
      <c r="AF33" s="3051"/>
      <c r="AG33" s="10"/>
      <c r="AH33" s="942"/>
      <c r="AI33" s="942"/>
      <c r="AJ33" s="2894"/>
      <c r="AK33" s="2894"/>
      <c r="AL33" s="2894"/>
      <c r="AM33" s="2894"/>
      <c r="AN33" s="2894"/>
      <c r="AO33" s="2894"/>
      <c r="AP33" s="2894"/>
      <c r="AQ33" s="2894"/>
      <c r="AR33" s="2894"/>
      <c r="AS33" s="942"/>
      <c r="AT33" s="942"/>
      <c r="AU33" s="942"/>
      <c r="AV33" s="524"/>
      <c r="AW33" s="524"/>
      <c r="AX33" s="524"/>
      <c r="AY33" s="524"/>
      <c r="AZ33" s="1"/>
      <c r="BA33" s="1"/>
      <c r="BB33" s="1"/>
      <c r="BC33" s="1"/>
      <c r="BD33" s="1"/>
      <c r="BE33" s="634"/>
      <c r="BF33" s="634"/>
      <c r="BG33" s="634"/>
      <c r="BH33" s="634"/>
      <c r="BI33" s="634"/>
      <c r="BJ33" s="634"/>
      <c r="BK33" s="634"/>
      <c r="BL33" s="634"/>
      <c r="BM33" s="634"/>
      <c r="BN33" s="634"/>
      <c r="BO33" s="634"/>
      <c r="BP33" s="634"/>
      <c r="BQ33" s="634"/>
      <c r="BR33" s="634"/>
      <c r="BS33" s="3"/>
      <c r="BT33" s="3"/>
      <c r="BU33" s="3"/>
      <c r="BV33" s="3"/>
      <c r="BW33" s="3"/>
      <c r="BX33" s="3"/>
      <c r="BY33" s="3"/>
      <c r="BZ33" s="3"/>
      <c r="CA33" s="3"/>
      <c r="CB33" s="831"/>
      <c r="CC33" s="831"/>
      <c r="CD33" s="831"/>
      <c r="CE33" s="831"/>
      <c r="CF33" s="831"/>
      <c r="CG33" s="831"/>
      <c r="CH33" s="831"/>
      <c r="CI33" s="831"/>
      <c r="CJ33" s="831"/>
      <c r="CK33" s="831"/>
      <c r="CL33" s="831"/>
      <c r="CM33" s="831"/>
      <c r="CN33" s="831"/>
      <c r="CO33" s="831"/>
      <c r="CP33" s="831"/>
      <c r="CQ33" s="831"/>
      <c r="CR33" s="831"/>
      <c r="CS33" s="831"/>
    </row>
    <row r="34" spans="2:97" ht="26.25" customHeight="1" thickBot="1">
      <c r="B34" s="10"/>
      <c r="C34" s="4352" t="s">
        <v>20</v>
      </c>
      <c r="D34" s="4353"/>
      <c r="E34" s="4353"/>
      <c r="F34" s="4353"/>
      <c r="G34" s="4354"/>
      <c r="H34" s="283"/>
      <c r="I34" s="300"/>
      <c r="J34" s="300"/>
      <c r="K34" s="300"/>
      <c r="L34" s="4251" t="s">
        <v>815</v>
      </c>
      <c r="M34" s="4252"/>
      <c r="N34" s="4252"/>
      <c r="O34" s="4253"/>
      <c r="P34" s="48"/>
      <c r="Q34" s="4279" t="s">
        <v>1402</v>
      </c>
      <c r="R34" s="4280"/>
      <c r="S34" s="4280"/>
      <c r="T34" s="4280"/>
      <c r="U34" s="4280"/>
      <c r="V34" s="4281"/>
      <c r="W34" s="1096"/>
      <c r="X34" s="2535"/>
      <c r="Y34" s="4350">
        <f>Formula!CR4</f>
        <v>11</v>
      </c>
      <c r="Z34" s="4351"/>
      <c r="AA34" s="2535"/>
      <c r="AB34" s="2535"/>
      <c r="AC34" s="10"/>
      <c r="AD34" s="4719"/>
      <c r="AE34" s="4720"/>
      <c r="AF34" s="3051"/>
      <c r="AG34" s="10"/>
      <c r="AH34" s="942"/>
      <c r="AI34" s="942"/>
      <c r="AJ34" s="2894"/>
      <c r="AK34" s="2894"/>
      <c r="AL34" s="2894"/>
      <c r="AM34" s="2894"/>
      <c r="AN34" s="2894"/>
      <c r="AO34" s="2894"/>
      <c r="AP34" s="2894"/>
      <c r="AQ34" s="2894"/>
      <c r="AR34" s="2894"/>
      <c r="AS34" s="942"/>
      <c r="AT34" s="942"/>
      <c r="AU34" s="942"/>
      <c r="AV34" s="524"/>
      <c r="AW34" s="524"/>
      <c r="AX34" s="524"/>
      <c r="AY34" s="524"/>
      <c r="AZ34" s="1"/>
      <c r="BA34" s="1"/>
      <c r="BB34" s="1"/>
      <c r="BC34" s="1"/>
      <c r="BD34" s="1"/>
      <c r="BE34" s="634"/>
      <c r="BF34" s="634"/>
      <c r="BG34" s="634"/>
      <c r="BH34" s="634"/>
      <c r="BI34" s="634"/>
      <c r="BJ34" s="634"/>
      <c r="BK34" s="634"/>
      <c r="BL34" s="634"/>
      <c r="BM34" s="634"/>
      <c r="BN34" s="634"/>
      <c r="BO34" s="634"/>
      <c r="BP34" s="634"/>
      <c r="BQ34" s="634"/>
      <c r="BR34" s="634"/>
      <c r="BS34" s="3"/>
      <c r="BT34" s="3"/>
      <c r="BU34" s="3"/>
      <c r="BV34" s="3"/>
      <c r="BW34" s="3"/>
      <c r="BX34" s="3"/>
      <c r="BY34" s="3"/>
      <c r="BZ34" s="3"/>
      <c r="CA34" s="3"/>
      <c r="CB34" s="831"/>
      <c r="CC34" s="831"/>
      <c r="CD34" s="831"/>
      <c r="CE34" s="831"/>
      <c r="CF34" s="831"/>
      <c r="CG34" s="831"/>
      <c r="CH34" s="831"/>
      <c r="CI34" s="831"/>
      <c r="CJ34" s="831"/>
      <c r="CK34" s="831"/>
      <c r="CL34" s="831"/>
      <c r="CM34" s="831"/>
      <c r="CN34" s="831"/>
      <c r="CO34" s="831"/>
      <c r="CP34" s="831"/>
      <c r="CQ34" s="831"/>
      <c r="CR34" s="831"/>
      <c r="CS34" s="831"/>
    </row>
    <row r="35" spans="2:97" ht="24.75" customHeight="1" thickBot="1">
      <c r="B35" s="10"/>
      <c r="C35" s="4338" t="s">
        <v>535</v>
      </c>
      <c r="D35" s="4339"/>
      <c r="E35" s="4339"/>
      <c r="F35" s="4339"/>
      <c r="G35" s="4339"/>
      <c r="H35" s="4339"/>
      <c r="I35" s="4339"/>
      <c r="J35" s="4339"/>
      <c r="K35" s="4339"/>
      <c r="L35" s="4339"/>
      <c r="M35" s="4339"/>
      <c r="N35" s="4339"/>
      <c r="O35" s="4340"/>
      <c r="P35" s="48"/>
      <c r="Q35" s="4279" t="s">
        <v>1403</v>
      </c>
      <c r="R35" s="4280"/>
      <c r="S35" s="4280"/>
      <c r="T35" s="4280"/>
      <c r="U35" s="4280"/>
      <c r="V35" s="4281"/>
      <c r="W35" s="1096"/>
      <c r="X35" s="2535"/>
      <c r="Y35" s="2535"/>
      <c r="Z35" s="2535"/>
      <c r="AA35" s="2535"/>
      <c r="AB35" s="2535"/>
      <c r="AC35" s="10"/>
      <c r="AD35" s="3048"/>
      <c r="AE35" s="3049"/>
      <c r="AF35" s="3050"/>
      <c r="AG35" s="10"/>
      <c r="AH35" s="942"/>
      <c r="AI35" s="942"/>
      <c r="AJ35" s="2894"/>
      <c r="AK35" s="2894"/>
      <c r="AL35" s="2894"/>
      <c r="AM35" s="2894"/>
      <c r="AN35" s="2894"/>
      <c r="AO35" s="2894"/>
      <c r="AP35" s="2894"/>
      <c r="AQ35" s="2894"/>
      <c r="AR35" s="2894"/>
      <c r="AS35" s="942"/>
      <c r="AT35" s="942"/>
      <c r="AU35" s="942"/>
      <c r="AV35" s="524"/>
      <c r="AW35" s="524"/>
      <c r="AX35" s="524"/>
      <c r="AY35" s="524"/>
      <c r="AZ35" s="1"/>
      <c r="BA35" s="1"/>
      <c r="BB35" s="1"/>
      <c r="BC35" s="1"/>
      <c r="BD35" s="1"/>
      <c r="BE35" s="634"/>
      <c r="BF35" s="634"/>
      <c r="BG35" s="634"/>
      <c r="BH35" s="634"/>
      <c r="BI35" s="634"/>
      <c r="BJ35" s="634"/>
      <c r="BK35" s="634"/>
      <c r="BL35" s="634"/>
      <c r="BM35" s="634"/>
      <c r="BN35" s="634"/>
      <c r="BO35" s="634"/>
      <c r="BP35" s="634"/>
      <c r="BQ35" s="634"/>
      <c r="BR35" s="634"/>
      <c r="BS35" s="3"/>
      <c r="BT35" s="3"/>
      <c r="BU35" s="3"/>
      <c r="BV35" s="3"/>
      <c r="BW35" s="3"/>
      <c r="BX35" s="3"/>
      <c r="BY35" s="3"/>
      <c r="BZ35" s="3"/>
      <c r="CA35" s="3"/>
      <c r="CB35" s="831"/>
      <c r="CC35" s="831"/>
      <c r="CD35" s="831"/>
      <c r="CE35" s="831"/>
      <c r="CF35" s="831"/>
      <c r="CG35" s="831"/>
      <c r="CH35" s="831"/>
      <c r="CI35" s="831"/>
      <c r="CJ35" s="831"/>
      <c r="CK35" s="831"/>
      <c r="CL35" s="831"/>
      <c r="CM35" s="831"/>
      <c r="CN35" s="831"/>
      <c r="CO35" s="831"/>
      <c r="CP35" s="831"/>
      <c r="CQ35" s="831"/>
      <c r="CR35" s="831"/>
      <c r="CS35" s="831"/>
    </row>
    <row r="36" spans="2:97" ht="32.25" customHeight="1" thickBot="1">
      <c r="B36" s="10"/>
      <c r="C36" s="4211" t="s">
        <v>400</v>
      </c>
      <c r="D36" s="4212"/>
      <c r="E36" s="4212"/>
      <c r="F36" s="4212"/>
      <c r="G36" s="4213"/>
      <c r="H36" s="3760"/>
      <c r="I36" s="301"/>
      <c r="J36" s="301"/>
      <c r="K36" s="301"/>
      <c r="L36" s="3585"/>
      <c r="M36" s="4341"/>
      <c r="N36" s="4342"/>
      <c r="O36" s="3586"/>
      <c r="P36" s="48"/>
      <c r="Q36" s="4716" t="s">
        <v>1404</v>
      </c>
      <c r="R36" s="4717"/>
      <c r="S36" s="4717"/>
      <c r="T36" s="4717"/>
      <c r="U36" s="4717"/>
      <c r="V36" s="4718"/>
      <c r="W36" s="1096"/>
      <c r="X36" s="2535"/>
      <c r="Y36" s="4331"/>
      <c r="Z36" s="4332"/>
      <c r="AA36" s="2535"/>
      <c r="AB36" s="2535"/>
      <c r="AC36" s="10"/>
      <c r="AD36" s="2079"/>
      <c r="AE36" s="2080"/>
      <c r="AF36" s="2081"/>
      <c r="AG36" s="10"/>
      <c r="AH36" s="942"/>
      <c r="AI36" s="942"/>
      <c r="AJ36" s="2894"/>
      <c r="AK36" s="2894"/>
      <c r="AL36" s="2894"/>
      <c r="AM36" s="2894"/>
      <c r="AN36" s="2894"/>
      <c r="AO36" s="2894"/>
      <c r="AP36" s="2894"/>
      <c r="AQ36" s="2894"/>
      <c r="AR36" s="2894"/>
      <c r="AS36" s="942"/>
      <c r="AT36" s="942"/>
      <c r="AU36" s="942"/>
      <c r="AV36" s="524"/>
      <c r="AW36" s="524"/>
      <c r="AX36" s="524"/>
      <c r="AY36" s="524"/>
      <c r="AZ36" s="1"/>
      <c r="BA36" s="1"/>
      <c r="BB36" s="1"/>
      <c r="BC36" s="1"/>
      <c r="BD36" s="1"/>
      <c r="BE36" s="634"/>
      <c r="BF36" s="634"/>
      <c r="BG36" s="634"/>
      <c r="BH36" s="634"/>
      <c r="BI36" s="634"/>
      <c r="BJ36" s="634"/>
      <c r="BK36" s="634"/>
      <c r="BL36" s="634"/>
      <c r="BM36" s="634"/>
      <c r="BN36" s="634"/>
      <c r="BO36" s="634"/>
      <c r="BP36" s="634"/>
      <c r="BQ36" s="634"/>
      <c r="BR36" s="634"/>
      <c r="BS36" s="3"/>
      <c r="BT36" s="3"/>
      <c r="BU36" s="3"/>
      <c r="BV36" s="3"/>
      <c r="BW36" s="3"/>
      <c r="BX36" s="3"/>
      <c r="BY36" s="3"/>
      <c r="BZ36" s="3"/>
      <c r="CA36" s="3"/>
      <c r="CB36" s="831"/>
      <c r="CC36" s="831"/>
      <c r="CD36" s="831"/>
      <c r="CE36" s="831"/>
      <c r="CF36" s="831"/>
      <c r="CG36" s="831"/>
      <c r="CH36" s="831"/>
      <c r="CI36" s="831"/>
      <c r="CJ36" s="831"/>
      <c r="CK36" s="831"/>
      <c r="CL36" s="831"/>
      <c r="CM36" s="831"/>
      <c r="CN36" s="831"/>
      <c r="CO36" s="831"/>
      <c r="CP36" s="831"/>
      <c r="CQ36" s="831"/>
      <c r="CR36" s="831"/>
      <c r="CS36" s="831"/>
    </row>
    <row r="37" spans="2:97" ht="30.75" customHeight="1" thickBot="1">
      <c r="B37" s="10"/>
      <c r="C37" s="4335" t="s">
        <v>184</v>
      </c>
      <c r="D37" s="4336"/>
      <c r="E37" s="4336"/>
      <c r="F37" s="4336"/>
      <c r="G37" s="4337"/>
      <c r="H37" s="3761"/>
      <c r="I37" s="301"/>
      <c r="J37" s="301"/>
      <c r="K37" s="301"/>
      <c r="L37" s="3587"/>
      <c r="M37" s="4364"/>
      <c r="N37" s="4365"/>
      <c r="O37" s="3588"/>
      <c r="P37" s="48"/>
      <c r="Q37" s="4279" t="s">
        <v>1405</v>
      </c>
      <c r="R37" s="4280"/>
      <c r="S37" s="4280"/>
      <c r="T37" s="4280"/>
      <c r="U37" s="4280"/>
      <c r="V37" s="4281"/>
      <c r="W37" s="1096"/>
      <c r="X37" s="2535"/>
      <c r="Y37" s="4331"/>
      <c r="Z37" s="4332"/>
      <c r="AA37" s="2535"/>
      <c r="AB37" s="2535"/>
      <c r="AC37" s="10"/>
      <c r="AD37" s="4724"/>
      <c r="AE37" s="4725"/>
      <c r="AF37" s="4726"/>
      <c r="AG37" s="10"/>
      <c r="AH37" s="1549"/>
      <c r="AI37" s="1892"/>
      <c r="AJ37" s="2894"/>
      <c r="AK37" s="2894"/>
      <c r="AL37" s="2894"/>
      <c r="AM37" s="2894"/>
      <c r="AN37" s="2894"/>
      <c r="AO37" s="2894"/>
      <c r="AP37" s="2894"/>
      <c r="AQ37" s="2894"/>
      <c r="AR37" s="2894"/>
      <c r="AS37" s="4363"/>
      <c r="AT37" s="4363"/>
      <c r="AU37" s="1548"/>
      <c r="AV37" s="524"/>
      <c r="AW37" s="524"/>
      <c r="AX37" s="524"/>
      <c r="AY37" s="524"/>
      <c r="AZ37" s="1"/>
      <c r="BA37" s="1"/>
      <c r="BB37" s="1"/>
      <c r="BC37" s="1"/>
      <c r="BD37" s="1"/>
      <c r="BE37" s="634"/>
      <c r="BF37" s="634"/>
      <c r="BG37" s="634"/>
      <c r="BH37" s="634"/>
      <c r="BI37" s="634"/>
      <c r="BJ37" s="634"/>
      <c r="BK37" s="634"/>
      <c r="BL37" s="634"/>
      <c r="BM37" s="634"/>
      <c r="BN37" s="634"/>
      <c r="BO37" s="634"/>
      <c r="BP37" s="634"/>
      <c r="BQ37" s="634"/>
      <c r="BR37" s="634"/>
      <c r="BS37" s="3"/>
      <c r="BT37" s="3"/>
      <c r="BU37" s="3"/>
      <c r="BV37" s="3"/>
      <c r="BW37" s="3"/>
      <c r="BX37" s="3"/>
      <c r="BY37" s="3"/>
      <c r="BZ37" s="3"/>
      <c r="CA37" s="3"/>
      <c r="CB37" s="831"/>
      <c r="CC37" s="831"/>
      <c r="CD37" s="831"/>
      <c r="CE37" s="831"/>
      <c r="CF37" s="831"/>
      <c r="CG37" s="831"/>
      <c r="CH37" s="831"/>
      <c r="CI37" s="831"/>
      <c r="CJ37" s="831"/>
      <c r="CK37" s="831"/>
      <c r="CL37" s="831"/>
      <c r="CM37" s="831"/>
      <c r="CN37" s="831"/>
      <c r="CO37" s="831"/>
      <c r="CP37" s="831"/>
      <c r="CQ37" s="831"/>
      <c r="CR37" s="831"/>
      <c r="CS37" s="831"/>
    </row>
    <row r="38" spans="2:97" ht="29.25" customHeight="1" thickBot="1">
      <c r="B38" s="10"/>
      <c r="C38" s="4347" t="s">
        <v>1718</v>
      </c>
      <c r="D38" s="4348"/>
      <c r="E38" s="4348"/>
      <c r="F38" s="4348"/>
      <c r="G38" s="4349"/>
      <c r="H38" s="3759"/>
      <c r="I38" s="3755"/>
      <c r="J38" s="3755"/>
      <c r="K38" s="3755"/>
      <c r="L38" s="3756"/>
      <c r="M38" s="3757"/>
      <c r="N38" s="3757"/>
      <c r="O38" s="3758"/>
      <c r="P38" s="48"/>
      <c r="Q38" s="4279" t="s">
        <v>967</v>
      </c>
      <c r="R38" s="4280"/>
      <c r="S38" s="4280"/>
      <c r="T38" s="4280"/>
      <c r="U38" s="4280"/>
      <c r="V38" s="4281"/>
      <c r="W38" s="2115"/>
      <c r="X38" s="2532"/>
      <c r="Y38" s="2532"/>
      <c r="Z38" s="2532"/>
      <c r="AA38" s="2532"/>
      <c r="AB38" s="2532"/>
      <c r="AC38" s="10"/>
      <c r="AD38" s="1990"/>
      <c r="AE38" s="1991"/>
      <c r="AF38" s="1992"/>
      <c r="AG38" s="10"/>
      <c r="AH38" s="942"/>
      <c r="AI38" s="1892"/>
      <c r="AJ38" s="1892"/>
      <c r="AK38" s="1892"/>
      <c r="AL38" s="1892"/>
      <c r="AM38" s="1892"/>
      <c r="AN38" s="1892"/>
      <c r="AO38" s="1892"/>
      <c r="AP38" s="1892"/>
      <c r="AQ38" s="1892"/>
      <c r="AR38" s="942"/>
      <c r="AS38" s="4363"/>
      <c r="AT38" s="4363"/>
      <c r="AU38" s="1893"/>
      <c r="AV38" s="526"/>
      <c r="AW38" s="526"/>
      <c r="AX38" s="526"/>
      <c r="AY38" s="526"/>
      <c r="AZ38" s="526"/>
      <c r="BA38" s="526"/>
      <c r="BB38" s="1"/>
      <c r="BC38" s="1"/>
      <c r="BD38" s="1"/>
      <c r="BE38" s="634"/>
      <c r="BF38" s="634"/>
      <c r="BG38" s="634"/>
      <c r="BH38" s="634"/>
      <c r="BI38" s="634"/>
      <c r="BJ38" s="634"/>
      <c r="BK38" s="634"/>
      <c r="BL38" s="634"/>
      <c r="BM38" s="634"/>
      <c r="BN38" s="634"/>
      <c r="BO38" s="634"/>
      <c r="BP38" s="634"/>
      <c r="BQ38" s="634"/>
      <c r="BR38" s="634"/>
      <c r="BS38" s="3"/>
      <c r="BT38" s="3"/>
      <c r="BU38" s="3"/>
      <c r="BV38" s="3"/>
      <c r="BW38" s="3"/>
      <c r="BX38" s="3"/>
      <c r="BY38" s="3"/>
      <c r="BZ38" s="3"/>
      <c r="CA38" s="3"/>
      <c r="CB38" s="831"/>
      <c r="CC38" s="831"/>
      <c r="CD38" s="831"/>
      <c r="CE38" s="831"/>
      <c r="CF38" s="831"/>
      <c r="CG38" s="831"/>
      <c r="CH38" s="831"/>
      <c r="CI38" s="831"/>
      <c r="CJ38" s="831"/>
      <c r="CK38" s="831"/>
      <c r="CL38" s="831"/>
      <c r="CM38" s="831"/>
      <c r="CN38" s="831"/>
      <c r="CO38" s="831"/>
      <c r="CP38" s="831"/>
      <c r="CQ38" s="831"/>
      <c r="CR38" s="831"/>
      <c r="CS38" s="831"/>
    </row>
    <row r="39" spans="2:97" ht="31.5" customHeight="1" thickBot="1">
      <c r="B39" s="10"/>
      <c r="C39" s="4338" t="s">
        <v>523</v>
      </c>
      <c r="D39" s="4339"/>
      <c r="E39" s="4339"/>
      <c r="F39" s="4339"/>
      <c r="G39" s="4339"/>
      <c r="H39" s="4339"/>
      <c r="I39" s="4339"/>
      <c r="J39" s="4339"/>
      <c r="K39" s="4339"/>
      <c r="L39" s="4339"/>
      <c r="M39" s="4339"/>
      <c r="N39" s="4339"/>
      <c r="O39" s="4340"/>
      <c r="P39" s="10"/>
      <c r="Q39" s="4379" t="s">
        <v>1406</v>
      </c>
      <c r="R39" s="4325"/>
      <c r="S39" s="4325"/>
      <c r="T39" s="4325"/>
      <c r="U39" s="4325"/>
      <c r="V39" s="4380"/>
      <c r="W39" s="1096"/>
      <c r="X39" s="2539"/>
      <c r="Y39" s="4343" t="str">
        <f>Formula!CR10</f>
        <v>Rs.79800-211500</v>
      </c>
      <c r="Z39" s="4344"/>
      <c r="AA39" s="2539"/>
      <c r="AB39" s="2539"/>
      <c r="AC39" s="10"/>
      <c r="AD39" s="1990"/>
      <c r="AE39" s="1991"/>
      <c r="AF39" s="1992"/>
      <c r="AG39" s="10"/>
      <c r="AH39" s="942"/>
      <c r="AI39" s="1892"/>
      <c r="AJ39" s="1892"/>
      <c r="AK39" s="1892"/>
      <c r="AL39" s="1892"/>
      <c r="AM39" s="1892"/>
      <c r="AN39" s="1892"/>
      <c r="AO39" s="1892"/>
      <c r="AP39" s="1892"/>
      <c r="AQ39" s="1892"/>
      <c r="AR39" s="1892"/>
      <c r="AS39" s="4363"/>
      <c r="AT39" s="4363"/>
      <c r="AU39" s="1893"/>
      <c r="AV39" s="526"/>
      <c r="AW39" s="526"/>
      <c r="AX39" s="526"/>
      <c r="AY39" s="526"/>
      <c r="AZ39" s="526"/>
      <c r="BA39" s="526"/>
      <c r="BB39" s="1"/>
      <c r="BC39" s="1"/>
      <c r="BD39" s="1"/>
      <c r="BE39" s="634"/>
      <c r="BF39" s="634"/>
      <c r="BG39" s="634"/>
      <c r="BH39" s="634"/>
      <c r="BI39" s="634"/>
      <c r="BJ39" s="634"/>
      <c r="BK39" s="963"/>
      <c r="BL39" s="963"/>
      <c r="BM39" s="963"/>
      <c r="BN39" s="634"/>
      <c r="BO39" s="634"/>
      <c r="BP39" s="634"/>
      <c r="BQ39" s="634"/>
      <c r="BR39" s="634"/>
      <c r="BS39" s="3"/>
      <c r="BT39" s="3"/>
      <c r="BU39" s="3"/>
      <c r="BV39" s="3"/>
      <c r="BW39" s="3"/>
      <c r="BX39" s="3"/>
      <c r="BY39" s="3"/>
      <c r="BZ39" s="3"/>
      <c r="CA39" s="3"/>
      <c r="CB39" s="831"/>
      <c r="CC39" s="831"/>
      <c r="CD39" s="831"/>
      <c r="CE39" s="831"/>
      <c r="CF39" s="831"/>
      <c r="CG39" s="831"/>
      <c r="CH39" s="831"/>
      <c r="CI39" s="831"/>
      <c r="CJ39" s="831"/>
      <c r="CK39" s="831"/>
      <c r="CL39" s="831"/>
      <c r="CM39" s="831"/>
      <c r="CN39" s="831"/>
      <c r="CO39" s="831"/>
      <c r="CP39" s="831"/>
      <c r="CQ39" s="831"/>
      <c r="CR39" s="831"/>
      <c r="CS39" s="831"/>
    </row>
    <row r="40" spans="2:97" ht="27.75" customHeight="1" thickBot="1">
      <c r="B40" s="10"/>
      <c r="C40" s="4261" t="s">
        <v>536</v>
      </c>
      <c r="D40" s="4262"/>
      <c r="E40" s="4262"/>
      <c r="F40" s="4262"/>
      <c r="G40" s="4263"/>
      <c r="H40" s="284"/>
      <c r="I40" s="301"/>
      <c r="J40" s="301"/>
      <c r="K40" s="301"/>
      <c r="L40" s="3587"/>
      <c r="M40" s="4364"/>
      <c r="N40" s="4365"/>
      <c r="O40" s="3588"/>
      <c r="P40" s="10"/>
      <c r="Q40" s="4279" t="s">
        <v>1407</v>
      </c>
      <c r="R40" s="4280"/>
      <c r="S40" s="4280"/>
      <c r="T40" s="4280"/>
      <c r="U40" s="4280"/>
      <c r="V40" s="4281"/>
      <c r="W40" s="1096"/>
      <c r="X40" s="2539"/>
      <c r="Y40" s="4343">
        <f>Formula!CR11</f>
        <v>12</v>
      </c>
      <c r="Z40" s="4344"/>
      <c r="AA40" s="2539"/>
      <c r="AB40" s="2539"/>
      <c r="AC40" s="10"/>
      <c r="AD40" s="1990"/>
      <c r="AE40" s="1991"/>
      <c r="AF40" s="1992"/>
      <c r="AG40" s="10"/>
      <c r="AH40" s="942"/>
      <c r="AI40" s="1892"/>
      <c r="AJ40" s="1892"/>
      <c r="AK40" s="1892"/>
      <c r="AL40" s="1892"/>
      <c r="AM40" s="1892"/>
      <c r="AN40" s="1892"/>
      <c r="AO40" s="1892"/>
      <c r="AP40" s="1892"/>
      <c r="AQ40" s="1892"/>
      <c r="AR40" s="1892"/>
      <c r="AS40" s="4363"/>
      <c r="AT40" s="4363"/>
      <c r="AU40" s="1893"/>
      <c r="AV40" s="526"/>
      <c r="AW40" s="526"/>
      <c r="AX40" s="526"/>
      <c r="AY40" s="526"/>
      <c r="AZ40" s="526"/>
      <c r="BA40" s="526"/>
      <c r="BB40" s="1"/>
      <c r="BC40" s="1"/>
      <c r="BD40" s="1"/>
      <c r="BE40" s="634"/>
      <c r="BF40" s="634"/>
      <c r="BG40" s="634"/>
      <c r="BH40" s="634"/>
      <c r="BI40" s="634"/>
      <c r="BJ40" s="634"/>
      <c r="BK40" s="4682" t="s">
        <v>193</v>
      </c>
      <c r="BL40" s="4682"/>
      <c r="BM40" s="4682"/>
      <c r="BN40" s="635"/>
      <c r="BO40" s="634"/>
      <c r="BP40" s="634"/>
      <c r="BQ40" s="634"/>
      <c r="BR40" s="634"/>
      <c r="BS40" s="3"/>
      <c r="BT40" s="3"/>
      <c r="BU40" s="3"/>
      <c r="BV40" s="3"/>
      <c r="BW40" s="3"/>
      <c r="BX40" s="3"/>
      <c r="BY40" s="3"/>
      <c r="BZ40" s="3"/>
      <c r="CA40" s="3"/>
      <c r="CB40" s="831"/>
      <c r="CC40" s="831"/>
      <c r="CD40" s="831"/>
      <c r="CE40" s="831"/>
      <c r="CF40" s="831"/>
      <c r="CG40" s="831"/>
      <c r="CH40" s="831"/>
      <c r="CI40" s="831"/>
      <c r="CJ40" s="831"/>
      <c r="CK40" s="831"/>
      <c r="CL40" s="831"/>
      <c r="CM40" s="831"/>
      <c r="CN40" s="831"/>
      <c r="CO40" s="831"/>
      <c r="CP40" s="831"/>
      <c r="CQ40" s="831"/>
      <c r="CR40" s="831"/>
      <c r="CS40" s="831"/>
    </row>
    <row r="41" spans="2:97" ht="26.25" customHeight="1" thickBot="1">
      <c r="B41" s="10"/>
      <c r="C41" s="4261" t="s">
        <v>537</v>
      </c>
      <c r="D41" s="4262"/>
      <c r="E41" s="4262"/>
      <c r="F41" s="4262"/>
      <c r="G41" s="4263"/>
      <c r="H41" s="561"/>
      <c r="I41" s="312"/>
      <c r="J41" s="312"/>
      <c r="K41" s="312"/>
      <c r="L41" s="3589"/>
      <c r="M41" s="4261"/>
      <c r="N41" s="4263"/>
      <c r="O41" s="3590"/>
      <c r="P41" s="10"/>
      <c r="Q41" s="4279" t="s">
        <v>1408</v>
      </c>
      <c r="R41" s="4280"/>
      <c r="S41" s="4280"/>
      <c r="T41" s="4280"/>
      <c r="U41" s="4280"/>
      <c r="V41" s="4281"/>
      <c r="W41" s="1096"/>
      <c r="X41" s="2521"/>
      <c r="Y41" s="4368" t="s">
        <v>1428</v>
      </c>
      <c r="Z41" s="4369"/>
      <c r="AA41" s="2522"/>
      <c r="AB41" s="2521"/>
      <c r="AC41" s="10"/>
      <c r="AD41" s="1123"/>
      <c r="AE41" s="1124"/>
      <c r="AF41" s="1125"/>
      <c r="AG41" s="10"/>
      <c r="AH41" s="942"/>
      <c r="AI41" s="1894"/>
      <c r="AJ41" s="1894"/>
      <c r="AK41" s="1894"/>
      <c r="AL41" s="4370"/>
      <c r="AM41" s="4370"/>
      <c r="AN41" s="2047"/>
      <c r="AO41" s="3357"/>
      <c r="AP41" s="4367"/>
      <c r="AQ41" s="4367"/>
      <c r="AR41" s="1894"/>
      <c r="AS41" s="4366"/>
      <c r="AT41" s="4366"/>
      <c r="AU41" s="1895"/>
      <c r="AV41" s="525"/>
      <c r="AW41" s="525"/>
      <c r="AX41" s="525"/>
      <c r="AY41" s="525"/>
      <c r="AZ41" s="525"/>
      <c r="BA41" s="526"/>
      <c r="BB41" s="1"/>
      <c r="BC41" s="1"/>
      <c r="BD41" s="1"/>
      <c r="BE41" s="634"/>
      <c r="BF41" s="634"/>
      <c r="BG41" s="634"/>
      <c r="BH41" s="634"/>
      <c r="BI41" s="634"/>
      <c r="BJ41" s="634"/>
      <c r="BK41" s="963"/>
      <c r="BL41" s="963"/>
      <c r="BM41" s="963"/>
      <c r="BN41" s="635"/>
      <c r="BO41" s="634"/>
      <c r="BP41" s="634"/>
      <c r="BQ41" s="634"/>
      <c r="BR41" s="634"/>
      <c r="BS41" s="3"/>
      <c r="BT41" s="3"/>
      <c r="BU41" s="3"/>
      <c r="BV41" s="3"/>
      <c r="BW41" s="3"/>
      <c r="BX41" s="3"/>
      <c r="BY41" s="3"/>
      <c r="BZ41" s="3"/>
      <c r="CA41" s="3"/>
      <c r="CB41" s="831"/>
      <c r="CC41" s="831"/>
      <c r="CD41" s="831"/>
      <c r="CE41" s="831"/>
      <c r="CF41" s="831"/>
      <c r="CG41" s="831"/>
      <c r="CH41" s="831"/>
      <c r="CI41" s="831"/>
      <c r="CJ41" s="831"/>
      <c r="CK41" s="831"/>
      <c r="CL41" s="831"/>
      <c r="CM41" s="831"/>
      <c r="CN41" s="831"/>
      <c r="CO41" s="831"/>
      <c r="CP41" s="831"/>
      <c r="CQ41" s="831"/>
      <c r="CR41" s="831"/>
      <c r="CS41" s="831"/>
    </row>
    <row r="42" spans="2:97" ht="33" customHeight="1" thickBot="1">
      <c r="B42" s="10"/>
      <c r="C42" s="4261" t="s">
        <v>538</v>
      </c>
      <c r="D42" s="4262"/>
      <c r="E42" s="4262"/>
      <c r="F42" s="4262"/>
      <c r="G42" s="4263"/>
      <c r="H42" s="561"/>
      <c r="I42" s="312"/>
      <c r="J42" s="312"/>
      <c r="K42" s="312"/>
      <c r="L42" s="3589"/>
      <c r="M42" s="3723"/>
      <c r="N42" s="3724"/>
      <c r="O42" s="3590"/>
      <c r="P42" s="10"/>
      <c r="Q42" s="4379" t="str">
        <f>Formula!CI34</f>
        <v xml:space="preserve">In the Pay Scale of  Rs.79800-211500(Academic Level-12) Under CAS in UGC-2016 Pay Scales    Your Pay will be fixed at </v>
      </c>
      <c r="R42" s="4325"/>
      <c r="S42" s="4325"/>
      <c r="T42" s="4325"/>
      <c r="U42" s="4325"/>
      <c r="V42" s="4380"/>
      <c r="W42" s="1096"/>
      <c r="X42" s="2521"/>
      <c r="Y42" s="4345">
        <f>Formula!CO34</f>
        <v>104100</v>
      </c>
      <c r="Z42" s="4346"/>
      <c r="AA42" s="4381" t="str">
        <f>Formula!CP34</f>
        <v>w.e.f. 21-May-24</v>
      </c>
      <c r="AB42" s="4382"/>
      <c r="AC42" s="10"/>
      <c r="AD42" s="1123"/>
      <c r="AE42" s="1124"/>
      <c r="AF42" s="1125"/>
      <c r="AG42" s="10"/>
      <c r="AH42" s="942"/>
      <c r="AI42" s="1894"/>
      <c r="AJ42" s="1894"/>
      <c r="AK42" s="1894"/>
      <c r="AL42" s="2047"/>
      <c r="AM42" s="2047"/>
      <c r="AN42" s="2047"/>
      <c r="AO42" s="3357"/>
      <c r="AP42" s="3357"/>
      <c r="AQ42" s="3357"/>
      <c r="AR42" s="1894"/>
      <c r="AS42" s="3356"/>
      <c r="AT42" s="3356"/>
      <c r="AU42" s="1895"/>
      <c r="AV42" s="525"/>
      <c r="AW42" s="525"/>
      <c r="AX42" s="525"/>
      <c r="AY42" s="525"/>
      <c r="AZ42" s="525"/>
      <c r="BA42" s="526"/>
      <c r="BB42" s="1"/>
      <c r="BC42" s="1"/>
      <c r="BD42" s="1"/>
      <c r="BE42" s="634"/>
      <c r="BF42" s="634"/>
      <c r="BG42" s="634"/>
      <c r="BH42" s="634"/>
      <c r="BI42" s="634"/>
      <c r="BJ42" s="634"/>
      <c r="BK42" s="963"/>
      <c r="BL42" s="963"/>
      <c r="BM42" s="963"/>
      <c r="BN42" s="635"/>
      <c r="BO42" s="634"/>
      <c r="BP42" s="634"/>
      <c r="BQ42" s="634"/>
      <c r="BR42" s="634"/>
      <c r="BS42" s="3"/>
      <c r="BT42" s="3"/>
      <c r="BU42" s="3"/>
      <c r="BV42" s="3"/>
      <c r="BW42" s="3"/>
      <c r="BX42" s="3"/>
      <c r="BY42" s="3"/>
      <c r="BZ42" s="3"/>
      <c r="CA42" s="3"/>
      <c r="CB42" s="831"/>
      <c r="CC42" s="831"/>
      <c r="CD42" s="831"/>
      <c r="CE42" s="831"/>
      <c r="CF42" s="831"/>
      <c r="CG42" s="831"/>
      <c r="CH42" s="831"/>
      <c r="CI42" s="831"/>
      <c r="CJ42" s="831"/>
      <c r="CK42" s="831"/>
      <c r="CL42" s="831"/>
      <c r="CM42" s="831"/>
      <c r="CN42" s="831"/>
      <c r="CO42" s="831"/>
      <c r="CP42" s="831"/>
      <c r="CQ42" s="831"/>
      <c r="CR42" s="831"/>
      <c r="CS42" s="831"/>
    </row>
    <row r="43" spans="2:97" ht="34.5" customHeight="1" thickBot="1">
      <c r="B43" s="10"/>
      <c r="C43" s="4284" t="s">
        <v>1433</v>
      </c>
      <c r="D43" s="4285"/>
      <c r="E43" s="4285"/>
      <c r="F43" s="4285"/>
      <c r="G43" s="4286"/>
      <c r="H43" s="561"/>
      <c r="I43" s="312"/>
      <c r="J43" s="312"/>
      <c r="K43" s="312"/>
      <c r="L43" s="3591"/>
      <c r="M43" s="3753"/>
      <c r="N43" s="3754"/>
      <c r="O43" s="3593"/>
      <c r="P43" s="10"/>
      <c r="Q43" s="4279" t="s">
        <v>968</v>
      </c>
      <c r="R43" s="4280"/>
      <c r="S43" s="4280"/>
      <c r="T43" s="4280"/>
      <c r="U43" s="4280"/>
      <c r="V43" s="4281"/>
      <c r="W43" s="1096"/>
      <c r="X43" s="2521"/>
      <c r="Y43" s="4393">
        <f>Formula!CR13</f>
        <v>45658</v>
      </c>
      <c r="Z43" s="4393"/>
      <c r="AA43" s="2522"/>
      <c r="AB43" s="2521"/>
      <c r="AC43" s="10"/>
      <c r="AD43" s="1123"/>
      <c r="AE43" s="1124"/>
      <c r="AF43" s="1125"/>
      <c r="AG43" s="10"/>
      <c r="AH43" s="942"/>
      <c r="AI43" s="1894"/>
      <c r="AJ43" s="1894"/>
      <c r="AK43" s="1894"/>
      <c r="AL43" s="2047"/>
      <c r="AM43" s="2047"/>
      <c r="AN43" s="2047"/>
      <c r="AO43" s="3357"/>
      <c r="AP43" s="3357"/>
      <c r="AQ43" s="3357"/>
      <c r="AR43" s="1894"/>
      <c r="AS43" s="3356"/>
      <c r="AT43" s="3356"/>
      <c r="AU43" s="1895"/>
      <c r="AV43" s="525"/>
      <c r="AW43" s="525"/>
      <c r="AX43" s="525"/>
      <c r="AY43" s="525"/>
      <c r="AZ43" s="525"/>
      <c r="BA43" s="526"/>
      <c r="BB43" s="1"/>
      <c r="BC43" s="1"/>
      <c r="BD43" s="1"/>
      <c r="BE43" s="634"/>
      <c r="BF43" s="634"/>
      <c r="BG43" s="634"/>
      <c r="BH43" s="634"/>
      <c r="BI43" s="634"/>
      <c r="BJ43" s="634"/>
      <c r="BK43" s="963"/>
      <c r="BL43" s="963"/>
      <c r="BM43" s="963"/>
      <c r="BN43" s="635"/>
      <c r="BO43" s="634"/>
      <c r="BP43" s="634"/>
      <c r="BQ43" s="634"/>
      <c r="BR43" s="634"/>
      <c r="BS43" s="3"/>
      <c r="BT43" s="3"/>
      <c r="BU43" s="3"/>
      <c r="BV43" s="3"/>
      <c r="BW43" s="3"/>
      <c r="BX43" s="3"/>
      <c r="BY43" s="3"/>
      <c r="BZ43" s="3"/>
      <c r="CA43" s="3"/>
      <c r="CB43" s="831"/>
      <c r="CC43" s="831"/>
      <c r="CD43" s="831"/>
      <c r="CE43" s="831"/>
      <c r="CF43" s="831"/>
      <c r="CG43" s="831"/>
      <c r="CH43" s="831"/>
      <c r="CI43" s="831"/>
      <c r="CJ43" s="831"/>
      <c r="CK43" s="831"/>
      <c r="CL43" s="831"/>
      <c r="CM43" s="831"/>
      <c r="CN43" s="831"/>
      <c r="CO43" s="831"/>
      <c r="CP43" s="831"/>
      <c r="CQ43" s="831"/>
      <c r="CR43" s="831"/>
      <c r="CS43" s="831"/>
    </row>
    <row r="44" spans="2:97" ht="26.25" customHeight="1" thickBot="1">
      <c r="B44" s="10"/>
      <c r="C44" s="3582"/>
      <c r="D44" s="3583"/>
      <c r="E44" s="3583"/>
      <c r="F44" s="3583"/>
      <c r="G44" s="3584"/>
      <c r="H44" s="561"/>
      <c r="I44" s="312"/>
      <c r="J44" s="312"/>
      <c r="K44" s="312"/>
      <c r="L44" s="3591"/>
      <c r="M44" s="3592"/>
      <c r="N44" s="3592"/>
      <c r="O44" s="3593"/>
      <c r="P44" s="10"/>
      <c r="Q44" s="4279" t="s">
        <v>1416</v>
      </c>
      <c r="R44" s="4280"/>
      <c r="S44" s="4280"/>
      <c r="T44" s="4280"/>
      <c r="U44" s="4280"/>
      <c r="V44" s="4281"/>
      <c r="W44" s="1096"/>
      <c r="X44" s="2521"/>
      <c r="Y44" s="4378"/>
      <c r="Z44" s="4378"/>
      <c r="AA44" s="2522"/>
      <c r="AB44" s="2521"/>
      <c r="AC44" s="10"/>
      <c r="AD44" s="1123"/>
      <c r="AE44" s="1124"/>
      <c r="AF44" s="1125"/>
      <c r="AG44" s="10"/>
      <c r="AH44" s="942"/>
      <c r="AI44" s="1894"/>
      <c r="AJ44" s="1894"/>
      <c r="AK44" s="1894"/>
      <c r="AL44" s="2047"/>
      <c r="AM44" s="2047"/>
      <c r="AN44" s="2047"/>
      <c r="AO44" s="3357"/>
      <c r="AP44" s="3357"/>
      <c r="AQ44" s="3357"/>
      <c r="AR44" s="1894"/>
      <c r="AS44" s="3356"/>
      <c r="AT44" s="3356"/>
      <c r="AU44" s="1895"/>
      <c r="AV44" s="525"/>
      <c r="AW44" s="525"/>
      <c r="AX44" s="525"/>
      <c r="AY44" s="525"/>
      <c r="AZ44" s="525"/>
      <c r="BA44" s="526"/>
      <c r="BB44" s="1"/>
      <c r="BC44" s="1"/>
      <c r="BD44" s="1"/>
      <c r="BE44" s="634"/>
      <c r="BF44" s="634"/>
      <c r="BG44" s="634"/>
      <c r="BH44" s="634"/>
      <c r="BI44" s="634"/>
      <c r="BJ44" s="634"/>
      <c r="BK44" s="963"/>
      <c r="BL44" s="963"/>
      <c r="BM44" s="963"/>
      <c r="BN44" s="635"/>
      <c r="BO44" s="634"/>
      <c r="BP44" s="634"/>
      <c r="BQ44" s="634"/>
      <c r="BR44" s="634"/>
      <c r="BS44" s="3"/>
      <c r="BT44" s="3"/>
      <c r="BU44" s="3"/>
      <c r="BV44" s="3"/>
      <c r="BW44" s="3"/>
      <c r="BX44" s="3"/>
      <c r="BY44" s="3"/>
      <c r="BZ44" s="3"/>
      <c r="CA44" s="3"/>
      <c r="CB44" s="831"/>
      <c r="CC44" s="831"/>
      <c r="CD44" s="831"/>
      <c r="CE44" s="831"/>
      <c r="CF44" s="831"/>
      <c r="CG44" s="831"/>
      <c r="CH44" s="831"/>
      <c r="CI44" s="831"/>
      <c r="CJ44" s="831"/>
      <c r="CK44" s="831"/>
      <c r="CL44" s="831"/>
      <c r="CM44" s="831"/>
      <c r="CN44" s="831"/>
      <c r="CO44" s="831"/>
      <c r="CP44" s="831"/>
      <c r="CQ44" s="831"/>
      <c r="CR44" s="831"/>
      <c r="CS44" s="831"/>
    </row>
    <row r="45" spans="2:97" ht="26.25" customHeight="1" thickBot="1">
      <c r="B45" s="10"/>
      <c r="C45" s="3582"/>
      <c r="D45" s="3583"/>
      <c r="E45" s="3583"/>
      <c r="F45" s="3583"/>
      <c r="G45" s="3584"/>
      <c r="H45" s="561"/>
      <c r="I45" s="312"/>
      <c r="J45" s="312"/>
      <c r="K45" s="312"/>
      <c r="L45" s="3591"/>
      <c r="M45" s="3592"/>
      <c r="N45" s="3592"/>
      <c r="O45" s="3593"/>
      <c r="P45" s="10"/>
      <c r="Q45" s="4279" t="str">
        <f>Formula!CG15</f>
        <v>Select the Basic Pay as on  Jun-25 in the Academic Level-12</v>
      </c>
      <c r="R45" s="4280"/>
      <c r="S45" s="4280"/>
      <c r="T45" s="4280"/>
      <c r="U45" s="4280"/>
      <c r="V45" s="4281"/>
      <c r="W45" s="1096"/>
      <c r="X45" s="2521"/>
      <c r="Y45" s="4378"/>
      <c r="Z45" s="4378"/>
      <c r="AA45" s="2522"/>
      <c r="AB45" s="2521"/>
      <c r="AC45" s="10"/>
      <c r="AD45" s="1123"/>
      <c r="AE45" s="1124"/>
      <c r="AF45" s="1125"/>
      <c r="AG45" s="10"/>
      <c r="AH45" s="942"/>
      <c r="AI45" s="1894"/>
      <c r="AJ45" s="1894"/>
      <c r="AK45" s="1894"/>
      <c r="AL45" s="2047"/>
      <c r="AM45" s="2047"/>
      <c r="AN45" s="2047"/>
      <c r="AO45" s="3357"/>
      <c r="AP45" s="3357"/>
      <c r="AQ45" s="3357"/>
      <c r="AR45" s="1894"/>
      <c r="AS45" s="3356"/>
      <c r="AT45" s="3356"/>
      <c r="AU45" s="1895"/>
      <c r="AV45" s="525"/>
      <c r="AW45" s="525"/>
      <c r="AX45" s="525"/>
      <c r="AY45" s="525"/>
      <c r="AZ45" s="525"/>
      <c r="BA45" s="526"/>
      <c r="BB45" s="1"/>
      <c r="BC45" s="1"/>
      <c r="BD45" s="1"/>
      <c r="BE45" s="634"/>
      <c r="BF45" s="634"/>
      <c r="BG45" s="634"/>
      <c r="BH45" s="634"/>
      <c r="BI45" s="634"/>
      <c r="BJ45" s="634"/>
      <c r="BK45" s="963"/>
      <c r="BL45" s="963"/>
      <c r="BM45" s="963"/>
      <c r="BN45" s="635"/>
      <c r="BO45" s="634"/>
      <c r="BP45" s="634"/>
      <c r="BQ45" s="634"/>
      <c r="BR45" s="634"/>
      <c r="BS45" s="3"/>
      <c r="BT45" s="3"/>
      <c r="BU45" s="3"/>
      <c r="BV45" s="3"/>
      <c r="BW45" s="3"/>
      <c r="BX45" s="3"/>
      <c r="BY45" s="3"/>
      <c r="BZ45" s="3"/>
      <c r="CA45" s="3"/>
      <c r="CB45" s="831"/>
      <c r="CC45" s="831"/>
      <c r="CD45" s="831"/>
      <c r="CE45" s="831"/>
      <c r="CF45" s="831"/>
      <c r="CG45" s="831"/>
      <c r="CH45" s="831"/>
      <c r="CI45" s="831"/>
      <c r="CJ45" s="831"/>
      <c r="CK45" s="831"/>
      <c r="CL45" s="831"/>
      <c r="CM45" s="831"/>
      <c r="CN45" s="831"/>
      <c r="CO45" s="831"/>
      <c r="CP45" s="831"/>
      <c r="CQ45" s="831"/>
      <c r="CR45" s="831"/>
      <c r="CS45" s="831"/>
    </row>
    <row r="46" spans="2:97" ht="26.25" customHeight="1" thickBot="1">
      <c r="B46" s="10"/>
      <c r="C46" s="3582"/>
      <c r="D46" s="3583"/>
      <c r="E46" s="3583"/>
      <c r="F46" s="3583"/>
      <c r="G46" s="3584"/>
      <c r="H46" s="561"/>
      <c r="I46" s="312"/>
      <c r="J46" s="312"/>
      <c r="K46" s="312"/>
      <c r="L46" s="3591"/>
      <c r="M46" s="3592"/>
      <c r="N46" s="3592"/>
      <c r="O46" s="3593"/>
      <c r="P46" s="10"/>
      <c r="Q46" s="4290" t="s">
        <v>1409</v>
      </c>
      <c r="R46" s="4291"/>
      <c r="S46" s="4291"/>
      <c r="T46" s="4291"/>
      <c r="U46" s="4291"/>
      <c r="V46" s="4292"/>
      <c r="W46" s="1096"/>
      <c r="X46" s="2871" t="s">
        <v>521</v>
      </c>
      <c r="Y46" s="2872" t="s">
        <v>188</v>
      </c>
      <c r="Z46" s="2872" t="s">
        <v>189</v>
      </c>
      <c r="AA46" s="2871" t="s">
        <v>31</v>
      </c>
      <c r="AB46" s="2871" t="str">
        <f>IF(Formula!GE3=2,"CPS","")</f>
        <v/>
      </c>
      <c r="AC46" s="10"/>
      <c r="AD46" s="1123"/>
      <c r="AE46" s="1124"/>
      <c r="AF46" s="1125"/>
      <c r="AG46" s="10"/>
      <c r="AH46" s="942"/>
      <c r="AI46" s="1894"/>
      <c r="AJ46" s="1894"/>
      <c r="AK46" s="1894"/>
      <c r="AL46" s="2047"/>
      <c r="AM46" s="2047"/>
      <c r="AN46" s="2047"/>
      <c r="AO46" s="3357"/>
      <c r="AP46" s="3357"/>
      <c r="AQ46" s="3357"/>
      <c r="AR46" s="1894"/>
      <c r="AS46" s="3356"/>
      <c r="AT46" s="3356"/>
      <c r="AU46" s="1895"/>
      <c r="AV46" s="525"/>
      <c r="AW46" s="525"/>
      <c r="AX46" s="525"/>
      <c r="AY46" s="525"/>
      <c r="AZ46" s="525"/>
      <c r="BA46" s="526"/>
      <c r="BB46" s="1"/>
      <c r="BC46" s="1"/>
      <c r="BD46" s="1"/>
      <c r="BE46" s="634"/>
      <c r="BF46" s="634"/>
      <c r="BG46" s="634"/>
      <c r="BH46" s="634"/>
      <c r="BI46" s="634"/>
      <c r="BJ46" s="634"/>
      <c r="BK46" s="963"/>
      <c r="BL46" s="963"/>
      <c r="BM46" s="963"/>
      <c r="BN46" s="635"/>
      <c r="BO46" s="634"/>
      <c r="BP46" s="634"/>
      <c r="BQ46" s="634"/>
      <c r="BR46" s="634"/>
      <c r="BS46" s="3"/>
      <c r="BT46" s="3"/>
      <c r="BU46" s="3"/>
      <c r="BV46" s="3"/>
      <c r="BW46" s="3"/>
      <c r="BX46" s="3"/>
      <c r="BY46" s="3"/>
      <c r="BZ46" s="3"/>
      <c r="CA46" s="3"/>
      <c r="CB46" s="831"/>
      <c r="CC46" s="831"/>
      <c r="CD46" s="831"/>
      <c r="CE46" s="831"/>
      <c r="CF46" s="831"/>
      <c r="CG46" s="831"/>
      <c r="CH46" s="831"/>
      <c r="CI46" s="831"/>
      <c r="CJ46" s="831"/>
      <c r="CK46" s="831"/>
      <c r="CL46" s="831"/>
      <c r="CM46" s="831"/>
      <c r="CN46" s="831"/>
      <c r="CO46" s="831"/>
      <c r="CP46" s="831"/>
      <c r="CQ46" s="831"/>
      <c r="CR46" s="831"/>
      <c r="CS46" s="831"/>
    </row>
    <row r="47" spans="2:97" ht="26.25" customHeight="1" thickBot="1">
      <c r="B47" s="10"/>
      <c r="C47" s="3582"/>
      <c r="D47" s="3583"/>
      <c r="E47" s="3583"/>
      <c r="F47" s="3583"/>
      <c r="G47" s="3584"/>
      <c r="H47" s="561"/>
      <c r="I47" s="312"/>
      <c r="J47" s="312"/>
      <c r="K47" s="312"/>
      <c r="L47" s="3591"/>
      <c r="M47" s="3592"/>
      <c r="N47" s="3592"/>
      <c r="O47" s="3593"/>
      <c r="P47" s="10"/>
      <c r="Q47" s="2875"/>
      <c r="R47" s="2876"/>
      <c r="S47" s="2876"/>
      <c r="T47" s="2876"/>
      <c r="U47" s="2876"/>
      <c r="V47" s="2877"/>
      <c r="W47" s="1096"/>
      <c r="X47" s="2541"/>
      <c r="Y47" s="2541"/>
      <c r="Z47" s="2541"/>
      <c r="AA47" s="2540">
        <f>SUM(X47+Y47+Z47)</f>
        <v>0</v>
      </c>
      <c r="AB47" s="2542"/>
      <c r="AC47" s="10"/>
      <c r="AD47" s="1123"/>
      <c r="AE47" s="1124"/>
      <c r="AF47" s="1125"/>
      <c r="AG47" s="10"/>
      <c r="AH47" s="942"/>
      <c r="AI47" s="1894"/>
      <c r="AJ47" s="1894"/>
      <c r="AK47" s="1894"/>
      <c r="AL47" s="2047"/>
      <c r="AM47" s="2047"/>
      <c r="AN47" s="2047"/>
      <c r="AO47" s="3357"/>
      <c r="AP47" s="3357"/>
      <c r="AQ47" s="3357"/>
      <c r="AR47" s="1894"/>
      <c r="AS47" s="3356"/>
      <c r="AT47" s="3356"/>
      <c r="AU47" s="1895"/>
      <c r="AV47" s="525"/>
      <c r="AW47" s="525"/>
      <c r="AX47" s="525"/>
      <c r="AY47" s="525"/>
      <c r="AZ47" s="525"/>
      <c r="BA47" s="526"/>
      <c r="BB47" s="1"/>
      <c r="BC47" s="1"/>
      <c r="BD47" s="1"/>
      <c r="BE47" s="634"/>
      <c r="BF47" s="634"/>
      <c r="BG47" s="634"/>
      <c r="BH47" s="634"/>
      <c r="BI47" s="634"/>
      <c r="BJ47" s="634"/>
      <c r="BK47" s="963"/>
      <c r="BL47" s="963"/>
      <c r="BM47" s="963"/>
      <c r="BN47" s="635"/>
      <c r="BO47" s="634"/>
      <c r="BP47" s="634"/>
      <c r="BQ47" s="634"/>
      <c r="BR47" s="634"/>
      <c r="BS47" s="3"/>
      <c r="BT47" s="3"/>
      <c r="BU47" s="3"/>
      <c r="BV47" s="3"/>
      <c r="BW47" s="3"/>
      <c r="BX47" s="3"/>
      <c r="BY47" s="3"/>
      <c r="BZ47" s="3"/>
      <c r="CA47" s="3"/>
      <c r="CB47" s="831"/>
      <c r="CC47" s="831"/>
      <c r="CD47" s="831"/>
      <c r="CE47" s="831"/>
      <c r="CF47" s="831"/>
      <c r="CG47" s="831"/>
      <c r="CH47" s="831"/>
      <c r="CI47" s="831"/>
      <c r="CJ47" s="831"/>
      <c r="CK47" s="831"/>
      <c r="CL47" s="831"/>
      <c r="CM47" s="831"/>
      <c r="CN47" s="831"/>
      <c r="CO47" s="831"/>
      <c r="CP47" s="831"/>
      <c r="CQ47" s="831"/>
      <c r="CR47" s="831"/>
      <c r="CS47" s="831"/>
    </row>
    <row r="48" spans="2:97" ht="26.25" customHeight="1" thickBot="1">
      <c r="B48" s="10"/>
      <c r="C48" s="4320"/>
      <c r="D48" s="4321"/>
      <c r="E48" s="4321"/>
      <c r="F48" s="4321"/>
      <c r="G48" s="4322"/>
      <c r="H48" s="561"/>
      <c r="I48" s="312"/>
      <c r="J48" s="312"/>
      <c r="K48" s="312"/>
      <c r="L48" s="3576"/>
      <c r="M48" s="4374"/>
      <c r="N48" s="4374"/>
      <c r="O48" s="3578"/>
      <c r="P48" s="10"/>
      <c r="Q48" s="4290" t="s">
        <v>1592</v>
      </c>
      <c r="R48" s="4291"/>
      <c r="S48" s="4291"/>
      <c r="T48" s="4291"/>
      <c r="U48" s="4291"/>
      <c r="V48" s="4292"/>
      <c r="W48" s="1096"/>
      <c r="X48" s="2541"/>
      <c r="Y48" s="2062"/>
      <c r="Z48" s="2062"/>
      <c r="AA48" s="2062"/>
      <c r="AB48" s="2062"/>
      <c r="AC48" s="10"/>
      <c r="AD48" s="1123"/>
      <c r="AE48" s="1124"/>
      <c r="AF48" s="1125"/>
      <c r="AG48" s="10"/>
      <c r="AH48" s="942"/>
      <c r="AI48" s="1894"/>
      <c r="AJ48" s="1894"/>
      <c r="AK48" s="1894"/>
      <c r="AL48" s="2047"/>
      <c r="AM48" s="2047"/>
      <c r="AN48" s="2047"/>
      <c r="AO48" s="3357"/>
      <c r="AP48" s="3357"/>
      <c r="AQ48" s="3357"/>
      <c r="AR48" s="1894"/>
      <c r="AS48" s="3356"/>
      <c r="AT48" s="3356"/>
      <c r="AU48" s="1895"/>
      <c r="AV48" s="525"/>
      <c r="AW48" s="525"/>
      <c r="AX48" s="525"/>
      <c r="AY48" s="525"/>
      <c r="AZ48" s="525"/>
      <c r="BA48" s="526"/>
      <c r="BB48" s="1"/>
      <c r="BC48" s="1"/>
      <c r="BD48" s="1"/>
      <c r="BE48" s="634"/>
      <c r="BF48" s="634"/>
      <c r="BG48" s="634"/>
      <c r="BH48" s="634"/>
      <c r="BI48" s="634"/>
      <c r="BJ48" s="634"/>
      <c r="BK48" s="963"/>
      <c r="BL48" s="963"/>
      <c r="BM48" s="963"/>
      <c r="BN48" s="635"/>
      <c r="BO48" s="634"/>
      <c r="BP48" s="634"/>
      <c r="BQ48" s="634"/>
      <c r="BR48" s="634"/>
      <c r="BS48" s="3"/>
      <c r="BT48" s="3"/>
      <c r="BU48" s="3"/>
      <c r="BV48" s="3"/>
      <c r="BW48" s="3"/>
      <c r="BX48" s="3"/>
      <c r="BY48" s="3"/>
      <c r="BZ48" s="3"/>
      <c r="CA48" s="3"/>
      <c r="CB48" s="831"/>
      <c r="CC48" s="831"/>
      <c r="CD48" s="831"/>
      <c r="CE48" s="831"/>
      <c r="CF48" s="831"/>
      <c r="CG48" s="831"/>
      <c r="CH48" s="831"/>
      <c r="CI48" s="831"/>
      <c r="CJ48" s="831"/>
      <c r="CK48" s="831"/>
      <c r="CL48" s="831"/>
      <c r="CM48" s="831"/>
      <c r="CN48" s="831"/>
      <c r="CO48" s="831"/>
      <c r="CP48" s="831"/>
      <c r="CQ48" s="831"/>
      <c r="CR48" s="831"/>
      <c r="CS48" s="831"/>
    </row>
    <row r="49" spans="2:97" ht="28.5" customHeight="1" thickBot="1">
      <c r="B49" s="10"/>
      <c r="C49" s="4375" t="s">
        <v>522</v>
      </c>
      <c r="D49" s="4376"/>
      <c r="E49" s="4376"/>
      <c r="F49" s="4376"/>
      <c r="G49" s="4376"/>
      <c r="H49" s="4376"/>
      <c r="I49" s="4376"/>
      <c r="J49" s="4376"/>
      <c r="K49" s="4376"/>
      <c r="L49" s="4376"/>
      <c r="M49" s="4376"/>
      <c r="N49" s="4376"/>
      <c r="O49" s="4377"/>
      <c r="P49" s="10"/>
      <c r="Q49" s="4390" t="s">
        <v>969</v>
      </c>
      <c r="R49" s="4391"/>
      <c r="S49" s="4391"/>
      <c r="T49" s="4391"/>
      <c r="U49" s="4391"/>
      <c r="V49" s="4391"/>
      <c r="W49" s="4391"/>
      <c r="X49" s="4391"/>
      <c r="Y49" s="4391"/>
      <c r="Z49" s="4391"/>
      <c r="AA49" s="4391"/>
      <c r="AB49" s="4392"/>
      <c r="AC49" s="10"/>
      <c r="AD49" s="4394"/>
      <c r="AE49" s="4395"/>
      <c r="AF49" s="4396"/>
      <c r="AG49" s="10"/>
      <c r="AH49" s="942"/>
      <c r="AI49" s="942"/>
      <c r="AJ49" s="942"/>
      <c r="AK49" s="942"/>
      <c r="AL49" s="1548"/>
      <c r="AM49" s="1548"/>
      <c r="AN49" s="1548"/>
      <c r="AO49" s="1895"/>
      <c r="AP49" s="1895"/>
      <c r="AQ49" s="1895"/>
      <c r="AR49" s="1895"/>
      <c r="AS49" s="1895"/>
      <c r="AT49" s="1895"/>
      <c r="AU49" s="1895"/>
      <c r="AV49" s="525"/>
      <c r="AW49" s="525"/>
      <c r="AX49" s="525"/>
      <c r="AY49" s="525"/>
      <c r="AZ49" s="525"/>
      <c r="BA49" s="526"/>
      <c r="BB49" s="1"/>
      <c r="BC49" s="1"/>
      <c r="BD49" s="1"/>
      <c r="BE49" s="634"/>
      <c r="BF49" s="634"/>
      <c r="BG49" s="634"/>
      <c r="BH49" s="634"/>
      <c r="BI49" s="634"/>
      <c r="BJ49" s="634"/>
      <c r="BK49" s="963"/>
      <c r="BL49" s="963"/>
      <c r="BM49" s="963"/>
      <c r="BN49" s="635"/>
      <c r="BO49" s="634"/>
      <c r="BP49" s="634"/>
      <c r="BQ49" s="634"/>
      <c r="BR49" s="634"/>
      <c r="BS49" s="3"/>
      <c r="BT49" s="3"/>
      <c r="BU49" s="3"/>
      <c r="BV49" s="3"/>
      <c r="BW49" s="3"/>
      <c r="BX49" s="3"/>
      <c r="BY49" s="3"/>
      <c r="BZ49" s="3"/>
      <c r="CA49" s="3"/>
      <c r="CB49" s="831"/>
      <c r="CC49" s="831"/>
      <c r="CD49" s="831"/>
      <c r="CE49" s="831"/>
      <c r="CF49" s="831"/>
      <c r="CG49" s="831"/>
      <c r="CH49" s="831"/>
      <c r="CI49" s="831"/>
      <c r="CJ49" s="831"/>
      <c r="CK49" s="831"/>
      <c r="CL49" s="831"/>
      <c r="CM49" s="831"/>
      <c r="CN49" s="831"/>
      <c r="CO49" s="831"/>
      <c r="CP49" s="831"/>
      <c r="CQ49" s="831"/>
      <c r="CR49" s="831"/>
      <c r="CS49" s="831"/>
    </row>
    <row r="50" spans="2:97" ht="30.95" customHeight="1" thickTop="1">
      <c r="B50" s="10"/>
      <c r="C50" s="4317" t="s">
        <v>185</v>
      </c>
      <c r="D50" s="4318"/>
      <c r="E50" s="4318"/>
      <c r="F50" s="4318"/>
      <c r="G50" s="4319"/>
      <c r="H50" s="2070"/>
      <c r="I50" s="301"/>
      <c r="J50" s="301"/>
      <c r="K50" s="301"/>
      <c r="L50" s="3604"/>
      <c r="M50" s="4388">
        <v>6000</v>
      </c>
      <c r="N50" s="4389"/>
      <c r="O50" s="3605"/>
      <c r="P50" s="10"/>
      <c r="Q50" s="4295" t="s">
        <v>972</v>
      </c>
      <c r="R50" s="4296"/>
      <c r="S50" s="4296"/>
      <c r="T50" s="4296"/>
      <c r="U50" s="4296"/>
      <c r="V50" s="4297"/>
      <c r="W50" s="1096"/>
      <c r="X50" s="2521"/>
      <c r="Y50" s="2543"/>
      <c r="Z50" s="2544"/>
      <c r="AA50" s="2522"/>
      <c r="AB50" s="2521"/>
      <c r="AC50" s="10"/>
      <c r="AD50" s="3427"/>
      <c r="AE50" s="3428"/>
      <c r="AF50" s="3429"/>
      <c r="AG50" s="10"/>
      <c r="AH50" s="942"/>
      <c r="AI50" s="942"/>
      <c r="AJ50" s="942"/>
      <c r="AK50" s="942"/>
      <c r="AL50" s="1548"/>
      <c r="AM50" s="1548"/>
      <c r="AN50" s="1548"/>
      <c r="AO50" s="1895"/>
      <c r="AP50" s="1895"/>
      <c r="AQ50" s="1895"/>
      <c r="AR50" s="1895"/>
      <c r="AS50" s="1895"/>
      <c r="AT50" s="1895"/>
      <c r="AU50" s="1895"/>
      <c r="AV50" s="525"/>
      <c r="AW50" s="525"/>
      <c r="AX50" s="525"/>
      <c r="AY50" s="525"/>
      <c r="AZ50" s="525"/>
      <c r="BA50" s="526"/>
      <c r="BB50" s="1"/>
      <c r="BC50" s="1"/>
      <c r="BD50" s="1"/>
      <c r="BE50" s="634"/>
      <c r="BF50" s="634"/>
      <c r="BG50" s="634"/>
      <c r="BH50" s="634"/>
      <c r="BI50" s="634"/>
      <c r="BJ50" s="634"/>
      <c r="BK50" s="963"/>
      <c r="BL50" s="963"/>
      <c r="BM50" s="963"/>
      <c r="BN50" s="635"/>
      <c r="BO50" s="634"/>
      <c r="BP50" s="634"/>
      <c r="BQ50" s="634"/>
      <c r="BR50" s="634"/>
      <c r="BS50" s="3"/>
      <c r="BT50" s="3"/>
      <c r="BU50" s="3"/>
      <c r="BV50" s="3"/>
      <c r="BW50" s="3"/>
      <c r="BX50" s="3"/>
      <c r="BY50" s="3"/>
      <c r="BZ50" s="3"/>
      <c r="CA50" s="3"/>
      <c r="CB50" s="831"/>
      <c r="CC50" s="831"/>
      <c r="CD50" s="831"/>
      <c r="CE50" s="831"/>
      <c r="CF50" s="831"/>
      <c r="CG50" s="831"/>
      <c r="CH50" s="831"/>
      <c r="CI50" s="831"/>
      <c r="CJ50" s="831"/>
      <c r="CK50" s="831"/>
      <c r="CL50" s="831"/>
      <c r="CM50" s="831"/>
      <c r="CN50" s="831"/>
      <c r="CO50" s="831"/>
      <c r="CP50" s="831"/>
      <c r="CQ50" s="831"/>
      <c r="CR50" s="831"/>
      <c r="CS50" s="831"/>
    </row>
    <row r="51" spans="2:97" ht="30.95" customHeight="1" thickBot="1">
      <c r="B51" s="10"/>
      <c r="C51" s="4287" t="s">
        <v>187</v>
      </c>
      <c r="D51" s="4288"/>
      <c r="E51" s="4288"/>
      <c r="F51" s="4288"/>
      <c r="G51" s="4289"/>
      <c r="H51" s="2071"/>
      <c r="I51" s="301"/>
      <c r="J51" s="301"/>
      <c r="K51" s="301"/>
      <c r="L51" s="2067"/>
      <c r="M51" s="4293"/>
      <c r="N51" s="4294"/>
      <c r="O51" s="2068"/>
      <c r="P51" s="10"/>
      <c r="Q51" s="4298" t="s">
        <v>843</v>
      </c>
      <c r="R51" s="4299"/>
      <c r="S51" s="4299"/>
      <c r="T51" s="4299"/>
      <c r="U51" s="4299"/>
      <c r="V51" s="4300"/>
      <c r="W51" s="1096"/>
      <c r="X51" s="2521"/>
      <c r="Y51" s="2545"/>
      <c r="Z51" s="2546"/>
      <c r="AA51" s="2522"/>
      <c r="AB51" s="2521"/>
      <c r="AC51" s="10"/>
      <c r="AD51" s="3430"/>
      <c r="AE51" s="2082"/>
      <c r="AF51" s="3431"/>
      <c r="AG51" s="10"/>
      <c r="AH51" s="942"/>
      <c r="AI51" s="942"/>
      <c r="AJ51" s="942"/>
      <c r="AK51" s="942"/>
      <c r="AL51" s="1548"/>
      <c r="AM51" s="1548"/>
      <c r="AN51" s="1548"/>
      <c r="AO51" s="1895"/>
      <c r="AP51" s="1895"/>
      <c r="AQ51" s="1895"/>
      <c r="AR51" s="1895"/>
      <c r="AS51" s="1895"/>
      <c r="AT51" s="1895"/>
      <c r="AU51" s="1895"/>
      <c r="AV51" s="299"/>
      <c r="AW51" s="299"/>
      <c r="AX51" s="299"/>
      <c r="AY51" s="299"/>
      <c r="AZ51" s="299"/>
      <c r="BA51" s="49"/>
      <c r="BB51" s="7"/>
      <c r="BC51" s="7"/>
      <c r="BD51" s="7"/>
      <c r="BE51" s="634"/>
      <c r="BF51" s="634"/>
      <c r="BG51" s="634"/>
      <c r="BH51" s="634"/>
      <c r="BI51" s="634"/>
      <c r="BJ51" s="634"/>
      <c r="BK51" s="963"/>
      <c r="BL51" s="963"/>
      <c r="BM51" s="963"/>
      <c r="BN51" s="635"/>
      <c r="BO51" s="634"/>
      <c r="BP51" s="634"/>
      <c r="BQ51" s="634"/>
      <c r="BR51" s="634"/>
      <c r="BS51" s="3"/>
      <c r="BT51" s="3"/>
      <c r="BU51" s="3"/>
      <c r="BV51" s="3"/>
      <c r="BW51" s="3"/>
      <c r="BX51" s="3"/>
      <c r="BY51" s="3"/>
      <c r="BZ51" s="3"/>
      <c r="CA51" s="3"/>
      <c r="CB51" s="831"/>
      <c r="CC51" s="831"/>
      <c r="CD51" s="831"/>
      <c r="CE51" s="831"/>
      <c r="CF51" s="831"/>
      <c r="CG51" s="831"/>
      <c r="CH51" s="831"/>
      <c r="CI51" s="831"/>
      <c r="CJ51" s="831"/>
      <c r="CK51" s="831"/>
      <c r="CL51" s="831"/>
      <c r="CM51" s="831"/>
      <c r="CN51" s="831"/>
      <c r="CO51" s="831"/>
      <c r="CP51" s="831"/>
      <c r="CQ51" s="831"/>
      <c r="CR51" s="831"/>
      <c r="CS51" s="831"/>
    </row>
    <row r="52" spans="2:97" ht="30.95" customHeight="1" thickTop="1" thickBot="1">
      <c r="B52" s="10"/>
      <c r="C52" s="4276" t="s">
        <v>669</v>
      </c>
      <c r="D52" s="4277"/>
      <c r="E52" s="4277"/>
      <c r="F52" s="4277"/>
      <c r="G52" s="4278"/>
      <c r="H52" s="2072"/>
      <c r="I52" s="1213"/>
      <c r="J52" s="1213"/>
      <c r="K52" s="1213"/>
      <c r="L52" s="3602"/>
      <c r="M52" s="4293">
        <v>5000</v>
      </c>
      <c r="N52" s="4294"/>
      <c r="O52" s="3603"/>
      <c r="P52" s="10"/>
      <c r="Q52" s="4328" t="str">
        <f>Formula!DJ6</f>
        <v>Select the Date of Acquiring of Ph.D  Qualification</v>
      </c>
      <c r="R52" s="4329"/>
      <c r="S52" s="4329"/>
      <c r="T52" s="4329"/>
      <c r="U52" s="4329"/>
      <c r="V52" s="4330"/>
      <c r="W52" s="1096"/>
      <c r="X52" s="2521"/>
      <c r="Y52" s="2545"/>
      <c r="Z52" s="2546"/>
      <c r="AA52" s="2522"/>
      <c r="AB52" s="2521"/>
      <c r="AC52" s="10"/>
      <c r="AD52" s="4371"/>
      <c r="AE52" s="4372"/>
      <c r="AF52" s="4373"/>
      <c r="AG52" s="10"/>
      <c r="AH52" s="942"/>
      <c r="AI52" s="942"/>
      <c r="AJ52" s="942"/>
      <c r="AK52" s="942"/>
      <c r="AL52" s="1548"/>
      <c r="AM52" s="1548"/>
      <c r="AN52" s="1548"/>
      <c r="AO52" s="1895"/>
      <c r="AP52" s="1895"/>
      <c r="AQ52" s="1895"/>
      <c r="AR52" s="1895"/>
      <c r="AS52" s="1895"/>
      <c r="AT52" s="1895"/>
      <c r="AU52" s="1895"/>
      <c r="AV52" s="299"/>
      <c r="AW52" s="299"/>
      <c r="AX52" s="299"/>
      <c r="AY52" s="299"/>
      <c r="AZ52" s="299"/>
      <c r="BA52" s="49"/>
      <c r="BB52" s="7"/>
      <c r="BC52" s="7"/>
      <c r="BD52" s="7"/>
      <c r="BE52" s="634"/>
      <c r="BF52" s="634"/>
      <c r="BG52" s="634"/>
      <c r="BH52" s="634"/>
      <c r="BI52" s="634"/>
      <c r="BJ52" s="634"/>
      <c r="BK52" s="963"/>
      <c r="BL52" s="963"/>
      <c r="BM52" s="963"/>
      <c r="BN52" s="635"/>
      <c r="BO52" s="634"/>
      <c r="BP52" s="634"/>
      <c r="BQ52" s="634"/>
      <c r="BR52" s="634"/>
      <c r="BS52" s="3"/>
      <c r="BT52" s="3"/>
      <c r="BU52" s="3"/>
      <c r="BV52" s="3"/>
      <c r="BW52" s="3"/>
      <c r="BX52" s="3"/>
      <c r="BY52" s="3"/>
      <c r="BZ52" s="3"/>
      <c r="CA52" s="3"/>
      <c r="CB52" s="831"/>
      <c r="CC52" s="831"/>
      <c r="CD52" s="831"/>
      <c r="CE52" s="831"/>
      <c r="CF52" s="831"/>
      <c r="CG52" s="831"/>
      <c r="CH52" s="831"/>
      <c r="CI52" s="831"/>
      <c r="CJ52" s="831"/>
      <c r="CK52" s="831"/>
      <c r="CL52" s="831"/>
      <c r="CM52" s="831"/>
      <c r="CN52" s="831"/>
      <c r="CO52" s="831"/>
      <c r="CP52" s="831"/>
      <c r="CQ52" s="831"/>
      <c r="CR52" s="831"/>
      <c r="CS52" s="831"/>
    </row>
    <row r="53" spans="2:97" ht="30.95" customHeight="1" thickBot="1">
      <c r="B53" s="10"/>
      <c r="C53" s="4276" t="s">
        <v>670</v>
      </c>
      <c r="D53" s="4277"/>
      <c r="E53" s="4277"/>
      <c r="F53" s="4277"/>
      <c r="G53" s="4278"/>
      <c r="H53" s="2072"/>
      <c r="I53" s="1101"/>
      <c r="J53" s="1101"/>
      <c r="K53" s="1101"/>
      <c r="L53" s="2067"/>
      <c r="M53" s="4293"/>
      <c r="N53" s="4294"/>
      <c r="O53" s="2068"/>
      <c r="P53" s="10"/>
      <c r="Q53" s="4379" t="str">
        <f>Formula!DJ7</f>
        <v xml:space="preserve"> UGC-2016 Pay Scale as on  the Date of Acquiring of Ph.D  Qualification</v>
      </c>
      <c r="R53" s="4325"/>
      <c r="S53" s="4325"/>
      <c r="T53" s="4325"/>
      <c r="U53" s="4325"/>
      <c r="V53" s="4380"/>
      <c r="W53" s="1096"/>
      <c r="X53" s="2521"/>
      <c r="Y53" s="4386" t="str">
        <f>Formula!DS7</f>
        <v>Rs.79800-211500</v>
      </c>
      <c r="Z53" s="4387"/>
      <c r="AA53" s="2522"/>
      <c r="AB53" s="2521"/>
      <c r="AC53" s="10"/>
      <c r="AD53" s="3432"/>
      <c r="AE53" s="2083"/>
      <c r="AF53" s="3433"/>
      <c r="AG53" s="10"/>
      <c r="AH53" s="942"/>
      <c r="AI53" s="942"/>
      <c r="AJ53" s="942"/>
      <c r="AK53" s="942"/>
      <c r="AL53" s="1548"/>
      <c r="AM53" s="1548"/>
      <c r="AN53" s="1548"/>
      <c r="AO53" s="1895"/>
      <c r="AP53" s="1895"/>
      <c r="AQ53" s="1895"/>
      <c r="AR53" s="1895"/>
      <c r="AS53" s="1895"/>
      <c r="AT53" s="1895"/>
      <c r="AU53" s="1895"/>
      <c r="AV53" s="299"/>
      <c r="AW53" s="299"/>
      <c r="AX53" s="299"/>
      <c r="AY53" s="299"/>
      <c r="AZ53" s="299"/>
      <c r="BA53" s="49"/>
      <c r="BB53" s="7"/>
      <c r="BC53" s="7"/>
      <c r="BD53" s="7"/>
      <c r="BE53" s="634"/>
      <c r="BF53" s="634"/>
      <c r="BG53" s="634"/>
      <c r="BH53" s="634"/>
      <c r="BI53" s="634"/>
      <c r="BJ53" s="634"/>
      <c r="BK53" s="963"/>
      <c r="BL53" s="963"/>
      <c r="BM53" s="963"/>
      <c r="BN53" s="635"/>
      <c r="BO53" s="634"/>
      <c r="BP53" s="634"/>
      <c r="BQ53" s="634"/>
      <c r="BR53" s="634"/>
      <c r="BS53" s="3"/>
      <c r="BT53" s="3"/>
      <c r="BU53" s="3"/>
      <c r="BV53" s="3"/>
      <c r="BW53" s="3"/>
      <c r="BX53" s="3"/>
      <c r="BY53" s="3"/>
      <c r="BZ53" s="3"/>
      <c r="CA53" s="3"/>
      <c r="CB53" s="831"/>
      <c r="CC53" s="831"/>
      <c r="CD53" s="831"/>
      <c r="CE53" s="831"/>
      <c r="CF53" s="831"/>
      <c r="CG53" s="831"/>
      <c r="CH53" s="831"/>
      <c r="CI53" s="831"/>
      <c r="CJ53" s="831"/>
      <c r="CK53" s="831"/>
      <c r="CL53" s="831"/>
      <c r="CM53" s="831"/>
      <c r="CN53" s="831"/>
      <c r="CO53" s="831"/>
      <c r="CP53" s="831"/>
      <c r="CQ53" s="831"/>
      <c r="CR53" s="831"/>
      <c r="CS53" s="831"/>
    </row>
    <row r="54" spans="2:97" ht="30.95" customHeight="1" thickBot="1">
      <c r="B54" s="10"/>
      <c r="C54" s="4276" t="s">
        <v>190</v>
      </c>
      <c r="D54" s="4277"/>
      <c r="E54" s="4277"/>
      <c r="F54" s="4277"/>
      <c r="G54" s="4278"/>
      <c r="H54" s="2072"/>
      <c r="I54" s="1100"/>
      <c r="J54" s="1100"/>
      <c r="K54" s="1100"/>
      <c r="L54" s="3602"/>
      <c r="M54" s="4293">
        <v>120</v>
      </c>
      <c r="N54" s="4294"/>
      <c r="O54" s="3603"/>
      <c r="P54" s="10"/>
      <c r="Q54" s="4328" t="s">
        <v>836</v>
      </c>
      <c r="R54" s="4329"/>
      <c r="S54" s="4329"/>
      <c r="T54" s="4329"/>
      <c r="U54" s="4329"/>
      <c r="V54" s="4330"/>
      <c r="W54" s="1096"/>
      <c r="X54" s="2521"/>
      <c r="Y54" s="4331">
        <f>Formula!DS8</f>
        <v>12</v>
      </c>
      <c r="Z54" s="4332"/>
      <c r="AA54" s="2522"/>
      <c r="AB54" s="2521"/>
      <c r="AC54" s="10"/>
      <c r="AD54" s="3432"/>
      <c r="AE54" s="2083"/>
      <c r="AF54" s="3433"/>
      <c r="AG54" s="10"/>
      <c r="AH54" s="942"/>
      <c r="AI54" s="942"/>
      <c r="AJ54" s="942"/>
      <c r="AK54" s="942"/>
      <c r="AL54" s="1548"/>
      <c r="AM54" s="1548"/>
      <c r="AN54" s="1548"/>
      <c r="AO54" s="1895"/>
      <c r="AP54" s="1895"/>
      <c r="AQ54" s="1895"/>
      <c r="AR54" s="1895"/>
      <c r="AS54" s="1895"/>
      <c r="AT54" s="1895"/>
      <c r="AU54" s="1895"/>
      <c r="AV54" s="299"/>
      <c r="AW54" s="299"/>
      <c r="AX54" s="299"/>
      <c r="AY54" s="299"/>
      <c r="AZ54" s="299"/>
      <c r="BA54" s="49"/>
      <c r="BB54" s="7"/>
      <c r="BC54" s="7"/>
      <c r="BD54" s="7"/>
      <c r="BE54" s="634"/>
      <c r="BF54" s="634"/>
      <c r="BG54" s="634"/>
      <c r="BH54" s="634"/>
      <c r="BI54" s="634"/>
      <c r="BJ54" s="634"/>
      <c r="BK54" s="963"/>
      <c r="BL54" s="963"/>
      <c r="BM54" s="963"/>
      <c r="BN54" s="635"/>
      <c r="BO54" s="634"/>
      <c r="BP54" s="634"/>
      <c r="BQ54" s="634"/>
      <c r="BR54" s="634"/>
      <c r="BS54" s="3"/>
      <c r="BT54" s="3"/>
      <c r="BU54" s="3"/>
      <c r="BV54" s="3"/>
      <c r="BW54" s="3"/>
      <c r="BX54" s="3"/>
      <c r="BY54" s="3"/>
      <c r="BZ54" s="3"/>
      <c r="CA54" s="3"/>
      <c r="CB54" s="831"/>
      <c r="CC54" s="831"/>
      <c r="CD54" s="831"/>
      <c r="CE54" s="831"/>
      <c r="CF54" s="831"/>
      <c r="CG54" s="831"/>
      <c r="CH54" s="831"/>
      <c r="CI54" s="831"/>
      <c r="CJ54" s="831"/>
      <c r="CK54" s="831"/>
      <c r="CL54" s="831"/>
      <c r="CM54" s="831"/>
      <c r="CN54" s="831"/>
      <c r="CO54" s="831"/>
      <c r="CP54" s="831"/>
      <c r="CQ54" s="831"/>
      <c r="CR54" s="831"/>
      <c r="CS54" s="831"/>
    </row>
    <row r="55" spans="2:97" ht="30.95" customHeight="1" thickBot="1">
      <c r="B55" s="10"/>
      <c r="C55" s="4276" t="s">
        <v>191</v>
      </c>
      <c r="D55" s="4277"/>
      <c r="E55" s="4277"/>
      <c r="F55" s="4277"/>
      <c r="G55" s="4278"/>
      <c r="H55" s="2072"/>
      <c r="I55" s="1100"/>
      <c r="J55" s="1100"/>
      <c r="K55" s="1100"/>
      <c r="L55" s="2067"/>
      <c r="M55" s="4293"/>
      <c r="N55" s="4294"/>
      <c r="O55" s="2068"/>
      <c r="P55" s="10"/>
      <c r="Q55" s="4314" t="str">
        <f>Formula!DI9</f>
        <v>Select Basic Pay as on the Date of Aquiring of  Ph.D  Qualification</v>
      </c>
      <c r="R55" s="4315"/>
      <c r="S55" s="4315"/>
      <c r="T55" s="4315"/>
      <c r="U55" s="4315"/>
      <c r="V55" s="4316"/>
      <c r="W55" s="1095"/>
      <c r="X55" s="2521"/>
      <c r="Y55" s="4331"/>
      <c r="Z55" s="4332"/>
      <c r="AA55" s="2521"/>
      <c r="AB55" s="2521"/>
      <c r="AC55" s="10"/>
      <c r="AD55" s="3434"/>
      <c r="AE55" s="3435"/>
      <c r="AF55" s="3436"/>
      <c r="AG55" s="10"/>
      <c r="AH55" s="942"/>
      <c r="AI55" s="942"/>
      <c r="AJ55" s="942"/>
      <c r="AK55" s="942"/>
      <c r="AL55" s="1548"/>
      <c r="AM55" s="1548"/>
      <c r="AN55" s="1548"/>
      <c r="AO55" s="1895"/>
      <c r="AP55" s="1895"/>
      <c r="AQ55" s="1895"/>
      <c r="AR55" s="1895"/>
      <c r="AS55" s="1895"/>
      <c r="AT55" s="1895"/>
      <c r="AU55" s="1895"/>
      <c r="AV55" s="299"/>
      <c r="AW55" s="299"/>
      <c r="AX55" s="299"/>
      <c r="AY55" s="299"/>
      <c r="AZ55" s="299"/>
      <c r="BA55" s="49"/>
      <c r="BB55" s="7"/>
      <c r="BC55" s="7"/>
      <c r="BD55" s="7"/>
      <c r="BE55" s="634"/>
      <c r="BF55" s="634"/>
      <c r="BG55" s="634"/>
      <c r="BH55" s="634"/>
      <c r="BI55" s="634"/>
      <c r="BJ55" s="634"/>
      <c r="BK55" s="963"/>
      <c r="BL55" s="963"/>
      <c r="BM55" s="963"/>
      <c r="BN55" s="635"/>
      <c r="BO55" s="634"/>
      <c r="BP55" s="634"/>
      <c r="BQ55" s="634"/>
      <c r="BR55" s="634"/>
      <c r="BS55" s="3"/>
      <c r="BT55" s="3"/>
      <c r="BU55" s="3"/>
      <c r="BV55" s="3"/>
      <c r="BW55" s="3"/>
      <c r="BX55" s="3"/>
      <c r="BY55" s="3"/>
      <c r="BZ55" s="3"/>
      <c r="CA55" s="3"/>
      <c r="CB55" s="831"/>
      <c r="CC55" s="831"/>
      <c r="CD55" s="831"/>
      <c r="CE55" s="831"/>
      <c r="CF55" s="831"/>
      <c r="CG55" s="831"/>
      <c r="CH55" s="831"/>
      <c r="CI55" s="831"/>
      <c r="CJ55" s="831"/>
      <c r="CK55" s="831"/>
      <c r="CL55" s="831"/>
      <c r="CM55" s="831"/>
      <c r="CN55" s="831"/>
      <c r="CO55" s="831"/>
      <c r="CP55" s="831"/>
      <c r="CQ55" s="831"/>
      <c r="CR55" s="831"/>
      <c r="CS55" s="831"/>
    </row>
    <row r="56" spans="2:97" ht="34.5" customHeight="1" thickBot="1">
      <c r="B56" s="10"/>
      <c r="C56" s="4267" t="s">
        <v>192</v>
      </c>
      <c r="D56" s="4268"/>
      <c r="E56" s="4268"/>
      <c r="F56" s="4268"/>
      <c r="G56" s="4269"/>
      <c r="H56" s="2073"/>
      <c r="I56" s="1102"/>
      <c r="J56" s="1102"/>
      <c r="K56" s="1102"/>
      <c r="L56" s="3602"/>
      <c r="M56" s="4282">
        <v>200</v>
      </c>
      <c r="N56" s="4283"/>
      <c r="O56" s="3603"/>
      <c r="P56" s="313"/>
      <c r="Q56" s="4279" t="str">
        <f>Formula!DI10</f>
        <v>Select the Date of Next AGI in the Existing Academic Level-12</v>
      </c>
      <c r="R56" s="4280"/>
      <c r="S56" s="4280"/>
      <c r="T56" s="4280"/>
      <c r="U56" s="4280"/>
      <c r="V56" s="4281"/>
      <c r="W56" s="1096"/>
      <c r="X56" s="2521"/>
      <c r="Y56" s="2545"/>
      <c r="Z56" s="2546"/>
      <c r="AA56" s="2521"/>
      <c r="AB56" s="2521"/>
      <c r="AC56" s="10"/>
      <c r="AD56" s="2864"/>
      <c r="AE56" s="2864"/>
      <c r="AF56" s="2864"/>
      <c r="AG56" s="10"/>
      <c r="AH56" s="1548"/>
      <c r="AI56" s="1548"/>
      <c r="AJ56" s="1548"/>
      <c r="AK56" s="1548"/>
      <c r="AL56" s="1548"/>
      <c r="AM56" s="1548"/>
      <c r="AN56" s="1548"/>
      <c r="AO56" s="1548"/>
      <c r="AP56" s="1548"/>
      <c r="AQ56" s="1548"/>
      <c r="AR56" s="1548"/>
      <c r="AS56" s="1896"/>
      <c r="AT56" s="1896"/>
      <c r="AU56" s="1896"/>
      <c r="AV56" s="50"/>
      <c r="AW56" s="50"/>
      <c r="AX56" s="47"/>
      <c r="AY56" s="47"/>
      <c r="AZ56" s="7"/>
      <c r="BA56" s="7"/>
      <c r="BB56" s="7"/>
      <c r="BC56" s="7"/>
      <c r="BD56" s="7"/>
      <c r="BE56" s="634"/>
      <c r="BF56" s="634"/>
      <c r="BG56" s="634"/>
      <c r="BH56" s="634"/>
      <c r="BI56" s="634"/>
      <c r="BJ56" s="634"/>
      <c r="BK56" s="634"/>
      <c r="BL56" s="634"/>
      <c r="BM56" s="634"/>
      <c r="BN56" s="634"/>
      <c r="BO56" s="634"/>
      <c r="BP56" s="634"/>
      <c r="BQ56" s="634"/>
      <c r="BR56" s="634"/>
      <c r="BS56" s="3"/>
      <c r="BT56" s="3"/>
      <c r="BU56" s="3"/>
      <c r="BV56" s="3"/>
      <c r="BW56" s="3"/>
      <c r="BX56" s="3"/>
      <c r="BY56" s="3"/>
      <c r="BZ56" s="3"/>
      <c r="CA56" s="3"/>
      <c r="CB56" s="831"/>
      <c r="CC56" s="831"/>
      <c r="CD56" s="831"/>
      <c r="CE56" s="831"/>
      <c r="CF56" s="831"/>
      <c r="CG56" s="831"/>
      <c r="CH56" s="831"/>
      <c r="CI56" s="831"/>
      <c r="CJ56" s="831"/>
      <c r="CK56" s="831"/>
      <c r="CL56" s="831"/>
      <c r="CM56" s="831"/>
      <c r="CN56" s="831"/>
      <c r="CO56" s="831"/>
      <c r="CP56" s="831"/>
      <c r="CQ56" s="831"/>
      <c r="CR56" s="831"/>
      <c r="CS56" s="831"/>
    </row>
    <row r="57" spans="2:97" ht="35.25" customHeight="1" thickBot="1">
      <c r="B57" s="10"/>
      <c r="C57" s="4267" t="s">
        <v>194</v>
      </c>
      <c r="D57" s="4268"/>
      <c r="E57" s="4268"/>
      <c r="F57" s="4268"/>
      <c r="G57" s="4269"/>
      <c r="H57" s="2073"/>
      <c r="I57" s="2751"/>
      <c r="J57" s="2751"/>
      <c r="K57" s="2751"/>
      <c r="L57" s="2067"/>
      <c r="M57" s="4357"/>
      <c r="N57" s="4358"/>
      <c r="O57" s="2068"/>
      <c r="P57" s="313"/>
      <c r="Q57" s="4325" t="str">
        <f>Formula!DI32</f>
        <v xml:space="preserve">After Sanction of Incentive Increments for Ph.D Qualification .The Pay  as on 1-Mar-25 will be fixed at </v>
      </c>
      <c r="R57" s="4325"/>
      <c r="S57" s="4325"/>
      <c r="T57" s="4325"/>
      <c r="U57" s="4325"/>
      <c r="V57" s="4325"/>
      <c r="W57" s="1096"/>
      <c r="X57" s="2521"/>
      <c r="Y57" s="4776">
        <f ca="1">Formula!DS11</f>
        <v>107200</v>
      </c>
      <c r="Z57" s="4777"/>
      <c r="AA57" s="2521"/>
      <c r="AB57" s="2521"/>
      <c r="AC57" s="10"/>
      <c r="AD57" s="2864"/>
      <c r="AE57" s="2864"/>
      <c r="AF57" s="2864"/>
      <c r="AG57" s="10"/>
      <c r="AH57" s="1548"/>
      <c r="AI57" s="1548"/>
      <c r="AJ57" s="1548"/>
      <c r="AK57" s="1548"/>
      <c r="AL57" s="1548"/>
      <c r="AM57" s="1548"/>
      <c r="AN57" s="1548"/>
      <c r="AO57" s="1548"/>
      <c r="AP57" s="1548"/>
      <c r="AQ57" s="1548"/>
      <c r="AR57" s="1548"/>
      <c r="AS57" s="1896"/>
      <c r="AT57" s="1896"/>
      <c r="AU57" s="1896"/>
      <c r="AV57" s="50"/>
      <c r="AW57" s="50"/>
      <c r="AX57" s="47"/>
      <c r="AY57" s="47"/>
      <c r="AZ57" s="7"/>
      <c r="BA57" s="7"/>
      <c r="BB57" s="7"/>
      <c r="BC57" s="7"/>
      <c r="BD57" s="7"/>
      <c r="BE57" s="634"/>
      <c r="BF57" s="634"/>
      <c r="BG57" s="634"/>
      <c r="BH57" s="634"/>
      <c r="BI57" s="634"/>
      <c r="BJ57" s="634"/>
      <c r="BK57" s="634"/>
      <c r="BL57" s="634"/>
      <c r="BM57" s="634"/>
      <c r="BN57" s="634"/>
      <c r="BO57" s="634"/>
      <c r="BP57" s="634"/>
      <c r="BQ57" s="634"/>
      <c r="BR57" s="634"/>
      <c r="BS57" s="3"/>
      <c r="BT57" s="3"/>
      <c r="BU57" s="3"/>
      <c r="BV57" s="3"/>
      <c r="BW57" s="3"/>
      <c r="BX57" s="3"/>
      <c r="BY57" s="3"/>
      <c r="BZ57" s="3"/>
      <c r="CA57" s="3"/>
      <c r="CB57" s="831"/>
      <c r="CC57" s="831"/>
      <c r="CD57" s="831"/>
      <c r="CE57" s="831"/>
      <c r="CF57" s="831"/>
      <c r="CG57" s="831"/>
      <c r="CH57" s="831"/>
      <c r="CI57" s="831"/>
      <c r="CJ57" s="831"/>
      <c r="CK57" s="831"/>
      <c r="CL57" s="831"/>
      <c r="CM57" s="831"/>
      <c r="CN57" s="831"/>
      <c r="CO57" s="831"/>
      <c r="CP57" s="831"/>
      <c r="CQ57" s="831"/>
      <c r="CR57" s="831"/>
      <c r="CS57" s="831"/>
    </row>
    <row r="58" spans="2:97" ht="35.25" customHeight="1" thickBot="1">
      <c r="B58" s="10"/>
      <c r="C58" s="3594"/>
      <c r="D58" s="3595"/>
      <c r="E58" s="3595"/>
      <c r="F58" s="3595"/>
      <c r="G58" s="3596"/>
      <c r="H58" s="2073"/>
      <c r="I58" s="2751"/>
      <c r="J58" s="2751"/>
      <c r="K58" s="2751"/>
      <c r="L58" s="3597"/>
      <c r="M58" s="3598"/>
      <c r="N58" s="3598"/>
      <c r="O58" s="3599"/>
      <c r="P58" s="313"/>
      <c r="Q58" s="4778" t="str">
        <f>Formula!DI12</f>
        <v>You have claimed  Ph.D  Incentive Increments Arrears upto the Month</v>
      </c>
      <c r="R58" s="4778"/>
      <c r="S58" s="4778"/>
      <c r="T58" s="4778"/>
      <c r="U58" s="4778"/>
      <c r="V58" s="4778"/>
      <c r="W58" s="1096"/>
      <c r="X58" s="2521"/>
      <c r="Y58" s="2545"/>
      <c r="Z58" s="2546"/>
      <c r="AA58" s="2521"/>
      <c r="AB58" s="2521"/>
      <c r="AC58" s="10"/>
      <c r="AD58" s="2864"/>
      <c r="AE58" s="2864"/>
      <c r="AF58" s="2864"/>
      <c r="AG58" s="10"/>
      <c r="AH58" s="1548"/>
      <c r="AI58" s="1548"/>
      <c r="AJ58" s="1548"/>
      <c r="AK58" s="1548"/>
      <c r="AL58" s="1548"/>
      <c r="AM58" s="1548"/>
      <c r="AN58" s="1548"/>
      <c r="AO58" s="1548"/>
      <c r="AP58" s="1548"/>
      <c r="AQ58" s="1548"/>
      <c r="AR58" s="1548"/>
      <c r="AS58" s="1896"/>
      <c r="AT58" s="1896"/>
      <c r="AU58" s="1896"/>
      <c r="AV58" s="50"/>
      <c r="AW58" s="50"/>
      <c r="AX58" s="47"/>
      <c r="AY58" s="47"/>
      <c r="AZ58" s="7"/>
      <c r="BA58" s="7"/>
      <c r="BB58" s="7"/>
      <c r="BC58" s="7"/>
      <c r="BD58" s="7"/>
      <c r="BE58" s="634"/>
      <c r="BF58" s="634"/>
      <c r="BG58" s="634"/>
      <c r="BH58" s="634"/>
      <c r="BI58" s="634"/>
      <c r="BJ58" s="634"/>
      <c r="BK58" s="634"/>
      <c r="BL58" s="634"/>
      <c r="BM58" s="634"/>
      <c r="BN58" s="634"/>
      <c r="BO58" s="634"/>
      <c r="BP58" s="634"/>
      <c r="BQ58" s="634"/>
      <c r="BR58" s="634"/>
      <c r="BS58" s="3"/>
      <c r="BT58" s="3"/>
      <c r="BU58" s="3"/>
      <c r="BV58" s="3"/>
      <c r="BW58" s="3"/>
      <c r="BX58" s="3"/>
      <c r="BY58" s="3"/>
      <c r="BZ58" s="3"/>
      <c r="CA58" s="3"/>
      <c r="CB58" s="831"/>
      <c r="CC58" s="831"/>
      <c r="CD58" s="831"/>
      <c r="CE58" s="831"/>
      <c r="CF58" s="831"/>
      <c r="CG58" s="831"/>
      <c r="CH58" s="831"/>
      <c r="CI58" s="831"/>
      <c r="CJ58" s="831"/>
      <c r="CK58" s="831"/>
      <c r="CL58" s="831"/>
      <c r="CM58" s="831"/>
      <c r="CN58" s="831"/>
      <c r="CO58" s="831"/>
      <c r="CP58" s="831"/>
      <c r="CQ58" s="831"/>
      <c r="CR58" s="831"/>
      <c r="CS58" s="831"/>
    </row>
    <row r="59" spans="2:97" ht="35.25" customHeight="1" thickBot="1">
      <c r="B59" s="10"/>
      <c r="C59" s="4264"/>
      <c r="D59" s="4265"/>
      <c r="E59" s="4265"/>
      <c r="F59" s="4265"/>
      <c r="G59" s="4266"/>
      <c r="H59" s="2073"/>
      <c r="I59" s="2751"/>
      <c r="J59" s="2751"/>
      <c r="K59" s="2751"/>
      <c r="L59" s="3597"/>
      <c r="M59" s="3600"/>
      <c r="N59" s="3600"/>
      <c r="O59" s="3599"/>
      <c r="P59" s="313"/>
      <c r="Q59" s="4771" t="str">
        <f>Formula!DB168</f>
        <v>Ph.D Incentive  Increment Arrears Details</v>
      </c>
      <c r="R59" s="4772"/>
      <c r="S59" s="4772"/>
      <c r="T59" s="4772"/>
      <c r="U59" s="4772"/>
      <c r="V59" s="4773"/>
      <c r="W59" s="1096"/>
      <c r="X59" s="2865" t="s">
        <v>521</v>
      </c>
      <c r="Y59" s="2866" t="s">
        <v>188</v>
      </c>
      <c r="Z59" s="2866" t="s">
        <v>189</v>
      </c>
      <c r="AA59" s="2865" t="s">
        <v>31</v>
      </c>
      <c r="AB59" s="2865" t="str">
        <f>IF(Formula!GE3=2,"CPS","")</f>
        <v/>
      </c>
      <c r="AC59" s="10"/>
      <c r="AD59" s="2864"/>
      <c r="AE59" s="2864"/>
      <c r="AF59" s="2864"/>
      <c r="AG59" s="10"/>
      <c r="AH59" s="1548"/>
      <c r="AI59" s="1548"/>
      <c r="AJ59" s="1548"/>
      <c r="AK59" s="1548"/>
      <c r="AL59" s="1548"/>
      <c r="AM59" s="1548"/>
      <c r="AN59" s="1548"/>
      <c r="AO59" s="1548"/>
      <c r="AP59" s="1548"/>
      <c r="AQ59" s="1548"/>
      <c r="AR59" s="1548"/>
      <c r="AS59" s="1896"/>
      <c r="AT59" s="1896"/>
      <c r="AU59" s="1896"/>
      <c r="AV59" s="50"/>
      <c r="AW59" s="50"/>
      <c r="AX59" s="47"/>
      <c r="AY59" s="47"/>
      <c r="AZ59" s="7"/>
      <c r="BA59" s="7"/>
      <c r="BB59" s="7"/>
      <c r="BC59" s="7"/>
      <c r="BD59" s="7"/>
      <c r="BE59" s="634"/>
      <c r="BF59" s="634"/>
      <c r="BG59" s="634"/>
      <c r="BH59" s="634"/>
      <c r="BI59" s="634"/>
      <c r="BJ59" s="634"/>
      <c r="BK59" s="634"/>
      <c r="BL59" s="634"/>
      <c r="BM59" s="634"/>
      <c r="BN59" s="634"/>
      <c r="BO59" s="634"/>
      <c r="BP59" s="634"/>
      <c r="BQ59" s="634"/>
      <c r="BR59" s="634"/>
      <c r="BS59" s="3"/>
      <c r="BT59" s="3"/>
      <c r="BU59" s="3"/>
      <c r="BV59" s="3"/>
      <c r="BW59" s="3"/>
      <c r="BX59" s="3"/>
      <c r="BY59" s="3"/>
      <c r="BZ59" s="3"/>
      <c r="CA59" s="3"/>
      <c r="CB59" s="831"/>
      <c r="CC59" s="831"/>
      <c r="CD59" s="831"/>
      <c r="CE59" s="831"/>
      <c r="CF59" s="831"/>
      <c r="CG59" s="831"/>
      <c r="CH59" s="831"/>
      <c r="CI59" s="831"/>
      <c r="CJ59" s="831"/>
      <c r="CK59" s="831"/>
      <c r="CL59" s="831"/>
      <c r="CM59" s="831"/>
      <c r="CN59" s="831"/>
      <c r="CO59" s="831"/>
      <c r="CP59" s="831"/>
      <c r="CQ59" s="831"/>
      <c r="CR59" s="831"/>
      <c r="CS59" s="831"/>
    </row>
    <row r="60" spans="2:97" ht="35.25" customHeight="1" thickBot="1">
      <c r="B60" s="10"/>
      <c r="C60" s="3594"/>
      <c r="D60" s="3595"/>
      <c r="E60" s="3595"/>
      <c r="F60" s="3595"/>
      <c r="G60" s="3596"/>
      <c r="H60" s="2073"/>
      <c r="I60" s="2751"/>
      <c r="J60" s="2751"/>
      <c r="K60" s="2751"/>
      <c r="L60" s="3597"/>
      <c r="M60" s="3601"/>
      <c r="N60" s="3601"/>
      <c r="O60" s="3599"/>
      <c r="P60" s="313"/>
      <c r="Q60" s="2867"/>
      <c r="R60" s="2868"/>
      <c r="S60" s="2868"/>
      <c r="T60" s="2868"/>
      <c r="U60" s="2868"/>
      <c r="V60" s="2869"/>
      <c r="W60" s="1096"/>
      <c r="X60" s="2873" t="str">
        <f>IF(AND(Formula!DT2=2,Formula!CX157=1,Formula!DO185&gt;0),Formula!DO185,"")</f>
        <v/>
      </c>
      <c r="Y60" s="2873" t="str">
        <f>IF(AND(Formula!DT2=2,Formula!CX157=1,Formula!DP185&gt;0),Formula!DP185,"")</f>
        <v/>
      </c>
      <c r="Z60" s="2873" t="str">
        <f>IF(AND(Formula!DT2=2,Formula!CX157=1,Formula!DQ185&gt;0),Formula!DQ185,"")</f>
        <v/>
      </c>
      <c r="AA60" s="2874" t="str">
        <f>IFERROR(SUM(X60+Y60+Z60),"")</f>
        <v/>
      </c>
      <c r="AB60" s="2873" t="str">
        <f>IF(AND(Formula!DT2=2,Formula!CX157=1,Formula!DS185&gt;0),Formula!DS185,"")</f>
        <v/>
      </c>
      <c r="AC60" s="10"/>
      <c r="AD60" s="2864"/>
      <c r="AE60" s="2864"/>
      <c r="AF60" s="2864"/>
      <c r="AG60" s="10"/>
      <c r="AH60" s="1548"/>
      <c r="AI60" s="1548"/>
      <c r="AJ60" s="1548"/>
      <c r="AK60" s="1548"/>
      <c r="AL60" s="1548"/>
      <c r="AM60" s="1548"/>
      <c r="AN60" s="1548"/>
      <c r="AO60" s="1548"/>
      <c r="AP60" s="1548"/>
      <c r="AQ60" s="1548"/>
      <c r="AR60" s="1548"/>
      <c r="AS60" s="1896"/>
      <c r="AT60" s="1896"/>
      <c r="AU60" s="1896"/>
      <c r="AV60" s="50"/>
      <c r="AW60" s="50"/>
      <c r="AX60" s="47"/>
      <c r="AY60" s="47"/>
      <c r="AZ60" s="7"/>
      <c r="BA60" s="7"/>
      <c r="BB60" s="7"/>
      <c r="BC60" s="7"/>
      <c r="BD60" s="7"/>
      <c r="BE60" s="634"/>
      <c r="BF60" s="634"/>
      <c r="BG60" s="634"/>
      <c r="BH60" s="634"/>
      <c r="BI60" s="634"/>
      <c r="BJ60" s="634"/>
      <c r="BK60" s="634"/>
      <c r="BL60" s="634"/>
      <c r="BM60" s="634"/>
      <c r="BN60" s="634"/>
      <c r="BO60" s="634"/>
      <c r="BP60" s="634"/>
      <c r="BQ60" s="634"/>
      <c r="BR60" s="634"/>
      <c r="BS60" s="3"/>
      <c r="BT60" s="3"/>
      <c r="BU60" s="3"/>
      <c r="BV60" s="3"/>
      <c r="BW60" s="3"/>
      <c r="BX60" s="3"/>
      <c r="BY60" s="3"/>
      <c r="BZ60" s="3"/>
      <c r="CA60" s="3"/>
      <c r="CB60" s="831"/>
      <c r="CC60" s="831"/>
      <c r="CD60" s="831"/>
      <c r="CE60" s="831"/>
      <c r="CF60" s="831"/>
      <c r="CG60" s="831"/>
      <c r="CH60" s="831"/>
      <c r="CI60" s="831"/>
      <c r="CJ60" s="831"/>
      <c r="CK60" s="831"/>
      <c r="CL60" s="831"/>
      <c r="CM60" s="831"/>
      <c r="CN60" s="831"/>
      <c r="CO60" s="831"/>
      <c r="CP60" s="831"/>
      <c r="CQ60" s="831"/>
      <c r="CR60" s="831"/>
      <c r="CS60" s="831"/>
    </row>
    <row r="61" spans="2:97" ht="35.25" customHeight="1" thickBot="1">
      <c r="B61" s="10"/>
      <c r="C61" s="3594"/>
      <c r="D61" s="3595"/>
      <c r="E61" s="3595"/>
      <c r="F61" s="3595"/>
      <c r="G61" s="3596"/>
      <c r="H61" s="2073"/>
      <c r="I61" s="2751"/>
      <c r="J61" s="2751"/>
      <c r="K61" s="2751"/>
      <c r="L61" s="3597"/>
      <c r="M61" s="3601"/>
      <c r="N61" s="3601"/>
      <c r="O61" s="3599"/>
      <c r="P61" s="313"/>
      <c r="Q61" s="4768" t="s">
        <v>1592</v>
      </c>
      <c r="R61" s="4769"/>
      <c r="S61" s="4769"/>
      <c r="T61" s="4769"/>
      <c r="U61" s="4769"/>
      <c r="V61" s="4770"/>
      <c r="W61" s="1096"/>
      <c r="X61" s="2862"/>
      <c r="Y61" s="2870"/>
      <c r="Z61" s="2870"/>
      <c r="AA61" s="2870"/>
      <c r="AB61" s="2870"/>
      <c r="AC61" s="10"/>
      <c r="AD61" s="2864"/>
      <c r="AE61" s="2864"/>
      <c r="AF61" s="2864"/>
      <c r="AG61" s="10"/>
      <c r="AH61" s="1548"/>
      <c r="AI61" s="1548"/>
      <c r="AJ61" s="1548"/>
      <c r="AK61" s="1548"/>
      <c r="AL61" s="1548"/>
      <c r="AM61" s="1548"/>
      <c r="AN61" s="1548"/>
      <c r="AO61" s="1548"/>
      <c r="AP61" s="1548"/>
      <c r="AQ61" s="1548"/>
      <c r="AR61" s="1548"/>
      <c r="AS61" s="1896"/>
      <c r="AT61" s="1896"/>
      <c r="AU61" s="1896"/>
      <c r="AV61" s="50"/>
      <c r="AW61" s="50"/>
      <c r="AX61" s="47"/>
      <c r="AY61" s="47"/>
      <c r="AZ61" s="7"/>
      <c r="BA61" s="7"/>
      <c r="BB61" s="7"/>
      <c r="BC61" s="7"/>
      <c r="BD61" s="7"/>
      <c r="BE61" s="634"/>
      <c r="BF61" s="634"/>
      <c r="BG61" s="634"/>
      <c r="BH61" s="634"/>
      <c r="BI61" s="634"/>
      <c r="BJ61" s="634"/>
      <c r="BK61" s="634"/>
      <c r="BL61" s="634"/>
      <c r="BM61" s="634"/>
      <c r="BN61" s="634"/>
      <c r="BO61" s="634"/>
      <c r="BP61" s="634"/>
      <c r="BQ61" s="634"/>
      <c r="BR61" s="634"/>
      <c r="BS61" s="3"/>
      <c r="BT61" s="3"/>
      <c r="BU61" s="3"/>
      <c r="BV61" s="3"/>
      <c r="BW61" s="3"/>
      <c r="BX61" s="3"/>
      <c r="BY61" s="3"/>
      <c r="BZ61" s="3"/>
      <c r="CA61" s="3"/>
      <c r="CB61" s="831"/>
      <c r="CC61" s="831"/>
      <c r="CD61" s="831"/>
      <c r="CE61" s="831"/>
      <c r="CF61" s="831"/>
      <c r="CG61" s="831"/>
      <c r="CH61" s="831"/>
      <c r="CI61" s="831"/>
      <c r="CJ61" s="831"/>
      <c r="CK61" s="831"/>
      <c r="CL61" s="831"/>
      <c r="CM61" s="831"/>
      <c r="CN61" s="831"/>
      <c r="CO61" s="831"/>
      <c r="CP61" s="831"/>
      <c r="CQ61" s="831"/>
      <c r="CR61" s="831"/>
      <c r="CS61" s="831"/>
    </row>
    <row r="62" spans="2:97" ht="35.25" customHeight="1" thickBot="1">
      <c r="B62" s="10"/>
      <c r="C62" s="3594"/>
      <c r="D62" s="3595"/>
      <c r="E62" s="3595"/>
      <c r="F62" s="3595"/>
      <c r="G62" s="3596"/>
      <c r="H62" s="2073"/>
      <c r="I62" s="2751"/>
      <c r="J62" s="2751"/>
      <c r="K62" s="2751"/>
      <c r="L62" s="3597"/>
      <c r="M62" s="3601"/>
      <c r="N62" s="3601"/>
      <c r="O62" s="3599"/>
      <c r="P62" s="313"/>
      <c r="Q62" s="4767" t="s">
        <v>1593</v>
      </c>
      <c r="R62" s="4767"/>
      <c r="S62" s="4767"/>
      <c r="T62" s="4767"/>
      <c r="U62" s="4767"/>
      <c r="V62" s="4767"/>
      <c r="W62" s="1096"/>
      <c r="X62" s="2879"/>
      <c r="Y62" s="2870"/>
      <c r="Z62" s="2870"/>
      <c r="AA62" s="2870"/>
      <c r="AB62" s="2870"/>
      <c r="AC62" s="10"/>
      <c r="AD62" s="2864"/>
      <c r="AE62" s="2864"/>
      <c r="AF62" s="2864"/>
      <c r="AG62" s="10"/>
      <c r="AH62" s="1548"/>
      <c r="AI62" s="1548"/>
      <c r="AJ62" s="1548"/>
      <c r="AK62" s="1548"/>
      <c r="AL62" s="1548"/>
      <c r="AM62" s="1548"/>
      <c r="AN62" s="1548"/>
      <c r="AO62" s="1548"/>
      <c r="AP62" s="1548"/>
      <c r="AQ62" s="1548"/>
      <c r="AR62" s="1548"/>
      <c r="AS62" s="1896"/>
      <c r="AT62" s="1896"/>
      <c r="AU62" s="1896"/>
      <c r="AV62" s="50"/>
      <c r="AW62" s="50"/>
      <c r="AX62" s="47"/>
      <c r="AY62" s="47"/>
      <c r="AZ62" s="7"/>
      <c r="BA62" s="7"/>
      <c r="BB62" s="7"/>
      <c r="BC62" s="7"/>
      <c r="BD62" s="7"/>
      <c r="BE62" s="634"/>
      <c r="BF62" s="634"/>
      <c r="BG62" s="634"/>
      <c r="BH62" s="634"/>
      <c r="BI62" s="634"/>
      <c r="BJ62" s="634"/>
      <c r="BK62" s="634"/>
      <c r="BL62" s="634"/>
      <c r="BM62" s="634"/>
      <c r="BN62" s="634"/>
      <c r="BO62" s="634"/>
      <c r="BP62" s="634"/>
      <c r="BQ62" s="634"/>
      <c r="BR62" s="634"/>
      <c r="BS62" s="3"/>
      <c r="BT62" s="3"/>
      <c r="BU62" s="3"/>
      <c r="BV62" s="3"/>
      <c r="BW62" s="3"/>
      <c r="BX62" s="3"/>
      <c r="BY62" s="3"/>
      <c r="BZ62" s="3"/>
      <c r="CA62" s="3"/>
      <c r="CB62" s="831"/>
      <c r="CC62" s="831"/>
      <c r="CD62" s="831"/>
      <c r="CE62" s="831"/>
      <c r="CF62" s="831"/>
      <c r="CG62" s="831"/>
      <c r="CH62" s="831"/>
      <c r="CI62" s="831"/>
      <c r="CJ62" s="831"/>
      <c r="CK62" s="831"/>
      <c r="CL62" s="831"/>
      <c r="CM62" s="831"/>
      <c r="CN62" s="831"/>
      <c r="CO62" s="831"/>
      <c r="CP62" s="831"/>
      <c r="CQ62" s="831"/>
      <c r="CR62" s="831"/>
      <c r="CS62" s="831"/>
    </row>
    <row r="63" spans="2:97" ht="34.5" customHeight="1" thickBot="1">
      <c r="B63" s="10"/>
      <c r="C63" s="4359" t="s">
        <v>1617</v>
      </c>
      <c r="D63" s="4360"/>
      <c r="E63" s="4360"/>
      <c r="F63" s="4360"/>
      <c r="G63" s="4360"/>
      <c r="H63" s="4361"/>
      <c r="I63" s="4361"/>
      <c r="J63" s="4361"/>
      <c r="K63" s="4361"/>
      <c r="L63" s="4360"/>
      <c r="M63" s="4360"/>
      <c r="N63" s="4360"/>
      <c r="O63" s="4362"/>
      <c r="P63" s="313"/>
      <c r="Q63" s="4779" t="s">
        <v>519</v>
      </c>
      <c r="R63" s="4780"/>
      <c r="S63" s="4780"/>
      <c r="T63" s="4780"/>
      <c r="U63" s="4780"/>
      <c r="V63" s="4780"/>
      <c r="W63" s="4780"/>
      <c r="X63" s="4780"/>
      <c r="Y63" s="4780"/>
      <c r="Z63" s="4780"/>
      <c r="AA63" s="4780"/>
      <c r="AB63" s="4781"/>
      <c r="AC63" s="10"/>
      <c r="AD63" s="2888"/>
      <c r="AE63" s="2889"/>
      <c r="AF63" s="2890"/>
      <c r="AG63" s="10"/>
      <c r="AH63" s="1548"/>
      <c r="AI63" s="1548"/>
      <c r="AJ63" s="1548"/>
      <c r="AK63" s="1548"/>
      <c r="AL63" s="1548"/>
      <c r="AM63" s="1548"/>
      <c r="AN63" s="1548"/>
      <c r="AO63" s="1548"/>
      <c r="AP63" s="1548"/>
      <c r="AQ63" s="1548"/>
      <c r="AR63" s="1548"/>
      <c r="AS63" s="1896"/>
      <c r="AT63" s="1896"/>
      <c r="AU63" s="1896"/>
      <c r="AV63" s="50"/>
      <c r="AW63" s="50"/>
      <c r="AX63" s="47"/>
      <c r="AY63" s="47"/>
      <c r="AZ63" s="7"/>
      <c r="BA63" s="7"/>
      <c r="BB63" s="7"/>
      <c r="BC63" s="7"/>
      <c r="BD63" s="7"/>
      <c r="BE63" s="634"/>
      <c r="BF63" s="634"/>
      <c r="BG63" s="634"/>
      <c r="BH63" s="634"/>
      <c r="BI63" s="634"/>
      <c r="BJ63" s="634"/>
      <c r="BK63" s="634"/>
      <c r="BL63" s="634"/>
      <c r="BM63" s="634"/>
      <c r="BN63" s="634"/>
      <c r="BO63" s="634"/>
      <c r="BP63" s="634"/>
      <c r="BQ63" s="634"/>
      <c r="BR63" s="634"/>
      <c r="BS63" s="3"/>
      <c r="BT63" s="3"/>
      <c r="BU63" s="3"/>
      <c r="BV63" s="3"/>
      <c r="BW63" s="3"/>
      <c r="BX63" s="3"/>
      <c r="BY63" s="3"/>
      <c r="BZ63" s="3"/>
      <c r="CA63" s="3"/>
      <c r="CB63" s="831"/>
      <c r="CC63" s="831"/>
      <c r="CD63" s="831"/>
      <c r="CE63" s="831"/>
      <c r="CF63" s="831"/>
      <c r="CG63" s="831"/>
      <c r="CH63" s="831"/>
      <c r="CI63" s="831"/>
      <c r="CJ63" s="831"/>
      <c r="CK63" s="831"/>
      <c r="CL63" s="831"/>
      <c r="CM63" s="831"/>
      <c r="CN63" s="831"/>
      <c r="CO63" s="831"/>
      <c r="CP63" s="831"/>
      <c r="CQ63" s="831"/>
      <c r="CR63" s="831"/>
      <c r="CS63" s="831"/>
    </row>
    <row r="64" spans="2:97" ht="31.5" customHeight="1">
      <c r="B64" s="10"/>
      <c r="C64" s="4270"/>
      <c r="D64" s="4271"/>
      <c r="E64" s="4271"/>
      <c r="F64" s="4271"/>
      <c r="G64" s="4272"/>
      <c r="H64" s="2075"/>
      <c r="I64" s="3213"/>
      <c r="J64" s="3213"/>
      <c r="K64" s="2069"/>
      <c r="L64" s="3606"/>
      <c r="M64" s="4310">
        <v>258400</v>
      </c>
      <c r="N64" s="4311"/>
      <c r="O64" s="3610"/>
      <c r="P64" s="313"/>
      <c r="Q64" s="4784" t="s">
        <v>1600</v>
      </c>
      <c r="R64" s="4784"/>
      <c r="S64" s="4784"/>
      <c r="T64" s="4784"/>
      <c r="U64" s="4784"/>
      <c r="V64" s="4784"/>
      <c r="W64" s="2065"/>
      <c r="X64" s="3704"/>
      <c r="Y64" s="4782"/>
      <c r="Z64" s="4783"/>
      <c r="AA64" s="3698"/>
      <c r="AB64" s="3699"/>
      <c r="AC64" s="10"/>
      <c r="AD64" s="4774"/>
      <c r="AE64" s="4774"/>
      <c r="AF64" s="4774"/>
      <c r="AG64" s="10"/>
      <c r="AH64" s="1548"/>
      <c r="AI64" s="1548"/>
      <c r="AJ64" s="1548"/>
      <c r="AK64" s="1548"/>
      <c r="AL64" s="1548"/>
      <c r="AM64" s="1548"/>
      <c r="AN64" s="1548"/>
      <c r="AO64" s="1548"/>
      <c r="AP64" s="1548"/>
      <c r="AQ64" s="1548"/>
      <c r="AR64" s="1548"/>
      <c r="AS64" s="1896"/>
      <c r="AT64" s="1896"/>
      <c r="AU64" s="1896"/>
      <c r="AV64" s="50"/>
      <c r="AW64" s="50"/>
      <c r="AX64" s="47"/>
      <c r="AY64" s="47"/>
      <c r="AZ64" s="7"/>
      <c r="BA64" s="7"/>
      <c r="BB64" s="7"/>
      <c r="BC64" s="7"/>
      <c r="BD64" s="7"/>
      <c r="BE64" s="634"/>
      <c r="BF64" s="634"/>
      <c r="BG64" s="634"/>
      <c r="BH64" s="634"/>
      <c r="BI64" s="634"/>
      <c r="BJ64" s="634"/>
      <c r="BK64" s="634"/>
      <c r="BL64" s="634"/>
      <c r="BM64" s="634"/>
      <c r="BN64" s="634"/>
      <c r="BO64" s="634"/>
      <c r="BP64" s="634"/>
      <c r="BQ64" s="634"/>
      <c r="BR64" s="634"/>
      <c r="BS64" s="3"/>
      <c r="BT64" s="3"/>
      <c r="BU64" s="3"/>
      <c r="BV64" s="3"/>
      <c r="BW64" s="3"/>
      <c r="BX64" s="3"/>
      <c r="BY64" s="3"/>
      <c r="BZ64" s="3"/>
      <c r="CA64" s="3"/>
      <c r="CB64" s="831"/>
      <c r="CC64" s="831"/>
      <c r="CD64" s="831"/>
      <c r="CE64" s="831"/>
      <c r="CF64" s="831"/>
      <c r="CG64" s="831"/>
      <c r="CH64" s="831"/>
      <c r="CI64" s="831"/>
      <c r="CJ64" s="831"/>
      <c r="CK64" s="831"/>
      <c r="CL64" s="831"/>
      <c r="CM64" s="831"/>
      <c r="CN64" s="831"/>
      <c r="CO64" s="831"/>
      <c r="CP64" s="831"/>
      <c r="CQ64" s="831"/>
      <c r="CR64" s="831"/>
      <c r="CS64" s="831"/>
    </row>
    <row r="65" spans="2:97" ht="31.5" customHeight="1">
      <c r="B65" s="10"/>
      <c r="C65" s="4273"/>
      <c r="D65" s="4274"/>
      <c r="E65" s="4274"/>
      <c r="F65" s="4274"/>
      <c r="G65" s="4275"/>
      <c r="H65" s="3217"/>
      <c r="I65" s="3214"/>
      <c r="J65" s="3214"/>
      <c r="K65" s="3215"/>
      <c r="L65" s="3607"/>
      <c r="M65" s="4312"/>
      <c r="N65" s="4313"/>
      <c r="O65" s="3611"/>
      <c r="P65" s="313"/>
      <c r="Q65" s="4260" t="s">
        <v>976</v>
      </c>
      <c r="R65" s="4260"/>
      <c r="S65" s="4260"/>
      <c r="T65" s="4260"/>
      <c r="U65" s="4260"/>
      <c r="V65" s="4260"/>
      <c r="W65" s="2066"/>
      <c r="X65" s="3702"/>
      <c r="Y65" s="4323"/>
      <c r="Z65" s="4324"/>
      <c r="AA65" s="3700"/>
      <c r="AB65" s="3701"/>
      <c r="AC65" s="10"/>
      <c r="AD65" s="4775"/>
      <c r="AE65" s="4775"/>
      <c r="AF65" s="4775"/>
      <c r="AG65" s="10"/>
      <c r="AH65" s="1548"/>
      <c r="AI65" s="1548"/>
      <c r="AJ65" s="1548"/>
      <c r="AK65" s="1548"/>
      <c r="AL65" s="1548"/>
      <c r="AM65" s="1548"/>
      <c r="AN65" s="1548"/>
      <c r="AO65" s="1548"/>
      <c r="AP65" s="1548"/>
      <c r="AQ65" s="1548"/>
      <c r="AR65" s="1548"/>
      <c r="AS65" s="1896"/>
      <c r="AT65" s="1896"/>
      <c r="AU65" s="1896"/>
      <c r="AV65" s="50"/>
      <c r="AW65" s="50"/>
      <c r="AX65" s="47"/>
      <c r="AY65" s="47"/>
      <c r="AZ65" s="7"/>
      <c r="BA65" s="7"/>
      <c r="BB65" s="7"/>
      <c r="BC65" s="7"/>
      <c r="BD65" s="7"/>
      <c r="BE65" s="634"/>
      <c r="BF65" s="634"/>
      <c r="BG65" s="634"/>
      <c r="BH65" s="634"/>
      <c r="BI65" s="634"/>
      <c r="BJ65" s="634"/>
      <c r="BK65" s="634"/>
      <c r="BL65" s="634"/>
      <c r="BM65" s="634"/>
      <c r="BN65" s="634"/>
      <c r="BO65" s="634"/>
      <c r="BP65" s="634"/>
      <c r="BQ65" s="634"/>
      <c r="BR65" s="634"/>
      <c r="BS65" s="3"/>
      <c r="BT65" s="3"/>
      <c r="BU65" s="3"/>
      <c r="BV65" s="3"/>
      <c r="BW65" s="3"/>
      <c r="BX65" s="3"/>
      <c r="BY65" s="3"/>
      <c r="BZ65" s="3"/>
      <c r="CA65" s="3"/>
      <c r="CB65" s="831"/>
      <c r="CC65" s="831"/>
      <c r="CD65" s="831"/>
      <c r="CE65" s="831"/>
      <c r="CF65" s="831"/>
      <c r="CG65" s="831"/>
      <c r="CH65" s="831"/>
      <c r="CI65" s="831"/>
      <c r="CJ65" s="831"/>
      <c r="CK65" s="831"/>
      <c r="CL65" s="831"/>
      <c r="CM65" s="831"/>
      <c r="CN65" s="831"/>
      <c r="CO65" s="831"/>
      <c r="CP65" s="831"/>
      <c r="CQ65" s="831"/>
      <c r="CR65" s="831"/>
      <c r="CS65" s="831"/>
    </row>
    <row r="66" spans="2:97" ht="30.75" customHeight="1" thickBot="1">
      <c r="B66" s="10"/>
      <c r="C66" s="4276"/>
      <c r="D66" s="4277"/>
      <c r="E66" s="4277"/>
      <c r="F66" s="4277"/>
      <c r="G66" s="4278"/>
      <c r="H66" s="2076"/>
      <c r="I66" s="1103"/>
      <c r="J66" s="1103"/>
      <c r="K66" s="3216"/>
      <c r="L66" s="3608"/>
      <c r="M66" s="4355"/>
      <c r="N66" s="4356"/>
      <c r="O66" s="3612"/>
      <c r="P66" s="313"/>
      <c r="Q66" s="4260" t="s">
        <v>978</v>
      </c>
      <c r="R66" s="4260"/>
      <c r="S66" s="4260"/>
      <c r="T66" s="4260"/>
      <c r="U66" s="4260"/>
      <c r="V66" s="4260"/>
      <c r="W66" s="2066"/>
      <c r="X66" s="3702"/>
      <c r="Y66" s="4323"/>
      <c r="Z66" s="4324"/>
      <c r="AA66" s="3700"/>
      <c r="AB66" s="3701"/>
      <c r="AC66" s="10"/>
      <c r="AD66" s="4775"/>
      <c r="AE66" s="4775"/>
      <c r="AF66" s="4775"/>
      <c r="AG66" s="10"/>
      <c r="AH66" s="1548"/>
      <c r="AI66" s="1548"/>
      <c r="AJ66" s="1548"/>
      <c r="AK66" s="1548"/>
      <c r="AL66" s="1548"/>
      <c r="AM66" s="1548"/>
      <c r="AN66" s="1548"/>
      <c r="AO66" s="1548"/>
      <c r="AP66" s="1548"/>
      <c r="AQ66" s="1548"/>
      <c r="AR66" s="1548"/>
      <c r="AS66" s="1896"/>
      <c r="AT66" s="1896"/>
      <c r="AU66" s="1896"/>
      <c r="AV66" s="50"/>
      <c r="AW66" s="50"/>
      <c r="AX66" s="47"/>
      <c r="AY66" s="47"/>
      <c r="AZ66" s="7"/>
      <c r="BA66" s="7"/>
      <c r="BB66" s="7"/>
      <c r="BC66" s="7"/>
      <c r="BD66" s="7"/>
      <c r="BE66" s="634"/>
      <c r="BF66" s="634"/>
      <c r="BG66" s="634"/>
      <c r="BH66" s="634"/>
      <c r="BI66" s="634"/>
      <c r="BJ66" s="634"/>
      <c r="BK66" s="634"/>
      <c r="BL66" s="634"/>
      <c r="BM66" s="634"/>
      <c r="BN66" s="634"/>
      <c r="BO66" s="634"/>
      <c r="BP66" s="634"/>
      <c r="BQ66" s="634"/>
      <c r="BR66" s="634"/>
      <c r="BS66" s="3"/>
      <c r="BT66" s="3"/>
      <c r="BU66" s="3"/>
      <c r="BV66" s="3"/>
      <c r="BW66" s="3"/>
      <c r="BX66" s="3"/>
      <c r="BY66" s="3"/>
      <c r="BZ66" s="3"/>
      <c r="CA66" s="3"/>
      <c r="CB66" s="831"/>
      <c r="CC66" s="831"/>
      <c r="CD66" s="831"/>
      <c r="CE66" s="831"/>
      <c r="CF66" s="831"/>
      <c r="CG66" s="831"/>
      <c r="CH66" s="831"/>
      <c r="CI66" s="831"/>
      <c r="CJ66" s="831"/>
      <c r="CK66" s="831"/>
      <c r="CL66" s="831"/>
      <c r="CM66" s="831"/>
      <c r="CN66" s="831"/>
      <c r="CO66" s="831"/>
      <c r="CP66" s="831"/>
      <c r="CQ66" s="831"/>
      <c r="CR66" s="831"/>
      <c r="CS66" s="831"/>
    </row>
    <row r="67" spans="2:97" ht="30.75" customHeight="1" thickBot="1">
      <c r="B67" s="10"/>
      <c r="C67" s="3615"/>
      <c r="D67" s="3616"/>
      <c r="E67" s="3616"/>
      <c r="F67" s="3617"/>
      <c r="G67" s="3618"/>
      <c r="H67" s="2076"/>
      <c r="I67" s="1103"/>
      <c r="J67" s="1103"/>
      <c r="K67" s="3216"/>
      <c r="L67" s="3609"/>
      <c r="M67" s="3614"/>
      <c r="N67" s="3614"/>
      <c r="O67" s="3613"/>
      <c r="P67" s="313"/>
      <c r="Q67" s="4260" t="s">
        <v>979</v>
      </c>
      <c r="R67" s="4260"/>
      <c r="S67" s="4260"/>
      <c r="T67" s="4260"/>
      <c r="U67" s="4260"/>
      <c r="V67" s="4260"/>
      <c r="W67" s="2066"/>
      <c r="X67" s="3702"/>
      <c r="Y67" s="4323"/>
      <c r="Z67" s="4324"/>
      <c r="AA67" s="3700"/>
      <c r="AB67" s="3701"/>
      <c r="AC67" s="10"/>
      <c r="AD67" s="4775"/>
      <c r="AE67" s="4775"/>
      <c r="AF67" s="4775"/>
      <c r="AG67" s="10"/>
      <c r="AH67" s="1548"/>
      <c r="AI67" s="1548"/>
      <c r="AJ67" s="1548"/>
      <c r="AK67" s="1548"/>
      <c r="AL67" s="1548"/>
      <c r="AM67" s="1548"/>
      <c r="AN67" s="1548"/>
      <c r="AO67" s="1548"/>
      <c r="AP67" s="1548"/>
      <c r="AQ67" s="1548"/>
      <c r="AR67" s="1548"/>
      <c r="AS67" s="1896"/>
      <c r="AT67" s="1896"/>
      <c r="AU67" s="1896"/>
      <c r="AV67" s="50"/>
      <c r="AW67" s="50"/>
      <c r="AX67" s="47"/>
      <c r="AY67" s="47"/>
      <c r="AZ67" s="7"/>
      <c r="BA67" s="7"/>
      <c r="BB67" s="7"/>
      <c r="BC67" s="7"/>
      <c r="BD67" s="7"/>
      <c r="BE67" s="634"/>
      <c r="BF67" s="634"/>
      <c r="BG67" s="634"/>
      <c r="BH67" s="634"/>
      <c r="BI67" s="634"/>
      <c r="BJ67" s="634"/>
      <c r="BK67" s="634"/>
      <c r="BL67" s="634"/>
      <c r="BM67" s="634"/>
      <c r="BN67" s="634"/>
      <c r="BO67" s="634"/>
      <c r="BP67" s="634"/>
      <c r="BQ67" s="634"/>
      <c r="BR67" s="634"/>
      <c r="BS67" s="3"/>
      <c r="BT67" s="3"/>
      <c r="BU67" s="3"/>
      <c r="BV67" s="3"/>
      <c r="BW67" s="3"/>
      <c r="BX67" s="3"/>
      <c r="BY67" s="3"/>
      <c r="BZ67" s="3"/>
      <c r="CA67" s="3"/>
      <c r="CB67" s="831"/>
      <c r="CC67" s="831"/>
      <c r="CD67" s="831"/>
      <c r="CE67" s="831"/>
      <c r="CF67" s="831"/>
      <c r="CG67" s="831"/>
      <c r="CH67" s="831"/>
      <c r="CI67" s="831"/>
      <c r="CJ67" s="831"/>
      <c r="CK67" s="831"/>
      <c r="CL67" s="831"/>
      <c r="CM67" s="831"/>
      <c r="CN67" s="831"/>
      <c r="CO67" s="831"/>
      <c r="CP67" s="831"/>
      <c r="CQ67" s="831"/>
      <c r="CR67" s="831"/>
      <c r="CS67" s="831"/>
    </row>
    <row r="68" spans="2:97" ht="35.25" customHeight="1" thickBot="1">
      <c r="B68" s="10"/>
      <c r="C68" s="4590" t="s">
        <v>764</v>
      </c>
      <c r="D68" s="4591"/>
      <c r="E68" s="4591"/>
      <c r="F68" s="4591"/>
      <c r="G68" s="4591"/>
      <c r="H68" s="4591"/>
      <c r="I68" s="4591"/>
      <c r="J68" s="4591"/>
      <c r="K68" s="4591"/>
      <c r="L68" s="4591"/>
      <c r="M68" s="4591"/>
      <c r="N68" s="4591"/>
      <c r="O68" s="4592"/>
      <c r="P68" s="313"/>
      <c r="Q68" s="4260" t="s">
        <v>539</v>
      </c>
      <c r="R68" s="4260"/>
      <c r="S68" s="4260"/>
      <c r="T68" s="4260"/>
      <c r="U68" s="4260"/>
      <c r="V68" s="4260"/>
      <c r="W68" s="2066"/>
      <c r="X68" s="3702"/>
      <c r="Y68" s="4333"/>
      <c r="Z68" s="4334"/>
      <c r="AA68" s="3700"/>
      <c r="AB68" s="3701"/>
      <c r="AC68" s="10"/>
      <c r="AD68" s="4775"/>
      <c r="AE68" s="4775"/>
      <c r="AF68" s="4775"/>
      <c r="AG68" s="10"/>
      <c r="AH68" s="1548"/>
      <c r="AI68" s="1548"/>
      <c r="AJ68" s="1548"/>
      <c r="AK68" s="1548"/>
      <c r="AL68" s="1548"/>
      <c r="AM68" s="1548"/>
      <c r="AN68" s="1548"/>
      <c r="AO68" s="1548"/>
      <c r="AP68" s="1548"/>
      <c r="AQ68" s="1548"/>
      <c r="AR68" s="1548"/>
      <c r="AS68" s="1896"/>
      <c r="AT68" s="1896"/>
      <c r="AU68" s="1896"/>
      <c r="AV68" s="50"/>
      <c r="AW68" s="50"/>
      <c r="AX68" s="47"/>
      <c r="AY68" s="47"/>
      <c r="AZ68" s="7"/>
      <c r="BA68" s="7"/>
      <c r="BB68" s="7"/>
      <c r="BC68" s="7"/>
      <c r="BD68" s="7"/>
      <c r="BE68" s="634"/>
      <c r="BF68" s="634"/>
      <c r="BG68" s="634"/>
      <c r="BH68" s="634"/>
      <c r="BI68" s="634"/>
      <c r="BJ68" s="634"/>
      <c r="BK68" s="634"/>
      <c r="BL68" s="634"/>
      <c r="BM68" s="634"/>
      <c r="BN68" s="634"/>
      <c r="BO68" s="634"/>
      <c r="BP68" s="634"/>
      <c r="BQ68" s="634"/>
      <c r="BR68" s="634"/>
      <c r="BS68" s="3"/>
      <c r="BT68" s="3"/>
      <c r="BU68" s="3"/>
      <c r="BV68" s="3"/>
      <c r="BW68" s="3"/>
      <c r="BX68" s="3"/>
      <c r="BY68" s="3"/>
      <c r="BZ68" s="3"/>
      <c r="CA68" s="3"/>
      <c r="CB68" s="831"/>
      <c r="CC68" s="831"/>
      <c r="CD68" s="831"/>
      <c r="CE68" s="831"/>
      <c r="CF68" s="831"/>
      <c r="CG68" s="831"/>
      <c r="CH68" s="831"/>
      <c r="CI68" s="831"/>
      <c r="CJ68" s="831"/>
      <c r="CK68" s="831"/>
      <c r="CL68" s="831"/>
      <c r="CM68" s="831"/>
      <c r="CN68" s="831"/>
      <c r="CO68" s="831"/>
      <c r="CP68" s="831"/>
      <c r="CQ68" s="831"/>
      <c r="CR68" s="831"/>
      <c r="CS68" s="831"/>
    </row>
    <row r="69" spans="2:97" ht="27" customHeight="1" thickBot="1">
      <c r="B69" s="10"/>
      <c r="C69" s="3625"/>
      <c r="D69" s="4308">
        <v>45717</v>
      </c>
      <c r="E69" s="4309"/>
      <c r="F69" s="3619"/>
      <c r="G69" s="3620"/>
      <c r="H69" s="3218"/>
      <c r="I69" s="1103"/>
      <c r="J69" s="1103"/>
      <c r="K69" s="1103"/>
      <c r="L69" s="3628"/>
      <c r="M69" s="4383">
        <v>20000</v>
      </c>
      <c r="N69" s="4384"/>
      <c r="O69" s="3633"/>
      <c r="P69" s="313"/>
      <c r="Q69" s="4260" t="s">
        <v>902</v>
      </c>
      <c r="R69" s="4260"/>
      <c r="S69" s="4260"/>
      <c r="T69" s="4260"/>
      <c r="U69" s="4260"/>
      <c r="V69" s="4260"/>
      <c r="W69" s="2066"/>
      <c r="X69" s="3703"/>
      <c r="Y69" s="4326"/>
      <c r="Z69" s="4327"/>
      <c r="AA69" s="3694"/>
      <c r="AB69" s="3695"/>
      <c r="AC69" s="10"/>
      <c r="AD69" s="2892"/>
      <c r="AE69" s="2891"/>
      <c r="AF69" s="2893"/>
      <c r="AG69" s="10"/>
      <c r="AH69" s="1548"/>
      <c r="AI69" s="1548"/>
      <c r="AJ69" s="1548"/>
      <c r="AK69" s="1548"/>
      <c r="AL69" s="1548"/>
      <c r="AM69" s="1548"/>
      <c r="AN69" s="1548"/>
      <c r="AO69" s="1548"/>
      <c r="AP69" s="1548"/>
      <c r="AQ69" s="1548"/>
      <c r="AR69" s="1548"/>
      <c r="AS69" s="1896"/>
      <c r="AT69" s="1896"/>
      <c r="AU69" s="1896"/>
      <c r="AV69" s="50"/>
      <c r="AW69" s="50"/>
      <c r="AX69" s="47"/>
      <c r="AY69" s="47"/>
      <c r="AZ69" s="7"/>
      <c r="BA69" s="7"/>
      <c r="BB69" s="7"/>
      <c r="BC69" s="7"/>
      <c r="BD69" s="7"/>
      <c r="BE69" s="634"/>
      <c r="BF69" s="634"/>
      <c r="BG69" s="634"/>
      <c r="BH69" s="634"/>
      <c r="BI69" s="634"/>
      <c r="BJ69" s="634"/>
      <c r="BK69" s="634"/>
      <c r="BL69" s="634"/>
      <c r="BM69" s="634"/>
      <c r="BN69" s="634"/>
      <c r="BO69" s="634"/>
      <c r="BP69" s="634"/>
      <c r="BQ69" s="634"/>
      <c r="BR69" s="634"/>
      <c r="BS69" s="3"/>
      <c r="BT69" s="3"/>
      <c r="BU69" s="3"/>
      <c r="BV69" s="3"/>
      <c r="BW69" s="3"/>
      <c r="BX69" s="3"/>
      <c r="BY69" s="3"/>
      <c r="BZ69" s="3"/>
      <c r="CA69" s="3"/>
      <c r="CB69" s="831"/>
      <c r="CC69" s="831"/>
      <c r="CD69" s="831"/>
      <c r="CE69" s="831"/>
      <c r="CF69" s="831"/>
      <c r="CG69" s="831"/>
      <c r="CH69" s="831"/>
      <c r="CI69" s="831"/>
      <c r="CJ69" s="831"/>
      <c r="CK69" s="831"/>
      <c r="CL69" s="831"/>
      <c r="CM69" s="831"/>
      <c r="CN69" s="831"/>
      <c r="CO69" s="831"/>
      <c r="CP69" s="831"/>
      <c r="CQ69" s="831"/>
      <c r="CR69" s="831"/>
      <c r="CS69" s="831"/>
    </row>
    <row r="70" spans="2:97" ht="29.25" customHeight="1" thickBot="1">
      <c r="B70" s="10"/>
      <c r="C70" s="3626"/>
      <c r="D70" s="4406">
        <v>45748</v>
      </c>
      <c r="E70" s="4407"/>
      <c r="F70" s="3621"/>
      <c r="G70" s="3622"/>
      <c r="H70" s="3219"/>
      <c r="I70" s="1099"/>
      <c r="J70" s="1099"/>
      <c r="K70" s="1099"/>
      <c r="L70" s="3629"/>
      <c r="M70" s="4257">
        <v>20000</v>
      </c>
      <c r="N70" s="4258"/>
      <c r="O70" s="3634"/>
      <c r="P70" s="313"/>
      <c r="Q70" s="4260" t="s">
        <v>901</v>
      </c>
      <c r="R70" s="4260"/>
      <c r="S70" s="4260"/>
      <c r="T70" s="4260"/>
      <c r="U70" s="4260"/>
      <c r="V70" s="4260"/>
      <c r="W70" s="2066"/>
      <c r="X70" s="3703"/>
      <c r="Y70" s="4326"/>
      <c r="Z70" s="4327"/>
      <c r="AA70" s="3694"/>
      <c r="AB70" s="3695"/>
      <c r="AC70" s="10"/>
      <c r="AD70" s="2892"/>
      <c r="AE70" s="2891"/>
      <c r="AF70" s="2893"/>
      <c r="AG70" s="10"/>
      <c r="AH70" s="1548"/>
      <c r="AI70" s="1548"/>
      <c r="AJ70" s="1548"/>
      <c r="AK70" s="1548"/>
      <c r="AL70" s="1548"/>
      <c r="AM70" s="1548"/>
      <c r="AN70" s="1548"/>
      <c r="AO70" s="1548"/>
      <c r="AP70" s="1548"/>
      <c r="AQ70" s="1548"/>
      <c r="AR70" s="1548"/>
      <c r="AS70" s="1896"/>
      <c r="AT70" s="1896"/>
      <c r="AU70" s="1896"/>
      <c r="AV70" s="50"/>
      <c r="AW70" s="50"/>
      <c r="AX70" s="47"/>
      <c r="AY70" s="47"/>
      <c r="AZ70" s="7"/>
      <c r="BA70" s="7"/>
      <c r="BB70" s="7"/>
      <c r="BC70" s="7"/>
      <c r="BD70" s="7"/>
      <c r="BE70" s="634"/>
      <c r="BF70" s="634"/>
      <c r="BG70" s="634"/>
      <c r="BH70" s="634"/>
      <c r="BI70" s="634"/>
      <c r="BJ70" s="634"/>
      <c r="BK70" s="634"/>
      <c r="BL70" s="634"/>
      <c r="BM70" s="634"/>
      <c r="BN70" s="634"/>
      <c r="BO70" s="634"/>
      <c r="BP70" s="634"/>
      <c r="BQ70" s="634"/>
      <c r="BR70" s="634"/>
      <c r="BS70" s="3"/>
      <c r="BT70" s="3"/>
      <c r="BU70" s="3"/>
      <c r="BV70" s="3"/>
      <c r="BW70" s="3"/>
      <c r="BX70" s="3"/>
      <c r="BY70" s="3"/>
      <c r="BZ70" s="3"/>
      <c r="CA70" s="3"/>
      <c r="CB70" s="831"/>
      <c r="CC70" s="831"/>
      <c r="CD70" s="831"/>
      <c r="CE70" s="831"/>
      <c r="CF70" s="831"/>
      <c r="CG70" s="831"/>
      <c r="CH70" s="831"/>
      <c r="CI70" s="831"/>
      <c r="CJ70" s="831"/>
      <c r="CK70" s="831"/>
      <c r="CL70" s="831"/>
      <c r="CM70" s="831"/>
      <c r="CN70" s="831"/>
      <c r="CO70" s="831"/>
      <c r="CP70" s="831"/>
      <c r="CQ70" s="831"/>
      <c r="CR70" s="831"/>
      <c r="CS70" s="831"/>
    </row>
    <row r="71" spans="2:97" ht="30" customHeight="1" thickBot="1">
      <c r="B71" s="10"/>
      <c r="C71" s="3626"/>
      <c r="D71" s="4406">
        <v>45778</v>
      </c>
      <c r="E71" s="4407"/>
      <c r="F71" s="3621"/>
      <c r="G71" s="3622"/>
      <c r="H71" s="3220"/>
      <c r="I71" s="1103"/>
      <c r="J71" s="1103"/>
      <c r="K71" s="1103"/>
      <c r="L71" s="3629"/>
      <c r="M71" s="4257">
        <v>20000</v>
      </c>
      <c r="N71" s="4258"/>
      <c r="O71" s="3634"/>
      <c r="P71" s="313"/>
      <c r="Q71" s="4260" t="s">
        <v>898</v>
      </c>
      <c r="R71" s="4260"/>
      <c r="S71" s="4260"/>
      <c r="T71" s="4260"/>
      <c r="U71" s="4260"/>
      <c r="V71" s="4260"/>
      <c r="W71" s="2066"/>
      <c r="X71" s="3703"/>
      <c r="Y71" s="4326">
        <v>650</v>
      </c>
      <c r="Z71" s="4327"/>
      <c r="AA71" s="3694"/>
      <c r="AB71" s="3695"/>
      <c r="AC71" s="10"/>
      <c r="AD71" s="2892"/>
      <c r="AE71" s="2891"/>
      <c r="AF71" s="2893"/>
      <c r="AG71" s="10"/>
      <c r="AH71" s="1548"/>
      <c r="AI71" s="1897"/>
      <c r="AJ71" s="1897"/>
      <c r="AK71" s="1898"/>
      <c r="AL71" s="1898"/>
      <c r="AM71" s="1548"/>
      <c r="AN71" s="1548"/>
      <c r="AO71" s="1548"/>
      <c r="AP71" s="1548"/>
      <c r="AQ71" s="1548"/>
      <c r="AR71" s="1548"/>
      <c r="AS71" s="1896"/>
      <c r="AT71" s="1896"/>
      <c r="AU71" s="1896"/>
      <c r="AV71" s="50"/>
      <c r="AW71" s="50"/>
      <c r="AX71" s="47"/>
      <c r="AY71" s="47"/>
      <c r="AZ71" s="7"/>
      <c r="BA71" s="7"/>
      <c r="BB71" s="7"/>
      <c r="BC71" s="7"/>
      <c r="BD71" s="7"/>
      <c r="BE71" s="634"/>
      <c r="BF71" s="634"/>
      <c r="BG71" s="634"/>
      <c r="BH71" s="634"/>
      <c r="BI71" s="634"/>
      <c r="BJ71" s="634"/>
      <c r="BK71" s="634"/>
      <c r="BL71" s="634"/>
      <c r="BM71" s="634"/>
      <c r="BN71" s="634"/>
      <c r="BO71" s="634"/>
      <c r="BP71" s="634"/>
      <c r="BQ71" s="634"/>
      <c r="BR71" s="634"/>
      <c r="BS71" s="3"/>
      <c r="BT71" s="3"/>
      <c r="BU71" s="3"/>
      <c r="BV71" s="3"/>
      <c r="BW71" s="3"/>
      <c r="BX71" s="3"/>
      <c r="BY71" s="3"/>
      <c r="BZ71" s="3"/>
      <c r="CA71" s="3"/>
      <c r="CB71" s="831"/>
      <c r="CC71" s="831"/>
      <c r="CD71" s="831"/>
      <c r="CE71" s="831"/>
      <c r="CF71" s="831"/>
      <c r="CG71" s="831"/>
      <c r="CH71" s="831"/>
      <c r="CI71" s="831"/>
      <c r="CJ71" s="831"/>
      <c r="CK71" s="831"/>
      <c r="CL71" s="831"/>
      <c r="CM71" s="831"/>
      <c r="CN71" s="831"/>
      <c r="CO71" s="831"/>
      <c r="CP71" s="831"/>
      <c r="CQ71" s="831"/>
      <c r="CR71" s="831"/>
      <c r="CS71" s="831"/>
    </row>
    <row r="72" spans="2:97" ht="31.5" customHeight="1" thickBot="1">
      <c r="B72" s="10"/>
      <c r="C72" s="3626"/>
      <c r="D72" s="4406">
        <v>45809</v>
      </c>
      <c r="E72" s="4407"/>
      <c r="F72" s="3621"/>
      <c r="G72" s="3622"/>
      <c r="H72" s="3221"/>
      <c r="I72" s="2064"/>
      <c r="J72" s="2064"/>
      <c r="K72" s="2064"/>
      <c r="L72" s="3629"/>
      <c r="M72" s="4257">
        <v>20000</v>
      </c>
      <c r="N72" s="4258"/>
      <c r="O72" s="3634"/>
      <c r="P72" s="313"/>
      <c r="Q72" s="4260" t="s">
        <v>900</v>
      </c>
      <c r="R72" s="4260"/>
      <c r="S72" s="4260"/>
      <c r="T72" s="4260"/>
      <c r="U72" s="4260"/>
      <c r="V72" s="4260"/>
      <c r="W72" s="2066"/>
      <c r="X72" s="3703"/>
      <c r="Y72" s="4326"/>
      <c r="Z72" s="4327"/>
      <c r="AA72" s="3694"/>
      <c r="AB72" s="3695"/>
      <c r="AC72" s="10"/>
      <c r="AD72" s="2892"/>
      <c r="AE72" s="2891"/>
      <c r="AF72" s="2893"/>
      <c r="AG72" s="10"/>
      <c r="AH72" s="1548"/>
      <c r="AI72" s="1898"/>
      <c r="AJ72" s="1898"/>
      <c r="AK72" s="1898"/>
      <c r="AL72" s="1898"/>
      <c r="AM72" s="1548"/>
      <c r="AN72" s="1548"/>
      <c r="AO72" s="3359"/>
      <c r="AP72" s="4731"/>
      <c r="AQ72" s="4731"/>
      <c r="AR72" s="1548"/>
      <c r="AS72" s="1896"/>
      <c r="AT72" s="1896"/>
      <c r="AU72" s="1896"/>
      <c r="AV72" s="50"/>
      <c r="AW72" s="50"/>
      <c r="AX72" s="47"/>
      <c r="AY72" s="47"/>
      <c r="AZ72" s="7"/>
      <c r="BA72" s="7"/>
      <c r="BB72" s="7"/>
      <c r="BC72" s="7"/>
      <c r="BD72" s="7"/>
      <c r="BE72" s="634"/>
      <c r="BF72" s="634"/>
      <c r="BG72" s="634"/>
      <c r="BH72" s="634"/>
      <c r="BI72" s="634"/>
      <c r="BJ72" s="634"/>
      <c r="BK72" s="634"/>
      <c r="BL72" s="634"/>
      <c r="BM72" s="634"/>
      <c r="BN72" s="634"/>
      <c r="BO72" s="634"/>
      <c r="BP72" s="634"/>
      <c r="BQ72" s="634"/>
      <c r="BR72" s="634"/>
      <c r="BS72" s="3"/>
      <c r="BT72" s="3"/>
      <c r="BU72" s="3"/>
      <c r="BV72" s="3"/>
      <c r="BW72" s="3"/>
      <c r="BX72" s="3"/>
      <c r="BY72" s="3"/>
      <c r="BZ72" s="3"/>
      <c r="CA72" s="3"/>
      <c r="CB72" s="831"/>
      <c r="CC72" s="831"/>
      <c r="CD72" s="831"/>
      <c r="CE72" s="831"/>
      <c r="CF72" s="831"/>
      <c r="CG72" s="831"/>
      <c r="CH72" s="831"/>
      <c r="CI72" s="831"/>
      <c r="CJ72" s="831"/>
      <c r="CK72" s="831"/>
      <c r="CL72" s="831"/>
      <c r="CM72" s="831"/>
      <c r="CN72" s="831"/>
      <c r="CO72" s="831"/>
      <c r="CP72" s="831"/>
      <c r="CQ72" s="831"/>
      <c r="CR72" s="831"/>
      <c r="CS72" s="831"/>
    </row>
    <row r="73" spans="2:97" ht="31.5" customHeight="1" thickBot="1">
      <c r="B73" s="10"/>
      <c r="C73" s="3626"/>
      <c r="D73" s="4406">
        <v>45839</v>
      </c>
      <c r="E73" s="4407"/>
      <c r="F73" s="3621"/>
      <c r="G73" s="3622"/>
      <c r="H73" s="3221"/>
      <c r="I73" s="2063"/>
      <c r="J73" s="2063"/>
      <c r="K73" s="2063"/>
      <c r="L73" s="3626"/>
      <c r="M73" s="4257">
        <v>20000</v>
      </c>
      <c r="N73" s="4258"/>
      <c r="O73" s="3635"/>
      <c r="P73" s="313"/>
      <c r="Q73" s="4259" t="s">
        <v>899</v>
      </c>
      <c r="R73" s="4260"/>
      <c r="S73" s="4260"/>
      <c r="T73" s="4260"/>
      <c r="U73" s="4260"/>
      <c r="V73" s="4260"/>
      <c r="W73" s="2066"/>
      <c r="X73" s="3703"/>
      <c r="Y73" s="4326"/>
      <c r="Z73" s="4327"/>
      <c r="AA73" s="3694"/>
      <c r="AB73" s="3695"/>
      <c r="AC73" s="10"/>
      <c r="AD73" s="2892"/>
      <c r="AE73" s="2891"/>
      <c r="AF73" s="2893"/>
      <c r="AG73" s="10"/>
      <c r="AH73" s="1548"/>
      <c r="AI73" s="1898"/>
      <c r="AJ73" s="1898"/>
      <c r="AK73" s="1898"/>
      <c r="AL73" s="1898"/>
      <c r="AM73" s="1548"/>
      <c r="AN73" s="1548"/>
      <c r="AO73" s="3359"/>
      <c r="AP73" s="3359"/>
      <c r="AQ73" s="3359"/>
      <c r="AR73" s="1548"/>
      <c r="AS73" s="1896"/>
      <c r="AT73" s="1896"/>
      <c r="AU73" s="1896"/>
      <c r="AV73" s="50"/>
      <c r="AW73" s="50"/>
      <c r="AX73" s="47"/>
      <c r="AY73" s="47"/>
      <c r="AZ73" s="7"/>
      <c r="BA73" s="7"/>
      <c r="BB73" s="7"/>
      <c r="BC73" s="7"/>
      <c r="BD73" s="7"/>
      <c r="BE73" s="634"/>
      <c r="BF73" s="634"/>
      <c r="BG73" s="634"/>
      <c r="BH73" s="634"/>
      <c r="BI73" s="634"/>
      <c r="BJ73" s="634"/>
      <c r="BK73" s="634"/>
      <c r="BL73" s="634"/>
      <c r="BM73" s="634"/>
      <c r="BN73" s="634"/>
      <c r="BO73" s="634"/>
      <c r="BP73" s="634"/>
      <c r="BQ73" s="634"/>
      <c r="BR73" s="634"/>
      <c r="BS73" s="3"/>
      <c r="BT73" s="3"/>
      <c r="BU73" s="3"/>
      <c r="BV73" s="3"/>
      <c r="BW73" s="3"/>
      <c r="BX73" s="3"/>
      <c r="BY73" s="3"/>
      <c r="BZ73" s="3"/>
      <c r="CA73" s="3"/>
      <c r="CB73" s="831"/>
      <c r="CC73" s="831"/>
      <c r="CD73" s="831"/>
      <c r="CE73" s="831"/>
      <c r="CF73" s="831"/>
      <c r="CG73" s="831"/>
      <c r="CH73" s="831"/>
      <c r="CI73" s="831"/>
      <c r="CJ73" s="831"/>
      <c r="CK73" s="831"/>
      <c r="CL73" s="831"/>
      <c r="CM73" s="831"/>
      <c r="CN73" s="831"/>
      <c r="CO73" s="831"/>
      <c r="CP73" s="831"/>
      <c r="CQ73" s="831"/>
      <c r="CR73" s="831"/>
      <c r="CS73" s="831"/>
    </row>
    <row r="74" spans="2:97" ht="31.5" customHeight="1" thickBot="1">
      <c r="B74" s="10"/>
      <c r="C74" s="3626"/>
      <c r="D74" s="4406">
        <v>45870</v>
      </c>
      <c r="E74" s="4407"/>
      <c r="F74" s="3621"/>
      <c r="G74" s="3622"/>
      <c r="H74" s="3221"/>
      <c r="I74" s="2063"/>
      <c r="J74" s="2063"/>
      <c r="K74" s="2063"/>
      <c r="L74" s="3626"/>
      <c r="M74" s="4257">
        <v>20000</v>
      </c>
      <c r="N74" s="4258"/>
      <c r="O74" s="3635"/>
      <c r="P74" s="313"/>
      <c r="Q74" s="4259" t="s">
        <v>1743</v>
      </c>
      <c r="R74" s="4260"/>
      <c r="S74" s="4260"/>
      <c r="T74" s="4260"/>
      <c r="U74" s="4260"/>
      <c r="V74" s="4260"/>
      <c r="W74" s="2066"/>
      <c r="X74" s="3703"/>
      <c r="Y74" s="4764"/>
      <c r="Z74" s="4765"/>
      <c r="AA74" s="3694"/>
      <c r="AB74" s="3695"/>
      <c r="AC74" s="10"/>
      <c r="AD74" s="2892"/>
      <c r="AE74" s="2891"/>
      <c r="AF74" s="2893"/>
      <c r="AG74" s="10"/>
      <c r="AH74" s="1548"/>
      <c r="AI74" s="1898"/>
      <c r="AJ74" s="1898"/>
      <c r="AK74" s="1898"/>
      <c r="AL74" s="1898"/>
      <c r="AM74" s="1548"/>
      <c r="AN74" s="1548"/>
      <c r="AO74" s="3359"/>
      <c r="AP74" s="3359"/>
      <c r="AQ74" s="3359"/>
      <c r="AR74" s="1548"/>
      <c r="AS74" s="1896"/>
      <c r="AT74" s="1896"/>
      <c r="AU74" s="1896"/>
      <c r="AV74" s="50"/>
      <c r="AW74" s="50"/>
      <c r="AX74" s="47"/>
      <c r="AY74" s="47"/>
      <c r="AZ74" s="7"/>
      <c r="BA74" s="7"/>
      <c r="BB74" s="7"/>
      <c r="BC74" s="7"/>
      <c r="BD74" s="7"/>
      <c r="BE74" s="634"/>
      <c r="BF74" s="634"/>
      <c r="BG74" s="634"/>
      <c r="BH74" s="634"/>
      <c r="BI74" s="634"/>
      <c r="BJ74" s="634"/>
      <c r="BK74" s="634"/>
      <c r="BL74" s="634"/>
      <c r="BM74" s="634"/>
      <c r="BN74" s="634"/>
      <c r="BO74" s="634"/>
      <c r="BP74" s="634"/>
      <c r="BQ74" s="634"/>
      <c r="BR74" s="634"/>
      <c r="BS74" s="3"/>
      <c r="BT74" s="3"/>
      <c r="BU74" s="3"/>
      <c r="BV74" s="3"/>
      <c r="BW74" s="3"/>
      <c r="BX74" s="3"/>
      <c r="BY74" s="3"/>
      <c r="BZ74" s="3"/>
      <c r="CA74" s="3"/>
      <c r="CB74" s="831"/>
      <c r="CC74" s="831"/>
      <c r="CD74" s="831"/>
      <c r="CE74" s="831"/>
      <c r="CF74" s="831"/>
      <c r="CG74" s="831"/>
      <c r="CH74" s="831"/>
      <c r="CI74" s="831"/>
      <c r="CJ74" s="831"/>
      <c r="CK74" s="831"/>
      <c r="CL74" s="831"/>
      <c r="CM74" s="831"/>
      <c r="CN74" s="831"/>
      <c r="CO74" s="831"/>
      <c r="CP74" s="831"/>
      <c r="CQ74" s="831"/>
      <c r="CR74" s="831"/>
      <c r="CS74" s="831"/>
    </row>
    <row r="75" spans="2:97" ht="31.5" customHeight="1" thickBot="1">
      <c r="B75" s="10"/>
      <c r="C75" s="3626"/>
      <c r="D75" s="4406">
        <v>45901</v>
      </c>
      <c r="E75" s="4407"/>
      <c r="F75" s="3621"/>
      <c r="G75" s="3622"/>
      <c r="H75" s="3221"/>
      <c r="I75" s="2063"/>
      <c r="J75" s="2063"/>
      <c r="K75" s="2063"/>
      <c r="L75" s="3626"/>
      <c r="M75" s="4257">
        <v>20000</v>
      </c>
      <c r="N75" s="4258"/>
      <c r="O75" s="3635"/>
      <c r="P75" s="313"/>
      <c r="Q75" s="3690"/>
      <c r="R75" s="3691"/>
      <c r="S75" s="3691"/>
      <c r="T75" s="3691"/>
      <c r="U75" s="3691"/>
      <c r="V75" s="3691"/>
      <c r="W75" s="2066"/>
      <c r="X75" s="1104" t="s">
        <v>521</v>
      </c>
      <c r="Y75" s="1212" t="s">
        <v>188</v>
      </c>
      <c r="Z75" s="1212" t="s">
        <v>189</v>
      </c>
      <c r="AA75" s="1104" t="s">
        <v>31</v>
      </c>
      <c r="AB75" s="1104" t="str">
        <f>IF(Formula!GE3=2,"CPS","")</f>
        <v/>
      </c>
      <c r="AC75" s="10"/>
      <c r="AD75" s="2892"/>
      <c r="AE75" s="2891"/>
      <c r="AF75" s="2893"/>
      <c r="AG75" s="10"/>
      <c r="AH75" s="1548"/>
      <c r="AI75" s="1898"/>
      <c r="AJ75" s="1898"/>
      <c r="AK75" s="1898"/>
      <c r="AL75" s="1898"/>
      <c r="AM75" s="1548"/>
      <c r="AN75" s="1548"/>
      <c r="AO75" s="3359"/>
      <c r="AP75" s="3359"/>
      <c r="AQ75" s="3359"/>
      <c r="AR75" s="1548"/>
      <c r="AS75" s="1896"/>
      <c r="AT75" s="1896"/>
      <c r="AU75" s="1896"/>
      <c r="AV75" s="50"/>
      <c r="AW75" s="50"/>
      <c r="AX75" s="47"/>
      <c r="AY75" s="47"/>
      <c r="AZ75" s="7"/>
      <c r="BA75" s="7"/>
      <c r="BB75" s="7"/>
      <c r="BC75" s="7"/>
      <c r="BD75" s="7"/>
      <c r="BE75" s="634"/>
      <c r="BF75" s="634"/>
      <c r="BG75" s="634"/>
      <c r="BH75" s="634"/>
      <c r="BI75" s="634"/>
      <c r="BJ75" s="634"/>
      <c r="BK75" s="634"/>
      <c r="BL75" s="634"/>
      <c r="BM75" s="634"/>
      <c r="BN75" s="634"/>
      <c r="BO75" s="634"/>
      <c r="BP75" s="634"/>
      <c r="BQ75" s="634"/>
      <c r="BR75" s="634"/>
      <c r="BS75" s="3"/>
      <c r="BT75" s="3"/>
      <c r="BU75" s="3"/>
      <c r="BV75" s="3"/>
      <c r="BW75" s="3"/>
      <c r="BX75" s="3"/>
      <c r="BY75" s="3"/>
      <c r="BZ75" s="3"/>
      <c r="CA75" s="3"/>
      <c r="CB75" s="831"/>
      <c r="CC75" s="831"/>
      <c r="CD75" s="831"/>
      <c r="CE75" s="831"/>
      <c r="CF75" s="831"/>
      <c r="CG75" s="831"/>
      <c r="CH75" s="831"/>
      <c r="CI75" s="831"/>
      <c r="CJ75" s="831"/>
      <c r="CK75" s="831"/>
      <c r="CL75" s="831"/>
      <c r="CM75" s="831"/>
      <c r="CN75" s="831"/>
      <c r="CO75" s="831"/>
      <c r="CP75" s="831"/>
      <c r="CQ75" s="831"/>
      <c r="CR75" s="831"/>
      <c r="CS75" s="831"/>
    </row>
    <row r="76" spans="2:97" ht="31.5" customHeight="1">
      <c r="B76" s="10"/>
      <c r="C76" s="3626"/>
      <c r="D76" s="4406">
        <v>45931</v>
      </c>
      <c r="E76" s="4407"/>
      <c r="F76" s="3621"/>
      <c r="G76" s="3622"/>
      <c r="H76" s="3221"/>
      <c r="I76" s="2063"/>
      <c r="J76" s="2063"/>
      <c r="K76" s="2063"/>
      <c r="L76" s="3626"/>
      <c r="M76" s="4257">
        <v>20000</v>
      </c>
      <c r="N76" s="4258"/>
      <c r="O76" s="3635"/>
      <c r="P76" s="313"/>
      <c r="Q76" s="4785" t="s">
        <v>520</v>
      </c>
      <c r="R76" s="4786"/>
      <c r="S76" s="4786"/>
      <c r="T76" s="4786"/>
      <c r="U76" s="4786"/>
      <c r="V76" s="4786"/>
      <c r="W76" s="2066"/>
      <c r="X76" s="1107"/>
      <c r="Y76" s="1108"/>
      <c r="Z76" s="1108"/>
      <c r="AA76" s="1105">
        <f>SUM(X76+Y76+Z76)</f>
        <v>0</v>
      </c>
      <c r="AB76" s="1111"/>
      <c r="AC76" s="10"/>
      <c r="AD76" s="2892"/>
      <c r="AE76" s="2891"/>
      <c r="AF76" s="2893"/>
      <c r="AG76" s="10"/>
      <c r="AH76" s="1548"/>
      <c r="AI76" s="1898"/>
      <c r="AJ76" s="1898"/>
      <c r="AK76" s="1898"/>
      <c r="AL76" s="1898"/>
      <c r="AM76" s="1548"/>
      <c r="AN76" s="1548"/>
      <c r="AO76" s="3359"/>
      <c r="AP76" s="3359"/>
      <c r="AQ76" s="3359"/>
      <c r="AR76" s="1548"/>
      <c r="AS76" s="1896"/>
      <c r="AT76" s="1896"/>
      <c r="AU76" s="1896"/>
      <c r="AV76" s="50"/>
      <c r="AW76" s="50"/>
      <c r="AX76" s="47"/>
      <c r="AY76" s="47"/>
      <c r="AZ76" s="7"/>
      <c r="BA76" s="7"/>
      <c r="BB76" s="7"/>
      <c r="BC76" s="7"/>
      <c r="BD76" s="7"/>
      <c r="BE76" s="634"/>
      <c r="BF76" s="634"/>
      <c r="BG76" s="634"/>
      <c r="BH76" s="634"/>
      <c r="BI76" s="634"/>
      <c r="BJ76" s="634"/>
      <c r="BK76" s="634"/>
      <c r="BL76" s="634"/>
      <c r="BM76" s="634"/>
      <c r="BN76" s="634"/>
      <c r="BO76" s="634"/>
      <c r="BP76" s="634"/>
      <c r="BQ76" s="634"/>
      <c r="BR76" s="634"/>
      <c r="BS76" s="3"/>
      <c r="BT76" s="3"/>
      <c r="BU76" s="3"/>
      <c r="BV76" s="3"/>
      <c r="BW76" s="3"/>
      <c r="BX76" s="3"/>
      <c r="BY76" s="3"/>
      <c r="BZ76" s="3"/>
      <c r="CA76" s="3"/>
      <c r="CB76" s="831"/>
      <c r="CC76" s="831"/>
      <c r="CD76" s="831"/>
      <c r="CE76" s="831"/>
      <c r="CF76" s="831"/>
      <c r="CG76" s="831"/>
      <c r="CH76" s="831"/>
      <c r="CI76" s="831"/>
      <c r="CJ76" s="831"/>
      <c r="CK76" s="831"/>
      <c r="CL76" s="831"/>
      <c r="CM76" s="831"/>
      <c r="CN76" s="831"/>
      <c r="CO76" s="831"/>
      <c r="CP76" s="831"/>
      <c r="CQ76" s="831"/>
      <c r="CR76" s="831"/>
      <c r="CS76" s="831"/>
    </row>
    <row r="77" spans="2:97" ht="31.5" customHeight="1" thickBot="1">
      <c r="B77" s="10"/>
      <c r="C77" s="3626"/>
      <c r="D77" s="4406">
        <v>45962</v>
      </c>
      <c r="E77" s="4407"/>
      <c r="F77" s="3621"/>
      <c r="G77" s="3622"/>
      <c r="H77" s="3221"/>
      <c r="I77" s="2063"/>
      <c r="J77" s="2063"/>
      <c r="K77" s="2063"/>
      <c r="L77" s="3626"/>
      <c r="M77" s="4257">
        <v>20000</v>
      </c>
      <c r="N77" s="4258"/>
      <c r="O77" s="3635"/>
      <c r="P77" s="313"/>
      <c r="Q77" s="4787" t="s">
        <v>1534</v>
      </c>
      <c r="R77" s="4788"/>
      <c r="S77" s="4788"/>
      <c r="T77" s="4788"/>
      <c r="U77" s="4788"/>
      <c r="V77" s="4788"/>
      <c r="W77" s="2066"/>
      <c r="X77" s="1109"/>
      <c r="Y77" s="1110"/>
      <c r="Z77" s="1110"/>
      <c r="AA77" s="1106">
        <f>SUM(X77+Y77+Z77)</f>
        <v>0</v>
      </c>
      <c r="AB77" s="2445"/>
      <c r="AC77" s="10"/>
      <c r="AD77" s="2892"/>
      <c r="AE77" s="2891"/>
      <c r="AF77" s="2893"/>
      <c r="AG77" s="10"/>
      <c r="AH77" s="1548"/>
      <c r="AI77" s="1898"/>
      <c r="AJ77" s="1898"/>
      <c r="AK77" s="1898"/>
      <c r="AL77" s="1898"/>
      <c r="AM77" s="1548"/>
      <c r="AN77" s="1548"/>
      <c r="AO77" s="3359"/>
      <c r="AP77" s="3359"/>
      <c r="AQ77" s="3359"/>
      <c r="AR77" s="1548"/>
      <c r="AS77" s="1896"/>
      <c r="AT77" s="1896"/>
      <c r="AU77" s="1896"/>
      <c r="AV77" s="50"/>
      <c r="AW77" s="50"/>
      <c r="AX77" s="47"/>
      <c r="AY77" s="47"/>
      <c r="AZ77" s="7"/>
      <c r="BA77" s="7"/>
      <c r="BB77" s="7"/>
      <c r="BC77" s="7"/>
      <c r="BD77" s="7"/>
      <c r="BE77" s="634"/>
      <c r="BF77" s="634"/>
      <c r="BG77" s="634"/>
      <c r="BH77" s="634"/>
      <c r="BI77" s="634"/>
      <c r="BJ77" s="634"/>
      <c r="BK77" s="634"/>
      <c r="BL77" s="634"/>
      <c r="BM77" s="634"/>
      <c r="BN77" s="634"/>
      <c r="BO77" s="634"/>
      <c r="BP77" s="634"/>
      <c r="BQ77" s="634"/>
      <c r="BR77" s="634"/>
      <c r="BS77" s="3"/>
      <c r="BT77" s="3"/>
      <c r="BU77" s="3"/>
      <c r="BV77" s="3"/>
      <c r="BW77" s="3"/>
      <c r="BX77" s="3"/>
      <c r="BY77" s="3"/>
      <c r="BZ77" s="3"/>
      <c r="CA77" s="3"/>
      <c r="CB77" s="831"/>
      <c r="CC77" s="831"/>
      <c r="CD77" s="831"/>
      <c r="CE77" s="831"/>
      <c r="CF77" s="831"/>
      <c r="CG77" s="831"/>
      <c r="CH77" s="831"/>
      <c r="CI77" s="831"/>
      <c r="CJ77" s="831"/>
      <c r="CK77" s="831"/>
      <c r="CL77" s="831"/>
      <c r="CM77" s="831"/>
      <c r="CN77" s="831"/>
      <c r="CO77" s="831"/>
      <c r="CP77" s="831"/>
      <c r="CQ77" s="831"/>
      <c r="CR77" s="831"/>
      <c r="CS77" s="831"/>
    </row>
    <row r="78" spans="2:97" ht="31.5" customHeight="1" thickBot="1">
      <c r="B78" s="10"/>
      <c r="C78" s="3626"/>
      <c r="D78" s="4406">
        <v>45992</v>
      </c>
      <c r="E78" s="4407"/>
      <c r="F78" s="3621"/>
      <c r="G78" s="3622"/>
      <c r="H78" s="3221"/>
      <c r="I78" s="2063"/>
      <c r="J78" s="2063"/>
      <c r="K78" s="2063"/>
      <c r="L78" s="3626"/>
      <c r="M78" s="4257">
        <v>14000</v>
      </c>
      <c r="N78" s="4258"/>
      <c r="O78" s="3635"/>
      <c r="P78" s="313"/>
      <c r="Q78" s="3690"/>
      <c r="R78" s="3691"/>
      <c r="S78" s="3691"/>
      <c r="T78" s="3691"/>
      <c r="U78" s="3691"/>
      <c r="V78" s="3691"/>
      <c r="W78" s="3328"/>
      <c r="X78" s="3694"/>
      <c r="Y78" s="3694"/>
      <c r="Z78" s="3694"/>
      <c r="AA78" s="3694"/>
      <c r="AB78" s="3695"/>
      <c r="AC78" s="10"/>
      <c r="AD78" s="3053"/>
      <c r="AE78" s="3054"/>
      <c r="AF78" s="3055"/>
      <c r="AG78" s="10"/>
      <c r="AH78" s="1548"/>
      <c r="AI78" s="1898"/>
      <c r="AJ78" s="1898"/>
      <c r="AK78" s="1898"/>
      <c r="AL78" s="1898"/>
      <c r="AM78" s="1548"/>
      <c r="AN78" s="1548"/>
      <c r="AO78" s="3359"/>
      <c r="AP78" s="3359"/>
      <c r="AQ78" s="3359"/>
      <c r="AR78" s="1548"/>
      <c r="AS78" s="1896"/>
      <c r="AT78" s="1896"/>
      <c r="AU78" s="1896"/>
      <c r="AV78" s="50"/>
      <c r="AW78" s="50"/>
      <c r="AX78" s="47"/>
      <c r="AY78" s="47"/>
      <c r="AZ78" s="7"/>
      <c r="BA78" s="7"/>
      <c r="BB78" s="7"/>
      <c r="BC78" s="7"/>
      <c r="BD78" s="7"/>
      <c r="BE78" s="634"/>
      <c r="BF78" s="634"/>
      <c r="BG78" s="634"/>
      <c r="BH78" s="634"/>
      <c r="BI78" s="634"/>
      <c r="BJ78" s="634"/>
      <c r="BK78" s="634"/>
      <c r="BL78" s="634"/>
      <c r="BM78" s="634"/>
      <c r="BN78" s="634"/>
      <c r="BO78" s="634"/>
      <c r="BP78" s="634"/>
      <c r="BQ78" s="634"/>
      <c r="BR78" s="634"/>
      <c r="BS78" s="3"/>
      <c r="BT78" s="3"/>
      <c r="BU78" s="3"/>
      <c r="BV78" s="3"/>
      <c r="BW78" s="3"/>
      <c r="BX78" s="3"/>
      <c r="BY78" s="3"/>
      <c r="BZ78" s="3"/>
      <c r="CA78" s="3"/>
      <c r="CB78" s="831"/>
      <c r="CC78" s="831"/>
      <c r="CD78" s="831"/>
      <c r="CE78" s="831"/>
      <c r="CF78" s="831"/>
      <c r="CG78" s="831"/>
      <c r="CH78" s="831"/>
      <c r="CI78" s="831"/>
      <c r="CJ78" s="831"/>
      <c r="CK78" s="831"/>
      <c r="CL78" s="831"/>
      <c r="CM78" s="831"/>
      <c r="CN78" s="831"/>
      <c r="CO78" s="831"/>
      <c r="CP78" s="831"/>
      <c r="CQ78" s="831"/>
      <c r="CR78" s="831"/>
      <c r="CS78" s="831"/>
    </row>
    <row r="79" spans="2:97" ht="31.5" customHeight="1" thickBot="1">
      <c r="B79" s="10"/>
      <c r="C79" s="3626"/>
      <c r="D79" s="4406">
        <v>46023</v>
      </c>
      <c r="E79" s="4407"/>
      <c r="F79" s="3621"/>
      <c r="G79" s="3622"/>
      <c r="H79" s="3221"/>
      <c r="I79" s="2074"/>
      <c r="J79" s="2074"/>
      <c r="K79" s="2074"/>
      <c r="L79" s="3630"/>
      <c r="M79" s="4257"/>
      <c r="N79" s="4258"/>
      <c r="O79" s="3636"/>
      <c r="P79" s="313"/>
      <c r="Q79" s="3692"/>
      <c r="R79" s="3692"/>
      <c r="S79" s="3692"/>
      <c r="T79" s="3692"/>
      <c r="U79" s="3692"/>
      <c r="V79" s="3692"/>
      <c r="W79" s="3329"/>
      <c r="X79" s="3692"/>
      <c r="Y79" s="3692"/>
      <c r="Z79" s="3692"/>
      <c r="AA79" s="3692"/>
      <c r="AB79" s="3692"/>
      <c r="AC79" s="10"/>
      <c r="AD79" s="2084"/>
      <c r="AE79" s="2085"/>
      <c r="AF79" s="2086"/>
      <c r="AG79" s="10"/>
      <c r="AH79" s="1548"/>
      <c r="AI79" s="1898"/>
      <c r="AJ79" s="1898"/>
      <c r="AK79" s="1898"/>
      <c r="AL79" s="1898"/>
      <c r="AM79" s="1548"/>
      <c r="AN79" s="1548"/>
      <c r="AO79" s="3359"/>
      <c r="AP79" s="3359"/>
      <c r="AQ79" s="3359"/>
      <c r="AR79" s="1548"/>
      <c r="AS79" s="1896"/>
      <c r="AT79" s="1896"/>
      <c r="AU79" s="1896"/>
      <c r="AV79" s="50"/>
      <c r="AW79" s="50"/>
      <c r="AX79" s="47"/>
      <c r="AY79" s="47"/>
      <c r="AZ79" s="7"/>
      <c r="BA79" s="7"/>
      <c r="BB79" s="7"/>
      <c r="BC79" s="7"/>
      <c r="BD79" s="7"/>
      <c r="BE79" s="634"/>
      <c r="BF79" s="634"/>
      <c r="BG79" s="634"/>
      <c r="BH79" s="634"/>
      <c r="BI79" s="634"/>
      <c r="BJ79" s="634"/>
      <c r="BK79" s="634"/>
      <c r="BL79" s="634"/>
      <c r="BM79" s="634"/>
      <c r="BN79" s="634"/>
      <c r="BO79" s="634"/>
      <c r="BP79" s="634"/>
      <c r="BQ79" s="634"/>
      <c r="BR79" s="634"/>
      <c r="BS79" s="3"/>
      <c r="BT79" s="3"/>
      <c r="BU79" s="3"/>
      <c r="BV79" s="3"/>
      <c r="BW79" s="3"/>
      <c r="BX79" s="3"/>
      <c r="BY79" s="3"/>
      <c r="BZ79" s="3"/>
      <c r="CA79" s="3"/>
      <c r="CB79" s="831"/>
      <c r="CC79" s="831"/>
      <c r="CD79" s="831"/>
      <c r="CE79" s="831"/>
      <c r="CF79" s="831"/>
      <c r="CG79" s="831"/>
      <c r="CH79" s="831"/>
      <c r="CI79" s="831"/>
      <c r="CJ79" s="831"/>
      <c r="CK79" s="831"/>
      <c r="CL79" s="831"/>
      <c r="CM79" s="831"/>
      <c r="CN79" s="831"/>
      <c r="CO79" s="831"/>
      <c r="CP79" s="831"/>
      <c r="CQ79" s="831"/>
      <c r="CR79" s="831"/>
      <c r="CS79" s="831"/>
    </row>
    <row r="80" spans="2:97" ht="27.95" customHeight="1">
      <c r="B80" s="10"/>
      <c r="C80" s="3626"/>
      <c r="D80" s="4406">
        <v>46054</v>
      </c>
      <c r="E80" s="4407"/>
      <c r="F80" s="3621"/>
      <c r="G80" s="3622"/>
      <c r="H80" s="3222"/>
      <c r="I80" s="2516"/>
      <c r="J80" s="2516"/>
      <c r="K80" s="2516"/>
      <c r="L80" s="3631"/>
      <c r="M80" s="4257"/>
      <c r="N80" s="4258"/>
      <c r="O80" s="3637"/>
      <c r="P80" s="313"/>
      <c r="Q80" s="3692"/>
      <c r="R80" s="3692"/>
      <c r="S80" s="3692"/>
      <c r="T80" s="3692"/>
      <c r="U80" s="3692"/>
      <c r="V80" s="3692"/>
      <c r="W80" s="3329"/>
      <c r="X80" s="3692"/>
      <c r="Y80" s="3692"/>
      <c r="Z80" s="3692"/>
      <c r="AA80" s="3692"/>
      <c r="AB80" s="3692"/>
      <c r="AC80" s="10"/>
      <c r="AD80" s="3272"/>
      <c r="AE80" s="2092"/>
      <c r="AF80" s="3273"/>
      <c r="AG80" s="10"/>
      <c r="AH80" s="1548"/>
      <c r="AI80" s="1898"/>
      <c r="AJ80" s="1898"/>
      <c r="AK80" s="1898"/>
      <c r="AL80" s="1898"/>
      <c r="AM80" s="1548"/>
      <c r="AN80" s="1548"/>
      <c r="AO80" s="3359"/>
      <c r="AP80" s="3359"/>
      <c r="AQ80" s="3359"/>
      <c r="AR80" s="1548"/>
      <c r="AS80" s="1896"/>
      <c r="AT80" s="1896"/>
      <c r="AU80" s="1896"/>
      <c r="AV80" s="50"/>
      <c r="AW80" s="50"/>
      <c r="AX80" s="47"/>
      <c r="AY80" s="47"/>
      <c r="AZ80" s="7"/>
      <c r="BA80" s="7"/>
      <c r="BB80" s="7"/>
      <c r="BC80" s="7"/>
      <c r="BD80" s="7"/>
      <c r="BE80" s="634"/>
      <c r="BF80" s="634"/>
      <c r="BG80" s="634"/>
      <c r="BH80" s="634"/>
      <c r="BI80" s="634"/>
      <c r="BJ80" s="634"/>
      <c r="BK80" s="634"/>
      <c r="BL80" s="634"/>
      <c r="BM80" s="634"/>
      <c r="BN80" s="634"/>
      <c r="BO80" s="634"/>
      <c r="BP80" s="634"/>
      <c r="BQ80" s="634"/>
      <c r="BR80" s="634"/>
      <c r="BS80" s="3"/>
      <c r="BT80" s="3"/>
      <c r="BU80" s="3"/>
      <c r="BV80" s="3"/>
      <c r="BW80" s="3"/>
      <c r="BX80" s="3"/>
      <c r="BY80" s="3"/>
      <c r="BZ80" s="3"/>
      <c r="CA80" s="3"/>
      <c r="CB80" s="831"/>
      <c r="CC80" s="831"/>
      <c r="CD80" s="831"/>
      <c r="CE80" s="831"/>
      <c r="CF80" s="831"/>
      <c r="CG80" s="831"/>
      <c r="CH80" s="831"/>
      <c r="CI80" s="831"/>
      <c r="CJ80" s="831"/>
      <c r="CK80" s="831"/>
      <c r="CL80" s="831"/>
      <c r="CM80" s="831"/>
      <c r="CN80" s="831"/>
      <c r="CO80" s="831"/>
      <c r="CP80" s="831"/>
      <c r="CQ80" s="831"/>
      <c r="CR80" s="831"/>
      <c r="CS80" s="831"/>
    </row>
    <row r="81" spans="2:97" ht="26.25" customHeight="1" thickBot="1">
      <c r="B81" s="10"/>
      <c r="C81" s="3627"/>
      <c r="D81" s="3623"/>
      <c r="E81" s="3623"/>
      <c r="F81" s="3623"/>
      <c r="G81" s="3624"/>
      <c r="H81" s="3222"/>
      <c r="I81" s="2517"/>
      <c r="J81" s="2517"/>
      <c r="K81" s="2517"/>
      <c r="L81" s="3632"/>
      <c r="M81" s="3639"/>
      <c r="N81" s="3639"/>
      <c r="O81" s="3638"/>
      <c r="P81" s="313"/>
      <c r="Q81" s="3693"/>
      <c r="R81" s="3693"/>
      <c r="S81" s="3693"/>
      <c r="T81" s="3693"/>
      <c r="U81" s="3693"/>
      <c r="V81" s="3693"/>
      <c r="W81" s="3330"/>
      <c r="X81" s="3696"/>
      <c r="Y81" s="3697"/>
      <c r="Z81" s="3697"/>
      <c r="AA81" s="3696"/>
      <c r="AB81" s="3696"/>
      <c r="AC81" s="10"/>
      <c r="AD81" s="3274"/>
      <c r="AE81" s="2093"/>
      <c r="AF81" s="3275"/>
      <c r="AG81" s="10"/>
      <c r="AH81" s="1548"/>
      <c r="AI81" s="1898"/>
      <c r="AJ81" s="1898"/>
      <c r="AK81" s="1898"/>
      <c r="AL81" s="1898"/>
      <c r="AM81" s="1548"/>
      <c r="AN81" s="1548"/>
      <c r="AO81" s="3359"/>
      <c r="AP81" s="3359"/>
      <c r="AQ81" s="3359"/>
      <c r="AR81" s="1548"/>
      <c r="AS81" s="1896"/>
      <c r="AT81" s="1896"/>
      <c r="AU81" s="1896"/>
      <c r="AV81" s="50"/>
      <c r="AW81" s="50"/>
      <c r="AX81" s="47"/>
      <c r="AY81" s="47"/>
      <c r="AZ81" s="7"/>
      <c r="BA81" s="7"/>
      <c r="BB81" s="7"/>
      <c r="BC81" s="7"/>
      <c r="BD81" s="7"/>
      <c r="BE81" s="634"/>
      <c r="BF81" s="634"/>
      <c r="BG81" s="634"/>
      <c r="BH81" s="634"/>
      <c r="BI81" s="634"/>
      <c r="BJ81" s="634"/>
      <c r="BK81" s="634"/>
      <c r="BL81" s="634"/>
      <c r="BM81" s="634"/>
      <c r="BN81" s="634"/>
      <c r="BO81" s="634"/>
      <c r="BP81" s="634"/>
      <c r="BQ81" s="634"/>
      <c r="BR81" s="634"/>
      <c r="BS81" s="3"/>
      <c r="BT81" s="3"/>
      <c r="BU81" s="3"/>
      <c r="BV81" s="3"/>
      <c r="BW81" s="3"/>
      <c r="BX81" s="3"/>
      <c r="BY81" s="3"/>
      <c r="BZ81" s="3"/>
      <c r="CA81" s="3"/>
      <c r="CB81" s="831"/>
      <c r="CC81" s="831"/>
      <c r="CD81" s="831"/>
      <c r="CE81" s="831"/>
      <c r="CF81" s="831"/>
      <c r="CG81" s="831"/>
      <c r="CH81" s="831"/>
      <c r="CI81" s="831"/>
      <c r="CJ81" s="831"/>
      <c r="CK81" s="831"/>
      <c r="CL81" s="831"/>
      <c r="CM81" s="831"/>
      <c r="CN81" s="831"/>
      <c r="CO81" s="831"/>
      <c r="CP81" s="831"/>
      <c r="CQ81" s="831"/>
      <c r="CR81" s="831"/>
      <c r="CS81" s="831"/>
    </row>
    <row r="82" spans="2:97" ht="27.95" customHeight="1" thickBot="1">
      <c r="B82" s="10"/>
      <c r="C82" s="4600" t="s">
        <v>202</v>
      </c>
      <c r="D82" s="4601"/>
      <c r="E82" s="4601"/>
      <c r="F82" s="4601"/>
      <c r="G82" s="4601"/>
      <c r="H82" s="3221"/>
      <c r="I82" s="3223"/>
      <c r="J82" s="3223"/>
      <c r="K82" s="3223"/>
      <c r="L82" s="3775"/>
      <c r="M82" s="4602">
        <f>SUM(M69:N80)</f>
        <v>194000</v>
      </c>
      <c r="N82" s="4602"/>
      <c r="O82" s="3776"/>
      <c r="P82" s="313"/>
      <c r="Q82" s="4301" t="s">
        <v>1751</v>
      </c>
      <c r="R82" s="4302"/>
      <c r="S82" s="4302"/>
      <c r="T82" s="4302"/>
      <c r="U82" s="4302"/>
      <c r="V82" s="4302"/>
      <c r="W82" s="4302"/>
      <c r="X82" s="4302"/>
      <c r="Y82" s="4302"/>
      <c r="Z82" s="4302"/>
      <c r="AA82" s="4302"/>
      <c r="AB82" s="4303"/>
      <c r="AC82" s="10"/>
      <c r="AD82" s="3274"/>
      <c r="AE82" s="2093"/>
      <c r="AF82" s="3275"/>
      <c r="AG82" s="10"/>
      <c r="AH82" s="1548"/>
      <c r="AI82" s="1898"/>
      <c r="AJ82" s="1898"/>
      <c r="AK82" s="1898"/>
      <c r="AL82" s="1898"/>
      <c r="AM82" s="1548"/>
      <c r="AN82" s="1548"/>
      <c r="AO82" s="3359"/>
      <c r="AP82" s="3359"/>
      <c r="AQ82" s="3359"/>
      <c r="AR82" s="1548"/>
      <c r="AS82" s="1896"/>
      <c r="AT82" s="1896"/>
      <c r="AU82" s="1896"/>
      <c r="AV82" s="50"/>
      <c r="AW82" s="50"/>
      <c r="AX82" s="47"/>
      <c r="AY82" s="47"/>
      <c r="AZ82" s="7"/>
      <c r="BA82" s="7"/>
      <c r="BB82" s="7"/>
      <c r="BC82" s="7"/>
      <c r="BD82" s="7"/>
      <c r="BE82" s="634"/>
      <c r="BF82" s="634"/>
      <c r="BG82" s="634"/>
      <c r="BH82" s="634"/>
      <c r="BI82" s="634"/>
      <c r="BJ82" s="634"/>
      <c r="BK82" s="634"/>
      <c r="BL82" s="634"/>
      <c r="BM82" s="634"/>
      <c r="BN82" s="634"/>
      <c r="BO82" s="634"/>
      <c r="BP82" s="634"/>
      <c r="BQ82" s="634"/>
      <c r="BR82" s="634"/>
      <c r="BS82" s="3"/>
      <c r="BT82" s="3"/>
      <c r="BU82" s="3"/>
      <c r="BV82" s="3"/>
      <c r="BW82" s="3"/>
      <c r="BX82" s="3"/>
      <c r="BY82" s="3"/>
      <c r="BZ82" s="3"/>
      <c r="CA82" s="3"/>
      <c r="CB82" s="831"/>
      <c r="CC82" s="831"/>
      <c r="CD82" s="831"/>
      <c r="CE82" s="831"/>
      <c r="CF82" s="831"/>
      <c r="CG82" s="831"/>
      <c r="CH82" s="831"/>
      <c r="CI82" s="831"/>
      <c r="CJ82" s="831"/>
      <c r="CK82" s="831"/>
      <c r="CL82" s="831"/>
      <c r="CM82" s="831"/>
      <c r="CN82" s="831"/>
      <c r="CO82" s="831"/>
      <c r="CP82" s="831"/>
      <c r="CQ82" s="831"/>
      <c r="CR82" s="831"/>
      <c r="CS82" s="831"/>
    </row>
    <row r="83" spans="2:97" ht="38.25" customHeight="1" thickBot="1">
      <c r="B83" s="10"/>
      <c r="C83" s="3640"/>
      <c r="D83" s="3641"/>
      <c r="E83" s="3641"/>
      <c r="F83" s="3641"/>
      <c r="G83" s="3641"/>
      <c r="H83" s="3641"/>
      <c r="I83" s="3641"/>
      <c r="J83" s="3641"/>
      <c r="K83" s="3641"/>
      <c r="L83" s="3644"/>
      <c r="M83" s="3644"/>
      <c r="N83" s="3772"/>
      <c r="O83" s="3642"/>
      <c r="P83" s="313"/>
      <c r="Q83" s="4304"/>
      <c r="R83" s="4305"/>
      <c r="S83" s="4305"/>
      <c r="T83" s="4305"/>
      <c r="U83" s="4305"/>
      <c r="V83" s="4305"/>
      <c r="W83" s="4306"/>
      <c r="X83" s="4305"/>
      <c r="Y83" s="4305"/>
      <c r="Z83" s="4305"/>
      <c r="AA83" s="4305"/>
      <c r="AB83" s="4307"/>
      <c r="AC83" s="10"/>
      <c r="AD83" s="3274"/>
      <c r="AE83" s="2093"/>
      <c r="AF83" s="3275"/>
      <c r="AG83" s="10"/>
      <c r="AH83" s="1548"/>
      <c r="AI83" s="1898"/>
      <c r="AJ83" s="1898"/>
      <c r="AK83" s="1898"/>
      <c r="AL83" s="1898"/>
      <c r="AM83" s="1548"/>
      <c r="AN83" s="1548"/>
      <c r="AO83" s="3359"/>
      <c r="AP83" s="3359"/>
      <c r="AQ83" s="3359"/>
      <c r="AR83" s="1548"/>
      <c r="AS83" s="1896"/>
      <c r="AT83" s="1896"/>
      <c r="AU83" s="1896"/>
      <c r="AV83" s="50"/>
      <c r="AW83" s="50"/>
      <c r="AX83" s="47"/>
      <c r="AY83" s="47"/>
      <c r="AZ83" s="7"/>
      <c r="BA83" s="7"/>
      <c r="BB83" s="7"/>
      <c r="BC83" s="7"/>
      <c r="BD83" s="7"/>
      <c r="BE83" s="634"/>
      <c r="BF83" s="634"/>
      <c r="BG83" s="634"/>
      <c r="BH83" s="634"/>
      <c r="BI83" s="634"/>
      <c r="BJ83" s="634"/>
      <c r="BK83" s="634"/>
      <c r="BL83" s="634"/>
      <c r="BM83" s="634"/>
      <c r="BN83" s="634"/>
      <c r="BO83" s="634"/>
      <c r="BP83" s="634"/>
      <c r="BQ83" s="634"/>
      <c r="BR83" s="634"/>
      <c r="BS83" s="3"/>
      <c r="BT83" s="3"/>
      <c r="BU83" s="3"/>
      <c r="BV83" s="3"/>
      <c r="BW83" s="3"/>
      <c r="BX83" s="3"/>
      <c r="BY83" s="3"/>
      <c r="BZ83" s="3"/>
      <c r="CA83" s="3"/>
      <c r="CB83" s="831"/>
      <c r="CC83" s="831"/>
      <c r="CD83" s="831"/>
      <c r="CE83" s="831"/>
      <c r="CF83" s="831"/>
      <c r="CG83" s="831"/>
      <c r="CH83" s="831"/>
      <c r="CI83" s="831"/>
      <c r="CJ83" s="831"/>
      <c r="CK83" s="831"/>
      <c r="CL83" s="831"/>
      <c r="CM83" s="831"/>
      <c r="CN83" s="831"/>
      <c r="CO83" s="831"/>
      <c r="CP83" s="831"/>
      <c r="CQ83" s="831"/>
      <c r="CR83" s="831"/>
      <c r="CS83" s="831"/>
    </row>
    <row r="84" spans="2:97" ht="27.95" customHeight="1" thickBot="1">
      <c r="B84" s="10"/>
      <c r="C84" s="3643"/>
      <c r="D84" s="3644"/>
      <c r="E84" s="3644"/>
      <c r="F84" s="3644"/>
      <c r="G84" s="3644"/>
      <c r="H84" s="3644"/>
      <c r="I84" s="3644"/>
      <c r="J84" s="3644"/>
      <c r="K84" s="3644"/>
      <c r="L84" s="3644"/>
      <c r="M84" s="3644"/>
      <c r="N84" s="3644"/>
      <c r="O84" s="3644"/>
      <c r="P84" s="313"/>
      <c r="Q84" s="3648"/>
      <c r="R84" s="3648"/>
      <c r="S84" s="3648"/>
      <c r="T84" s="3648"/>
      <c r="U84" s="3648"/>
      <c r="V84" s="3649"/>
      <c r="W84" s="3332"/>
      <c r="X84" s="2547"/>
      <c r="Y84" s="3335"/>
      <c r="Z84" s="3335"/>
      <c r="AA84" s="2547"/>
      <c r="AB84" s="2548"/>
      <c r="AC84" s="10"/>
      <c r="AD84" s="3274"/>
      <c r="AE84" s="2093"/>
      <c r="AF84" s="3275"/>
      <c r="AG84" s="10"/>
      <c r="AH84" s="1899"/>
      <c r="AI84" s="1900"/>
      <c r="AJ84" s="1900"/>
      <c r="AK84" s="1901"/>
      <c r="AL84" s="1901"/>
      <c r="AM84" s="1901"/>
      <c r="AN84" s="1901"/>
      <c r="AO84" s="1901"/>
      <c r="AP84" s="1901"/>
      <c r="AQ84" s="1901"/>
      <c r="AR84" s="1548"/>
      <c r="AS84" s="1896"/>
      <c r="AT84" s="1896"/>
      <c r="AU84" s="1896"/>
      <c r="AV84" s="50"/>
      <c r="AW84" s="50"/>
      <c r="AX84" s="47"/>
      <c r="AY84" s="47"/>
      <c r="AZ84" s="7"/>
      <c r="BA84" s="7"/>
      <c r="BB84" s="7"/>
      <c r="BC84" s="7"/>
      <c r="BD84" s="7"/>
      <c r="BE84" s="634"/>
      <c r="BF84" s="634"/>
      <c r="BG84" s="634"/>
      <c r="BH84" s="634"/>
      <c r="BI84" s="634"/>
      <c r="BJ84" s="634"/>
      <c r="BK84" s="634"/>
      <c r="BL84" s="634"/>
      <c r="BM84" s="634"/>
      <c r="BN84" s="634"/>
      <c r="BO84" s="634"/>
      <c r="BP84" s="634"/>
      <c r="BQ84" s="634"/>
      <c r="BR84" s="634"/>
      <c r="BS84" s="3"/>
      <c r="BT84" s="3"/>
      <c r="BU84" s="3"/>
      <c r="BV84" s="3"/>
      <c r="BW84" s="3"/>
      <c r="BX84" s="3"/>
      <c r="BY84" s="3"/>
      <c r="BZ84" s="3"/>
      <c r="CA84" s="3"/>
      <c r="CB84" s="831"/>
      <c r="CC84" s="831"/>
      <c r="CD84" s="831"/>
      <c r="CE84" s="831"/>
      <c r="CF84" s="831"/>
      <c r="CG84" s="831"/>
      <c r="CH84" s="831"/>
      <c r="CI84" s="831"/>
      <c r="CJ84" s="831"/>
      <c r="CK84" s="831"/>
      <c r="CL84" s="831"/>
      <c r="CM84" s="831"/>
      <c r="CN84" s="831"/>
      <c r="CO84" s="831"/>
      <c r="CP84" s="831"/>
      <c r="CQ84" s="831"/>
      <c r="CR84" s="831"/>
      <c r="CS84" s="831"/>
    </row>
    <row r="85" spans="2:97" ht="33" customHeight="1" thickBot="1">
      <c r="B85" s="10"/>
      <c r="C85" s="3643"/>
      <c r="D85" s="3644"/>
      <c r="E85" s="3644"/>
      <c r="F85" s="3644"/>
      <c r="G85" s="3644"/>
      <c r="H85" s="3644"/>
      <c r="I85" s="3644"/>
      <c r="J85" s="3644"/>
      <c r="K85" s="3644"/>
      <c r="L85" s="3644"/>
      <c r="M85" s="3644"/>
      <c r="N85" s="3644"/>
      <c r="O85" s="3645"/>
      <c r="P85" s="313"/>
      <c r="Q85" s="4593" t="s">
        <v>1752</v>
      </c>
      <c r="R85" s="4594"/>
      <c r="S85" s="4594"/>
      <c r="T85" s="4594"/>
      <c r="U85" s="4594"/>
      <c r="V85" s="4594"/>
      <c r="W85" s="3333"/>
      <c r="X85" s="4791"/>
      <c r="Y85" s="4791"/>
      <c r="Z85" s="4791"/>
      <c r="AA85" s="4791"/>
      <c r="AB85" s="4792"/>
      <c r="AC85" s="10"/>
      <c r="AD85" s="3274"/>
      <c r="AE85" s="2093"/>
      <c r="AF85" s="3275"/>
      <c r="AG85" s="10"/>
      <c r="AH85" s="1899"/>
      <c r="AI85" s="1900"/>
      <c r="AJ85" s="1900"/>
      <c r="AK85" s="1901"/>
      <c r="AL85" s="1901"/>
      <c r="AM85" s="1901"/>
      <c r="AN85" s="1901"/>
      <c r="AO85" s="1901"/>
      <c r="AP85" s="1901"/>
      <c r="AQ85" s="1901"/>
      <c r="AR85" s="1548"/>
      <c r="AS85" s="1896"/>
      <c r="AT85" s="1896"/>
      <c r="AU85" s="1896"/>
      <c r="AV85" s="50"/>
      <c r="AW85" s="50"/>
      <c r="AX85" s="47"/>
      <c r="AY85" s="47"/>
      <c r="AZ85" s="7"/>
      <c r="BA85" s="7"/>
      <c r="BB85" s="7"/>
      <c r="BC85" s="7"/>
      <c r="BD85" s="7"/>
      <c r="BE85" s="634"/>
      <c r="BF85" s="634"/>
      <c r="BG85" s="634"/>
      <c r="BH85" s="634"/>
      <c r="BI85" s="634"/>
      <c r="BJ85" s="634"/>
      <c r="BK85" s="634"/>
      <c r="BL85" s="634"/>
      <c r="BM85" s="634"/>
      <c r="BN85" s="634"/>
      <c r="BO85" s="634"/>
      <c r="BP85" s="634"/>
      <c r="BQ85" s="4707" t="s">
        <v>197</v>
      </c>
      <c r="BR85" s="4708"/>
      <c r="BS85" s="4708"/>
      <c r="BT85" s="4708"/>
      <c r="BU85" s="4708"/>
      <c r="BV85" s="4708"/>
      <c r="BW85" s="4708"/>
      <c r="BX85" s="4708"/>
      <c r="BY85" s="4708"/>
      <c r="BZ85" s="4708"/>
      <c r="CA85" s="4708"/>
      <c r="CB85" s="1195">
        <f>'Anexure-I'!M41</f>
        <v>1503534</v>
      </c>
      <c r="CC85" s="831"/>
      <c r="CD85" s="831"/>
      <c r="CE85" s="831"/>
      <c r="CF85" s="831"/>
      <c r="CG85" s="831"/>
      <c r="CH85" s="831"/>
      <c r="CI85" s="831"/>
      <c r="CJ85" s="831"/>
      <c r="CK85" s="831"/>
      <c r="CL85" s="831"/>
      <c r="CM85" s="831"/>
      <c r="CN85" s="831"/>
      <c r="CO85" s="831"/>
      <c r="CP85" s="831"/>
      <c r="CQ85" s="831"/>
      <c r="CR85" s="831"/>
      <c r="CS85" s="831"/>
    </row>
    <row r="86" spans="2:97" ht="33.75" customHeight="1" thickBot="1">
      <c r="B86" s="10"/>
      <c r="C86" s="3643"/>
      <c r="D86" s="3644"/>
      <c r="E86" s="3644"/>
      <c r="F86" s="3644"/>
      <c r="G86" s="3644"/>
      <c r="H86" s="3644"/>
      <c r="I86" s="3644"/>
      <c r="J86" s="3644"/>
      <c r="K86" s="3644"/>
      <c r="L86" s="3644"/>
      <c r="M86" s="3644"/>
      <c r="N86" s="3644"/>
      <c r="O86" s="3645"/>
      <c r="P86" s="313"/>
      <c r="Q86" s="3650"/>
      <c r="R86" s="3650"/>
      <c r="S86" s="3650"/>
      <c r="T86" s="3650"/>
      <c r="U86" s="3650"/>
      <c r="V86" s="3650"/>
      <c r="W86" s="3333"/>
      <c r="X86" s="3768" t="s">
        <v>1455</v>
      </c>
      <c r="Y86" s="4753" t="str">
        <f>IF(Formula!$GE$3=2,CONCATENATE(" CPS"),"")</f>
        <v/>
      </c>
      <c r="Z86" s="4754"/>
      <c r="AA86" s="3769" t="str">
        <f>IF(Formula!$GE$3=2,CONCATENATE(" Cash"),"")</f>
        <v/>
      </c>
      <c r="AB86" s="4755"/>
      <c r="AC86" s="10"/>
      <c r="AD86" s="3274"/>
      <c r="AE86" s="2093"/>
      <c r="AF86" s="3275"/>
      <c r="AG86" s="10"/>
      <c r="AH86" s="1899"/>
      <c r="AI86" s="1900"/>
      <c r="AJ86" s="1900"/>
      <c r="AK86" s="1901"/>
      <c r="AL86" s="1901"/>
      <c r="AM86" s="1901"/>
      <c r="AN86" s="1901"/>
      <c r="AO86" s="1901"/>
      <c r="AP86" s="1901"/>
      <c r="AQ86" s="1901"/>
      <c r="AR86" s="1548"/>
      <c r="AS86" s="1896"/>
      <c r="AT86" s="1896"/>
      <c r="AU86" s="1896"/>
      <c r="AV86" s="50"/>
      <c r="AW86" s="50"/>
      <c r="AX86" s="47"/>
      <c r="AY86" s="47"/>
      <c r="AZ86" s="7"/>
      <c r="BA86" s="7"/>
      <c r="BB86" s="7"/>
      <c r="BC86" s="7"/>
      <c r="BD86" s="7"/>
      <c r="BE86" s="634"/>
      <c r="BF86" s="634"/>
      <c r="BG86" s="634"/>
      <c r="BH86" s="634"/>
      <c r="BI86" s="634"/>
      <c r="BJ86" s="634"/>
      <c r="BK86" s="634"/>
      <c r="BL86" s="634"/>
      <c r="BM86" s="634"/>
      <c r="BN86" s="634"/>
      <c r="BO86" s="634"/>
      <c r="BP86" s="634"/>
      <c r="BQ86" s="4709" t="s">
        <v>789</v>
      </c>
      <c r="BR86" s="4710"/>
      <c r="BS86" s="4710"/>
      <c r="BT86" s="4710"/>
      <c r="BU86" s="4710"/>
      <c r="BV86" s="4710"/>
      <c r="BW86" s="4710"/>
      <c r="BX86" s="4710"/>
      <c r="BY86" s="4710"/>
      <c r="BZ86" s="4710"/>
      <c r="CA86" s="4710"/>
      <c r="CB86" s="1196">
        <v>50000</v>
      </c>
      <c r="CC86" s="831"/>
      <c r="CD86" s="831"/>
      <c r="CE86" s="831"/>
      <c r="CF86" s="831"/>
      <c r="CG86" s="831"/>
      <c r="CH86" s="831"/>
      <c r="CI86" s="831"/>
      <c r="CJ86" s="831"/>
      <c r="CK86" s="831"/>
      <c r="CL86" s="831"/>
      <c r="CM86" s="831"/>
      <c r="CN86" s="831"/>
      <c r="CO86" s="831"/>
      <c r="CP86" s="831"/>
      <c r="CQ86" s="831"/>
      <c r="CR86" s="831"/>
      <c r="CS86" s="831"/>
    </row>
    <row r="87" spans="2:97" ht="34.5" customHeight="1" thickBot="1">
      <c r="B87" s="10"/>
      <c r="C87" s="3643"/>
      <c r="D87" s="3644"/>
      <c r="E87" s="3644"/>
      <c r="F87" s="3644"/>
      <c r="G87" s="3644"/>
      <c r="H87" s="3644"/>
      <c r="I87" s="3644"/>
      <c r="J87" s="3644"/>
      <c r="K87" s="3644"/>
      <c r="L87" s="3644"/>
      <c r="M87" s="3644"/>
      <c r="N87" s="3644"/>
      <c r="O87" s="3645"/>
      <c r="P87" s="313"/>
      <c r="Q87" s="4793" t="s">
        <v>1753</v>
      </c>
      <c r="R87" s="4794"/>
      <c r="S87" s="4794"/>
      <c r="T87" s="4794"/>
      <c r="U87" s="4794"/>
      <c r="V87" s="4794"/>
      <c r="W87" s="3333"/>
      <c r="X87" s="3336"/>
      <c r="Y87" s="4232"/>
      <c r="Z87" s="4233"/>
      <c r="AA87" s="3337" t="str">
        <f>IF(AND(Formula!$L$403=2,Formula!$GE$3=2),SUM(X87-Y87),"")</f>
        <v/>
      </c>
      <c r="AB87" s="4756"/>
      <c r="AC87" s="10"/>
      <c r="AD87" s="3274"/>
      <c r="AE87" s="2093"/>
      <c r="AF87" s="3275"/>
      <c r="AG87" s="10"/>
      <c r="AH87" s="1548"/>
      <c r="AI87" s="1898"/>
      <c r="AJ87" s="1898"/>
      <c r="AK87" s="1898"/>
      <c r="AL87" s="1898"/>
      <c r="AM87" s="1548"/>
      <c r="AN87" s="1548"/>
      <c r="AO87" s="1548"/>
      <c r="AP87" s="1548"/>
      <c r="AQ87" s="1548"/>
      <c r="AR87" s="1548"/>
      <c r="AS87" s="1896"/>
      <c r="AT87" s="1896"/>
      <c r="AU87" s="1896"/>
      <c r="AV87" s="50"/>
      <c r="AW87" s="50"/>
      <c r="AX87" s="47"/>
      <c r="AY87" s="47"/>
      <c r="AZ87" s="7"/>
      <c r="BA87" s="7"/>
      <c r="BB87" s="7"/>
      <c r="BC87" s="7"/>
      <c r="BD87" s="7"/>
      <c r="BE87" s="634"/>
      <c r="BF87" s="634"/>
      <c r="BG87" s="634"/>
      <c r="BH87" s="634"/>
      <c r="BI87" s="634"/>
      <c r="BJ87" s="634"/>
      <c r="BK87" s="634"/>
      <c r="BL87" s="634"/>
      <c r="BM87" s="634"/>
      <c r="BN87" s="634"/>
      <c r="BO87" s="634"/>
      <c r="BP87" s="634"/>
      <c r="BQ87" s="4711"/>
      <c r="BR87" s="4712"/>
      <c r="BS87" s="4712"/>
      <c r="BT87" s="4712"/>
      <c r="BU87" s="4712"/>
      <c r="BV87" s="4712"/>
      <c r="BW87" s="4712"/>
      <c r="BX87" s="4712"/>
      <c r="BY87" s="4712"/>
      <c r="BZ87" s="4712"/>
      <c r="CA87" s="4712"/>
      <c r="CB87" s="3321"/>
      <c r="CC87" s="831"/>
      <c r="CD87" s="831"/>
      <c r="CE87" s="831"/>
      <c r="CF87" s="831"/>
      <c r="CG87" s="831"/>
      <c r="CH87" s="831"/>
      <c r="CI87" s="831"/>
      <c r="CJ87" s="831"/>
      <c r="CK87" s="831"/>
      <c r="CL87" s="831"/>
      <c r="CM87" s="831"/>
      <c r="CN87" s="831"/>
      <c r="CO87" s="831"/>
      <c r="CP87" s="831"/>
      <c r="CQ87" s="831"/>
      <c r="CR87" s="831"/>
      <c r="CS87" s="831"/>
    </row>
    <row r="88" spans="2:97" ht="41.25" customHeight="1" thickBot="1">
      <c r="B88" s="10"/>
      <c r="C88" s="3643"/>
      <c r="D88" s="3644"/>
      <c r="E88" s="3644"/>
      <c r="F88" s="3644"/>
      <c r="G88" s="3644"/>
      <c r="H88" s="3644"/>
      <c r="I88" s="3644"/>
      <c r="J88" s="3644"/>
      <c r="K88" s="3644"/>
      <c r="L88" s="3644"/>
      <c r="M88" s="3644"/>
      <c r="N88" s="3644"/>
      <c r="O88" s="3645"/>
      <c r="P88" s="313"/>
      <c r="Q88" s="3654"/>
      <c r="R88" s="3655"/>
      <c r="S88" s="3655"/>
      <c r="T88" s="3655"/>
      <c r="U88" s="3655"/>
      <c r="V88" s="3655"/>
      <c r="W88" s="3655"/>
      <c r="X88" s="3655"/>
      <c r="Y88" s="3655"/>
      <c r="Z88" s="3655"/>
      <c r="AA88" s="3655"/>
      <c r="AB88" s="3656"/>
      <c r="AC88" s="10"/>
      <c r="AD88" s="3274"/>
      <c r="AE88" s="2093"/>
      <c r="AF88" s="3275"/>
      <c r="AG88" s="10"/>
      <c r="AH88" s="1548"/>
      <c r="AI88" s="1548"/>
      <c r="AJ88" s="1548"/>
      <c r="AK88" s="1548"/>
      <c r="AL88" s="1548"/>
      <c r="AM88" s="1548"/>
      <c r="AN88" s="1548"/>
      <c r="AO88" s="1548"/>
      <c r="AP88" s="1548"/>
      <c r="AQ88" s="1548"/>
      <c r="AR88" s="1548"/>
      <c r="AS88" s="1896"/>
      <c r="AT88" s="1896"/>
      <c r="AU88" s="1896"/>
      <c r="AV88" s="50"/>
      <c r="AW88" s="50"/>
      <c r="AX88" s="47"/>
      <c r="AY88" s="47"/>
      <c r="AZ88" s="7"/>
      <c r="BA88" s="7"/>
      <c r="BB88" s="7"/>
      <c r="BC88" s="7"/>
      <c r="BD88" s="7"/>
      <c r="BE88" s="634"/>
      <c r="BF88" s="634"/>
      <c r="BG88" s="634"/>
      <c r="BH88" s="634"/>
      <c r="BI88" s="634"/>
      <c r="BJ88" s="634"/>
      <c r="BK88" s="4682"/>
      <c r="BL88" s="4682"/>
      <c r="BM88" s="4682"/>
      <c r="BN88" s="635"/>
      <c r="BO88" s="634"/>
      <c r="BP88" s="634"/>
      <c r="BQ88" s="4704" t="s">
        <v>790</v>
      </c>
      <c r="BR88" s="4705"/>
      <c r="BS88" s="4705"/>
      <c r="BT88" s="4705"/>
      <c r="BU88" s="4705"/>
      <c r="BV88" s="4705"/>
      <c r="BW88" s="4705"/>
      <c r="BX88" s="4705"/>
      <c r="BY88" s="4705"/>
      <c r="BZ88" s="4705"/>
      <c r="CA88" s="4705"/>
      <c r="CB88" s="1197" t="str">
        <f>Formula!GD6</f>
        <v>Rented House</v>
      </c>
      <c r="CC88" s="831"/>
      <c r="CD88" s="831"/>
      <c r="CE88" s="831"/>
      <c r="CF88" s="831"/>
      <c r="CG88" s="831"/>
      <c r="CH88" s="831"/>
      <c r="CI88" s="831"/>
      <c r="CJ88" s="831"/>
      <c r="CK88" s="831"/>
      <c r="CL88" s="831"/>
      <c r="CM88" s="831"/>
      <c r="CN88" s="831"/>
      <c r="CO88" s="831"/>
      <c r="CP88" s="831"/>
      <c r="CQ88" s="831"/>
      <c r="CR88" s="831"/>
      <c r="CS88" s="831"/>
    </row>
    <row r="89" spans="2:97" ht="30" customHeight="1" thickBot="1">
      <c r="B89" s="10"/>
      <c r="C89" s="3643"/>
      <c r="D89" s="3644"/>
      <c r="E89" s="3644"/>
      <c r="F89" s="3644"/>
      <c r="G89" s="3644"/>
      <c r="H89" s="3644"/>
      <c r="I89" s="3644"/>
      <c r="J89" s="3644"/>
      <c r="K89" s="3644"/>
      <c r="L89" s="3644"/>
      <c r="M89" s="3644"/>
      <c r="N89" s="3644"/>
      <c r="O89" s="3645"/>
      <c r="P89" s="313"/>
      <c r="Q89" s="4757" t="s">
        <v>1604</v>
      </c>
      <c r="R89" s="4758"/>
      <c r="S89" s="4758"/>
      <c r="T89" s="4758"/>
      <c r="U89" s="4758"/>
      <c r="V89" s="4758"/>
      <c r="W89" s="4758"/>
      <c r="X89" s="4758"/>
      <c r="Y89" s="4758"/>
      <c r="Z89" s="4758"/>
      <c r="AA89" s="4758"/>
      <c r="AB89" s="4759"/>
      <c r="AC89" s="10"/>
      <c r="AD89" s="3274"/>
      <c r="AE89" s="2093"/>
      <c r="AF89" s="3275"/>
      <c r="AG89" s="10"/>
      <c r="AH89" s="1548"/>
      <c r="AI89" s="1548"/>
      <c r="AJ89" s="1548"/>
      <c r="AK89" s="1548"/>
      <c r="AL89" s="1548"/>
      <c r="AM89" s="1548"/>
      <c r="AN89" s="1548"/>
      <c r="AO89" s="1548"/>
      <c r="AP89" s="1548"/>
      <c r="AQ89" s="1548"/>
      <c r="AR89" s="1548"/>
      <c r="AS89" s="1896"/>
      <c r="AT89" s="1896"/>
      <c r="AU89" s="1896"/>
      <c r="AV89" s="50"/>
      <c r="AW89" s="50"/>
      <c r="AX89" s="47"/>
      <c r="AY89" s="47"/>
      <c r="AZ89" s="7"/>
      <c r="BA89" s="7"/>
      <c r="BB89" s="7"/>
      <c r="BC89" s="7"/>
      <c r="BD89" s="7"/>
      <c r="BE89" s="634"/>
      <c r="BF89" s="634"/>
      <c r="BG89" s="634"/>
      <c r="BH89" s="634"/>
      <c r="BI89" s="634"/>
      <c r="BJ89" s="634"/>
      <c r="BK89" s="4682"/>
      <c r="BL89" s="4682"/>
      <c r="BM89" s="4682"/>
      <c r="BN89" s="635"/>
      <c r="BO89" s="634"/>
      <c r="BP89" s="634"/>
      <c r="BQ89" s="4704" t="s">
        <v>791</v>
      </c>
      <c r="BR89" s="4705"/>
      <c r="BS89" s="4705"/>
      <c r="BT89" s="4705"/>
      <c r="BU89" s="4705"/>
      <c r="BV89" s="4705"/>
      <c r="BW89" s="4705"/>
      <c r="BX89" s="4705"/>
      <c r="BY89" s="4705"/>
      <c r="BZ89" s="4705"/>
      <c r="CA89" s="4705"/>
      <c r="CB89" s="1198">
        <f>'Old Tax Regime'!L14</f>
        <v>1414200</v>
      </c>
      <c r="CC89" s="831"/>
      <c r="CD89" s="831"/>
      <c r="CE89" s="831"/>
      <c r="CF89" s="831"/>
      <c r="CG89" s="831"/>
      <c r="CH89" s="831"/>
      <c r="CI89" s="831"/>
      <c r="CJ89" s="831"/>
      <c r="CK89" s="831"/>
      <c r="CL89" s="831"/>
      <c r="CM89" s="831"/>
      <c r="CN89" s="831"/>
      <c r="CO89" s="831"/>
      <c r="CP89" s="831"/>
      <c r="CQ89" s="831"/>
      <c r="CR89" s="831"/>
      <c r="CS89" s="831"/>
    </row>
    <row r="90" spans="2:97" ht="33" customHeight="1" thickBot="1">
      <c r="B90" s="10"/>
      <c r="C90" s="3643"/>
      <c r="D90" s="3644"/>
      <c r="E90" s="3644"/>
      <c r="F90" s="3644"/>
      <c r="G90" s="3644"/>
      <c r="H90" s="3644"/>
      <c r="I90" s="3644"/>
      <c r="J90" s="3644"/>
      <c r="K90" s="3644"/>
      <c r="L90" s="3644"/>
      <c r="M90" s="3644"/>
      <c r="N90" s="3644"/>
      <c r="O90" s="3645"/>
      <c r="P90" s="313"/>
      <c r="Q90" s="4760"/>
      <c r="R90" s="4761"/>
      <c r="S90" s="4761"/>
      <c r="T90" s="4761"/>
      <c r="U90" s="4761"/>
      <c r="V90" s="4761"/>
      <c r="W90" s="4762"/>
      <c r="X90" s="4761"/>
      <c r="Y90" s="4761"/>
      <c r="Z90" s="4761"/>
      <c r="AA90" s="4761"/>
      <c r="AB90" s="4763"/>
      <c r="AC90" s="10"/>
      <c r="AD90" s="3274"/>
      <c r="AE90" s="2093"/>
      <c r="AF90" s="3275"/>
      <c r="AG90" s="10"/>
      <c r="AH90" s="1548"/>
      <c r="AI90" s="1548"/>
      <c r="AJ90" s="1548"/>
      <c r="AK90" s="1548"/>
      <c r="AL90" s="1548"/>
      <c r="AM90" s="1548"/>
      <c r="AN90" s="1548"/>
      <c r="AO90" s="1548"/>
      <c r="AP90" s="1548"/>
      <c r="AQ90" s="1548"/>
      <c r="AR90" s="1548"/>
      <c r="AS90" s="1896"/>
      <c r="AT90" s="1896"/>
      <c r="AU90" s="1896"/>
      <c r="AV90" s="50"/>
      <c r="AW90" s="50"/>
      <c r="AX90" s="47"/>
      <c r="AY90" s="47"/>
      <c r="AZ90" s="7"/>
      <c r="BA90" s="7"/>
      <c r="BB90" s="7"/>
      <c r="BC90" s="7"/>
      <c r="BD90" s="7"/>
      <c r="BE90" s="634"/>
      <c r="BF90" s="634"/>
      <c r="BG90" s="634"/>
      <c r="BH90" s="634"/>
      <c r="BI90" s="634"/>
      <c r="BJ90" s="634"/>
      <c r="BK90" s="4682"/>
      <c r="BL90" s="4682"/>
      <c r="BM90" s="4682"/>
      <c r="BN90" s="635"/>
      <c r="BO90" s="634"/>
      <c r="BP90" s="634"/>
      <c r="BQ90" s="4704" t="str">
        <f>IF(Formula!GE3=1,"Total Savings U/S 80C","Total Savings U/S 80C+U/S 80 CCD(1B)")</f>
        <v>Total Savings U/S 80C</v>
      </c>
      <c r="BR90" s="4705"/>
      <c r="BS90" s="4705"/>
      <c r="BT90" s="4705"/>
      <c r="BU90" s="4705"/>
      <c r="BV90" s="4705"/>
      <c r="BW90" s="4705"/>
      <c r="BX90" s="4705"/>
      <c r="BY90" s="4705"/>
      <c r="BZ90" s="4705"/>
      <c r="CA90" s="4705"/>
      <c r="CB90" s="1197">
        <f>'Old Tax Regime'!K56</f>
        <v>0</v>
      </c>
      <c r="CC90" s="831"/>
      <c r="CD90" s="831"/>
      <c r="CE90" s="831"/>
      <c r="CF90" s="831"/>
      <c r="CG90" s="831"/>
      <c r="CH90" s="831"/>
      <c r="CI90" s="831"/>
      <c r="CJ90" s="831"/>
      <c r="CK90" s="831"/>
      <c r="CL90" s="831"/>
      <c r="CM90" s="831"/>
      <c r="CN90" s="831"/>
      <c r="CO90" s="831"/>
      <c r="CP90" s="831"/>
      <c r="CQ90" s="831"/>
      <c r="CR90" s="831"/>
      <c r="CS90" s="831"/>
    </row>
    <row r="91" spans="2:97" ht="30" customHeight="1" thickBot="1">
      <c r="B91" s="10"/>
      <c r="C91" s="3643"/>
      <c r="D91" s="3644"/>
      <c r="E91" s="3644"/>
      <c r="F91" s="3644"/>
      <c r="G91" s="3644"/>
      <c r="H91" s="3644"/>
      <c r="I91" s="3644"/>
      <c r="J91" s="3644"/>
      <c r="K91" s="3644"/>
      <c r="L91" s="3644"/>
      <c r="M91" s="3644"/>
      <c r="N91" s="3644"/>
      <c r="O91" s="3645"/>
      <c r="P91" s="313"/>
      <c r="Q91" s="3651"/>
      <c r="R91" s="3651"/>
      <c r="S91" s="3651"/>
      <c r="T91" s="3651"/>
      <c r="U91" s="3651"/>
      <c r="V91" s="3652"/>
      <c r="W91" s="3332"/>
      <c r="X91" s="3653"/>
      <c r="Y91" s="3653"/>
      <c r="Z91" s="3653"/>
      <c r="AA91" s="3653"/>
      <c r="AB91" s="3653"/>
      <c r="AC91" s="10"/>
      <c r="AD91" s="3274"/>
      <c r="AE91" s="2093"/>
      <c r="AF91" s="3275"/>
      <c r="AG91" s="10"/>
      <c r="AH91" s="1548"/>
      <c r="AI91" s="1548"/>
      <c r="AJ91" s="1548"/>
      <c r="AK91" s="1548"/>
      <c r="AL91" s="1548"/>
      <c r="AM91" s="1548"/>
      <c r="AN91" s="1548"/>
      <c r="AO91" s="1548"/>
      <c r="AP91" s="1548"/>
      <c r="AQ91" s="1548"/>
      <c r="AR91" s="1548"/>
      <c r="AS91" s="1896"/>
      <c r="AT91" s="1896"/>
      <c r="AU91" s="1896"/>
      <c r="AV91" s="50"/>
      <c r="AW91" s="50"/>
      <c r="AX91" s="47"/>
      <c r="AY91" s="47"/>
      <c r="AZ91" s="7"/>
      <c r="BA91" s="7"/>
      <c r="BB91" s="7"/>
      <c r="BC91" s="7"/>
      <c r="BD91" s="7"/>
      <c r="BE91" s="634"/>
      <c r="BF91" s="634"/>
      <c r="BG91" s="634"/>
      <c r="BH91" s="634"/>
      <c r="BI91" s="634"/>
      <c r="BJ91" s="634"/>
      <c r="BK91" s="634"/>
      <c r="BL91" s="634"/>
      <c r="BM91" s="634"/>
      <c r="BN91" s="635"/>
      <c r="BO91" s="634"/>
      <c r="BP91" s="634"/>
      <c r="BQ91" s="4704" t="s">
        <v>200</v>
      </c>
      <c r="BR91" s="4705"/>
      <c r="BS91" s="4705"/>
      <c r="BT91" s="4705"/>
      <c r="BU91" s="4705"/>
      <c r="BV91" s="4705"/>
      <c r="BW91" s="4705"/>
      <c r="BX91" s="4705"/>
      <c r="BY91" s="4705"/>
      <c r="BZ91" s="4705"/>
      <c r="CA91" s="4705"/>
      <c r="CB91" s="1197">
        <f>'Old Tax Regime'!L40</f>
        <v>550</v>
      </c>
      <c r="CC91" s="831"/>
      <c r="CD91" s="831"/>
      <c r="CE91" s="831"/>
      <c r="CF91" s="831"/>
      <c r="CG91" s="831"/>
      <c r="CH91" s="831"/>
      <c r="CI91" s="831"/>
      <c r="CJ91" s="831"/>
      <c r="CK91" s="831"/>
      <c r="CL91" s="831"/>
      <c r="CM91" s="831"/>
      <c r="CN91" s="831"/>
      <c r="CO91" s="831"/>
      <c r="CP91" s="831"/>
      <c r="CQ91" s="831"/>
      <c r="CR91" s="831"/>
      <c r="CS91" s="831"/>
    </row>
    <row r="92" spans="2:97" ht="33" customHeight="1" thickBot="1">
      <c r="B92" s="10"/>
      <c r="C92" s="3643"/>
      <c r="D92" s="3644"/>
      <c r="E92" s="3644"/>
      <c r="F92" s="3644"/>
      <c r="G92" s="3644"/>
      <c r="H92" s="3644"/>
      <c r="I92" s="3644"/>
      <c r="J92" s="3644"/>
      <c r="K92" s="3644"/>
      <c r="L92" s="3644"/>
      <c r="M92" s="3644"/>
      <c r="N92" s="3644"/>
      <c r="O92" s="3645"/>
      <c r="P92" s="313"/>
      <c r="Q92" s="4582" t="s">
        <v>1640</v>
      </c>
      <c r="R92" s="4583"/>
      <c r="S92" s="4583"/>
      <c r="T92" s="4583"/>
      <c r="U92" s="4583"/>
      <c r="V92" s="4583"/>
      <c r="W92" s="3333"/>
      <c r="X92" s="4584"/>
      <c r="Y92" s="4584"/>
      <c r="Z92" s="4584"/>
      <c r="AA92" s="4584"/>
      <c r="AB92" s="4585"/>
      <c r="AC92" s="10"/>
      <c r="AD92" s="3274"/>
      <c r="AE92" s="2093"/>
      <c r="AF92" s="3275"/>
      <c r="AG92" s="10"/>
      <c r="AH92" s="1548"/>
      <c r="AI92" s="1548"/>
      <c r="AJ92" s="1548"/>
      <c r="AK92" s="1548"/>
      <c r="AL92" s="1548"/>
      <c r="AM92" s="1548"/>
      <c r="AN92" s="1548"/>
      <c r="AO92" s="1548"/>
      <c r="AP92" s="1548"/>
      <c r="AQ92" s="1548"/>
      <c r="AR92" s="1548"/>
      <c r="AS92" s="1896"/>
      <c r="AT92" s="1896"/>
      <c r="AU92" s="1896"/>
      <c r="AV92" s="50"/>
      <c r="AW92" s="50"/>
      <c r="AX92" s="47"/>
      <c r="AY92" s="47"/>
      <c r="AZ92" s="7"/>
      <c r="BA92" s="7"/>
      <c r="BB92" s="7"/>
      <c r="BC92" s="7"/>
      <c r="BD92" s="7"/>
      <c r="BE92" s="634"/>
      <c r="BF92" s="634"/>
      <c r="BG92" s="634"/>
      <c r="BH92" s="634"/>
      <c r="BI92" s="634"/>
      <c r="BJ92" s="634"/>
      <c r="BK92" s="634"/>
      <c r="BL92" s="634"/>
      <c r="BM92" s="634"/>
      <c r="BN92" s="635"/>
      <c r="BO92" s="634"/>
      <c r="BP92" s="634"/>
      <c r="BQ92" s="4704" t="s">
        <v>792</v>
      </c>
      <c r="BR92" s="4705"/>
      <c r="BS92" s="4705"/>
      <c r="BT92" s="4705"/>
      <c r="BU92" s="4705"/>
      <c r="BV92" s="4705"/>
      <c r="BW92" s="4705"/>
      <c r="BX92" s="4705"/>
      <c r="BY92" s="4705"/>
      <c r="BZ92" s="4705"/>
      <c r="CA92" s="4705"/>
      <c r="CB92" s="1197">
        <f>'Old Tax Regime'!M18</f>
        <v>0</v>
      </c>
      <c r="CC92" s="831"/>
      <c r="CD92" s="831"/>
      <c r="CE92" s="831"/>
      <c r="CF92" s="831"/>
      <c r="CG92" s="831"/>
      <c r="CH92" s="831"/>
      <c r="CI92" s="831"/>
      <c r="CJ92" s="831"/>
      <c r="CK92" s="831"/>
      <c r="CL92" s="831"/>
      <c r="CM92" s="831"/>
      <c r="CN92" s="831"/>
      <c r="CO92" s="831"/>
      <c r="CP92" s="831"/>
      <c r="CQ92" s="831"/>
      <c r="CR92" s="831"/>
      <c r="CS92" s="831"/>
    </row>
    <row r="93" spans="2:97" ht="33" customHeight="1" thickBot="1">
      <c r="B93" s="10"/>
      <c r="C93" s="3643"/>
      <c r="D93" s="3644"/>
      <c r="E93" s="3644"/>
      <c r="F93" s="3644"/>
      <c r="G93" s="3644"/>
      <c r="H93" s="3644"/>
      <c r="I93" s="3644"/>
      <c r="J93" s="3644"/>
      <c r="K93" s="3644"/>
      <c r="L93" s="3644"/>
      <c r="M93" s="3644"/>
      <c r="N93" s="3644"/>
      <c r="O93" s="3645"/>
      <c r="P93" s="313"/>
      <c r="Q93" s="3334"/>
      <c r="R93" s="3334"/>
      <c r="S93" s="3334"/>
      <c r="T93" s="3334"/>
      <c r="U93" s="3334"/>
      <c r="V93" s="3334"/>
      <c r="W93" s="3333"/>
      <c r="X93" s="3770" t="s">
        <v>1455</v>
      </c>
      <c r="Y93" s="4586" t="str">
        <f>IF(Formula!$GE$3=2,CONCATENATE(" CPS"),"")</f>
        <v/>
      </c>
      <c r="Z93" s="4587"/>
      <c r="AA93" s="3771" t="str">
        <f>IF(Formula!$GE$3=2,CONCATENATE(" Cash"),"")</f>
        <v/>
      </c>
      <c r="AB93" s="4588"/>
      <c r="AC93" s="10"/>
      <c r="AD93" s="3274"/>
      <c r="AE93" s="2093"/>
      <c r="AF93" s="3275"/>
      <c r="AG93" s="10"/>
      <c r="AH93" s="1548"/>
      <c r="AI93" s="1548"/>
      <c r="AJ93" s="1548"/>
      <c r="AK93" s="1548"/>
      <c r="AL93" s="1548"/>
      <c r="AM93" s="1548"/>
      <c r="AN93" s="1548"/>
      <c r="AO93" s="1548"/>
      <c r="AP93" s="1548"/>
      <c r="AQ93" s="1548"/>
      <c r="AR93" s="1548"/>
      <c r="AS93" s="1896"/>
      <c r="AT93" s="1896"/>
      <c r="AU93" s="1896"/>
      <c r="AV93" s="50"/>
      <c r="AW93" s="50"/>
      <c r="AX93" s="47"/>
      <c r="AY93" s="47"/>
      <c r="AZ93" s="7"/>
      <c r="BA93" s="7"/>
      <c r="BB93" s="7"/>
      <c r="BC93" s="7"/>
      <c r="BD93" s="7"/>
      <c r="BE93" s="634"/>
      <c r="BF93" s="634"/>
      <c r="BG93" s="634"/>
      <c r="BH93" s="634"/>
      <c r="BI93" s="634"/>
      <c r="BJ93" s="634"/>
      <c r="BK93" s="634"/>
      <c r="BL93" s="634"/>
      <c r="BM93" s="634"/>
      <c r="BN93" s="635"/>
      <c r="BO93" s="634"/>
      <c r="BP93" s="634"/>
      <c r="BQ93" s="4706" t="s">
        <v>994</v>
      </c>
      <c r="BR93" s="4705"/>
      <c r="BS93" s="4705"/>
      <c r="BT93" s="4705"/>
      <c r="BU93" s="4705"/>
      <c r="BV93" s="4705"/>
      <c r="BW93" s="4705"/>
      <c r="BX93" s="4705"/>
      <c r="BY93" s="4705"/>
      <c r="BZ93" s="4705"/>
      <c r="CA93" s="4705"/>
      <c r="CB93" s="1197">
        <f>'Old Tax Regime'!L59</f>
        <v>1486210</v>
      </c>
      <c r="CC93" s="831"/>
      <c r="CD93" s="831"/>
      <c r="CE93" s="831"/>
      <c r="CF93" s="831"/>
      <c r="CG93" s="831"/>
      <c r="CH93" s="831"/>
      <c r="CI93" s="831"/>
      <c r="CJ93" s="831"/>
      <c r="CK93" s="831"/>
      <c r="CL93" s="831"/>
      <c r="CM93" s="831"/>
      <c r="CN93" s="831"/>
      <c r="CO93" s="831"/>
      <c r="CP93" s="831"/>
      <c r="CQ93" s="831"/>
      <c r="CR93" s="831"/>
      <c r="CS93" s="831"/>
    </row>
    <row r="94" spans="2:97" ht="33.75" customHeight="1" thickBot="1">
      <c r="B94" s="10"/>
      <c r="C94" s="3643"/>
      <c r="D94" s="3644"/>
      <c r="E94" s="3644"/>
      <c r="F94" s="3644"/>
      <c r="G94" s="3644"/>
      <c r="H94" s="3644"/>
      <c r="I94" s="3644"/>
      <c r="J94" s="3644"/>
      <c r="K94" s="3644"/>
      <c r="L94" s="3644"/>
      <c r="M94" s="3644"/>
      <c r="N94" s="3644"/>
      <c r="O94" s="3645"/>
      <c r="P94" s="313"/>
      <c r="Q94" s="4789" t="s">
        <v>1639</v>
      </c>
      <c r="R94" s="4790"/>
      <c r="S94" s="4790"/>
      <c r="T94" s="4790"/>
      <c r="U94" s="4790"/>
      <c r="V94" s="4790"/>
      <c r="W94" s="3333"/>
      <c r="X94" s="3336"/>
      <c r="Y94" s="4232"/>
      <c r="Z94" s="4233"/>
      <c r="AA94" s="3337" t="str">
        <f>IF(AND(Formula!$L$429=2,Formula!$GE$3=2),SUM(X94-Y94),"")</f>
        <v/>
      </c>
      <c r="AB94" s="4589"/>
      <c r="AC94" s="10"/>
      <c r="AD94" s="3274"/>
      <c r="AE94" s="2093"/>
      <c r="AF94" s="3275"/>
      <c r="AG94" s="10"/>
      <c r="AH94" s="1548"/>
      <c r="AI94" s="1548"/>
      <c r="AJ94" s="1548"/>
      <c r="AK94" s="1548"/>
      <c r="AL94" s="1548"/>
      <c r="AM94" s="1548"/>
      <c r="AN94" s="1548"/>
      <c r="AO94" s="1548"/>
      <c r="AP94" s="1548"/>
      <c r="AQ94" s="1548"/>
      <c r="AR94" s="1548"/>
      <c r="AS94" s="1896"/>
      <c r="AT94" s="1896"/>
      <c r="AU94" s="1896"/>
      <c r="AV94" s="50"/>
      <c r="AW94" s="50"/>
      <c r="AX94" s="47"/>
      <c r="AY94" s="47"/>
      <c r="AZ94" s="7"/>
      <c r="BA94" s="7"/>
      <c r="BB94" s="7"/>
      <c r="BC94" s="7"/>
      <c r="BD94" s="7"/>
      <c r="BE94" s="634"/>
      <c r="BF94" s="634"/>
      <c r="BG94" s="634"/>
      <c r="BH94" s="634"/>
      <c r="BI94" s="634"/>
      <c r="BJ94" s="634"/>
      <c r="BK94" s="634"/>
      <c r="BL94" s="634"/>
      <c r="BM94" s="634"/>
      <c r="BN94" s="635"/>
      <c r="BO94" s="634"/>
      <c r="BP94" s="634"/>
      <c r="BQ94" s="4702" t="s">
        <v>793</v>
      </c>
      <c r="BR94" s="4703"/>
      <c r="BS94" s="4703"/>
      <c r="BT94" s="4703"/>
      <c r="BU94" s="4703"/>
      <c r="BV94" s="4703"/>
      <c r="BW94" s="4703"/>
      <c r="BX94" s="4703"/>
      <c r="BY94" s="4703"/>
      <c r="BZ94" s="4703"/>
      <c r="CA94" s="4703"/>
      <c r="CB94" s="1198">
        <f>'Old Tax Regime'!L71</f>
        <v>268698</v>
      </c>
      <c r="CC94" s="831"/>
      <c r="CD94" s="831"/>
      <c r="CE94" s="831"/>
      <c r="CF94" s="831"/>
      <c r="CG94" s="831"/>
      <c r="CH94" s="831"/>
      <c r="CI94" s="831"/>
      <c r="CJ94" s="831"/>
      <c r="CK94" s="831"/>
      <c r="CL94" s="831"/>
      <c r="CM94" s="831"/>
      <c r="CN94" s="831"/>
      <c r="CO94" s="831"/>
      <c r="CP94" s="831"/>
      <c r="CQ94" s="831"/>
      <c r="CR94" s="831"/>
      <c r="CS94" s="831"/>
    </row>
    <row r="95" spans="2:97" ht="36" customHeight="1" thickBot="1">
      <c r="B95" s="10"/>
      <c r="C95" s="3643"/>
      <c r="D95" s="3644"/>
      <c r="E95" s="3644"/>
      <c r="F95" s="3644"/>
      <c r="G95" s="3644"/>
      <c r="H95" s="3644"/>
      <c r="I95" s="3644"/>
      <c r="J95" s="3644"/>
      <c r="K95" s="3644"/>
      <c r="L95" s="3644"/>
      <c r="M95" s="3644"/>
      <c r="N95" s="3644"/>
      <c r="O95" s="3645"/>
      <c r="P95" s="313"/>
      <c r="Q95" s="3352"/>
      <c r="R95" s="3353"/>
      <c r="S95" s="3353"/>
      <c r="T95" s="3353"/>
      <c r="U95" s="3353"/>
      <c r="V95" s="3353"/>
      <c r="W95" s="3353"/>
      <c r="X95" s="3355"/>
      <c r="Y95" s="3353"/>
      <c r="Z95" s="3353"/>
      <c r="AA95" s="3353"/>
      <c r="AB95" s="3354"/>
      <c r="AC95" s="10"/>
      <c r="AD95" s="3274"/>
      <c r="AE95" s="2093"/>
      <c r="AF95" s="3275"/>
      <c r="AG95" s="10"/>
      <c r="AH95" s="1548"/>
      <c r="AI95" s="1548"/>
      <c r="AJ95" s="1548"/>
      <c r="AK95" s="1548"/>
      <c r="AL95" s="1548"/>
      <c r="AM95" s="1548"/>
      <c r="AN95" s="1548"/>
      <c r="AO95" s="1548"/>
      <c r="AP95" s="1548"/>
      <c r="AQ95" s="1548"/>
      <c r="AR95" s="1548"/>
      <c r="AS95" s="1896"/>
      <c r="AT95" s="1896"/>
      <c r="AU95" s="1896"/>
      <c r="AV95" s="50"/>
      <c r="AW95" s="50"/>
      <c r="AX95" s="47"/>
      <c r="AY95" s="47"/>
      <c r="AZ95" s="7"/>
      <c r="BA95" s="7"/>
      <c r="BB95" s="7"/>
      <c r="BC95" s="7"/>
      <c r="BD95" s="7"/>
      <c r="BE95" s="634"/>
      <c r="BF95" s="634"/>
      <c r="BG95" s="634"/>
      <c r="BH95" s="634"/>
      <c r="BI95" s="634"/>
      <c r="BJ95" s="634"/>
      <c r="BK95" s="634"/>
      <c r="BL95" s="634"/>
      <c r="BM95" s="634"/>
      <c r="BN95" s="635"/>
      <c r="BO95" s="634"/>
      <c r="BP95" s="634"/>
      <c r="BQ95" s="4704" t="s">
        <v>794</v>
      </c>
      <c r="BR95" s="4705"/>
      <c r="BS95" s="4705"/>
      <c r="BT95" s="4705"/>
      <c r="BU95" s="4705"/>
      <c r="BV95" s="4705"/>
      <c r="BW95" s="4705"/>
      <c r="BX95" s="4705"/>
      <c r="BY95" s="4705"/>
      <c r="BZ95" s="4705"/>
      <c r="CA95" s="4705"/>
      <c r="CB95" s="1197">
        <f>'Old Tax Regime'!L72</f>
        <v>194000</v>
      </c>
      <c r="CC95" s="831"/>
      <c r="CD95" s="831"/>
      <c r="CE95" s="831"/>
      <c r="CF95" s="831"/>
      <c r="CG95" s="831"/>
      <c r="CH95" s="831"/>
      <c r="CI95" s="831"/>
      <c r="CJ95" s="831"/>
      <c r="CK95" s="831"/>
      <c r="CL95" s="831"/>
      <c r="CM95" s="831"/>
      <c r="CN95" s="831"/>
      <c r="CO95" s="831"/>
      <c r="CP95" s="831"/>
      <c r="CQ95" s="831"/>
      <c r="CR95" s="831"/>
      <c r="CS95" s="831"/>
    </row>
    <row r="96" spans="2:97" ht="24.75" customHeight="1">
      <c r="B96" s="10"/>
      <c r="C96" s="3643"/>
      <c r="D96" s="3644"/>
      <c r="E96" s="3644"/>
      <c r="F96" s="3644"/>
      <c r="G96" s="3644"/>
      <c r="H96" s="3644"/>
      <c r="I96" s="3644"/>
      <c r="J96" s="3644"/>
      <c r="K96" s="3644"/>
      <c r="L96" s="3644"/>
      <c r="M96" s="3644"/>
      <c r="N96" s="3644"/>
      <c r="O96" s="3645"/>
      <c r="P96" s="313"/>
      <c r="Q96" s="4234" t="s">
        <v>1605</v>
      </c>
      <c r="R96" s="4235"/>
      <c r="S96" s="4235"/>
      <c r="T96" s="4235"/>
      <c r="U96" s="4235"/>
      <c r="V96" s="4235"/>
      <c r="W96" s="4235"/>
      <c r="X96" s="4235"/>
      <c r="Y96" s="4235"/>
      <c r="Z96" s="4235"/>
      <c r="AA96" s="4235"/>
      <c r="AB96" s="4236"/>
      <c r="AC96" s="10"/>
      <c r="AD96" s="3274"/>
      <c r="AE96" s="2093"/>
      <c r="AF96" s="3275"/>
      <c r="AG96" s="10"/>
      <c r="AH96" s="1548"/>
      <c r="AI96" s="1548"/>
      <c r="AJ96" s="1548"/>
      <c r="AK96" s="1548"/>
      <c r="AL96" s="1548"/>
      <c r="AM96" s="1548"/>
      <c r="AN96" s="1548"/>
      <c r="AO96" s="1548"/>
      <c r="AP96" s="1548"/>
      <c r="AQ96" s="1548"/>
      <c r="AR96" s="1548"/>
      <c r="AS96" s="1896"/>
      <c r="AT96" s="1896"/>
      <c r="AU96" s="1896"/>
      <c r="AV96" s="50"/>
      <c r="AW96" s="50"/>
      <c r="AX96" s="47"/>
      <c r="AY96" s="47"/>
      <c r="AZ96" s="7"/>
      <c r="BA96" s="7"/>
      <c r="BB96" s="7"/>
      <c r="BC96" s="7"/>
      <c r="BD96" s="7"/>
      <c r="BE96" s="634"/>
      <c r="BF96" s="634"/>
      <c r="BG96" s="634"/>
      <c r="BH96" s="634"/>
      <c r="BI96" s="634"/>
      <c r="BJ96" s="634"/>
      <c r="BK96" s="634"/>
      <c r="BL96" s="634"/>
      <c r="BM96" s="634"/>
      <c r="BN96" s="635"/>
      <c r="BO96" s="634"/>
      <c r="BP96" s="634"/>
      <c r="BQ96" s="3519"/>
      <c r="BR96" s="3519"/>
      <c r="BS96" s="3519"/>
      <c r="BT96" s="3519"/>
      <c r="BU96" s="3519"/>
      <c r="BV96" s="3519"/>
      <c r="BW96" s="3519"/>
      <c r="BX96" s="3519"/>
      <c r="BY96" s="3519"/>
      <c r="BZ96" s="3519"/>
      <c r="CA96" s="3519"/>
      <c r="CB96" s="1864"/>
      <c r="CC96" s="831"/>
      <c r="CD96" s="831"/>
      <c r="CE96" s="831"/>
      <c r="CF96" s="831"/>
      <c r="CG96" s="831"/>
      <c r="CH96" s="831"/>
      <c r="CI96" s="831"/>
      <c r="CJ96" s="831"/>
      <c r="CK96" s="831"/>
      <c r="CL96" s="831"/>
      <c r="CM96" s="831"/>
      <c r="CN96" s="831"/>
      <c r="CO96" s="831"/>
      <c r="CP96" s="831"/>
      <c r="CQ96" s="831"/>
      <c r="CR96" s="831"/>
      <c r="CS96" s="831"/>
    </row>
    <row r="97" spans="2:97" ht="45.75" customHeight="1" thickBot="1">
      <c r="B97" s="10"/>
      <c r="C97" s="3643"/>
      <c r="D97" s="3644"/>
      <c r="E97" s="3644"/>
      <c r="F97" s="3644"/>
      <c r="G97" s="3644"/>
      <c r="H97" s="3644"/>
      <c r="I97" s="3644"/>
      <c r="J97" s="3644"/>
      <c r="K97" s="3644"/>
      <c r="L97" s="3644"/>
      <c r="M97" s="3644"/>
      <c r="N97" s="3644"/>
      <c r="O97" s="3645"/>
      <c r="P97" s="313"/>
      <c r="Q97" s="4237"/>
      <c r="R97" s="4238"/>
      <c r="S97" s="4238"/>
      <c r="T97" s="4238"/>
      <c r="U97" s="4238"/>
      <c r="V97" s="4238"/>
      <c r="W97" s="4239"/>
      <c r="X97" s="4238"/>
      <c r="Y97" s="4238"/>
      <c r="Z97" s="4238"/>
      <c r="AA97" s="4238"/>
      <c r="AB97" s="4240"/>
      <c r="AC97" s="10"/>
      <c r="AD97" s="3274"/>
      <c r="AE97" s="2093"/>
      <c r="AF97" s="3275"/>
      <c r="AG97" s="10"/>
      <c r="AH97" s="1548"/>
      <c r="AI97" s="1548"/>
      <c r="AJ97" s="1548"/>
      <c r="AK97" s="1548"/>
      <c r="AL97" s="1548"/>
      <c r="AM97" s="1548"/>
      <c r="AN97" s="1548"/>
      <c r="AO97" s="1548"/>
      <c r="AP97" s="1548"/>
      <c r="AQ97" s="1548"/>
      <c r="AR97" s="1548"/>
      <c r="AS97" s="1896"/>
      <c r="AT97" s="1896"/>
      <c r="AU97" s="1896"/>
      <c r="AV97" s="50"/>
      <c r="AW97" s="50"/>
      <c r="AX97" s="47"/>
      <c r="AY97" s="47"/>
      <c r="AZ97" s="7"/>
      <c r="BA97" s="7"/>
      <c r="BB97" s="7"/>
      <c r="BC97" s="7"/>
      <c r="BD97" s="7"/>
      <c r="BE97" s="634"/>
      <c r="BF97" s="634"/>
      <c r="BG97" s="634"/>
      <c r="BH97" s="634"/>
      <c r="BI97" s="634"/>
      <c r="BJ97" s="634"/>
      <c r="BK97" s="634"/>
      <c r="BL97" s="634"/>
      <c r="BM97" s="634"/>
      <c r="BN97" s="635"/>
      <c r="BO97" s="634"/>
      <c r="BP97" s="634"/>
      <c r="BQ97" s="3519"/>
      <c r="BR97" s="3519"/>
      <c r="BS97" s="3519"/>
      <c r="BT97" s="3519"/>
      <c r="BU97" s="3519"/>
      <c r="BV97" s="3519"/>
      <c r="BW97" s="3519"/>
      <c r="BX97" s="3519"/>
      <c r="BY97" s="3519"/>
      <c r="BZ97" s="3519"/>
      <c r="CA97" s="3519"/>
      <c r="CB97" s="1864"/>
      <c r="CC97" s="831"/>
      <c r="CD97" s="831"/>
      <c r="CE97" s="831"/>
      <c r="CF97" s="831"/>
      <c r="CG97" s="831"/>
      <c r="CH97" s="831"/>
      <c r="CI97" s="831"/>
      <c r="CJ97" s="831"/>
      <c r="CK97" s="831"/>
      <c r="CL97" s="831"/>
      <c r="CM97" s="831"/>
      <c r="CN97" s="831"/>
      <c r="CO97" s="831"/>
      <c r="CP97" s="831"/>
      <c r="CQ97" s="831"/>
      <c r="CR97" s="831"/>
      <c r="CS97" s="831"/>
    </row>
    <row r="98" spans="2:97" ht="24.75" customHeight="1" thickBot="1">
      <c r="B98" s="10"/>
      <c r="C98" s="3643"/>
      <c r="D98" s="3644"/>
      <c r="E98" s="3644"/>
      <c r="F98" s="3644"/>
      <c r="G98" s="3644"/>
      <c r="H98" s="3644"/>
      <c r="I98" s="3644"/>
      <c r="J98" s="3644"/>
      <c r="K98" s="3644"/>
      <c r="L98" s="3644"/>
      <c r="M98" s="3644"/>
      <c r="N98" s="3644"/>
      <c r="O98" s="3645"/>
      <c r="P98" s="313"/>
      <c r="Q98" s="3075"/>
      <c r="R98" s="3075"/>
      <c r="S98" s="3075"/>
      <c r="T98" s="3075"/>
      <c r="U98" s="3075"/>
      <c r="V98" s="3349"/>
      <c r="W98" s="3332"/>
      <c r="X98" s="3331"/>
      <c r="Y98" s="3331"/>
      <c r="Z98" s="3331"/>
      <c r="AA98" s="3331"/>
      <c r="AB98" s="3331"/>
      <c r="AC98" s="10"/>
      <c r="AD98" s="3274"/>
      <c r="AE98" s="2093"/>
      <c r="AF98" s="3275"/>
      <c r="AG98" s="10"/>
      <c r="AH98" s="1548"/>
      <c r="AI98" s="1548"/>
      <c r="AJ98" s="1548"/>
      <c r="AK98" s="1548"/>
      <c r="AL98" s="1548"/>
      <c r="AM98" s="1548"/>
      <c r="AN98" s="1548"/>
      <c r="AO98" s="1548"/>
      <c r="AP98" s="1548"/>
      <c r="AQ98" s="1548"/>
      <c r="AR98" s="1548"/>
      <c r="AS98" s="1896"/>
      <c r="AT98" s="1896"/>
      <c r="AU98" s="1896"/>
      <c r="AV98" s="50"/>
      <c r="AW98" s="50"/>
      <c r="AX98" s="47"/>
      <c r="AY98" s="47"/>
      <c r="AZ98" s="7"/>
      <c r="BA98" s="7"/>
      <c r="BB98" s="7"/>
      <c r="BC98" s="7"/>
      <c r="BD98" s="7"/>
      <c r="BE98" s="634"/>
      <c r="BF98" s="634"/>
      <c r="BG98" s="634"/>
      <c r="BH98" s="634"/>
      <c r="BI98" s="634"/>
      <c r="BJ98" s="634"/>
      <c r="BK98" s="634"/>
      <c r="BL98" s="634"/>
      <c r="BM98" s="634"/>
      <c r="BN98" s="635"/>
      <c r="BO98" s="634"/>
      <c r="BP98" s="634"/>
      <c r="BQ98" s="3519"/>
      <c r="BR98" s="3519"/>
      <c r="BS98" s="3519"/>
      <c r="BT98" s="3519"/>
      <c r="BU98" s="3519"/>
      <c r="BV98" s="3519"/>
      <c r="BW98" s="3519"/>
      <c r="BX98" s="3519"/>
      <c r="BY98" s="3519"/>
      <c r="BZ98" s="3519"/>
      <c r="CA98" s="3519"/>
      <c r="CB98" s="1864"/>
      <c r="CC98" s="831"/>
      <c r="CD98" s="831"/>
      <c r="CE98" s="831"/>
      <c r="CF98" s="831"/>
      <c r="CG98" s="831"/>
      <c r="CH98" s="831"/>
      <c r="CI98" s="831"/>
      <c r="CJ98" s="831"/>
      <c r="CK98" s="831"/>
      <c r="CL98" s="831"/>
      <c r="CM98" s="831"/>
      <c r="CN98" s="831"/>
      <c r="CO98" s="831"/>
      <c r="CP98" s="831"/>
      <c r="CQ98" s="831"/>
      <c r="CR98" s="831"/>
      <c r="CS98" s="831"/>
    </row>
    <row r="99" spans="2:97" ht="34.5" customHeight="1" thickBot="1">
      <c r="B99" s="10"/>
      <c r="C99" s="3643"/>
      <c r="D99" s="3644"/>
      <c r="E99" s="3644"/>
      <c r="F99" s="3644"/>
      <c r="G99" s="3644"/>
      <c r="H99" s="3644"/>
      <c r="I99" s="3644"/>
      <c r="J99" s="3644"/>
      <c r="K99" s="3644"/>
      <c r="L99" s="3644"/>
      <c r="M99" s="3644"/>
      <c r="N99" s="3644"/>
      <c r="O99" s="3645"/>
      <c r="P99" s="313"/>
      <c r="Q99" s="4241" t="s">
        <v>1643</v>
      </c>
      <c r="R99" s="4242"/>
      <c r="S99" s="4242"/>
      <c r="T99" s="4242"/>
      <c r="U99" s="4242"/>
      <c r="V99" s="4242"/>
      <c r="W99" s="3333"/>
      <c r="X99" s="4243"/>
      <c r="Y99" s="4243"/>
      <c r="Z99" s="4243"/>
      <c r="AA99" s="4243"/>
      <c r="AB99" s="4244"/>
      <c r="AC99" s="10"/>
      <c r="AD99" s="3274"/>
      <c r="AE99" s="2093"/>
      <c r="AF99" s="3275"/>
      <c r="AG99" s="10"/>
      <c r="AH99" s="1548"/>
      <c r="AI99" s="1548"/>
      <c r="AJ99" s="1548"/>
      <c r="AK99" s="1548"/>
      <c r="AL99" s="1548"/>
      <c r="AM99" s="1548"/>
      <c r="AN99" s="1548"/>
      <c r="AO99" s="1548"/>
      <c r="AP99" s="1548"/>
      <c r="AQ99" s="1548"/>
      <c r="AR99" s="1548"/>
      <c r="AS99" s="1896"/>
      <c r="AT99" s="1896"/>
      <c r="AU99" s="1896"/>
      <c r="AV99" s="50"/>
      <c r="AW99" s="50"/>
      <c r="AX99" s="47"/>
      <c r="AY99" s="47"/>
      <c r="AZ99" s="7"/>
      <c r="BA99" s="7"/>
      <c r="BB99" s="7"/>
      <c r="BC99" s="7"/>
      <c r="BD99" s="7"/>
      <c r="BE99" s="634"/>
      <c r="BF99" s="634"/>
      <c r="BG99" s="634"/>
      <c r="BH99" s="634"/>
      <c r="BI99" s="634"/>
      <c r="BJ99" s="634"/>
      <c r="BK99" s="634"/>
      <c r="BL99" s="634"/>
      <c r="BM99" s="634"/>
      <c r="BN99" s="635"/>
      <c r="BO99" s="634"/>
      <c r="BP99" s="634"/>
      <c r="BQ99" s="3519"/>
      <c r="BR99" s="3519"/>
      <c r="BS99" s="3519"/>
      <c r="BT99" s="3519"/>
      <c r="BU99" s="3519"/>
      <c r="BV99" s="3519"/>
      <c r="BW99" s="3519"/>
      <c r="BX99" s="3519"/>
      <c r="BY99" s="3519"/>
      <c r="BZ99" s="3519"/>
      <c r="CA99" s="3519"/>
      <c r="CB99" s="1864"/>
      <c r="CC99" s="831"/>
      <c r="CD99" s="831"/>
      <c r="CE99" s="831"/>
      <c r="CF99" s="831"/>
      <c r="CG99" s="831"/>
      <c r="CH99" s="831"/>
      <c r="CI99" s="831"/>
      <c r="CJ99" s="831"/>
      <c r="CK99" s="831"/>
      <c r="CL99" s="831"/>
      <c r="CM99" s="831"/>
      <c r="CN99" s="831"/>
      <c r="CO99" s="831"/>
      <c r="CP99" s="831"/>
      <c r="CQ99" s="831"/>
      <c r="CR99" s="831"/>
      <c r="CS99" s="831"/>
    </row>
    <row r="100" spans="2:97" ht="42.75" customHeight="1" thickBot="1">
      <c r="B100" s="10"/>
      <c r="C100" s="3643"/>
      <c r="D100" s="3644"/>
      <c r="E100" s="3644"/>
      <c r="F100" s="3644"/>
      <c r="G100" s="3644"/>
      <c r="H100" s="3644"/>
      <c r="I100" s="3644"/>
      <c r="J100" s="3644"/>
      <c r="K100" s="3644"/>
      <c r="L100" s="3644"/>
      <c r="M100" s="3644"/>
      <c r="N100" s="3644"/>
      <c r="O100" s="3645"/>
      <c r="P100" s="313"/>
      <c r="Q100" s="3334"/>
      <c r="R100" s="3334"/>
      <c r="S100" s="3334"/>
      <c r="T100" s="3334"/>
      <c r="U100" s="3334"/>
      <c r="V100" s="3334"/>
      <c r="W100" s="3333"/>
      <c r="X100" s="3777" t="s">
        <v>1455</v>
      </c>
      <c r="Y100" s="4245" t="str">
        <f>IF(Formula!$GE$3=2,CONCATENATE(" CPS"),"")</f>
        <v/>
      </c>
      <c r="Z100" s="4246"/>
      <c r="AA100" s="3778" t="str">
        <f>IF(Formula!$GE$3=2,CONCATENATE(" Cash"),"")</f>
        <v/>
      </c>
      <c r="AB100" s="4247"/>
      <c r="AC100" s="10"/>
      <c r="AD100" s="3274"/>
      <c r="AE100" s="2093"/>
      <c r="AF100" s="3275"/>
      <c r="AG100" s="10"/>
      <c r="AH100" s="1548"/>
      <c r="AI100" s="1548"/>
      <c r="AJ100" s="1548"/>
      <c r="AK100" s="1548"/>
      <c r="AL100" s="1548"/>
      <c r="AM100" s="1548"/>
      <c r="AN100" s="1548"/>
      <c r="AO100" s="1548"/>
      <c r="AP100" s="1548"/>
      <c r="AQ100" s="1548"/>
      <c r="AR100" s="1548"/>
      <c r="AS100" s="1896"/>
      <c r="AT100" s="1896"/>
      <c r="AU100" s="1896"/>
      <c r="AV100" s="50"/>
      <c r="AW100" s="50"/>
      <c r="AX100" s="47"/>
      <c r="AY100" s="47"/>
      <c r="AZ100" s="7"/>
      <c r="BA100" s="7"/>
      <c r="BB100" s="7"/>
      <c r="BC100" s="7"/>
      <c r="BD100" s="7"/>
      <c r="BE100" s="634"/>
      <c r="BF100" s="634"/>
      <c r="BG100" s="634"/>
      <c r="BH100" s="634"/>
      <c r="BI100" s="634"/>
      <c r="BJ100" s="634"/>
      <c r="BK100" s="634"/>
      <c r="BL100" s="634"/>
      <c r="BM100" s="634"/>
      <c r="BN100" s="635"/>
      <c r="BO100" s="634"/>
      <c r="BP100" s="634"/>
      <c r="BQ100" s="3519"/>
      <c r="BR100" s="3519"/>
      <c r="BS100" s="3519"/>
      <c r="BT100" s="3519"/>
      <c r="BU100" s="3519"/>
      <c r="BV100" s="3519"/>
      <c r="BW100" s="3519"/>
      <c r="BX100" s="3519"/>
      <c r="BY100" s="3519"/>
      <c r="BZ100" s="3519"/>
      <c r="CA100" s="3519"/>
      <c r="CB100" s="1864"/>
      <c r="CC100" s="831"/>
      <c r="CD100" s="831"/>
      <c r="CE100" s="831"/>
      <c r="CF100" s="831"/>
      <c r="CG100" s="831"/>
      <c r="CH100" s="831"/>
      <c r="CI100" s="831"/>
      <c r="CJ100" s="831"/>
      <c r="CK100" s="831"/>
      <c r="CL100" s="831"/>
      <c r="CM100" s="831"/>
      <c r="CN100" s="831"/>
      <c r="CO100" s="831"/>
      <c r="CP100" s="831"/>
      <c r="CQ100" s="831"/>
      <c r="CR100" s="831"/>
      <c r="CS100" s="831"/>
    </row>
    <row r="101" spans="2:97" ht="39.75" customHeight="1" thickBot="1">
      <c r="B101" s="10"/>
      <c r="C101" s="3643"/>
      <c r="D101" s="3644"/>
      <c r="E101" s="3644"/>
      <c r="F101" s="3644"/>
      <c r="G101" s="3644"/>
      <c r="H101" s="3644"/>
      <c r="I101" s="3644"/>
      <c r="J101" s="3644"/>
      <c r="K101" s="3644"/>
      <c r="L101" s="3644"/>
      <c r="M101" s="3644"/>
      <c r="N101" s="3644"/>
      <c r="O101" s="3645"/>
      <c r="P101" s="313"/>
      <c r="Q101" s="4249" t="s">
        <v>1644</v>
      </c>
      <c r="R101" s="4250"/>
      <c r="S101" s="4250"/>
      <c r="T101" s="4250"/>
      <c r="U101" s="4250"/>
      <c r="V101" s="4250"/>
      <c r="W101" s="3333"/>
      <c r="X101" s="3336"/>
      <c r="Y101" s="4232"/>
      <c r="Z101" s="4233"/>
      <c r="AA101" s="3521" t="str">
        <f>IF(AND(Formula!$L$453=2,Formula!$GE$3=2),SUM(X101-Y101),"")</f>
        <v/>
      </c>
      <c r="AB101" s="4248"/>
      <c r="AC101" s="10"/>
      <c r="AD101" s="3274"/>
      <c r="AE101" s="2093"/>
      <c r="AF101" s="3275"/>
      <c r="AG101" s="10"/>
      <c r="AH101" s="1548"/>
      <c r="AI101" s="1548"/>
      <c r="AJ101" s="1548"/>
      <c r="AK101" s="1548"/>
      <c r="AL101" s="1548"/>
      <c r="AM101" s="1548"/>
      <c r="AN101" s="1548"/>
      <c r="AO101" s="1548"/>
      <c r="AP101" s="1548"/>
      <c r="AQ101" s="1548"/>
      <c r="AR101" s="1548"/>
      <c r="AS101" s="1896"/>
      <c r="AT101" s="1896"/>
      <c r="AU101" s="1896"/>
      <c r="AV101" s="50"/>
      <c r="AW101" s="50"/>
      <c r="AX101" s="47"/>
      <c r="AY101" s="47"/>
      <c r="AZ101" s="7"/>
      <c r="BA101" s="7"/>
      <c r="BB101" s="7"/>
      <c r="BC101" s="7"/>
      <c r="BD101" s="7"/>
      <c r="BE101" s="634"/>
      <c r="BF101" s="634"/>
      <c r="BG101" s="634"/>
      <c r="BH101" s="634"/>
      <c r="BI101" s="634"/>
      <c r="BJ101" s="634"/>
      <c r="BK101" s="634"/>
      <c r="BL101" s="634"/>
      <c r="BM101" s="634"/>
      <c r="BN101" s="635"/>
      <c r="BO101" s="634"/>
      <c r="BP101" s="634"/>
      <c r="BQ101" s="3519"/>
      <c r="BR101" s="3519"/>
      <c r="BS101" s="3519"/>
      <c r="BT101" s="3519"/>
      <c r="BU101" s="3519"/>
      <c r="BV101" s="3519"/>
      <c r="BW101" s="3519"/>
      <c r="BX101" s="3519"/>
      <c r="BY101" s="3519"/>
      <c r="BZ101" s="3519"/>
      <c r="CA101" s="3519"/>
      <c r="CB101" s="1864"/>
      <c r="CC101" s="831"/>
      <c r="CD101" s="831"/>
      <c r="CE101" s="831"/>
      <c r="CF101" s="831"/>
      <c r="CG101" s="831"/>
      <c r="CH101" s="831"/>
      <c r="CI101" s="831"/>
      <c r="CJ101" s="831"/>
      <c r="CK101" s="831"/>
      <c r="CL101" s="831"/>
      <c r="CM101" s="831"/>
      <c r="CN101" s="831"/>
      <c r="CO101" s="831"/>
      <c r="CP101" s="831"/>
      <c r="CQ101" s="831"/>
      <c r="CR101" s="831"/>
      <c r="CS101" s="831"/>
    </row>
    <row r="102" spans="2:97" ht="36" customHeight="1" thickBot="1">
      <c r="B102" s="10"/>
      <c r="C102" s="3643"/>
      <c r="D102" s="3644"/>
      <c r="E102" s="3644"/>
      <c r="F102" s="3644"/>
      <c r="G102" s="3644"/>
      <c r="H102" s="3644"/>
      <c r="I102" s="3644"/>
      <c r="J102" s="3644"/>
      <c r="K102" s="3644"/>
      <c r="L102" s="3644"/>
      <c r="M102" s="3644"/>
      <c r="N102" s="3644"/>
      <c r="O102" s="3645"/>
      <c r="P102" s="313"/>
      <c r="Q102" s="3515"/>
      <c r="R102" s="3516"/>
      <c r="S102" s="3516"/>
      <c r="T102" s="3516"/>
      <c r="U102" s="3516"/>
      <c r="V102" s="3516"/>
      <c r="W102" s="3516"/>
      <c r="X102" s="3517"/>
      <c r="Y102" s="3516"/>
      <c r="Z102" s="3516"/>
      <c r="AA102" s="3516"/>
      <c r="AB102" s="3518"/>
      <c r="AC102" s="10"/>
      <c r="AD102" s="3274"/>
      <c r="AE102" s="2093"/>
      <c r="AF102" s="3275"/>
      <c r="AG102" s="10"/>
      <c r="AH102" s="1548"/>
      <c r="AI102" s="1548"/>
      <c r="AJ102" s="1548"/>
      <c r="AK102" s="1548"/>
      <c r="AL102" s="1548"/>
      <c r="AM102" s="1548"/>
      <c r="AN102" s="1548"/>
      <c r="AO102" s="1548"/>
      <c r="AP102" s="1548"/>
      <c r="AQ102" s="1548"/>
      <c r="AR102" s="1548"/>
      <c r="AS102" s="1896"/>
      <c r="AT102" s="1896"/>
      <c r="AU102" s="1896"/>
      <c r="AV102" s="50"/>
      <c r="AW102" s="50"/>
      <c r="AX102" s="47"/>
      <c r="AY102" s="47"/>
      <c r="AZ102" s="7"/>
      <c r="BA102" s="7"/>
      <c r="BB102" s="7"/>
      <c r="BC102" s="7"/>
      <c r="BD102" s="7"/>
      <c r="BE102" s="634"/>
      <c r="BF102" s="634"/>
      <c r="BG102" s="634"/>
      <c r="BH102" s="634"/>
      <c r="BI102" s="634"/>
      <c r="BJ102" s="634"/>
      <c r="BK102" s="634"/>
      <c r="BL102" s="634"/>
      <c r="BM102" s="634"/>
      <c r="BN102" s="635"/>
      <c r="BO102" s="634"/>
      <c r="BP102" s="634"/>
      <c r="BQ102" s="3519"/>
      <c r="BR102" s="3519"/>
      <c r="BS102" s="3519"/>
      <c r="BT102" s="3519"/>
      <c r="BU102" s="3519"/>
      <c r="BV102" s="3519"/>
      <c r="BW102" s="3519"/>
      <c r="BX102" s="3519"/>
      <c r="BY102" s="3519"/>
      <c r="BZ102" s="3519"/>
      <c r="CA102" s="3519"/>
      <c r="CB102" s="1864"/>
      <c r="CC102" s="831"/>
      <c r="CD102" s="831"/>
      <c r="CE102" s="831"/>
      <c r="CF102" s="831"/>
      <c r="CG102" s="831"/>
      <c r="CH102" s="831"/>
      <c r="CI102" s="831"/>
      <c r="CJ102" s="831"/>
      <c r="CK102" s="831"/>
      <c r="CL102" s="831"/>
      <c r="CM102" s="831"/>
      <c r="CN102" s="831"/>
      <c r="CO102" s="831"/>
      <c r="CP102" s="831"/>
      <c r="CQ102" s="831"/>
      <c r="CR102" s="831"/>
      <c r="CS102" s="831"/>
    </row>
    <row r="103" spans="2:97" ht="36" customHeight="1">
      <c r="B103" s="10"/>
      <c r="C103" s="3643"/>
      <c r="D103" s="3644"/>
      <c r="E103" s="3644"/>
      <c r="F103" s="3644"/>
      <c r="G103" s="3644"/>
      <c r="H103" s="3644"/>
      <c r="I103" s="3644"/>
      <c r="J103" s="3644"/>
      <c r="K103" s="3644"/>
      <c r="L103" s="3644"/>
      <c r="M103" s="3644"/>
      <c r="N103" s="3644"/>
      <c r="O103" s="3645"/>
      <c r="P103" s="313"/>
      <c r="Q103" s="4214" t="s">
        <v>1680</v>
      </c>
      <c r="R103" s="4215"/>
      <c r="S103" s="4215"/>
      <c r="T103" s="4215"/>
      <c r="U103" s="4215"/>
      <c r="V103" s="4215"/>
      <c r="W103" s="4215"/>
      <c r="X103" s="4215"/>
      <c r="Y103" s="4215"/>
      <c r="Z103" s="4215"/>
      <c r="AA103" s="4215"/>
      <c r="AB103" s="4216"/>
      <c r="AC103" s="10"/>
      <c r="AD103" s="3274"/>
      <c r="AE103" s="2093"/>
      <c r="AF103" s="3275"/>
      <c r="AG103" s="10"/>
      <c r="AH103" s="1548"/>
      <c r="AI103" s="1548"/>
      <c r="AJ103" s="1548"/>
      <c r="AK103" s="1548"/>
      <c r="AL103" s="1548"/>
      <c r="AM103" s="1548"/>
      <c r="AN103" s="1548"/>
      <c r="AO103" s="1548"/>
      <c r="AP103" s="1548"/>
      <c r="AQ103" s="1548"/>
      <c r="AR103" s="1548"/>
      <c r="AS103" s="1896"/>
      <c r="AT103" s="1896"/>
      <c r="AU103" s="1896"/>
      <c r="AV103" s="50"/>
      <c r="AW103" s="50"/>
      <c r="AX103" s="47"/>
      <c r="AY103" s="47"/>
      <c r="AZ103" s="7"/>
      <c r="BA103" s="7"/>
      <c r="BB103" s="7"/>
      <c r="BC103" s="7"/>
      <c r="BD103" s="7"/>
      <c r="BE103" s="634"/>
      <c r="BF103" s="634"/>
      <c r="BG103" s="634"/>
      <c r="BH103" s="634"/>
      <c r="BI103" s="634"/>
      <c r="BJ103" s="634"/>
      <c r="BK103" s="634"/>
      <c r="BL103" s="634"/>
      <c r="BM103" s="634"/>
      <c r="BN103" s="635"/>
      <c r="BO103" s="634"/>
      <c r="BP103" s="634"/>
      <c r="BQ103" s="3519"/>
      <c r="BR103" s="3519"/>
      <c r="BS103" s="3519"/>
      <c r="BT103" s="3519"/>
      <c r="BU103" s="3519"/>
      <c r="BV103" s="3519"/>
      <c r="BW103" s="3519"/>
      <c r="BX103" s="3519"/>
      <c r="BY103" s="3519"/>
      <c r="BZ103" s="3519"/>
      <c r="CA103" s="3519"/>
      <c r="CB103" s="1864"/>
      <c r="CC103" s="831"/>
      <c r="CD103" s="831"/>
      <c r="CE103" s="831"/>
      <c r="CF103" s="831"/>
      <c r="CG103" s="831"/>
      <c r="CH103" s="831"/>
      <c r="CI103" s="831"/>
      <c r="CJ103" s="831"/>
      <c r="CK103" s="831"/>
      <c r="CL103" s="831"/>
      <c r="CM103" s="831"/>
      <c r="CN103" s="831"/>
      <c r="CO103" s="831"/>
      <c r="CP103" s="831"/>
      <c r="CQ103" s="831"/>
      <c r="CR103" s="831"/>
      <c r="CS103" s="831"/>
    </row>
    <row r="104" spans="2:97" ht="36" customHeight="1" thickBot="1">
      <c r="B104" s="10"/>
      <c r="C104" s="3643"/>
      <c r="D104" s="3644"/>
      <c r="E104" s="3644"/>
      <c r="F104" s="3644"/>
      <c r="G104" s="3644"/>
      <c r="H104" s="3644"/>
      <c r="I104" s="3644"/>
      <c r="J104" s="3644"/>
      <c r="K104" s="3644"/>
      <c r="L104" s="3644"/>
      <c r="M104" s="3644"/>
      <c r="N104" s="3644"/>
      <c r="O104" s="3645"/>
      <c r="P104" s="313"/>
      <c r="Q104" s="4217"/>
      <c r="R104" s="4218"/>
      <c r="S104" s="4218"/>
      <c r="T104" s="4218"/>
      <c r="U104" s="4218"/>
      <c r="V104" s="4218"/>
      <c r="W104" s="4219"/>
      <c r="X104" s="4218"/>
      <c r="Y104" s="4218"/>
      <c r="Z104" s="4218"/>
      <c r="AA104" s="4218"/>
      <c r="AB104" s="4220"/>
      <c r="AC104" s="10"/>
      <c r="AD104" s="3274"/>
      <c r="AE104" s="2093"/>
      <c r="AF104" s="3275"/>
      <c r="AG104" s="10"/>
      <c r="AH104" s="1548"/>
      <c r="AI104" s="1548"/>
      <c r="AJ104" s="1548"/>
      <c r="AK104" s="1548"/>
      <c r="AL104" s="1548"/>
      <c r="AM104" s="1548"/>
      <c r="AN104" s="1548"/>
      <c r="AO104" s="1548"/>
      <c r="AP104" s="1548"/>
      <c r="AQ104" s="1548"/>
      <c r="AR104" s="1548"/>
      <c r="AS104" s="1896"/>
      <c r="AT104" s="1896"/>
      <c r="AU104" s="1896"/>
      <c r="AV104" s="50"/>
      <c r="AW104" s="50"/>
      <c r="AX104" s="47"/>
      <c r="AY104" s="47"/>
      <c r="AZ104" s="7"/>
      <c r="BA104" s="7"/>
      <c r="BB104" s="7"/>
      <c r="BC104" s="7"/>
      <c r="BD104" s="7"/>
      <c r="BE104" s="634"/>
      <c r="BF104" s="634"/>
      <c r="BG104" s="634"/>
      <c r="BH104" s="634"/>
      <c r="BI104" s="634"/>
      <c r="BJ104" s="634"/>
      <c r="BK104" s="634"/>
      <c r="BL104" s="634"/>
      <c r="BM104" s="634"/>
      <c r="BN104" s="635"/>
      <c r="BO104" s="634"/>
      <c r="BP104" s="634"/>
      <c r="BQ104" s="3519"/>
      <c r="BR104" s="3519"/>
      <c r="BS104" s="3519"/>
      <c r="BT104" s="3519"/>
      <c r="BU104" s="3519"/>
      <c r="BV104" s="3519"/>
      <c r="BW104" s="3519"/>
      <c r="BX104" s="3519"/>
      <c r="BY104" s="3519"/>
      <c r="BZ104" s="3519"/>
      <c r="CA104" s="3519"/>
      <c r="CB104" s="1864"/>
      <c r="CC104" s="831"/>
      <c r="CD104" s="831"/>
      <c r="CE104" s="831"/>
      <c r="CF104" s="831"/>
      <c r="CG104" s="831"/>
      <c r="CH104" s="831"/>
      <c r="CI104" s="831"/>
      <c r="CJ104" s="831"/>
      <c r="CK104" s="831"/>
      <c r="CL104" s="831"/>
      <c r="CM104" s="831"/>
      <c r="CN104" s="831"/>
      <c r="CO104" s="831"/>
      <c r="CP104" s="831"/>
      <c r="CQ104" s="831"/>
      <c r="CR104" s="831"/>
      <c r="CS104" s="831"/>
    </row>
    <row r="105" spans="2:97" ht="36" customHeight="1" thickBot="1">
      <c r="B105" s="10"/>
      <c r="C105" s="3643"/>
      <c r="D105" s="3644"/>
      <c r="E105" s="3644"/>
      <c r="F105" s="3644"/>
      <c r="G105" s="3644"/>
      <c r="H105" s="3644"/>
      <c r="I105" s="3644"/>
      <c r="J105" s="3644"/>
      <c r="K105" s="3644"/>
      <c r="L105" s="3644"/>
      <c r="M105" s="3644"/>
      <c r="N105" s="3644"/>
      <c r="O105" s="3645"/>
      <c r="P105" s="313"/>
      <c r="Q105" s="3075"/>
      <c r="R105" s="3075"/>
      <c r="S105" s="3075"/>
      <c r="T105" s="3075"/>
      <c r="U105" s="3075"/>
      <c r="V105" s="3349"/>
      <c r="W105" s="3332"/>
      <c r="X105" s="3331"/>
      <c r="Y105" s="3331"/>
      <c r="Z105" s="3331"/>
      <c r="AA105" s="3331"/>
      <c r="AB105" s="3331"/>
      <c r="AC105" s="10"/>
      <c r="AD105" s="3274"/>
      <c r="AE105" s="2093"/>
      <c r="AF105" s="3275"/>
      <c r="AG105" s="10"/>
      <c r="AH105" s="1548"/>
      <c r="AI105" s="1548"/>
      <c r="AJ105" s="1548"/>
      <c r="AK105" s="1548"/>
      <c r="AL105" s="1548"/>
      <c r="AM105" s="1548"/>
      <c r="AN105" s="1548"/>
      <c r="AO105" s="1548"/>
      <c r="AP105" s="1548"/>
      <c r="AQ105" s="1548"/>
      <c r="AR105" s="1548"/>
      <c r="AS105" s="1896"/>
      <c r="AT105" s="1896"/>
      <c r="AU105" s="1896"/>
      <c r="AV105" s="50"/>
      <c r="AW105" s="50"/>
      <c r="AX105" s="47"/>
      <c r="AY105" s="47"/>
      <c r="AZ105" s="7"/>
      <c r="BA105" s="7"/>
      <c r="BB105" s="7"/>
      <c r="BC105" s="7"/>
      <c r="BD105" s="7"/>
      <c r="BE105" s="634"/>
      <c r="BF105" s="634"/>
      <c r="BG105" s="634"/>
      <c r="BH105" s="634"/>
      <c r="BI105" s="634"/>
      <c r="BJ105" s="634"/>
      <c r="BK105" s="634"/>
      <c r="BL105" s="634"/>
      <c r="BM105" s="634"/>
      <c r="BN105" s="635"/>
      <c r="BO105" s="634"/>
      <c r="BP105" s="634"/>
      <c r="BQ105" s="3519"/>
      <c r="BR105" s="3519"/>
      <c r="BS105" s="3519"/>
      <c r="BT105" s="3519"/>
      <c r="BU105" s="3519"/>
      <c r="BV105" s="3519"/>
      <c r="BW105" s="3519"/>
      <c r="BX105" s="3519"/>
      <c r="BY105" s="3519"/>
      <c r="BZ105" s="3519"/>
      <c r="CA105" s="3519"/>
      <c r="CB105" s="1864"/>
      <c r="CC105" s="831"/>
      <c r="CD105" s="831"/>
      <c r="CE105" s="831"/>
      <c r="CF105" s="831"/>
      <c r="CG105" s="831"/>
      <c r="CH105" s="831"/>
      <c r="CI105" s="831"/>
      <c r="CJ105" s="831"/>
      <c r="CK105" s="831"/>
      <c r="CL105" s="831"/>
      <c r="CM105" s="831"/>
      <c r="CN105" s="831"/>
      <c r="CO105" s="831"/>
      <c r="CP105" s="831"/>
      <c r="CQ105" s="831"/>
      <c r="CR105" s="831"/>
      <c r="CS105" s="831"/>
    </row>
    <row r="106" spans="2:97" ht="36" customHeight="1" thickBot="1">
      <c r="B106" s="10"/>
      <c r="C106" s="3643"/>
      <c r="D106" s="3644"/>
      <c r="E106" s="3644"/>
      <c r="F106" s="3644"/>
      <c r="G106" s="3644"/>
      <c r="H106" s="3644"/>
      <c r="I106" s="3644"/>
      <c r="J106" s="3644"/>
      <c r="K106" s="3644"/>
      <c r="L106" s="3644"/>
      <c r="M106" s="3644"/>
      <c r="N106" s="3644"/>
      <c r="O106" s="3645"/>
      <c r="P106" s="313"/>
      <c r="Q106" s="4221" t="s">
        <v>1681</v>
      </c>
      <c r="R106" s="4222"/>
      <c r="S106" s="4222"/>
      <c r="T106" s="4222"/>
      <c r="U106" s="4222"/>
      <c r="V106" s="4222"/>
      <c r="W106" s="3333"/>
      <c r="X106" s="4223"/>
      <c r="Y106" s="4223"/>
      <c r="Z106" s="4223"/>
      <c r="AA106" s="4223"/>
      <c r="AB106" s="4224"/>
      <c r="AC106" s="10"/>
      <c r="AD106" s="3274"/>
      <c r="AE106" s="2093"/>
      <c r="AF106" s="3275"/>
      <c r="AG106" s="10"/>
      <c r="AH106" s="1548"/>
      <c r="AI106" s="1548"/>
      <c r="AJ106" s="1548"/>
      <c r="AK106" s="1548"/>
      <c r="AL106" s="1548"/>
      <c r="AM106" s="1548"/>
      <c r="AN106" s="1548"/>
      <c r="AO106" s="1548"/>
      <c r="AP106" s="1548"/>
      <c r="AQ106" s="1548"/>
      <c r="AR106" s="1548"/>
      <c r="AS106" s="1896"/>
      <c r="AT106" s="1896"/>
      <c r="AU106" s="1896"/>
      <c r="AV106" s="50"/>
      <c r="AW106" s="50"/>
      <c r="AX106" s="47"/>
      <c r="AY106" s="47"/>
      <c r="AZ106" s="7"/>
      <c r="BA106" s="7"/>
      <c r="BB106" s="7"/>
      <c r="BC106" s="7"/>
      <c r="BD106" s="7"/>
      <c r="BE106" s="634"/>
      <c r="BF106" s="634"/>
      <c r="BG106" s="634"/>
      <c r="BH106" s="634"/>
      <c r="BI106" s="634"/>
      <c r="BJ106" s="634"/>
      <c r="BK106" s="634"/>
      <c r="BL106" s="634"/>
      <c r="BM106" s="634"/>
      <c r="BN106" s="635"/>
      <c r="BO106" s="634"/>
      <c r="BP106" s="634"/>
      <c r="BQ106" s="3519"/>
      <c r="BR106" s="3519"/>
      <c r="BS106" s="3519"/>
      <c r="BT106" s="3519"/>
      <c r="BU106" s="3519"/>
      <c r="BV106" s="3519"/>
      <c r="BW106" s="3519"/>
      <c r="BX106" s="3519"/>
      <c r="BY106" s="3519"/>
      <c r="BZ106" s="3519"/>
      <c r="CA106" s="3519"/>
      <c r="CB106" s="1864"/>
      <c r="CC106" s="831"/>
      <c r="CD106" s="831"/>
      <c r="CE106" s="831"/>
      <c r="CF106" s="831"/>
      <c r="CG106" s="831"/>
      <c r="CH106" s="831"/>
      <c r="CI106" s="831"/>
      <c r="CJ106" s="831"/>
      <c r="CK106" s="831"/>
      <c r="CL106" s="831"/>
      <c r="CM106" s="831"/>
      <c r="CN106" s="831"/>
      <c r="CO106" s="831"/>
      <c r="CP106" s="831"/>
      <c r="CQ106" s="831"/>
      <c r="CR106" s="831"/>
      <c r="CS106" s="831"/>
    </row>
    <row r="107" spans="2:97" ht="36" customHeight="1" thickBot="1">
      <c r="B107" s="10"/>
      <c r="C107" s="3643"/>
      <c r="D107" s="3644"/>
      <c r="E107" s="3644"/>
      <c r="F107" s="3644"/>
      <c r="G107" s="3644"/>
      <c r="H107" s="3644"/>
      <c r="I107" s="3644"/>
      <c r="J107" s="3644"/>
      <c r="K107" s="3644"/>
      <c r="L107" s="3644"/>
      <c r="M107" s="3644"/>
      <c r="N107" s="3644"/>
      <c r="O107" s="3645"/>
      <c r="P107" s="313"/>
      <c r="Q107" s="3334"/>
      <c r="R107" s="3334"/>
      <c r="S107" s="3334"/>
      <c r="T107" s="3334"/>
      <c r="U107" s="3334"/>
      <c r="V107" s="3334"/>
      <c r="W107" s="3333"/>
      <c r="X107" s="3773" t="s">
        <v>1455</v>
      </c>
      <c r="Y107" s="4225" t="str">
        <f>IF(Formula!$GE$3=2,CONCATENATE(" CPS"),"")</f>
        <v/>
      </c>
      <c r="Z107" s="4226"/>
      <c r="AA107" s="3774" t="str">
        <f>IF(Formula!$GE$3=2,CONCATENATE(" Cash"),"")</f>
        <v/>
      </c>
      <c r="AB107" s="4227"/>
      <c r="AC107" s="10"/>
      <c r="AD107" s="3274"/>
      <c r="AE107" s="2093"/>
      <c r="AF107" s="3275"/>
      <c r="AG107" s="10"/>
      <c r="AH107" s="1548"/>
      <c r="AI107" s="1548"/>
      <c r="AJ107" s="1548"/>
      <c r="AK107" s="1548"/>
      <c r="AL107" s="1548"/>
      <c r="AM107" s="1548"/>
      <c r="AN107" s="1548"/>
      <c r="AO107" s="1548"/>
      <c r="AP107" s="1548"/>
      <c r="AQ107" s="1548"/>
      <c r="AR107" s="1548"/>
      <c r="AS107" s="1896"/>
      <c r="AT107" s="1896"/>
      <c r="AU107" s="1896"/>
      <c r="AV107" s="50"/>
      <c r="AW107" s="50"/>
      <c r="AX107" s="47"/>
      <c r="AY107" s="47"/>
      <c r="AZ107" s="7"/>
      <c r="BA107" s="7"/>
      <c r="BB107" s="7"/>
      <c r="BC107" s="7"/>
      <c r="BD107" s="7"/>
      <c r="BE107" s="634"/>
      <c r="BF107" s="634"/>
      <c r="BG107" s="634"/>
      <c r="BH107" s="634"/>
      <c r="BI107" s="634"/>
      <c r="BJ107" s="634"/>
      <c r="BK107" s="634"/>
      <c r="BL107" s="634"/>
      <c r="BM107" s="634"/>
      <c r="BN107" s="635"/>
      <c r="BO107" s="634"/>
      <c r="BP107" s="634"/>
      <c r="BQ107" s="3519"/>
      <c r="BR107" s="3519"/>
      <c r="BS107" s="3519"/>
      <c r="BT107" s="3519"/>
      <c r="BU107" s="3519"/>
      <c r="BV107" s="3519"/>
      <c r="BW107" s="3519"/>
      <c r="BX107" s="3519"/>
      <c r="BY107" s="3519"/>
      <c r="BZ107" s="3519"/>
      <c r="CA107" s="3519"/>
      <c r="CB107" s="1864"/>
      <c r="CC107" s="831"/>
      <c r="CD107" s="831"/>
      <c r="CE107" s="831"/>
      <c r="CF107" s="831"/>
      <c r="CG107" s="831"/>
      <c r="CH107" s="831"/>
      <c r="CI107" s="831"/>
      <c r="CJ107" s="831"/>
      <c r="CK107" s="831"/>
      <c r="CL107" s="831"/>
      <c r="CM107" s="831"/>
      <c r="CN107" s="831"/>
      <c r="CO107" s="831"/>
      <c r="CP107" s="831"/>
      <c r="CQ107" s="831"/>
      <c r="CR107" s="831"/>
      <c r="CS107" s="831"/>
    </row>
    <row r="108" spans="2:97" ht="36" customHeight="1" thickBot="1">
      <c r="B108" s="10"/>
      <c r="C108" s="3643"/>
      <c r="D108" s="3644"/>
      <c r="E108" s="3644"/>
      <c r="F108" s="3644"/>
      <c r="G108" s="3644"/>
      <c r="H108" s="3644"/>
      <c r="I108" s="3644"/>
      <c r="J108" s="3644"/>
      <c r="K108" s="3644"/>
      <c r="L108" s="3644"/>
      <c r="M108" s="3644"/>
      <c r="N108" s="3644"/>
      <c r="O108" s="3645"/>
      <c r="P108" s="313"/>
      <c r="Q108" s="4229" t="s">
        <v>1682</v>
      </c>
      <c r="R108" s="4230"/>
      <c r="S108" s="4230"/>
      <c r="T108" s="4230"/>
      <c r="U108" s="4230"/>
      <c r="V108" s="4231"/>
      <c r="W108" s="3333"/>
      <c r="X108" s="3520"/>
      <c r="Y108" s="4232"/>
      <c r="Z108" s="4233"/>
      <c r="AA108" s="3521" t="str">
        <f>IF(AND(Formula!L478=2,Formula!$GE$3=2),SUM(X108-Y108),"")</f>
        <v/>
      </c>
      <c r="AB108" s="4228"/>
      <c r="AC108" s="10"/>
      <c r="AD108" s="3274"/>
      <c r="AE108" s="2093"/>
      <c r="AF108" s="3275"/>
      <c r="AG108" s="10"/>
      <c r="AH108" s="1548"/>
      <c r="AI108" s="1548"/>
      <c r="AJ108" s="1548"/>
      <c r="AK108" s="1548"/>
      <c r="AL108" s="1548"/>
      <c r="AM108" s="1548"/>
      <c r="AN108" s="1548"/>
      <c r="AO108" s="1548"/>
      <c r="AP108" s="1548"/>
      <c r="AQ108" s="1548"/>
      <c r="AR108" s="1548"/>
      <c r="AS108" s="1896"/>
      <c r="AT108" s="1896"/>
      <c r="AU108" s="1896"/>
      <c r="AV108" s="50"/>
      <c r="AW108" s="50"/>
      <c r="AX108" s="47"/>
      <c r="AY108" s="47"/>
      <c r="AZ108" s="7"/>
      <c r="BA108" s="7"/>
      <c r="BB108" s="7"/>
      <c r="BC108" s="7"/>
      <c r="BD108" s="7"/>
      <c r="BE108" s="634"/>
      <c r="BF108" s="634"/>
      <c r="BG108" s="634"/>
      <c r="BH108" s="634"/>
      <c r="BI108" s="634"/>
      <c r="BJ108" s="634"/>
      <c r="BK108" s="634"/>
      <c r="BL108" s="634"/>
      <c r="BM108" s="634"/>
      <c r="BN108" s="635"/>
      <c r="BO108" s="634"/>
      <c r="BP108" s="634"/>
      <c r="BQ108" s="3519"/>
      <c r="BR108" s="3519"/>
      <c r="BS108" s="3519"/>
      <c r="BT108" s="3519"/>
      <c r="BU108" s="3519"/>
      <c r="BV108" s="3519"/>
      <c r="BW108" s="3519"/>
      <c r="BX108" s="3519"/>
      <c r="BY108" s="3519"/>
      <c r="BZ108" s="3519"/>
      <c r="CA108" s="3519"/>
      <c r="CB108" s="1864"/>
      <c r="CC108" s="831"/>
      <c r="CD108" s="831"/>
      <c r="CE108" s="831"/>
      <c r="CF108" s="831"/>
      <c r="CG108" s="831"/>
      <c r="CH108" s="831"/>
      <c r="CI108" s="831"/>
      <c r="CJ108" s="831"/>
      <c r="CK108" s="831"/>
      <c r="CL108" s="831"/>
      <c r="CM108" s="831"/>
      <c r="CN108" s="831"/>
      <c r="CO108" s="831"/>
      <c r="CP108" s="831"/>
      <c r="CQ108" s="831"/>
      <c r="CR108" s="831"/>
      <c r="CS108" s="831"/>
    </row>
    <row r="109" spans="2:97" ht="36" customHeight="1" thickBot="1">
      <c r="B109" s="10"/>
      <c r="C109" s="3643"/>
      <c r="D109" s="3644"/>
      <c r="E109" s="3644"/>
      <c r="F109" s="3644"/>
      <c r="G109" s="3644"/>
      <c r="H109" s="3644"/>
      <c r="I109" s="3644"/>
      <c r="J109" s="3644"/>
      <c r="K109" s="3644"/>
      <c r="L109" s="3644"/>
      <c r="M109" s="3644"/>
      <c r="N109" s="3644"/>
      <c r="O109" s="3645"/>
      <c r="P109" s="313"/>
      <c r="Q109" s="3516"/>
      <c r="R109" s="3516"/>
      <c r="S109" s="3516"/>
      <c r="T109" s="3516"/>
      <c r="U109" s="3516"/>
      <c r="V109" s="3516"/>
      <c r="W109" s="3516"/>
      <c r="X109" s="3517"/>
      <c r="Y109" s="3516"/>
      <c r="Z109" s="3516"/>
      <c r="AA109" s="3516"/>
      <c r="AB109" s="3518"/>
      <c r="AC109" s="10"/>
      <c r="AD109" s="3274"/>
      <c r="AE109" s="2093"/>
      <c r="AF109" s="3275"/>
      <c r="AG109" s="10"/>
      <c r="AH109" s="1548"/>
      <c r="AI109" s="1548"/>
      <c r="AJ109" s="1548"/>
      <c r="AK109" s="1548"/>
      <c r="AL109" s="1548"/>
      <c r="AM109" s="1548"/>
      <c r="AN109" s="1548"/>
      <c r="AO109" s="1548"/>
      <c r="AP109" s="1548"/>
      <c r="AQ109" s="1548"/>
      <c r="AR109" s="1548"/>
      <c r="AS109" s="1896"/>
      <c r="AT109" s="1896"/>
      <c r="AU109" s="1896"/>
      <c r="AV109" s="50"/>
      <c r="AW109" s="50"/>
      <c r="AX109" s="47"/>
      <c r="AY109" s="47"/>
      <c r="AZ109" s="7"/>
      <c r="BA109" s="7"/>
      <c r="BB109" s="7"/>
      <c r="BC109" s="7"/>
      <c r="BD109" s="7"/>
      <c r="BE109" s="634"/>
      <c r="BF109" s="634"/>
      <c r="BG109" s="634"/>
      <c r="BH109" s="634"/>
      <c r="BI109" s="634"/>
      <c r="BJ109" s="634"/>
      <c r="BK109" s="634"/>
      <c r="BL109" s="634"/>
      <c r="BM109" s="634"/>
      <c r="BN109" s="635"/>
      <c r="BO109" s="634"/>
      <c r="BP109" s="634"/>
      <c r="BQ109" s="3519"/>
      <c r="BR109" s="3519"/>
      <c r="BS109" s="3519"/>
      <c r="BT109" s="3519"/>
      <c r="BU109" s="3519"/>
      <c r="BV109" s="3519"/>
      <c r="BW109" s="3519"/>
      <c r="BX109" s="3519"/>
      <c r="BY109" s="3519"/>
      <c r="BZ109" s="3519"/>
      <c r="CA109" s="3519"/>
      <c r="CB109" s="1864"/>
      <c r="CC109" s="831"/>
      <c r="CD109" s="831"/>
      <c r="CE109" s="831"/>
      <c r="CF109" s="831"/>
      <c r="CG109" s="831"/>
      <c r="CH109" s="831"/>
      <c r="CI109" s="831"/>
      <c r="CJ109" s="831"/>
      <c r="CK109" s="831"/>
      <c r="CL109" s="831"/>
      <c r="CM109" s="831"/>
      <c r="CN109" s="831"/>
      <c r="CO109" s="831"/>
      <c r="CP109" s="831"/>
      <c r="CQ109" s="831"/>
      <c r="CR109" s="831"/>
      <c r="CS109" s="831"/>
    </row>
    <row r="110" spans="2:97" ht="36" customHeight="1">
      <c r="B110" s="10"/>
      <c r="C110" s="3643"/>
      <c r="D110" s="3644"/>
      <c r="E110" s="3644"/>
      <c r="F110" s="3644"/>
      <c r="G110" s="3644"/>
      <c r="H110" s="3644"/>
      <c r="I110" s="3644"/>
      <c r="J110" s="3644"/>
      <c r="K110" s="3644"/>
      <c r="L110" s="3644"/>
      <c r="M110" s="3644"/>
      <c r="N110" s="3644"/>
      <c r="O110" s="3645"/>
      <c r="P110" s="313"/>
      <c r="Q110" s="4744" t="s">
        <v>1742</v>
      </c>
      <c r="R110" s="4745"/>
      <c r="S110" s="4745"/>
      <c r="T110" s="4745"/>
      <c r="U110" s="4745"/>
      <c r="V110" s="4745"/>
      <c r="W110" s="4745"/>
      <c r="X110" s="4745"/>
      <c r="Y110" s="4745"/>
      <c r="Z110" s="4745"/>
      <c r="AA110" s="4745"/>
      <c r="AB110" s="4746"/>
      <c r="AC110" s="10"/>
      <c r="AD110" s="3274"/>
      <c r="AE110" s="2093"/>
      <c r="AF110" s="3275"/>
      <c r="AG110" s="10"/>
      <c r="AH110" s="1548"/>
      <c r="AI110" s="1548"/>
      <c r="AJ110" s="1548"/>
      <c r="AK110" s="1548"/>
      <c r="AL110" s="1548"/>
      <c r="AM110" s="1548"/>
      <c r="AN110" s="1548"/>
      <c r="AO110" s="1548"/>
      <c r="AP110" s="1548"/>
      <c r="AQ110" s="1548"/>
      <c r="AR110" s="1548"/>
      <c r="AS110" s="1896"/>
      <c r="AT110" s="1896"/>
      <c r="AU110" s="1896"/>
      <c r="AV110" s="50"/>
      <c r="AW110" s="50"/>
      <c r="AX110" s="47"/>
      <c r="AY110" s="47"/>
      <c r="AZ110" s="7"/>
      <c r="BA110" s="7"/>
      <c r="BB110" s="7"/>
      <c r="BC110" s="7"/>
      <c r="BD110" s="7"/>
      <c r="BE110" s="634"/>
      <c r="BF110" s="634"/>
      <c r="BG110" s="634"/>
      <c r="BH110" s="634"/>
      <c r="BI110" s="634"/>
      <c r="BJ110" s="634"/>
      <c r="BK110" s="634"/>
      <c r="BL110" s="634"/>
      <c r="BM110" s="634"/>
      <c r="BN110" s="635"/>
      <c r="BO110" s="634"/>
      <c r="BP110" s="634"/>
      <c r="BQ110" s="3519"/>
      <c r="BR110" s="3519"/>
      <c r="BS110" s="3519"/>
      <c r="BT110" s="3519"/>
      <c r="BU110" s="3519"/>
      <c r="BV110" s="3519"/>
      <c r="BW110" s="3519"/>
      <c r="BX110" s="3519"/>
      <c r="BY110" s="3519"/>
      <c r="BZ110" s="3519"/>
      <c r="CA110" s="3519"/>
      <c r="CB110" s="1864"/>
      <c r="CC110" s="831"/>
      <c r="CD110" s="831"/>
      <c r="CE110" s="831"/>
      <c r="CF110" s="831"/>
      <c r="CG110" s="831"/>
      <c r="CH110" s="831"/>
      <c r="CI110" s="831"/>
      <c r="CJ110" s="831"/>
      <c r="CK110" s="831"/>
      <c r="CL110" s="831"/>
      <c r="CM110" s="831"/>
      <c r="CN110" s="831"/>
      <c r="CO110" s="831"/>
      <c r="CP110" s="831"/>
      <c r="CQ110" s="831"/>
      <c r="CR110" s="831"/>
      <c r="CS110" s="831"/>
    </row>
    <row r="111" spans="2:97" ht="36" customHeight="1" thickBot="1">
      <c r="B111" s="10"/>
      <c r="C111" s="3643"/>
      <c r="D111" s="3644"/>
      <c r="E111" s="3644"/>
      <c r="F111" s="3644"/>
      <c r="G111" s="3644"/>
      <c r="H111" s="3644"/>
      <c r="I111" s="3644"/>
      <c r="J111" s="3644"/>
      <c r="K111" s="3644"/>
      <c r="L111" s="3644"/>
      <c r="M111" s="3644"/>
      <c r="N111" s="3644"/>
      <c r="O111" s="3645"/>
      <c r="P111" s="313"/>
      <c r="Q111" s="4747"/>
      <c r="R111" s="4748"/>
      <c r="S111" s="4748"/>
      <c r="T111" s="4748"/>
      <c r="U111" s="4748"/>
      <c r="V111" s="4748"/>
      <c r="W111" s="4749"/>
      <c r="X111" s="4748"/>
      <c r="Y111" s="4748"/>
      <c r="Z111" s="4748"/>
      <c r="AA111" s="4748"/>
      <c r="AB111" s="4750"/>
      <c r="AC111" s="10"/>
      <c r="AD111" s="3274"/>
      <c r="AE111" s="2093"/>
      <c r="AF111" s="3275"/>
      <c r="AG111" s="10"/>
      <c r="AH111" s="1548"/>
      <c r="AI111" s="1548"/>
      <c r="AJ111" s="1548"/>
      <c r="AK111" s="1548"/>
      <c r="AL111" s="1548"/>
      <c r="AM111" s="1548"/>
      <c r="AN111" s="1548"/>
      <c r="AO111" s="1548"/>
      <c r="AP111" s="1548"/>
      <c r="AQ111" s="1548"/>
      <c r="AR111" s="1548"/>
      <c r="AS111" s="1896"/>
      <c r="AT111" s="1896"/>
      <c r="AU111" s="1896"/>
      <c r="AV111" s="50"/>
      <c r="AW111" s="50"/>
      <c r="AX111" s="47"/>
      <c r="AY111" s="47"/>
      <c r="AZ111" s="7"/>
      <c r="BA111" s="7"/>
      <c r="BB111" s="7"/>
      <c r="BC111" s="7"/>
      <c r="BD111" s="7"/>
      <c r="BE111" s="634"/>
      <c r="BF111" s="634"/>
      <c r="BG111" s="634"/>
      <c r="BH111" s="634"/>
      <c r="BI111" s="634"/>
      <c r="BJ111" s="634"/>
      <c r="BK111" s="634"/>
      <c r="BL111" s="634"/>
      <c r="BM111" s="634"/>
      <c r="BN111" s="635"/>
      <c r="BO111" s="634"/>
      <c r="BP111" s="634"/>
      <c r="BQ111" s="3519"/>
      <c r="BR111" s="3519"/>
      <c r="BS111" s="3519"/>
      <c r="BT111" s="3519"/>
      <c r="BU111" s="3519"/>
      <c r="BV111" s="3519"/>
      <c r="BW111" s="3519"/>
      <c r="BX111" s="3519"/>
      <c r="BY111" s="3519"/>
      <c r="BZ111" s="3519"/>
      <c r="CA111" s="3519"/>
      <c r="CB111" s="1864"/>
      <c r="CC111" s="831"/>
      <c r="CD111" s="831"/>
      <c r="CE111" s="831"/>
      <c r="CF111" s="831"/>
      <c r="CG111" s="831"/>
      <c r="CH111" s="831"/>
      <c r="CI111" s="831"/>
      <c r="CJ111" s="831"/>
      <c r="CK111" s="831"/>
      <c r="CL111" s="831"/>
      <c r="CM111" s="831"/>
      <c r="CN111" s="831"/>
      <c r="CO111" s="831"/>
      <c r="CP111" s="831"/>
      <c r="CQ111" s="831"/>
      <c r="CR111" s="831"/>
      <c r="CS111" s="831"/>
    </row>
    <row r="112" spans="2:97" ht="36" customHeight="1" thickBot="1">
      <c r="B112" s="10"/>
      <c r="C112" s="3643"/>
      <c r="D112" s="3644"/>
      <c r="E112" s="3644"/>
      <c r="F112" s="3644"/>
      <c r="G112" s="3644"/>
      <c r="H112" s="3644"/>
      <c r="I112" s="3644"/>
      <c r="J112" s="3644"/>
      <c r="K112" s="3644"/>
      <c r="L112" s="3644"/>
      <c r="M112" s="3644"/>
      <c r="N112" s="3644"/>
      <c r="O112" s="3645"/>
      <c r="P112" s="313"/>
      <c r="Q112" s="3075"/>
      <c r="R112" s="3075"/>
      <c r="S112" s="3075"/>
      <c r="T112" s="3075"/>
      <c r="U112" s="3075"/>
      <c r="V112" s="3349"/>
      <c r="W112" s="3332"/>
      <c r="X112" s="3331"/>
      <c r="Y112" s="3331"/>
      <c r="Z112" s="3331"/>
      <c r="AA112" s="3331"/>
      <c r="AB112" s="3331"/>
      <c r="AC112" s="10"/>
      <c r="AD112" s="3274"/>
      <c r="AE112" s="2093"/>
      <c r="AF112" s="3275"/>
      <c r="AG112" s="10"/>
      <c r="AH112" s="1548"/>
      <c r="AI112" s="1548"/>
      <c r="AJ112" s="1548"/>
      <c r="AK112" s="1548"/>
      <c r="AL112" s="1548"/>
      <c r="AM112" s="1548"/>
      <c r="AN112" s="1548"/>
      <c r="AO112" s="1548"/>
      <c r="AP112" s="1548"/>
      <c r="AQ112" s="1548"/>
      <c r="AR112" s="1548"/>
      <c r="AS112" s="1896"/>
      <c r="AT112" s="1896"/>
      <c r="AU112" s="1896"/>
      <c r="AV112" s="50"/>
      <c r="AW112" s="50"/>
      <c r="AX112" s="47"/>
      <c r="AY112" s="47"/>
      <c r="AZ112" s="7"/>
      <c r="BA112" s="7"/>
      <c r="BB112" s="7"/>
      <c r="BC112" s="7"/>
      <c r="BD112" s="7"/>
      <c r="BE112" s="634"/>
      <c r="BF112" s="634"/>
      <c r="BG112" s="634"/>
      <c r="BH112" s="634"/>
      <c r="BI112" s="634"/>
      <c r="BJ112" s="634"/>
      <c r="BK112" s="634"/>
      <c r="BL112" s="634"/>
      <c r="BM112" s="634"/>
      <c r="BN112" s="635"/>
      <c r="BO112" s="634"/>
      <c r="BP112" s="634"/>
      <c r="BQ112" s="3519"/>
      <c r="BR112" s="3519"/>
      <c r="BS112" s="3519"/>
      <c r="BT112" s="3519"/>
      <c r="BU112" s="3519"/>
      <c r="BV112" s="3519"/>
      <c r="BW112" s="3519"/>
      <c r="BX112" s="3519"/>
      <c r="BY112" s="3519"/>
      <c r="BZ112" s="3519"/>
      <c r="CA112" s="3519"/>
      <c r="CB112" s="1864"/>
      <c r="CC112" s="831"/>
      <c r="CD112" s="831"/>
      <c r="CE112" s="831"/>
      <c r="CF112" s="831"/>
      <c r="CG112" s="831"/>
      <c r="CH112" s="831"/>
      <c r="CI112" s="831"/>
      <c r="CJ112" s="831"/>
      <c r="CK112" s="831"/>
      <c r="CL112" s="831"/>
      <c r="CM112" s="831"/>
      <c r="CN112" s="831"/>
      <c r="CO112" s="831"/>
      <c r="CP112" s="831"/>
      <c r="CQ112" s="831"/>
      <c r="CR112" s="831"/>
      <c r="CS112" s="831"/>
    </row>
    <row r="113" spans="2:97" ht="36" customHeight="1" thickBot="1">
      <c r="B113" s="10"/>
      <c r="C113" s="3643"/>
      <c r="D113" s="3644"/>
      <c r="E113" s="3644"/>
      <c r="F113" s="3644"/>
      <c r="G113" s="3644"/>
      <c r="H113" s="3644"/>
      <c r="I113" s="3644"/>
      <c r="J113" s="3644"/>
      <c r="K113" s="3644"/>
      <c r="L113" s="3644"/>
      <c r="M113" s="3644"/>
      <c r="N113" s="3644"/>
      <c r="O113" s="3645"/>
      <c r="P113" s="313"/>
      <c r="Q113" s="4751" t="s">
        <v>1740</v>
      </c>
      <c r="R113" s="4752"/>
      <c r="S113" s="4752"/>
      <c r="T113" s="4752"/>
      <c r="U113" s="4752"/>
      <c r="V113" s="4752"/>
      <c r="W113" s="3333"/>
      <c r="X113" s="4735"/>
      <c r="Y113" s="4735"/>
      <c r="Z113" s="4735"/>
      <c r="AA113" s="4735"/>
      <c r="AB113" s="4736"/>
      <c r="AC113" s="10"/>
      <c r="AD113" s="3274"/>
      <c r="AE113" s="2093"/>
      <c r="AF113" s="3275"/>
      <c r="AG113" s="10"/>
      <c r="AH113" s="1548"/>
      <c r="AI113" s="1548"/>
      <c r="AJ113" s="1548"/>
      <c r="AK113" s="1548"/>
      <c r="AL113" s="1548"/>
      <c r="AM113" s="1548"/>
      <c r="AN113" s="1548"/>
      <c r="AO113" s="1548"/>
      <c r="AP113" s="1548"/>
      <c r="AQ113" s="1548"/>
      <c r="AR113" s="1548"/>
      <c r="AS113" s="1896"/>
      <c r="AT113" s="1896"/>
      <c r="AU113" s="1896"/>
      <c r="AV113" s="50"/>
      <c r="AW113" s="50"/>
      <c r="AX113" s="47"/>
      <c r="AY113" s="47"/>
      <c r="AZ113" s="7"/>
      <c r="BA113" s="7"/>
      <c r="BB113" s="7"/>
      <c r="BC113" s="7"/>
      <c r="BD113" s="7"/>
      <c r="BE113" s="634"/>
      <c r="BF113" s="634"/>
      <c r="BG113" s="634"/>
      <c r="BH113" s="634"/>
      <c r="BI113" s="634"/>
      <c r="BJ113" s="634"/>
      <c r="BK113" s="634"/>
      <c r="BL113" s="634"/>
      <c r="BM113" s="634"/>
      <c r="BN113" s="635"/>
      <c r="BO113" s="634"/>
      <c r="BP113" s="634"/>
      <c r="BQ113" s="3519"/>
      <c r="BR113" s="3519"/>
      <c r="BS113" s="3519"/>
      <c r="BT113" s="3519"/>
      <c r="BU113" s="3519"/>
      <c r="BV113" s="3519"/>
      <c r="BW113" s="3519"/>
      <c r="BX113" s="3519"/>
      <c r="BY113" s="3519"/>
      <c r="BZ113" s="3519"/>
      <c r="CA113" s="3519"/>
      <c r="CB113" s="1864"/>
      <c r="CC113" s="831"/>
      <c r="CD113" s="831"/>
      <c r="CE113" s="831"/>
      <c r="CF113" s="831"/>
      <c r="CG113" s="831"/>
      <c r="CH113" s="831"/>
      <c r="CI113" s="831"/>
      <c r="CJ113" s="831"/>
      <c r="CK113" s="831"/>
      <c r="CL113" s="831"/>
      <c r="CM113" s="831"/>
      <c r="CN113" s="831"/>
      <c r="CO113" s="831"/>
      <c r="CP113" s="831"/>
      <c r="CQ113" s="831"/>
      <c r="CR113" s="831"/>
      <c r="CS113" s="831"/>
    </row>
    <row r="114" spans="2:97" ht="36" customHeight="1" thickBot="1">
      <c r="B114" s="10"/>
      <c r="C114" s="3643"/>
      <c r="D114" s="3644"/>
      <c r="E114" s="3644"/>
      <c r="F114" s="3644"/>
      <c r="G114" s="3644"/>
      <c r="H114" s="3644"/>
      <c r="I114" s="3644"/>
      <c r="J114" s="3644"/>
      <c r="K114" s="3644"/>
      <c r="L114" s="3644"/>
      <c r="M114" s="3644"/>
      <c r="N114" s="3644"/>
      <c r="O114" s="3645"/>
      <c r="P114" s="313"/>
      <c r="Q114" s="3334"/>
      <c r="R114" s="3334"/>
      <c r="S114" s="3334"/>
      <c r="T114" s="3334"/>
      <c r="U114" s="3334"/>
      <c r="V114" s="3334"/>
      <c r="W114" s="3333"/>
      <c r="X114" s="3751" t="s">
        <v>1455</v>
      </c>
      <c r="Y114" s="4737" t="str">
        <f>IF(Formula!$GE$3=2,CONCATENATE(" CPS"),"")</f>
        <v/>
      </c>
      <c r="Z114" s="4738"/>
      <c r="AA114" s="3752" t="str">
        <f>IF(Formula!$GE$3=2,CONCATENATE(" Cash"),"")</f>
        <v/>
      </c>
      <c r="AB114" s="4739"/>
      <c r="AC114" s="10"/>
      <c r="AD114" s="3274"/>
      <c r="AE114" s="2093"/>
      <c r="AF114" s="3275"/>
      <c r="AG114" s="10"/>
      <c r="AH114" s="1548"/>
      <c r="AI114" s="1548"/>
      <c r="AJ114" s="1548"/>
      <c r="AK114" s="1548"/>
      <c r="AL114" s="1548"/>
      <c r="AM114" s="1548"/>
      <c r="AN114" s="1548"/>
      <c r="AO114" s="1548"/>
      <c r="AP114" s="1548"/>
      <c r="AQ114" s="1548"/>
      <c r="AR114" s="1548"/>
      <c r="AS114" s="1896"/>
      <c r="AT114" s="1896"/>
      <c r="AU114" s="1896"/>
      <c r="AV114" s="50"/>
      <c r="AW114" s="50"/>
      <c r="AX114" s="47"/>
      <c r="AY114" s="47"/>
      <c r="AZ114" s="7"/>
      <c r="BA114" s="7"/>
      <c r="BB114" s="7"/>
      <c r="BC114" s="7"/>
      <c r="BD114" s="7"/>
      <c r="BE114" s="634"/>
      <c r="BF114" s="634"/>
      <c r="BG114" s="634"/>
      <c r="BH114" s="634"/>
      <c r="BI114" s="634"/>
      <c r="BJ114" s="634"/>
      <c r="BK114" s="634"/>
      <c r="BL114" s="634"/>
      <c r="BM114" s="634"/>
      <c r="BN114" s="635"/>
      <c r="BO114" s="634"/>
      <c r="BP114" s="634"/>
      <c r="BQ114" s="3519"/>
      <c r="BR114" s="3519"/>
      <c r="BS114" s="3519"/>
      <c r="BT114" s="3519"/>
      <c r="BU114" s="3519"/>
      <c r="BV114" s="3519"/>
      <c r="BW114" s="3519"/>
      <c r="BX114" s="3519"/>
      <c r="BY114" s="3519"/>
      <c r="BZ114" s="3519"/>
      <c r="CA114" s="3519"/>
      <c r="CB114" s="1864"/>
      <c r="CC114" s="831"/>
      <c r="CD114" s="831"/>
      <c r="CE114" s="831"/>
      <c r="CF114" s="831"/>
      <c r="CG114" s="831"/>
      <c r="CH114" s="831"/>
      <c r="CI114" s="831"/>
      <c r="CJ114" s="831"/>
      <c r="CK114" s="831"/>
      <c r="CL114" s="831"/>
      <c r="CM114" s="831"/>
      <c r="CN114" s="831"/>
      <c r="CO114" s="831"/>
      <c r="CP114" s="831"/>
      <c r="CQ114" s="831"/>
      <c r="CR114" s="831"/>
      <c r="CS114" s="831"/>
    </row>
    <row r="115" spans="2:97" ht="36" customHeight="1" thickBot="1">
      <c r="B115" s="10"/>
      <c r="C115" s="3643"/>
      <c r="D115" s="3644"/>
      <c r="E115" s="3644"/>
      <c r="F115" s="3644"/>
      <c r="G115" s="3644"/>
      <c r="H115" s="3644"/>
      <c r="I115" s="3644"/>
      <c r="J115" s="3644"/>
      <c r="K115" s="3644"/>
      <c r="L115" s="3644"/>
      <c r="M115" s="3644"/>
      <c r="N115" s="3644"/>
      <c r="O115" s="3645"/>
      <c r="P115" s="313"/>
      <c r="Q115" s="4741" t="s">
        <v>1741</v>
      </c>
      <c r="R115" s="4742"/>
      <c r="S115" s="4742"/>
      <c r="T115" s="4742"/>
      <c r="U115" s="4742"/>
      <c r="V115" s="4743"/>
      <c r="W115" s="3333"/>
      <c r="X115" s="3520"/>
      <c r="Y115" s="4232"/>
      <c r="Z115" s="4233"/>
      <c r="AA115" s="3521" t="str">
        <f>IF(AND(Formula!$L$504=2,Formula!$GE$3=2),SUM(X115-Y115),"")</f>
        <v/>
      </c>
      <c r="AB115" s="4740"/>
      <c r="AC115" s="10"/>
      <c r="AD115" s="3274"/>
      <c r="AE115" s="2093"/>
      <c r="AF115" s="3275"/>
      <c r="AG115" s="10"/>
      <c r="AH115" s="1548"/>
      <c r="AI115" s="1548"/>
      <c r="AJ115" s="1548"/>
      <c r="AK115" s="1548"/>
      <c r="AL115" s="1548"/>
      <c r="AM115" s="1548"/>
      <c r="AN115" s="1548"/>
      <c r="AO115" s="1548"/>
      <c r="AP115" s="1548"/>
      <c r="AQ115" s="1548"/>
      <c r="AR115" s="1548"/>
      <c r="AS115" s="1896"/>
      <c r="AT115" s="1896"/>
      <c r="AU115" s="1896"/>
      <c r="AV115" s="50"/>
      <c r="AW115" s="50"/>
      <c r="AX115" s="47"/>
      <c r="AY115" s="47"/>
      <c r="AZ115" s="7"/>
      <c r="BA115" s="7"/>
      <c r="BB115" s="7"/>
      <c r="BC115" s="7"/>
      <c r="BD115" s="7"/>
      <c r="BE115" s="634"/>
      <c r="BF115" s="634"/>
      <c r="BG115" s="634"/>
      <c r="BH115" s="634"/>
      <c r="BI115" s="634"/>
      <c r="BJ115" s="634"/>
      <c r="BK115" s="634"/>
      <c r="BL115" s="634"/>
      <c r="BM115" s="634"/>
      <c r="BN115" s="635"/>
      <c r="BO115" s="634"/>
      <c r="BP115" s="634"/>
      <c r="BQ115" s="3519"/>
      <c r="BR115" s="3519"/>
      <c r="BS115" s="3519"/>
      <c r="BT115" s="3519"/>
      <c r="BU115" s="3519"/>
      <c r="BV115" s="3519"/>
      <c r="BW115" s="3519"/>
      <c r="BX115" s="3519"/>
      <c r="BY115" s="3519"/>
      <c r="BZ115" s="3519"/>
      <c r="CA115" s="3519"/>
      <c r="CB115" s="1864"/>
      <c r="CC115" s="831"/>
      <c r="CD115" s="831"/>
      <c r="CE115" s="831"/>
      <c r="CF115" s="831"/>
      <c r="CG115" s="831"/>
      <c r="CH115" s="831"/>
      <c r="CI115" s="831"/>
      <c r="CJ115" s="831"/>
      <c r="CK115" s="831"/>
      <c r="CL115" s="831"/>
      <c r="CM115" s="831"/>
      <c r="CN115" s="831"/>
      <c r="CO115" s="831"/>
      <c r="CP115" s="831"/>
      <c r="CQ115" s="831"/>
      <c r="CR115" s="831"/>
      <c r="CS115" s="831"/>
    </row>
    <row r="116" spans="2:97" ht="36" customHeight="1" thickBot="1">
      <c r="B116" s="10"/>
      <c r="C116" s="3643"/>
      <c r="D116" s="3644"/>
      <c r="E116" s="3644"/>
      <c r="F116" s="3644"/>
      <c r="G116" s="3644"/>
      <c r="H116" s="3644"/>
      <c r="I116" s="3644"/>
      <c r="J116" s="3644"/>
      <c r="K116" s="3644"/>
      <c r="L116" s="3644"/>
      <c r="M116" s="3644"/>
      <c r="N116" s="3644"/>
      <c r="O116" s="3645"/>
      <c r="P116" s="313"/>
      <c r="Q116" s="3516"/>
      <c r="R116" s="3516"/>
      <c r="S116" s="3516"/>
      <c r="T116" s="3516"/>
      <c r="U116" s="3516"/>
      <c r="V116" s="3516"/>
      <c r="W116" s="3516"/>
      <c r="X116" s="3517"/>
      <c r="Y116" s="3516"/>
      <c r="Z116" s="3516"/>
      <c r="AA116" s="3516"/>
      <c r="AB116" s="3518"/>
      <c r="AC116" s="10"/>
      <c r="AD116" s="3274"/>
      <c r="AE116" s="2093"/>
      <c r="AF116" s="3275"/>
      <c r="AG116" s="10"/>
      <c r="AH116" s="1548"/>
      <c r="AI116" s="1548"/>
      <c r="AJ116" s="1548"/>
      <c r="AK116" s="1548"/>
      <c r="AL116" s="1548"/>
      <c r="AM116" s="1548"/>
      <c r="AN116" s="1548"/>
      <c r="AO116" s="1548"/>
      <c r="AP116" s="1548"/>
      <c r="AQ116" s="1548"/>
      <c r="AR116" s="1548"/>
      <c r="AS116" s="1896"/>
      <c r="AT116" s="1896"/>
      <c r="AU116" s="1896"/>
      <c r="AV116" s="50"/>
      <c r="AW116" s="50"/>
      <c r="AX116" s="47"/>
      <c r="AY116" s="47"/>
      <c r="AZ116" s="7"/>
      <c r="BA116" s="7"/>
      <c r="BB116" s="7"/>
      <c r="BC116" s="7"/>
      <c r="BD116" s="7"/>
      <c r="BE116" s="634"/>
      <c r="BF116" s="634"/>
      <c r="BG116" s="634"/>
      <c r="BH116" s="634"/>
      <c r="BI116" s="634"/>
      <c r="BJ116" s="634"/>
      <c r="BK116" s="634"/>
      <c r="BL116" s="634"/>
      <c r="BM116" s="634"/>
      <c r="BN116" s="635"/>
      <c r="BO116" s="634"/>
      <c r="BP116" s="634"/>
      <c r="BQ116" s="3519"/>
      <c r="BR116" s="3519"/>
      <c r="BS116" s="3519"/>
      <c r="BT116" s="3519"/>
      <c r="BU116" s="3519"/>
      <c r="BV116" s="3519"/>
      <c r="BW116" s="3519"/>
      <c r="BX116" s="3519"/>
      <c r="BY116" s="3519"/>
      <c r="BZ116" s="3519"/>
      <c r="CA116" s="3519"/>
      <c r="CB116" s="1864"/>
      <c r="CC116" s="831"/>
      <c r="CD116" s="831"/>
      <c r="CE116" s="831"/>
      <c r="CF116" s="831"/>
      <c r="CG116" s="831"/>
      <c r="CH116" s="831"/>
      <c r="CI116" s="831"/>
      <c r="CJ116" s="831"/>
      <c r="CK116" s="831"/>
      <c r="CL116" s="831"/>
      <c r="CM116" s="831"/>
      <c r="CN116" s="831"/>
      <c r="CO116" s="831"/>
      <c r="CP116" s="831"/>
      <c r="CQ116" s="831"/>
      <c r="CR116" s="831"/>
      <c r="CS116" s="831"/>
    </row>
    <row r="117" spans="2:97" ht="36" customHeight="1">
      <c r="B117" s="10"/>
      <c r="C117" s="3643"/>
      <c r="D117" s="3644"/>
      <c r="E117" s="3644"/>
      <c r="F117" s="3644"/>
      <c r="G117" s="3644"/>
      <c r="H117" s="3644"/>
      <c r="I117" s="3644"/>
      <c r="J117" s="3644"/>
      <c r="K117" s="3644"/>
      <c r="L117" s="3644"/>
      <c r="M117" s="3644"/>
      <c r="N117" s="3644"/>
      <c r="O117" s="3645"/>
      <c r="P117" s="313"/>
      <c r="Q117" s="4795" t="s">
        <v>1760</v>
      </c>
      <c r="R117" s="4796"/>
      <c r="S117" s="4796"/>
      <c r="T117" s="4796"/>
      <c r="U117" s="4796"/>
      <c r="V117" s="4796"/>
      <c r="W117" s="4796"/>
      <c r="X117" s="4796"/>
      <c r="Y117" s="4796"/>
      <c r="Z117" s="4796"/>
      <c r="AA117" s="4796"/>
      <c r="AB117" s="4797"/>
      <c r="AC117" s="10"/>
      <c r="AD117" s="3274"/>
      <c r="AE117" s="2093"/>
      <c r="AF117" s="3275"/>
      <c r="AG117" s="10"/>
      <c r="AH117" s="1548"/>
      <c r="AI117" s="1548"/>
      <c r="AJ117" s="1548"/>
      <c r="AK117" s="1548"/>
      <c r="AL117" s="1548"/>
      <c r="AM117" s="1548"/>
      <c r="AN117" s="1548"/>
      <c r="AO117" s="1548"/>
      <c r="AP117" s="1548"/>
      <c r="AQ117" s="1548"/>
      <c r="AR117" s="1548"/>
      <c r="AS117" s="1896"/>
      <c r="AT117" s="1896"/>
      <c r="AU117" s="1896"/>
      <c r="AV117" s="50"/>
      <c r="AW117" s="50"/>
      <c r="AX117" s="47"/>
      <c r="AY117" s="47"/>
      <c r="AZ117" s="7"/>
      <c r="BA117" s="7"/>
      <c r="BB117" s="7"/>
      <c r="BC117" s="7"/>
      <c r="BD117" s="7"/>
      <c r="BE117" s="634"/>
      <c r="BF117" s="634"/>
      <c r="BG117" s="634"/>
      <c r="BH117" s="634"/>
      <c r="BI117" s="634"/>
      <c r="BJ117" s="634"/>
      <c r="BK117" s="634"/>
      <c r="BL117" s="634"/>
      <c r="BM117" s="634"/>
      <c r="BN117" s="635"/>
      <c r="BO117" s="634"/>
      <c r="BP117" s="634"/>
      <c r="BQ117" s="3519"/>
      <c r="BR117" s="3519"/>
      <c r="BS117" s="3519"/>
      <c r="BT117" s="3519"/>
      <c r="BU117" s="3519"/>
      <c r="BV117" s="3519"/>
      <c r="BW117" s="3519"/>
      <c r="BX117" s="3519"/>
      <c r="BY117" s="3519"/>
      <c r="BZ117" s="3519"/>
      <c r="CA117" s="3519"/>
      <c r="CB117" s="1864"/>
      <c r="CC117" s="831"/>
      <c r="CD117" s="831"/>
      <c r="CE117" s="831"/>
      <c r="CF117" s="831"/>
      <c r="CG117" s="831"/>
      <c r="CH117" s="831"/>
      <c r="CI117" s="831"/>
      <c r="CJ117" s="831"/>
      <c r="CK117" s="831"/>
      <c r="CL117" s="831"/>
      <c r="CM117" s="831"/>
      <c r="CN117" s="831"/>
      <c r="CO117" s="831"/>
      <c r="CP117" s="831"/>
      <c r="CQ117" s="831"/>
      <c r="CR117" s="831"/>
      <c r="CS117" s="831"/>
    </row>
    <row r="118" spans="2:97" ht="36" customHeight="1" thickBot="1">
      <c r="B118" s="10"/>
      <c r="C118" s="3643"/>
      <c r="D118" s="3644"/>
      <c r="E118" s="3644"/>
      <c r="F118" s="3644"/>
      <c r="G118" s="3644"/>
      <c r="H118" s="3644"/>
      <c r="I118" s="3644"/>
      <c r="J118" s="3644"/>
      <c r="K118" s="3644"/>
      <c r="L118" s="3644"/>
      <c r="M118" s="3644"/>
      <c r="N118" s="3644"/>
      <c r="O118" s="3645"/>
      <c r="P118" s="313"/>
      <c r="Q118" s="4798"/>
      <c r="R118" s="4799"/>
      <c r="S118" s="4799"/>
      <c r="T118" s="4799"/>
      <c r="U118" s="4799"/>
      <c r="V118" s="4799"/>
      <c r="W118" s="4800"/>
      <c r="X118" s="4799"/>
      <c r="Y118" s="4799"/>
      <c r="Z118" s="4799"/>
      <c r="AA118" s="4799"/>
      <c r="AB118" s="4801"/>
      <c r="AC118" s="10"/>
      <c r="AD118" s="3274"/>
      <c r="AE118" s="2093"/>
      <c r="AF118" s="3275"/>
      <c r="AG118" s="10"/>
      <c r="AH118" s="1548"/>
      <c r="AI118" s="1548"/>
      <c r="AJ118" s="1548"/>
      <c r="AK118" s="1548"/>
      <c r="AL118" s="1548"/>
      <c r="AM118" s="1548"/>
      <c r="AN118" s="1548"/>
      <c r="AO118" s="1548"/>
      <c r="AP118" s="1548"/>
      <c r="AQ118" s="1548"/>
      <c r="AR118" s="1548"/>
      <c r="AS118" s="1896"/>
      <c r="AT118" s="1896"/>
      <c r="AU118" s="1896"/>
      <c r="AV118" s="50"/>
      <c r="AW118" s="50"/>
      <c r="AX118" s="47"/>
      <c r="AY118" s="47"/>
      <c r="AZ118" s="7"/>
      <c r="BA118" s="7"/>
      <c r="BB118" s="7"/>
      <c r="BC118" s="7"/>
      <c r="BD118" s="7"/>
      <c r="BE118" s="634"/>
      <c r="BF118" s="634"/>
      <c r="BG118" s="634"/>
      <c r="BH118" s="634"/>
      <c r="BI118" s="634"/>
      <c r="BJ118" s="634"/>
      <c r="BK118" s="634"/>
      <c r="BL118" s="634"/>
      <c r="BM118" s="634"/>
      <c r="BN118" s="635"/>
      <c r="BO118" s="634"/>
      <c r="BP118" s="634"/>
      <c r="BQ118" s="3519"/>
      <c r="BR118" s="3519"/>
      <c r="BS118" s="3519"/>
      <c r="BT118" s="3519"/>
      <c r="BU118" s="3519"/>
      <c r="BV118" s="3519"/>
      <c r="BW118" s="3519"/>
      <c r="BX118" s="3519"/>
      <c r="BY118" s="3519"/>
      <c r="BZ118" s="3519"/>
      <c r="CA118" s="3519"/>
      <c r="CB118" s="1864"/>
      <c r="CC118" s="831"/>
      <c r="CD118" s="831"/>
      <c r="CE118" s="831"/>
      <c r="CF118" s="831"/>
      <c r="CG118" s="831"/>
      <c r="CH118" s="831"/>
      <c r="CI118" s="831"/>
      <c r="CJ118" s="831"/>
      <c r="CK118" s="831"/>
      <c r="CL118" s="831"/>
      <c r="CM118" s="831"/>
      <c r="CN118" s="831"/>
      <c r="CO118" s="831"/>
      <c r="CP118" s="831"/>
      <c r="CQ118" s="831"/>
      <c r="CR118" s="831"/>
      <c r="CS118" s="831"/>
    </row>
    <row r="119" spans="2:97" ht="36" customHeight="1" thickBot="1">
      <c r="B119" s="10"/>
      <c r="C119" s="3643"/>
      <c r="D119" s="3644"/>
      <c r="E119" s="3644"/>
      <c r="F119" s="3644"/>
      <c r="G119" s="3644"/>
      <c r="H119" s="3644"/>
      <c r="I119" s="3644"/>
      <c r="J119" s="3644"/>
      <c r="K119" s="3644"/>
      <c r="L119" s="3644"/>
      <c r="M119" s="3644"/>
      <c r="N119" s="3644"/>
      <c r="O119" s="3645"/>
      <c r="P119" s="313"/>
      <c r="Q119" s="3075"/>
      <c r="R119" s="3075"/>
      <c r="S119" s="3075"/>
      <c r="T119" s="3075"/>
      <c r="U119" s="3075"/>
      <c r="V119" s="3349"/>
      <c r="W119" s="3332"/>
      <c r="X119" s="3331"/>
      <c r="Y119" s="3331"/>
      <c r="Z119" s="3331"/>
      <c r="AA119" s="3331"/>
      <c r="AB119" s="3331"/>
      <c r="AC119" s="10"/>
      <c r="AD119" s="3274"/>
      <c r="AE119" s="2093"/>
      <c r="AF119" s="3275"/>
      <c r="AG119" s="10"/>
      <c r="AH119" s="1548"/>
      <c r="AI119" s="1548"/>
      <c r="AJ119" s="1548"/>
      <c r="AK119" s="1548"/>
      <c r="AL119" s="1548"/>
      <c r="AM119" s="1548"/>
      <c r="AN119" s="1548"/>
      <c r="AO119" s="1548"/>
      <c r="AP119" s="1548"/>
      <c r="AQ119" s="1548"/>
      <c r="AR119" s="1548"/>
      <c r="AS119" s="1896"/>
      <c r="AT119" s="1896"/>
      <c r="AU119" s="1896"/>
      <c r="AV119" s="50"/>
      <c r="AW119" s="50"/>
      <c r="AX119" s="47"/>
      <c r="AY119" s="47"/>
      <c r="AZ119" s="7"/>
      <c r="BA119" s="7"/>
      <c r="BB119" s="7"/>
      <c r="BC119" s="7"/>
      <c r="BD119" s="7"/>
      <c r="BE119" s="634"/>
      <c r="BF119" s="634"/>
      <c r="BG119" s="634"/>
      <c r="BH119" s="634"/>
      <c r="BI119" s="634"/>
      <c r="BJ119" s="634"/>
      <c r="BK119" s="634"/>
      <c r="BL119" s="634"/>
      <c r="BM119" s="634"/>
      <c r="BN119" s="635"/>
      <c r="BO119" s="634"/>
      <c r="BP119" s="634"/>
      <c r="BQ119" s="3519"/>
      <c r="BR119" s="3519"/>
      <c r="BS119" s="3519"/>
      <c r="BT119" s="3519"/>
      <c r="BU119" s="3519"/>
      <c r="BV119" s="3519"/>
      <c r="BW119" s="3519"/>
      <c r="BX119" s="3519"/>
      <c r="BY119" s="3519"/>
      <c r="BZ119" s="3519"/>
      <c r="CA119" s="3519"/>
      <c r="CB119" s="1864"/>
      <c r="CC119" s="831"/>
      <c r="CD119" s="831"/>
      <c r="CE119" s="831"/>
      <c r="CF119" s="831"/>
      <c r="CG119" s="831"/>
      <c r="CH119" s="831"/>
      <c r="CI119" s="831"/>
      <c r="CJ119" s="831"/>
      <c r="CK119" s="831"/>
      <c r="CL119" s="831"/>
      <c r="CM119" s="831"/>
      <c r="CN119" s="831"/>
      <c r="CO119" s="831"/>
      <c r="CP119" s="831"/>
      <c r="CQ119" s="831"/>
      <c r="CR119" s="831"/>
      <c r="CS119" s="831"/>
    </row>
    <row r="120" spans="2:97" ht="36" customHeight="1" thickBot="1">
      <c r="B120" s="10"/>
      <c r="C120" s="3643"/>
      <c r="D120" s="3644"/>
      <c r="E120" s="3644"/>
      <c r="F120" s="3644"/>
      <c r="G120" s="3644"/>
      <c r="H120" s="3644"/>
      <c r="I120" s="3644"/>
      <c r="J120" s="3644"/>
      <c r="K120" s="3644"/>
      <c r="L120" s="3644"/>
      <c r="M120" s="3644"/>
      <c r="N120" s="3644"/>
      <c r="O120" s="3645"/>
      <c r="P120" s="313"/>
      <c r="Q120" s="4802" t="s">
        <v>1757</v>
      </c>
      <c r="R120" s="4803"/>
      <c r="S120" s="4803"/>
      <c r="T120" s="4803"/>
      <c r="U120" s="4803"/>
      <c r="V120" s="4803"/>
      <c r="W120" s="3333"/>
      <c r="X120" s="4804"/>
      <c r="Y120" s="4804"/>
      <c r="Z120" s="4804"/>
      <c r="AA120" s="4804"/>
      <c r="AB120" s="4805"/>
      <c r="AC120" s="10"/>
      <c r="AD120" s="3274"/>
      <c r="AE120" s="2093"/>
      <c r="AF120" s="3275"/>
      <c r="AG120" s="10"/>
      <c r="AH120" s="1548"/>
      <c r="AI120" s="1548"/>
      <c r="AJ120" s="1548"/>
      <c r="AK120" s="1548"/>
      <c r="AL120" s="1548"/>
      <c r="AM120" s="1548"/>
      <c r="AN120" s="1548"/>
      <c r="AO120" s="1548"/>
      <c r="AP120" s="1548"/>
      <c r="AQ120" s="1548"/>
      <c r="AR120" s="1548"/>
      <c r="AS120" s="1896"/>
      <c r="AT120" s="1896"/>
      <c r="AU120" s="1896"/>
      <c r="AV120" s="50"/>
      <c r="AW120" s="50"/>
      <c r="AX120" s="47"/>
      <c r="AY120" s="47"/>
      <c r="AZ120" s="7"/>
      <c r="BA120" s="7"/>
      <c r="BB120" s="7"/>
      <c r="BC120" s="7"/>
      <c r="BD120" s="7"/>
      <c r="BE120" s="634"/>
      <c r="BF120" s="634"/>
      <c r="BG120" s="634"/>
      <c r="BH120" s="634"/>
      <c r="BI120" s="634"/>
      <c r="BJ120" s="634"/>
      <c r="BK120" s="634"/>
      <c r="BL120" s="634"/>
      <c r="BM120" s="634"/>
      <c r="BN120" s="635"/>
      <c r="BO120" s="634"/>
      <c r="BP120" s="634"/>
      <c r="BQ120" s="3519"/>
      <c r="BR120" s="3519"/>
      <c r="BS120" s="3519"/>
      <c r="BT120" s="3519"/>
      <c r="BU120" s="3519"/>
      <c r="BV120" s="3519"/>
      <c r="BW120" s="3519"/>
      <c r="BX120" s="3519"/>
      <c r="BY120" s="3519"/>
      <c r="BZ120" s="3519"/>
      <c r="CA120" s="3519"/>
      <c r="CB120" s="1864"/>
      <c r="CC120" s="831"/>
      <c r="CD120" s="831"/>
      <c r="CE120" s="831"/>
      <c r="CF120" s="831"/>
      <c r="CG120" s="831"/>
      <c r="CH120" s="831"/>
      <c r="CI120" s="831"/>
      <c r="CJ120" s="831"/>
      <c r="CK120" s="831"/>
      <c r="CL120" s="831"/>
      <c r="CM120" s="831"/>
      <c r="CN120" s="831"/>
      <c r="CO120" s="831"/>
      <c r="CP120" s="831"/>
      <c r="CQ120" s="831"/>
      <c r="CR120" s="831"/>
      <c r="CS120" s="831"/>
    </row>
    <row r="121" spans="2:97" ht="36" customHeight="1" thickBot="1">
      <c r="B121" s="10"/>
      <c r="C121" s="3643"/>
      <c r="D121" s="3644"/>
      <c r="E121" s="3644"/>
      <c r="F121" s="3644"/>
      <c r="G121" s="3644"/>
      <c r="H121" s="3644"/>
      <c r="I121" s="3644"/>
      <c r="J121" s="3644"/>
      <c r="K121" s="3644"/>
      <c r="L121" s="3644"/>
      <c r="M121" s="3644"/>
      <c r="N121" s="3644"/>
      <c r="O121" s="3645"/>
      <c r="P121" s="313"/>
      <c r="Q121" s="3334"/>
      <c r="R121" s="3334"/>
      <c r="S121" s="3334"/>
      <c r="T121" s="3334"/>
      <c r="U121" s="3334"/>
      <c r="V121" s="3334"/>
      <c r="W121" s="3333"/>
      <c r="X121" s="3807" t="s">
        <v>1455</v>
      </c>
      <c r="Y121" s="4806" t="str">
        <f>IF(Formula!$GE$3=2,CONCATENATE(" CPS"),"")</f>
        <v/>
      </c>
      <c r="Z121" s="4807"/>
      <c r="AA121" s="3808" t="str">
        <f>IF(Formula!$GE$3=2,CONCATENATE(" Cash"),"")</f>
        <v/>
      </c>
      <c r="AB121" s="4808"/>
      <c r="AC121" s="10"/>
      <c r="AD121" s="3274"/>
      <c r="AE121" s="2093"/>
      <c r="AF121" s="3275"/>
      <c r="AG121" s="10"/>
      <c r="AH121" s="1548"/>
      <c r="AI121" s="1548"/>
      <c r="AJ121" s="1548"/>
      <c r="AK121" s="1548"/>
      <c r="AL121" s="1548"/>
      <c r="AM121" s="1548"/>
      <c r="AN121" s="1548"/>
      <c r="AO121" s="1548"/>
      <c r="AP121" s="1548"/>
      <c r="AQ121" s="1548"/>
      <c r="AR121" s="1548"/>
      <c r="AS121" s="1896"/>
      <c r="AT121" s="1896"/>
      <c r="AU121" s="1896"/>
      <c r="AV121" s="50"/>
      <c r="AW121" s="50"/>
      <c r="AX121" s="47"/>
      <c r="AY121" s="47"/>
      <c r="AZ121" s="7"/>
      <c r="BA121" s="7"/>
      <c r="BB121" s="7"/>
      <c r="BC121" s="7"/>
      <c r="BD121" s="7"/>
      <c r="BE121" s="634"/>
      <c r="BF121" s="634"/>
      <c r="BG121" s="634"/>
      <c r="BH121" s="634"/>
      <c r="BI121" s="634"/>
      <c r="BJ121" s="634"/>
      <c r="BK121" s="634"/>
      <c r="BL121" s="634"/>
      <c r="BM121" s="634"/>
      <c r="BN121" s="635"/>
      <c r="BO121" s="634"/>
      <c r="BP121" s="634"/>
      <c r="BQ121" s="3519"/>
      <c r="BR121" s="3519"/>
      <c r="BS121" s="3519"/>
      <c r="BT121" s="3519"/>
      <c r="BU121" s="3519"/>
      <c r="BV121" s="3519"/>
      <c r="BW121" s="3519"/>
      <c r="BX121" s="3519"/>
      <c r="BY121" s="3519"/>
      <c r="BZ121" s="3519"/>
      <c r="CA121" s="3519"/>
      <c r="CB121" s="1864"/>
      <c r="CC121" s="831"/>
      <c r="CD121" s="831"/>
      <c r="CE121" s="831"/>
      <c r="CF121" s="831"/>
      <c r="CG121" s="831"/>
      <c r="CH121" s="831"/>
      <c r="CI121" s="831"/>
      <c r="CJ121" s="831"/>
      <c r="CK121" s="831"/>
      <c r="CL121" s="831"/>
      <c r="CM121" s="831"/>
      <c r="CN121" s="831"/>
      <c r="CO121" s="831"/>
      <c r="CP121" s="831"/>
      <c r="CQ121" s="831"/>
      <c r="CR121" s="831"/>
      <c r="CS121" s="831"/>
    </row>
    <row r="122" spans="2:97" ht="36" customHeight="1" thickBot="1">
      <c r="B122" s="10"/>
      <c r="C122" s="3643"/>
      <c r="D122" s="3644"/>
      <c r="E122" s="3644"/>
      <c r="F122" s="3644"/>
      <c r="G122" s="3644"/>
      <c r="H122" s="3644"/>
      <c r="I122" s="3644"/>
      <c r="J122" s="3644"/>
      <c r="K122" s="3644"/>
      <c r="L122" s="3644"/>
      <c r="M122" s="3644"/>
      <c r="N122" s="3644"/>
      <c r="O122" s="3645"/>
      <c r="P122" s="313"/>
      <c r="Q122" s="4810" t="s">
        <v>1759</v>
      </c>
      <c r="R122" s="4811"/>
      <c r="S122" s="4811"/>
      <c r="T122" s="4811"/>
      <c r="U122" s="4811"/>
      <c r="V122" s="4812"/>
      <c r="W122" s="3333"/>
      <c r="X122" s="3520"/>
      <c r="Y122" s="4232"/>
      <c r="Z122" s="4233"/>
      <c r="AA122" s="3809" t="str">
        <f>IF(AND(Formula!$L$530=2,Formula!$GE$3=2),SUM(X122-Y122),"")</f>
        <v/>
      </c>
      <c r="AB122" s="4809"/>
      <c r="AC122" s="10"/>
      <c r="AD122" s="3274"/>
      <c r="AE122" s="2093"/>
      <c r="AF122" s="3275"/>
      <c r="AG122" s="10"/>
      <c r="AH122" s="1548"/>
      <c r="AI122" s="1548"/>
      <c r="AJ122" s="1548"/>
      <c r="AK122" s="1548"/>
      <c r="AL122" s="1548"/>
      <c r="AM122" s="1548"/>
      <c r="AN122" s="1548"/>
      <c r="AO122" s="1548"/>
      <c r="AP122" s="1548"/>
      <c r="AQ122" s="1548"/>
      <c r="AR122" s="1548"/>
      <c r="AS122" s="1896"/>
      <c r="AT122" s="1896"/>
      <c r="AU122" s="1896"/>
      <c r="AV122" s="50"/>
      <c r="AW122" s="50"/>
      <c r="AX122" s="47"/>
      <c r="AY122" s="47"/>
      <c r="AZ122" s="7"/>
      <c r="BA122" s="7"/>
      <c r="BB122" s="7"/>
      <c r="BC122" s="7"/>
      <c r="BD122" s="7"/>
      <c r="BE122" s="634"/>
      <c r="BF122" s="634"/>
      <c r="BG122" s="634"/>
      <c r="BH122" s="634"/>
      <c r="BI122" s="634"/>
      <c r="BJ122" s="634"/>
      <c r="BK122" s="634"/>
      <c r="BL122" s="634"/>
      <c r="BM122" s="634"/>
      <c r="BN122" s="635"/>
      <c r="BO122" s="634"/>
      <c r="BP122" s="634"/>
      <c r="BQ122" s="3519"/>
      <c r="BR122" s="3519"/>
      <c r="BS122" s="3519"/>
      <c r="BT122" s="3519"/>
      <c r="BU122" s="3519"/>
      <c r="BV122" s="3519"/>
      <c r="BW122" s="3519"/>
      <c r="BX122" s="3519"/>
      <c r="BY122" s="3519"/>
      <c r="BZ122" s="3519"/>
      <c r="CA122" s="3519"/>
      <c r="CB122" s="1864"/>
      <c r="CC122" s="831"/>
      <c r="CD122" s="831"/>
      <c r="CE122" s="831"/>
      <c r="CF122" s="831"/>
      <c r="CG122" s="831"/>
      <c r="CH122" s="831"/>
      <c r="CI122" s="831"/>
      <c r="CJ122" s="831"/>
      <c r="CK122" s="831"/>
      <c r="CL122" s="831"/>
      <c r="CM122" s="831"/>
      <c r="CN122" s="831"/>
      <c r="CO122" s="831"/>
      <c r="CP122" s="831"/>
      <c r="CQ122" s="831"/>
      <c r="CR122" s="831"/>
      <c r="CS122" s="831"/>
    </row>
    <row r="123" spans="2:97" ht="36" customHeight="1" thickBot="1">
      <c r="B123" s="10"/>
      <c r="C123" s="3643"/>
      <c r="D123" s="3644"/>
      <c r="E123" s="3644"/>
      <c r="F123" s="3644"/>
      <c r="G123" s="3644"/>
      <c r="H123" s="3644"/>
      <c r="I123" s="3644"/>
      <c r="J123" s="3644"/>
      <c r="K123" s="3644"/>
      <c r="L123" s="3644"/>
      <c r="M123" s="3644"/>
      <c r="N123" s="3644"/>
      <c r="O123" s="3645"/>
      <c r="P123" s="313"/>
      <c r="Q123" s="3516"/>
      <c r="R123" s="3516"/>
      <c r="S123" s="3516"/>
      <c r="T123" s="3516"/>
      <c r="U123" s="3516"/>
      <c r="V123" s="3516"/>
      <c r="W123" s="3516"/>
      <c r="X123" s="3517"/>
      <c r="Y123" s="3516"/>
      <c r="Z123" s="3516"/>
      <c r="AA123" s="3516"/>
      <c r="AB123" s="3518"/>
      <c r="AC123" s="10"/>
      <c r="AD123" s="3274"/>
      <c r="AE123" s="2093"/>
      <c r="AF123" s="3275"/>
      <c r="AG123" s="10"/>
      <c r="AH123" s="1548"/>
      <c r="AI123" s="1548"/>
      <c r="AJ123" s="1548"/>
      <c r="AK123" s="1548"/>
      <c r="AL123" s="1548"/>
      <c r="AM123" s="1548"/>
      <c r="AN123" s="1548"/>
      <c r="AO123" s="1548"/>
      <c r="AP123" s="1548"/>
      <c r="AQ123" s="1548"/>
      <c r="AR123" s="1548"/>
      <c r="AS123" s="1896"/>
      <c r="AT123" s="1896"/>
      <c r="AU123" s="1896"/>
      <c r="AV123" s="50"/>
      <c r="AW123" s="50"/>
      <c r="AX123" s="47"/>
      <c r="AY123" s="47"/>
      <c r="AZ123" s="7"/>
      <c r="BA123" s="7"/>
      <c r="BB123" s="7"/>
      <c r="BC123" s="7"/>
      <c r="BD123" s="7"/>
      <c r="BE123" s="634"/>
      <c r="BF123" s="634"/>
      <c r="BG123" s="634"/>
      <c r="BH123" s="634"/>
      <c r="BI123" s="634"/>
      <c r="BJ123" s="634"/>
      <c r="BK123" s="634"/>
      <c r="BL123" s="634"/>
      <c r="BM123" s="634"/>
      <c r="BN123" s="635"/>
      <c r="BO123" s="634"/>
      <c r="BP123" s="634"/>
      <c r="BQ123" s="3519"/>
      <c r="BR123" s="3519"/>
      <c r="BS123" s="3519"/>
      <c r="BT123" s="3519"/>
      <c r="BU123" s="3519"/>
      <c r="BV123" s="3519"/>
      <c r="BW123" s="3519"/>
      <c r="BX123" s="3519"/>
      <c r="BY123" s="3519"/>
      <c r="BZ123" s="3519"/>
      <c r="CA123" s="3519"/>
      <c r="CB123" s="1864"/>
      <c r="CC123" s="831"/>
      <c r="CD123" s="831"/>
      <c r="CE123" s="831"/>
      <c r="CF123" s="831"/>
      <c r="CG123" s="831"/>
      <c r="CH123" s="831"/>
      <c r="CI123" s="831"/>
      <c r="CJ123" s="831"/>
      <c r="CK123" s="831"/>
      <c r="CL123" s="831"/>
      <c r="CM123" s="831"/>
      <c r="CN123" s="831"/>
      <c r="CO123" s="831"/>
      <c r="CP123" s="831"/>
      <c r="CQ123" s="831"/>
      <c r="CR123" s="831"/>
      <c r="CS123" s="831"/>
    </row>
    <row r="124" spans="2:97" ht="34.5" customHeight="1" thickTop="1" thickBot="1">
      <c r="B124" s="10"/>
      <c r="C124" s="3643"/>
      <c r="D124" s="3644"/>
      <c r="E124" s="3644"/>
      <c r="F124" s="3644"/>
      <c r="G124" s="3644"/>
      <c r="H124" s="3644"/>
      <c r="I124" s="3644"/>
      <c r="J124" s="3644"/>
      <c r="K124" s="3644"/>
      <c r="L124" s="3644"/>
      <c r="M124" s="3644"/>
      <c r="N124" s="3644"/>
      <c r="O124" s="3645"/>
      <c r="P124" s="1098"/>
      <c r="Q124" s="4474" t="s">
        <v>1603</v>
      </c>
      <c r="R124" s="4475"/>
      <c r="S124" s="4475"/>
      <c r="T124" s="4475"/>
      <c r="U124" s="4475"/>
      <c r="V124" s="4475"/>
      <c r="W124" s="4475"/>
      <c r="X124" s="4475"/>
      <c r="Y124" s="4475"/>
      <c r="Z124" s="4475"/>
      <c r="AA124" s="4475"/>
      <c r="AB124" s="4476"/>
      <c r="AC124" s="10"/>
      <c r="AD124" s="3274"/>
      <c r="AE124" s="2093"/>
      <c r="AF124" s="3275"/>
      <c r="AG124" s="10"/>
      <c r="AH124" s="1548"/>
      <c r="AI124" s="1548"/>
      <c r="AJ124" s="1548"/>
      <c r="AK124" s="1548"/>
      <c r="AL124" s="1548"/>
      <c r="AM124" s="1548"/>
      <c r="AN124" s="1548"/>
      <c r="AO124" s="1548"/>
      <c r="AP124" s="1548"/>
      <c r="AQ124" s="1548"/>
      <c r="AR124" s="1548"/>
      <c r="AS124" s="1896"/>
      <c r="AT124" s="1896"/>
      <c r="AU124" s="1896"/>
      <c r="AV124" s="50"/>
      <c r="AW124" s="50"/>
      <c r="AX124" s="47"/>
      <c r="AY124" s="47"/>
      <c r="AZ124" s="7"/>
      <c r="BA124" s="7"/>
      <c r="BB124" s="7"/>
      <c r="BC124" s="7"/>
      <c r="BD124" s="7"/>
      <c r="BE124" s="634"/>
      <c r="BF124" s="634"/>
      <c r="BG124" s="634"/>
      <c r="BH124" s="634"/>
      <c r="BI124" s="634"/>
      <c r="BJ124" s="634"/>
      <c r="BK124" s="634"/>
      <c r="BL124" s="634"/>
      <c r="BM124" s="634"/>
      <c r="BN124" s="635"/>
      <c r="BO124" s="634"/>
      <c r="BP124" s="2048"/>
      <c r="BQ124" s="2048"/>
      <c r="BR124" s="2048"/>
      <c r="BS124" s="831"/>
      <c r="BT124" s="831"/>
      <c r="BU124" s="831"/>
      <c r="BV124" s="831"/>
      <c r="BW124" s="831"/>
      <c r="BX124" s="831"/>
      <c r="BY124" s="831"/>
      <c r="BZ124" s="831"/>
      <c r="CA124" s="831"/>
      <c r="CB124" s="831"/>
      <c r="CC124" s="831"/>
      <c r="CD124" s="831"/>
      <c r="CE124" s="831"/>
      <c r="CF124" s="831"/>
      <c r="CG124" s="831"/>
      <c r="CH124" s="831"/>
      <c r="CI124" s="831"/>
      <c r="CJ124" s="831"/>
      <c r="CK124" s="831"/>
      <c r="CL124" s="831"/>
      <c r="CM124" s="831"/>
      <c r="CN124" s="831"/>
      <c r="CO124" s="831"/>
      <c r="CP124" s="831"/>
      <c r="CQ124" s="831"/>
      <c r="CR124" s="831"/>
      <c r="CS124" s="831"/>
    </row>
    <row r="125" spans="2:97" ht="33.75" customHeight="1" thickTop="1" thickBot="1">
      <c r="B125" s="10"/>
      <c r="C125" s="3643"/>
      <c r="D125" s="3644"/>
      <c r="E125" s="3644"/>
      <c r="F125" s="3644"/>
      <c r="G125" s="3644"/>
      <c r="H125" s="3644"/>
      <c r="I125" s="3644"/>
      <c r="J125" s="3644"/>
      <c r="K125" s="3644"/>
      <c r="L125" s="3644"/>
      <c r="M125" s="3644"/>
      <c r="N125" s="3644"/>
      <c r="O125" s="3645"/>
      <c r="P125" s="313"/>
      <c r="Q125" s="4462" t="s">
        <v>1608</v>
      </c>
      <c r="R125" s="4463"/>
      <c r="S125" s="4463"/>
      <c r="T125" s="4463"/>
      <c r="U125" s="4463"/>
      <c r="V125" s="4464"/>
      <c r="W125" s="1097"/>
      <c r="X125" s="3085"/>
      <c r="Y125" s="3086"/>
      <c r="Z125" s="3086"/>
      <c r="AA125" s="3087"/>
      <c r="AB125" s="3088"/>
      <c r="AC125" s="10"/>
      <c r="AD125" s="3274"/>
      <c r="AE125" s="2093"/>
      <c r="AF125" s="3275"/>
      <c r="AG125" s="10"/>
      <c r="AH125" s="1548"/>
      <c r="AI125" s="1548"/>
      <c r="AJ125" s="1548"/>
      <c r="AK125" s="1548"/>
      <c r="AL125" s="1548"/>
      <c r="AM125" s="1548"/>
      <c r="AN125" s="1548"/>
      <c r="AO125" s="1548"/>
      <c r="AP125" s="1548"/>
      <c r="AQ125" s="1548"/>
      <c r="AR125" s="1548"/>
      <c r="AS125" s="1896"/>
      <c r="AT125" s="1896"/>
      <c r="AU125" s="1896"/>
      <c r="AV125" s="50"/>
      <c r="AW125" s="50"/>
      <c r="AX125" s="47"/>
      <c r="AY125" s="47"/>
      <c r="AZ125" s="7"/>
      <c r="BA125" s="7"/>
      <c r="BB125" s="7"/>
      <c r="BC125" s="7"/>
      <c r="BD125" s="7"/>
      <c r="BE125" s="634"/>
      <c r="BF125" s="634"/>
      <c r="BG125" s="634"/>
      <c r="BH125" s="634"/>
      <c r="BI125" s="634"/>
      <c r="BJ125" s="634"/>
      <c r="BK125" s="634"/>
      <c r="BL125" s="634"/>
      <c r="BM125" s="634"/>
      <c r="BN125" s="635"/>
      <c r="BO125" s="634"/>
      <c r="BP125" s="634"/>
      <c r="BQ125" s="634"/>
      <c r="BR125" s="634"/>
      <c r="BS125" s="3"/>
      <c r="BT125" s="3"/>
      <c r="BU125" s="3"/>
      <c r="BV125" s="3"/>
      <c r="BW125" s="3"/>
      <c r="BX125" s="3"/>
      <c r="BY125" s="3"/>
      <c r="BZ125" s="3"/>
      <c r="CA125" s="3"/>
      <c r="CB125" s="831"/>
      <c r="CC125" s="831"/>
      <c r="CD125" s="831"/>
      <c r="CE125" s="831"/>
      <c r="CF125" s="831"/>
      <c r="CG125" s="831"/>
      <c r="CH125" s="831"/>
      <c r="CI125" s="831"/>
      <c r="CJ125" s="831"/>
      <c r="CK125" s="831"/>
      <c r="CL125" s="831"/>
      <c r="CM125" s="831"/>
      <c r="CN125" s="831"/>
      <c r="CO125" s="831"/>
      <c r="CP125" s="831"/>
      <c r="CQ125" s="831"/>
      <c r="CR125" s="831"/>
      <c r="CS125" s="831"/>
    </row>
    <row r="126" spans="2:97" ht="36.75" customHeight="1" thickBot="1">
      <c r="B126" s="10"/>
      <c r="C126" s="3643"/>
      <c r="D126" s="3644"/>
      <c r="E126" s="3644"/>
      <c r="F126" s="3644"/>
      <c r="G126" s="3644"/>
      <c r="H126" s="3644"/>
      <c r="I126" s="3644"/>
      <c r="J126" s="3644"/>
      <c r="K126" s="3644"/>
      <c r="L126" s="3644"/>
      <c r="M126" s="3644"/>
      <c r="N126" s="3644"/>
      <c r="O126" s="3645"/>
      <c r="P126" s="313"/>
      <c r="Q126" s="4465" t="s">
        <v>1609</v>
      </c>
      <c r="R126" s="4466"/>
      <c r="S126" s="4466"/>
      <c r="T126" s="4466"/>
      <c r="U126" s="4466"/>
      <c r="V126" s="4467"/>
      <c r="W126" s="1097"/>
      <c r="X126" s="3096" t="s">
        <v>1181</v>
      </c>
      <c r="Y126" s="3097"/>
      <c r="Z126" s="4766" t="s">
        <v>1611</v>
      </c>
      <c r="AA126" s="4766"/>
      <c r="AB126" s="3098"/>
      <c r="AC126" s="10"/>
      <c r="AD126" s="3274"/>
      <c r="AE126" s="2093"/>
      <c r="AF126" s="3275"/>
      <c r="AG126" s="10"/>
      <c r="AH126" s="1548"/>
      <c r="AI126" s="1548"/>
      <c r="AJ126" s="1548"/>
      <c r="AK126" s="1548"/>
      <c r="AL126" s="1548"/>
      <c r="AM126" s="1548"/>
      <c r="AN126" s="1548"/>
      <c r="AO126" s="1548"/>
      <c r="AP126" s="1548"/>
      <c r="AQ126" s="1548"/>
      <c r="AR126" s="1548"/>
      <c r="AS126" s="1896"/>
      <c r="AT126" s="1896"/>
      <c r="AU126" s="1896"/>
      <c r="AV126" s="50"/>
      <c r="AW126" s="50"/>
      <c r="AX126" s="47"/>
      <c r="AY126" s="47"/>
      <c r="AZ126" s="7"/>
      <c r="BA126" s="7"/>
      <c r="BB126" s="7"/>
      <c r="BC126" s="7"/>
      <c r="BD126" s="7"/>
      <c r="BE126" s="634"/>
      <c r="BF126" s="634"/>
      <c r="BG126" s="634"/>
      <c r="BH126" s="634"/>
      <c r="BI126" s="634"/>
      <c r="BJ126" s="634"/>
      <c r="BK126" s="634"/>
      <c r="BL126" s="634"/>
      <c r="BM126" s="634"/>
      <c r="BN126" s="635"/>
      <c r="BO126" s="634"/>
      <c r="BP126" s="634"/>
      <c r="BQ126" s="634"/>
      <c r="BR126" s="634"/>
      <c r="BS126" s="3"/>
      <c r="BT126" s="3"/>
      <c r="BU126" s="3"/>
      <c r="BV126" s="3"/>
      <c r="BW126" s="3"/>
      <c r="BX126" s="3"/>
      <c r="BY126" s="3"/>
      <c r="BZ126" s="3"/>
      <c r="CA126" s="3"/>
      <c r="CB126" s="831"/>
      <c r="CC126" s="831"/>
      <c r="CD126" s="831"/>
      <c r="CE126" s="831"/>
      <c r="CF126" s="831"/>
      <c r="CG126" s="831"/>
      <c r="CH126" s="831"/>
      <c r="CI126" s="831"/>
      <c r="CJ126" s="831"/>
      <c r="CK126" s="831"/>
      <c r="CL126" s="831"/>
      <c r="CM126" s="831"/>
      <c r="CN126" s="831"/>
      <c r="CO126" s="831"/>
      <c r="CP126" s="831"/>
      <c r="CQ126" s="831"/>
      <c r="CR126" s="831"/>
      <c r="CS126" s="831"/>
    </row>
    <row r="127" spans="2:97" ht="34.5" customHeight="1" thickBot="1">
      <c r="B127" s="10"/>
      <c r="C127" s="3643"/>
      <c r="D127" s="3644"/>
      <c r="E127" s="3644"/>
      <c r="F127" s="3644"/>
      <c r="G127" s="3644"/>
      <c r="H127" s="3644"/>
      <c r="I127" s="3644"/>
      <c r="J127" s="3644"/>
      <c r="K127" s="3644"/>
      <c r="L127" s="3644"/>
      <c r="M127" s="3644"/>
      <c r="N127" s="3644"/>
      <c r="O127" s="3645"/>
      <c r="P127" s="313"/>
      <c r="Q127" s="4468" t="str">
        <f>Formula!E921</f>
        <v>After claiming the pay protection under FR-22(a)(iv) cum fixation Select Your UGC-2016 Pay Scale as on  Nov-25</v>
      </c>
      <c r="R127" s="4469"/>
      <c r="S127" s="4469"/>
      <c r="T127" s="4469"/>
      <c r="U127" s="4469"/>
      <c r="V127" s="4470"/>
      <c r="W127" s="1097"/>
      <c r="X127" s="3100"/>
      <c r="Y127" s="3101"/>
      <c r="Z127" s="3101"/>
      <c r="AA127" s="3101"/>
      <c r="AB127" s="3102"/>
      <c r="AC127" s="10"/>
      <c r="AD127" s="3274"/>
      <c r="AE127" s="2093"/>
      <c r="AF127" s="3275"/>
      <c r="AG127" s="10"/>
      <c r="AH127" s="1548"/>
      <c r="AI127" s="1548"/>
      <c r="AJ127" s="1548"/>
      <c r="AK127" s="1548"/>
      <c r="AL127" s="1548"/>
      <c r="AM127" s="1548"/>
      <c r="AN127" s="1548"/>
      <c r="AO127" s="1548"/>
      <c r="AP127" s="1548"/>
      <c r="AQ127" s="1548"/>
      <c r="AR127" s="1548"/>
      <c r="AS127" s="1896"/>
      <c r="AT127" s="1896"/>
      <c r="AU127" s="1896"/>
      <c r="AV127" s="50"/>
      <c r="AW127" s="50"/>
      <c r="AX127" s="47"/>
      <c r="AY127" s="47"/>
      <c r="AZ127" s="7"/>
      <c r="BA127" s="7"/>
      <c r="BB127" s="7"/>
      <c r="BC127" s="7"/>
      <c r="BD127" s="7"/>
      <c r="BE127" s="634"/>
      <c r="BF127" s="634"/>
      <c r="BG127" s="634"/>
      <c r="BH127" s="634"/>
      <c r="BI127" s="634"/>
      <c r="BJ127" s="634"/>
      <c r="BK127" s="634"/>
      <c r="BL127" s="634"/>
      <c r="BM127" s="634"/>
      <c r="BN127" s="635"/>
      <c r="BO127" s="634"/>
      <c r="BP127" s="634"/>
      <c r="BQ127" s="634"/>
      <c r="BR127" s="634"/>
      <c r="BS127" s="3"/>
      <c r="BT127" s="3"/>
      <c r="BU127" s="3"/>
      <c r="BV127" s="3"/>
      <c r="BW127" s="3"/>
      <c r="BX127" s="3"/>
      <c r="BY127" s="3"/>
      <c r="BZ127" s="3"/>
      <c r="CA127" s="3"/>
      <c r="CB127" s="831"/>
      <c r="CC127" s="831"/>
      <c r="CD127" s="831"/>
      <c r="CE127" s="831"/>
      <c r="CF127" s="831"/>
      <c r="CG127" s="831"/>
      <c r="CH127" s="831"/>
      <c r="CI127" s="831"/>
      <c r="CJ127" s="831"/>
      <c r="CK127" s="831"/>
      <c r="CL127" s="831"/>
      <c r="CM127" s="831"/>
      <c r="CN127" s="831"/>
      <c r="CO127" s="831"/>
      <c r="CP127" s="831"/>
      <c r="CQ127" s="831"/>
      <c r="CR127" s="831"/>
      <c r="CS127" s="831"/>
    </row>
    <row r="128" spans="2:97" ht="30.75" customHeight="1" thickBot="1">
      <c r="B128" s="10"/>
      <c r="C128" s="3643"/>
      <c r="D128" s="3644"/>
      <c r="E128" s="3644"/>
      <c r="F128" s="3644"/>
      <c r="G128" s="3644"/>
      <c r="H128" s="3644"/>
      <c r="I128" s="3644"/>
      <c r="J128" s="3644"/>
      <c r="K128" s="3644"/>
      <c r="L128" s="3644"/>
      <c r="M128" s="3644"/>
      <c r="N128" s="3644"/>
      <c r="O128" s="3645"/>
      <c r="P128" s="313"/>
      <c r="Q128" s="4471" t="s">
        <v>836</v>
      </c>
      <c r="R128" s="4472"/>
      <c r="S128" s="4472"/>
      <c r="T128" s="4472"/>
      <c r="U128" s="4472"/>
      <c r="V128" s="4473"/>
      <c r="W128" s="1097"/>
      <c r="X128" s="3103"/>
      <c r="Y128" s="4331">
        <f>Formula!J922</f>
        <v>12</v>
      </c>
      <c r="Z128" s="4332"/>
      <c r="AA128" s="3099"/>
      <c r="AB128" s="3104"/>
      <c r="AC128" s="10"/>
      <c r="AD128" s="3274"/>
      <c r="AE128" s="2093"/>
      <c r="AF128" s="3275"/>
      <c r="AG128" s="10"/>
      <c r="AH128" s="1548"/>
      <c r="AI128" s="1548"/>
      <c r="AJ128" s="1548"/>
      <c r="AK128" s="1548"/>
      <c r="AL128" s="1548"/>
      <c r="AM128" s="1548"/>
      <c r="AN128" s="1548"/>
      <c r="AO128" s="1548"/>
      <c r="AP128" s="1548"/>
      <c r="AQ128" s="1548"/>
      <c r="AR128" s="1548"/>
      <c r="AS128" s="1896"/>
      <c r="AT128" s="1896"/>
      <c r="AU128" s="1896"/>
      <c r="AV128" s="50"/>
      <c r="AW128" s="50"/>
      <c r="AX128" s="47"/>
      <c r="AY128" s="47"/>
      <c r="AZ128" s="7"/>
      <c r="BA128" s="7"/>
      <c r="BB128" s="7"/>
      <c r="BC128" s="7"/>
      <c r="BD128" s="7"/>
      <c r="BE128" s="634"/>
      <c r="BF128" s="634"/>
      <c r="BG128" s="634"/>
      <c r="BH128" s="634"/>
      <c r="BI128" s="634"/>
      <c r="BJ128" s="634"/>
      <c r="BK128" s="634"/>
      <c r="BL128" s="634"/>
      <c r="BM128" s="634"/>
      <c r="BN128" s="635"/>
      <c r="BO128" s="634"/>
      <c r="BP128" s="634"/>
      <c r="BQ128" s="634"/>
      <c r="BR128" s="634"/>
      <c r="BS128" s="3"/>
      <c r="BT128" s="3"/>
      <c r="BU128" s="3"/>
      <c r="BV128" s="3"/>
      <c r="BW128" s="3"/>
      <c r="BX128" s="3"/>
      <c r="BY128" s="3"/>
      <c r="BZ128" s="3"/>
      <c r="CA128" s="3"/>
      <c r="CB128" s="831"/>
      <c r="CC128" s="831"/>
      <c r="CD128" s="831"/>
      <c r="CE128" s="831"/>
      <c r="CF128" s="831"/>
      <c r="CG128" s="831"/>
      <c r="CH128" s="831"/>
      <c r="CI128" s="831"/>
      <c r="CJ128" s="831"/>
      <c r="CK128" s="831"/>
      <c r="CL128" s="831"/>
      <c r="CM128" s="831"/>
      <c r="CN128" s="831"/>
      <c r="CO128" s="831"/>
      <c r="CP128" s="831"/>
      <c r="CQ128" s="831"/>
      <c r="CR128" s="831"/>
      <c r="CS128" s="831"/>
    </row>
    <row r="129" spans="2:97" ht="32.25" customHeight="1">
      <c r="B129" s="10"/>
      <c r="C129" s="3643"/>
      <c r="D129" s="3644"/>
      <c r="E129" s="3644"/>
      <c r="F129" s="3644"/>
      <c r="G129" s="3644"/>
      <c r="H129" s="3644"/>
      <c r="I129" s="3644"/>
      <c r="J129" s="3644"/>
      <c r="K129" s="3644"/>
      <c r="L129" s="3644"/>
      <c r="M129" s="3644"/>
      <c r="N129" s="3644"/>
      <c r="O129" s="3645"/>
      <c r="P129" s="313"/>
      <c r="Q129" s="4468" t="str">
        <f>Formula!E923</f>
        <v>After claiming the pay protection under FR-22(a)(iv) cum fixation Select Your Basic Pay  as on Nov-25</v>
      </c>
      <c r="R129" s="4469"/>
      <c r="S129" s="4469"/>
      <c r="T129" s="4469"/>
      <c r="U129" s="4469"/>
      <c r="V129" s="4470"/>
      <c r="W129" s="1097"/>
      <c r="X129" s="3103"/>
      <c r="Y129" s="4461"/>
      <c r="Z129" s="4461"/>
      <c r="AA129" s="3099"/>
      <c r="AB129" s="3104"/>
      <c r="AC129" s="10"/>
      <c r="AD129" s="3274"/>
      <c r="AE129" s="2093"/>
      <c r="AF129" s="3275"/>
      <c r="AG129" s="10"/>
      <c r="AH129" s="1548"/>
      <c r="AI129" s="1548"/>
      <c r="AJ129" s="1548"/>
      <c r="AK129" s="1548"/>
      <c r="AL129" s="1548"/>
      <c r="AM129" s="1548"/>
      <c r="AN129" s="1548"/>
      <c r="AO129" s="1548"/>
      <c r="AP129" s="1548"/>
      <c r="AQ129" s="1548"/>
      <c r="AR129" s="1548"/>
      <c r="AS129" s="1896"/>
      <c r="AT129" s="1896"/>
      <c r="AU129" s="1896"/>
      <c r="AV129" s="50"/>
      <c r="AW129" s="50"/>
      <c r="AX129" s="47"/>
      <c r="AY129" s="47"/>
      <c r="AZ129" s="7"/>
      <c r="BA129" s="7"/>
      <c r="BB129" s="7"/>
      <c r="BC129" s="7"/>
      <c r="BD129" s="7"/>
      <c r="BE129" s="634"/>
      <c r="BF129" s="634"/>
      <c r="BG129" s="634"/>
      <c r="BH129" s="634"/>
      <c r="BI129" s="634"/>
      <c r="BJ129" s="634"/>
      <c r="BK129" s="634"/>
      <c r="BL129" s="634"/>
      <c r="BM129" s="634"/>
      <c r="BN129" s="635"/>
      <c r="BO129" s="634"/>
      <c r="BP129" s="634"/>
      <c r="BQ129" s="634"/>
      <c r="BR129" s="634"/>
      <c r="BS129" s="3"/>
      <c r="BT129" s="3"/>
      <c r="BU129" s="3"/>
      <c r="BV129" s="3"/>
      <c r="BW129" s="3"/>
      <c r="BX129" s="3"/>
      <c r="BY129" s="3"/>
      <c r="BZ129" s="3"/>
      <c r="CA129" s="3"/>
      <c r="CB129" s="831"/>
      <c r="CC129" s="831"/>
      <c r="CD129" s="831"/>
      <c r="CE129" s="831"/>
      <c r="CF129" s="831"/>
      <c r="CG129" s="831"/>
      <c r="CH129" s="831"/>
      <c r="CI129" s="831"/>
      <c r="CJ129" s="831"/>
      <c r="CK129" s="831"/>
      <c r="CL129" s="831"/>
      <c r="CM129" s="831"/>
      <c r="CN129" s="831"/>
      <c r="CO129" s="831"/>
      <c r="CP129" s="831"/>
      <c r="CQ129" s="831"/>
      <c r="CR129" s="831"/>
      <c r="CS129" s="831"/>
    </row>
    <row r="130" spans="2:97" ht="34.5" customHeight="1" thickBot="1">
      <c r="B130" s="10"/>
      <c r="C130" s="3643"/>
      <c r="D130" s="3644"/>
      <c r="E130" s="3644"/>
      <c r="F130" s="3644"/>
      <c r="G130" s="3644"/>
      <c r="H130" s="3644"/>
      <c r="I130" s="3644"/>
      <c r="J130" s="3644"/>
      <c r="K130" s="3644"/>
      <c r="L130" s="3644"/>
      <c r="M130" s="3644"/>
      <c r="N130" s="3644"/>
      <c r="O130" s="3645"/>
      <c r="P130" s="313"/>
      <c r="Q130" s="4468" t="str">
        <f>Formula!E924</f>
        <v>After claiming the pay protection under FR-22(a)(iv) cum fixation  Select the month of next AGI in the existing Academic Level-12</v>
      </c>
      <c r="R130" s="4469"/>
      <c r="S130" s="4469"/>
      <c r="T130" s="4469"/>
      <c r="U130" s="4469"/>
      <c r="V130" s="4470"/>
      <c r="W130" s="1097"/>
      <c r="X130" s="3105"/>
      <c r="Y130" s="4540"/>
      <c r="Z130" s="4540"/>
      <c r="AA130" s="3106"/>
      <c r="AB130" s="3107"/>
      <c r="AC130" s="10"/>
      <c r="AD130" s="3274"/>
      <c r="AE130" s="2093"/>
      <c r="AF130" s="3275"/>
      <c r="AG130" s="10"/>
      <c r="AH130" s="1548"/>
      <c r="AI130" s="1548"/>
      <c r="AJ130" s="1548"/>
      <c r="AK130" s="1548"/>
      <c r="AL130" s="1548"/>
      <c r="AM130" s="1548"/>
      <c r="AN130" s="1548"/>
      <c r="AO130" s="1548"/>
      <c r="AP130" s="1548"/>
      <c r="AQ130" s="1548"/>
      <c r="AR130" s="1548"/>
      <c r="AS130" s="1896"/>
      <c r="AT130" s="1896"/>
      <c r="AU130" s="1896"/>
      <c r="AV130" s="50"/>
      <c r="AW130" s="50"/>
      <c r="AX130" s="47"/>
      <c r="AY130" s="47"/>
      <c r="AZ130" s="7"/>
      <c r="BA130" s="7"/>
      <c r="BB130" s="7"/>
      <c r="BC130" s="7"/>
      <c r="BD130" s="7"/>
      <c r="BE130" s="634"/>
      <c r="BF130" s="634"/>
      <c r="BG130" s="634"/>
      <c r="BH130" s="634"/>
      <c r="BI130" s="634"/>
      <c r="BJ130" s="634"/>
      <c r="BK130" s="634"/>
      <c r="BL130" s="634"/>
      <c r="BM130" s="634"/>
      <c r="BN130" s="635"/>
      <c r="BO130" s="634"/>
      <c r="BP130" s="634"/>
      <c r="BQ130" s="634"/>
      <c r="BR130" s="634"/>
      <c r="BS130" s="3"/>
      <c r="BT130" s="3"/>
      <c r="BU130" s="3"/>
      <c r="BV130" s="3"/>
      <c r="BW130" s="3"/>
      <c r="BX130" s="3"/>
      <c r="BY130" s="3"/>
      <c r="BZ130" s="3"/>
      <c r="CA130" s="3"/>
      <c r="CB130" s="831"/>
      <c r="CC130" s="831"/>
      <c r="CD130" s="831"/>
      <c r="CE130" s="831"/>
      <c r="CF130" s="831"/>
      <c r="CG130" s="831"/>
      <c r="CH130" s="831"/>
      <c r="CI130" s="831"/>
      <c r="CJ130" s="831"/>
      <c r="CK130" s="831"/>
      <c r="CL130" s="831"/>
      <c r="CM130" s="831"/>
      <c r="CN130" s="831"/>
      <c r="CO130" s="831"/>
      <c r="CP130" s="831"/>
      <c r="CQ130" s="831"/>
      <c r="CR130" s="831"/>
      <c r="CS130" s="831"/>
    </row>
    <row r="131" spans="2:97" ht="41.25" customHeight="1" thickBot="1">
      <c r="B131" s="10"/>
      <c r="C131" s="3643"/>
      <c r="D131" s="3644"/>
      <c r="E131" s="3644"/>
      <c r="F131" s="3644"/>
      <c r="G131" s="3644"/>
      <c r="H131" s="3644"/>
      <c r="I131" s="3644"/>
      <c r="J131" s="3644"/>
      <c r="K131" s="3644"/>
      <c r="L131" s="3644"/>
      <c r="M131" s="3644"/>
      <c r="N131" s="3644"/>
      <c r="O131" s="3645"/>
      <c r="P131" s="313"/>
      <c r="Q131" s="3108"/>
      <c r="R131" s="3109"/>
      <c r="S131" s="3109"/>
      <c r="T131" s="3109"/>
      <c r="U131" s="3109"/>
      <c r="V131" s="3110"/>
      <c r="W131" s="1097"/>
      <c r="X131" s="4477" t="s">
        <v>1610</v>
      </c>
      <c r="Y131" s="4477"/>
      <c r="Z131" s="4477" t="s">
        <v>794</v>
      </c>
      <c r="AA131" s="4477"/>
      <c r="AB131" s="3159" t="str">
        <f>Formula!L926</f>
        <v/>
      </c>
      <c r="AC131" s="10"/>
      <c r="AD131" s="3274"/>
      <c r="AE131" s="2093"/>
      <c r="AF131" s="3275"/>
      <c r="AG131" s="10"/>
      <c r="AH131" s="1548"/>
      <c r="AI131" s="1548"/>
      <c r="AJ131" s="1548"/>
      <c r="AK131" s="1548"/>
      <c r="AL131" s="1548"/>
      <c r="AM131" s="1548"/>
      <c r="AN131" s="1548"/>
      <c r="AO131" s="1548"/>
      <c r="AP131" s="1548"/>
      <c r="AQ131" s="1548"/>
      <c r="AR131" s="1548"/>
      <c r="AS131" s="1896"/>
      <c r="AT131" s="1896"/>
      <c r="AU131" s="1896"/>
      <c r="AV131" s="50"/>
      <c r="AW131" s="50"/>
      <c r="AX131" s="47"/>
      <c r="AY131" s="47"/>
      <c r="AZ131" s="7"/>
      <c r="BA131" s="7"/>
      <c r="BB131" s="7"/>
      <c r="BC131" s="7"/>
      <c r="BD131" s="7"/>
      <c r="BE131" s="634"/>
      <c r="BF131" s="634"/>
      <c r="BG131" s="634"/>
      <c r="BH131" s="634"/>
      <c r="BI131" s="634"/>
      <c r="BJ131" s="634"/>
      <c r="BK131" s="634"/>
      <c r="BL131" s="634"/>
      <c r="BM131" s="634"/>
      <c r="BN131" s="635"/>
      <c r="BO131" s="634"/>
      <c r="BP131" s="634"/>
      <c r="BQ131" s="634"/>
      <c r="BR131" s="634"/>
      <c r="BS131" s="3"/>
      <c r="BT131" s="3"/>
      <c r="BU131" s="3"/>
      <c r="BV131" s="3"/>
      <c r="BW131" s="3"/>
      <c r="BX131" s="3"/>
      <c r="BY131" s="3"/>
      <c r="BZ131" s="3"/>
      <c r="CA131" s="3"/>
      <c r="CB131" s="831"/>
      <c r="CC131" s="831"/>
      <c r="CD131" s="831"/>
      <c r="CE131" s="831"/>
      <c r="CF131" s="831"/>
      <c r="CG131" s="831"/>
      <c r="CH131" s="831"/>
      <c r="CI131" s="831"/>
      <c r="CJ131" s="831"/>
      <c r="CK131" s="831"/>
      <c r="CL131" s="831"/>
      <c r="CM131" s="831"/>
      <c r="CN131" s="831"/>
      <c r="CO131" s="831"/>
      <c r="CP131" s="831"/>
      <c r="CQ131" s="831"/>
      <c r="CR131" s="831"/>
      <c r="CS131" s="831"/>
    </row>
    <row r="132" spans="2:97" ht="33.75" customHeight="1" thickBot="1">
      <c r="B132" s="10"/>
      <c r="C132" s="3643"/>
      <c r="D132" s="3644"/>
      <c r="E132" s="3644"/>
      <c r="F132" s="3644"/>
      <c r="G132" s="3644"/>
      <c r="H132" s="3644"/>
      <c r="I132" s="3644"/>
      <c r="J132" s="3644"/>
      <c r="K132" s="3644"/>
      <c r="L132" s="3644"/>
      <c r="M132" s="3644"/>
      <c r="N132" s="3644"/>
      <c r="O132" s="3645"/>
      <c r="P132" s="313"/>
      <c r="Q132" s="4579" t="str">
        <f>Formula!E927</f>
        <v>Previous Financial Years Pay Protection under FR-22 (a)(iv) cum fixation Arrears for the Period From  Dec-24 To  Feb-25</v>
      </c>
      <c r="R132" s="4580"/>
      <c r="S132" s="4580"/>
      <c r="T132" s="4580"/>
      <c r="U132" s="4580"/>
      <c r="V132" s="4581"/>
      <c r="W132" s="1097"/>
      <c r="X132" s="4441"/>
      <c r="Y132" s="4441"/>
      <c r="Z132" s="4441"/>
      <c r="AA132" s="4441"/>
      <c r="AB132" s="3251"/>
      <c r="AC132" s="10"/>
      <c r="AD132" s="3274"/>
      <c r="AE132" s="2093"/>
      <c r="AF132" s="3275"/>
      <c r="AG132" s="10"/>
      <c r="AH132" s="1548"/>
      <c r="AI132" s="1548"/>
      <c r="AJ132" s="1548"/>
      <c r="AK132" s="1548"/>
      <c r="AL132" s="1548"/>
      <c r="AM132" s="1548"/>
      <c r="AN132" s="1548"/>
      <c r="AO132" s="1548"/>
      <c r="AP132" s="1548"/>
      <c r="AQ132" s="1548"/>
      <c r="AR132" s="1548"/>
      <c r="AS132" s="1896"/>
      <c r="AT132" s="1896"/>
      <c r="AU132" s="1896"/>
      <c r="AV132" s="50"/>
      <c r="AW132" s="50"/>
      <c r="AX132" s="47"/>
      <c r="AY132" s="47"/>
      <c r="AZ132" s="7"/>
      <c r="BA132" s="7"/>
      <c r="BB132" s="7"/>
      <c r="BC132" s="7"/>
      <c r="BD132" s="7"/>
      <c r="BE132" s="634"/>
      <c r="BF132" s="634"/>
      <c r="BG132" s="634"/>
      <c r="BH132" s="634"/>
      <c r="BI132" s="634"/>
      <c r="BJ132" s="634"/>
      <c r="BK132" s="634"/>
      <c r="BL132" s="634"/>
      <c r="BM132" s="634"/>
      <c r="BN132" s="635"/>
      <c r="BO132" s="634"/>
      <c r="BP132" s="634"/>
      <c r="BQ132" s="634"/>
      <c r="BR132" s="634"/>
      <c r="BS132" s="3"/>
      <c r="BT132" s="3"/>
      <c r="BU132" s="3"/>
      <c r="BV132" s="3"/>
      <c r="BW132" s="3"/>
      <c r="BX132" s="3"/>
      <c r="BY132" s="3"/>
      <c r="BZ132" s="3"/>
      <c r="CA132" s="3"/>
      <c r="CB132" s="831"/>
      <c r="CC132" s="831"/>
      <c r="CD132" s="831"/>
      <c r="CE132" s="831"/>
      <c r="CF132" s="831"/>
      <c r="CG132" s="831"/>
      <c r="CH132" s="831"/>
      <c r="CI132" s="831"/>
      <c r="CJ132" s="831"/>
      <c r="CK132" s="831"/>
      <c r="CL132" s="831"/>
      <c r="CM132" s="831"/>
      <c r="CN132" s="831"/>
      <c r="CO132" s="831"/>
      <c r="CP132" s="831"/>
      <c r="CQ132" s="831"/>
      <c r="CR132" s="831"/>
      <c r="CS132" s="831"/>
    </row>
    <row r="133" spans="2:97" ht="33.75" customHeight="1" thickBot="1">
      <c r="B133" s="10"/>
      <c r="C133" s="3643"/>
      <c r="D133" s="3644"/>
      <c r="E133" s="3644"/>
      <c r="F133" s="3644"/>
      <c r="G133" s="3644"/>
      <c r="H133" s="3644"/>
      <c r="I133" s="3644"/>
      <c r="J133" s="3644"/>
      <c r="K133" s="3644"/>
      <c r="L133" s="3644"/>
      <c r="M133" s="3644"/>
      <c r="N133" s="3644"/>
      <c r="O133" s="3645"/>
      <c r="P133" s="313"/>
      <c r="Q133" s="3089"/>
      <c r="R133" s="3090"/>
      <c r="S133" s="3090"/>
      <c r="T133" s="3090"/>
      <c r="U133" s="3090"/>
      <c r="V133" s="3091"/>
      <c r="W133" s="1097"/>
      <c r="X133" s="3092" t="s">
        <v>521</v>
      </c>
      <c r="Y133" s="3092" t="s">
        <v>188</v>
      </c>
      <c r="Z133" s="3093" t="s">
        <v>189</v>
      </c>
      <c r="AA133" s="3093" t="s">
        <v>22</v>
      </c>
      <c r="AB133" s="3160" t="str">
        <f>Formula!N928</f>
        <v/>
      </c>
      <c r="AC133" s="10"/>
      <c r="AD133" s="3274"/>
      <c r="AE133" s="2093"/>
      <c r="AF133" s="3275"/>
      <c r="AG133" s="10"/>
      <c r="AH133" s="1548"/>
      <c r="AI133" s="1548"/>
      <c r="AJ133" s="1548"/>
      <c r="AK133" s="1548"/>
      <c r="AL133" s="1548"/>
      <c r="AM133" s="1548"/>
      <c r="AN133" s="1548"/>
      <c r="AO133" s="1548"/>
      <c r="AP133" s="1548"/>
      <c r="AQ133" s="1548"/>
      <c r="AR133" s="1548"/>
      <c r="AS133" s="1896"/>
      <c r="AT133" s="1896"/>
      <c r="AU133" s="1896"/>
      <c r="AV133" s="50"/>
      <c r="AW133" s="50"/>
      <c r="AX133" s="47"/>
      <c r="AY133" s="47"/>
      <c r="AZ133" s="7"/>
      <c r="BA133" s="7"/>
      <c r="BB133" s="7"/>
      <c r="BC133" s="7"/>
      <c r="BD133" s="7"/>
      <c r="BE133" s="634"/>
      <c r="BF133" s="634"/>
      <c r="BG133" s="634"/>
      <c r="BH133" s="634"/>
      <c r="BI133" s="634"/>
      <c r="BJ133" s="634"/>
      <c r="BK133" s="634"/>
      <c r="BL133" s="634"/>
      <c r="BM133" s="634"/>
      <c r="BN133" s="635"/>
      <c r="BO133" s="634"/>
      <c r="BP133" s="634"/>
      <c r="BQ133" s="634"/>
      <c r="BR133" s="634"/>
      <c r="BS133" s="3"/>
      <c r="BT133" s="3"/>
      <c r="BU133" s="3"/>
      <c r="BV133" s="3"/>
      <c r="BW133" s="3"/>
      <c r="BX133" s="3"/>
      <c r="BY133" s="3"/>
      <c r="BZ133" s="3"/>
      <c r="CA133" s="3"/>
      <c r="CB133" s="831"/>
      <c r="CC133" s="831"/>
      <c r="CD133" s="831"/>
      <c r="CE133" s="831"/>
      <c r="CF133" s="831"/>
      <c r="CG133" s="831"/>
      <c r="CH133" s="831"/>
      <c r="CI133" s="831"/>
      <c r="CJ133" s="831"/>
      <c r="CK133" s="831"/>
      <c r="CL133" s="831"/>
      <c r="CM133" s="831"/>
      <c r="CN133" s="831"/>
      <c r="CO133" s="831"/>
      <c r="CP133" s="831"/>
      <c r="CQ133" s="831"/>
      <c r="CR133" s="831"/>
      <c r="CS133" s="831"/>
    </row>
    <row r="134" spans="2:97" ht="41.25" customHeight="1" thickBot="1">
      <c r="B134" s="10"/>
      <c r="C134" s="3643"/>
      <c r="D134" s="3644"/>
      <c r="E134" s="3644"/>
      <c r="F134" s="3644"/>
      <c r="G134" s="3644"/>
      <c r="H134" s="3644"/>
      <c r="I134" s="3644"/>
      <c r="J134" s="3644"/>
      <c r="K134" s="3644"/>
      <c r="L134" s="3644"/>
      <c r="M134" s="3644"/>
      <c r="N134" s="3644"/>
      <c r="O134" s="3645"/>
      <c r="P134" s="313"/>
      <c r="Q134" s="4442" t="str">
        <f>Formula!E929</f>
        <v>Current Financial Year Pay Protection under FR-22 (a)(iv) cum fixation Arrears  for the Period From  Mar-25 To  Oct-25</v>
      </c>
      <c r="R134" s="4443"/>
      <c r="S134" s="4443"/>
      <c r="T134" s="4443"/>
      <c r="U134" s="4443"/>
      <c r="V134" s="4444"/>
      <c r="W134" s="1097"/>
      <c r="X134" s="3094"/>
      <c r="Y134" s="3094"/>
      <c r="Z134" s="3094"/>
      <c r="AA134" s="3095">
        <f>SUM(X134+Y134+Z134)</f>
        <v>0</v>
      </c>
      <c r="AB134" s="3094"/>
      <c r="AC134" s="10"/>
      <c r="AD134" s="3274"/>
      <c r="AE134" s="2093"/>
      <c r="AF134" s="3275"/>
      <c r="AG134" s="10"/>
      <c r="AH134" s="1548"/>
      <c r="AI134" s="1548"/>
      <c r="AJ134" s="1548"/>
      <c r="AK134" s="1548"/>
      <c r="AL134" s="1548"/>
      <c r="AM134" s="1548"/>
      <c r="AN134" s="1548"/>
      <c r="AO134" s="1548"/>
      <c r="AP134" s="1548"/>
      <c r="AQ134" s="1548"/>
      <c r="AR134" s="1548"/>
      <c r="AS134" s="1896"/>
      <c r="AT134" s="1896"/>
      <c r="AU134" s="1896"/>
      <c r="AV134" s="50"/>
      <c r="AW134" s="50"/>
      <c r="AX134" s="47"/>
      <c r="AY134" s="47"/>
      <c r="AZ134" s="7"/>
      <c r="BA134" s="7"/>
      <c r="BB134" s="7"/>
      <c r="BC134" s="7"/>
      <c r="BD134" s="7"/>
      <c r="BE134" s="634"/>
      <c r="BF134" s="634"/>
      <c r="BG134" s="634"/>
      <c r="BH134" s="634"/>
      <c r="BI134" s="634"/>
      <c r="BJ134" s="634"/>
      <c r="BK134" s="634"/>
      <c r="BL134" s="634"/>
      <c r="BM134" s="634"/>
      <c r="BN134" s="635"/>
      <c r="BO134" s="634"/>
      <c r="BP134" s="634"/>
      <c r="BQ134" s="634"/>
      <c r="BR134" s="634"/>
      <c r="BS134" s="3"/>
      <c r="BT134" s="3"/>
      <c r="BU134" s="3"/>
      <c r="BV134" s="3"/>
      <c r="BW134" s="3"/>
      <c r="BX134" s="3"/>
      <c r="BY134" s="3"/>
      <c r="BZ134" s="3"/>
      <c r="CA134" s="3"/>
      <c r="CB134" s="831"/>
      <c r="CC134" s="831"/>
      <c r="CD134" s="831"/>
      <c r="CE134" s="831"/>
      <c r="CF134" s="831"/>
      <c r="CG134" s="831"/>
      <c r="CH134" s="831"/>
      <c r="CI134" s="831"/>
      <c r="CJ134" s="831"/>
      <c r="CK134" s="831"/>
      <c r="CL134" s="831"/>
      <c r="CM134" s="831"/>
      <c r="CN134" s="831"/>
      <c r="CO134" s="831"/>
      <c r="CP134" s="831"/>
      <c r="CQ134" s="831"/>
      <c r="CR134" s="831"/>
      <c r="CS134" s="831"/>
    </row>
    <row r="135" spans="2:97" ht="35.25" customHeight="1" thickBot="1">
      <c r="B135" s="10"/>
      <c r="C135" s="3643"/>
      <c r="D135" s="3644"/>
      <c r="E135" s="3644"/>
      <c r="F135" s="3644"/>
      <c r="G135" s="3644"/>
      <c r="H135" s="3644"/>
      <c r="I135" s="3644"/>
      <c r="J135" s="3644"/>
      <c r="K135" s="3644"/>
      <c r="L135" s="3644"/>
      <c r="M135" s="3644"/>
      <c r="N135" s="3644"/>
      <c r="O135" s="3645"/>
      <c r="P135" s="313"/>
      <c r="Q135" s="4537" t="s">
        <v>1613</v>
      </c>
      <c r="R135" s="4538"/>
      <c r="S135" s="4538"/>
      <c r="T135" s="4538"/>
      <c r="U135" s="4538"/>
      <c r="V135" s="4538"/>
      <c r="W135" s="4538"/>
      <c r="X135" s="4538"/>
      <c r="Y135" s="4538"/>
      <c r="Z135" s="4538"/>
      <c r="AA135" s="4538"/>
      <c r="AB135" s="4539"/>
      <c r="AC135" s="10"/>
      <c r="AD135" s="3274"/>
      <c r="AE135" s="2093"/>
      <c r="AF135" s="3275"/>
      <c r="AG135" s="10"/>
      <c r="AH135" s="1548"/>
      <c r="AI135" s="1548"/>
      <c r="AJ135" s="1548"/>
      <c r="AK135" s="1548"/>
      <c r="AL135" s="1548"/>
      <c r="AM135" s="1548"/>
      <c r="AN135" s="1548"/>
      <c r="AO135" s="1548"/>
      <c r="AP135" s="1548"/>
      <c r="AQ135" s="1548"/>
      <c r="AR135" s="1548"/>
      <c r="AS135" s="1896"/>
      <c r="AT135" s="1896"/>
      <c r="AU135" s="1896"/>
      <c r="AV135" s="50"/>
      <c r="AW135" s="50"/>
      <c r="AX135" s="47"/>
      <c r="AY135" s="47"/>
      <c r="AZ135" s="7"/>
      <c r="BA135" s="7"/>
      <c r="BB135" s="7"/>
      <c r="BC135" s="7"/>
      <c r="BD135" s="7"/>
      <c r="BE135" s="634"/>
      <c r="BF135" s="634"/>
      <c r="BG135" s="634"/>
      <c r="BH135" s="634"/>
      <c r="BI135" s="634"/>
      <c r="BJ135" s="634"/>
      <c r="BK135" s="634"/>
      <c r="BL135" s="634"/>
      <c r="BM135" s="634"/>
      <c r="BN135" s="635"/>
      <c r="BO135" s="634"/>
      <c r="BP135" s="634"/>
      <c r="BQ135" s="634"/>
      <c r="BR135" s="634"/>
      <c r="BS135" s="3"/>
      <c r="BT135" s="3"/>
      <c r="BU135" s="3"/>
      <c r="BV135" s="3"/>
      <c r="BW135" s="3"/>
      <c r="BX135" s="3"/>
      <c r="BY135" s="3"/>
      <c r="BZ135" s="3"/>
      <c r="CA135" s="3"/>
      <c r="CB135" s="831"/>
      <c r="CC135" s="831"/>
      <c r="CD135" s="831"/>
      <c r="CE135" s="831"/>
      <c r="CF135" s="831"/>
      <c r="CG135" s="831"/>
      <c r="CH135" s="831"/>
      <c r="CI135" s="831"/>
      <c r="CJ135" s="831"/>
      <c r="CK135" s="831"/>
      <c r="CL135" s="831"/>
      <c r="CM135" s="831"/>
      <c r="CN135" s="831"/>
      <c r="CO135" s="831"/>
      <c r="CP135" s="831"/>
      <c r="CQ135" s="831"/>
      <c r="CR135" s="831"/>
      <c r="CS135" s="831"/>
    </row>
    <row r="136" spans="2:97" ht="38.25" customHeight="1" thickBot="1">
      <c r="B136" s="10"/>
      <c r="C136" s="3643"/>
      <c r="D136" s="3644"/>
      <c r="E136" s="3644"/>
      <c r="F136" s="3644"/>
      <c r="G136" s="3644"/>
      <c r="H136" s="3644"/>
      <c r="I136" s="3644"/>
      <c r="J136" s="3644"/>
      <c r="K136" s="3644"/>
      <c r="L136" s="3644"/>
      <c r="M136" s="3644"/>
      <c r="N136" s="3644"/>
      <c r="O136" s="3645"/>
      <c r="P136" s="313"/>
      <c r="Q136" s="4544" t="s">
        <v>1616</v>
      </c>
      <c r="R136" s="4545"/>
      <c r="S136" s="4545"/>
      <c r="T136" s="4545"/>
      <c r="U136" s="4545"/>
      <c r="V136" s="4546"/>
      <c r="W136" s="1097"/>
      <c r="X136" s="3085"/>
      <c r="Y136" s="3086"/>
      <c r="Z136" s="3086"/>
      <c r="AA136" s="3087"/>
      <c r="AB136" s="3088"/>
      <c r="AC136" s="10"/>
      <c r="AD136" s="3274"/>
      <c r="AE136" s="2093"/>
      <c r="AF136" s="3275"/>
      <c r="AG136" s="10"/>
      <c r="AH136" s="1548"/>
      <c r="AI136" s="1548"/>
      <c r="AJ136" s="1548"/>
      <c r="AK136" s="1548"/>
      <c r="AL136" s="1548"/>
      <c r="AM136" s="1548"/>
      <c r="AN136" s="1548"/>
      <c r="AO136" s="1548"/>
      <c r="AP136" s="1548"/>
      <c r="AQ136" s="1548"/>
      <c r="AR136" s="1548"/>
      <c r="AS136" s="1896"/>
      <c r="AT136" s="1896"/>
      <c r="AU136" s="1896"/>
      <c r="AV136" s="50"/>
      <c r="AW136" s="50"/>
      <c r="AX136" s="47"/>
      <c r="AY136" s="47"/>
      <c r="AZ136" s="7"/>
      <c r="BA136" s="7"/>
      <c r="BB136" s="7"/>
      <c r="BC136" s="7"/>
      <c r="BD136" s="7"/>
      <c r="BE136" s="634"/>
      <c r="BF136" s="634"/>
      <c r="BG136" s="634"/>
      <c r="BH136" s="634"/>
      <c r="BI136" s="634"/>
      <c r="BJ136" s="634"/>
      <c r="BK136" s="634"/>
      <c r="BL136" s="634"/>
      <c r="BM136" s="634"/>
      <c r="BN136" s="635"/>
      <c r="BO136" s="634"/>
      <c r="BP136" s="634"/>
      <c r="BQ136" s="634"/>
      <c r="BR136" s="634"/>
      <c r="BS136" s="3"/>
      <c r="BT136" s="3"/>
      <c r="BU136" s="3"/>
      <c r="BV136" s="3"/>
      <c r="BW136" s="3"/>
      <c r="BX136" s="3"/>
      <c r="BY136" s="3"/>
      <c r="BZ136" s="3"/>
      <c r="CA136" s="3"/>
      <c r="CB136" s="831"/>
      <c r="CC136" s="831"/>
      <c r="CD136" s="831"/>
      <c r="CE136" s="831"/>
      <c r="CF136" s="831"/>
      <c r="CG136" s="831"/>
      <c r="CH136" s="831"/>
      <c r="CI136" s="831"/>
      <c r="CJ136" s="831"/>
      <c r="CK136" s="831"/>
      <c r="CL136" s="831"/>
      <c r="CM136" s="831"/>
      <c r="CN136" s="831"/>
      <c r="CO136" s="831"/>
      <c r="CP136" s="831"/>
      <c r="CQ136" s="831"/>
      <c r="CR136" s="831"/>
      <c r="CS136" s="831"/>
    </row>
    <row r="137" spans="2:97" ht="33.75" customHeight="1" thickBot="1">
      <c r="B137" s="10"/>
      <c r="C137" s="3643"/>
      <c r="D137" s="3644"/>
      <c r="E137" s="3644"/>
      <c r="F137" s="3644"/>
      <c r="G137" s="3644"/>
      <c r="H137" s="3644"/>
      <c r="I137" s="3644"/>
      <c r="J137" s="3644"/>
      <c r="K137" s="3644"/>
      <c r="L137" s="3644"/>
      <c r="M137" s="3644"/>
      <c r="N137" s="3644"/>
      <c r="O137" s="3645"/>
      <c r="P137" s="313"/>
      <c r="Q137" s="4547" t="s">
        <v>1615</v>
      </c>
      <c r="R137" s="4548"/>
      <c r="S137" s="4548"/>
      <c r="T137" s="4548"/>
      <c r="U137" s="4548"/>
      <c r="V137" s="4549"/>
      <c r="W137" s="1097"/>
      <c r="X137" s="3197" t="s">
        <v>1181</v>
      </c>
      <c r="Y137" s="3198"/>
      <c r="Z137" s="4481" t="s">
        <v>1611</v>
      </c>
      <c r="AA137" s="4481"/>
      <c r="AB137" s="3199"/>
      <c r="AC137" s="10"/>
      <c r="AD137" s="3274"/>
      <c r="AE137" s="2093"/>
      <c r="AF137" s="3275"/>
      <c r="AG137" s="10"/>
      <c r="AH137" s="1548"/>
      <c r="AI137" s="1548"/>
      <c r="AJ137" s="1548"/>
      <c r="AK137" s="1548"/>
      <c r="AL137" s="1548"/>
      <c r="AM137" s="1548"/>
      <c r="AN137" s="1548"/>
      <c r="AO137" s="1548"/>
      <c r="AP137" s="1548"/>
      <c r="AQ137" s="1548"/>
      <c r="AR137" s="1548"/>
      <c r="AS137" s="1896"/>
      <c r="AT137" s="1896"/>
      <c r="AU137" s="1896"/>
      <c r="AV137" s="50"/>
      <c r="AW137" s="50"/>
      <c r="AX137" s="47"/>
      <c r="AY137" s="47"/>
      <c r="AZ137" s="7"/>
      <c r="BA137" s="7"/>
      <c r="BB137" s="7"/>
      <c r="BC137" s="7"/>
      <c r="BD137" s="7"/>
      <c r="BE137" s="634"/>
      <c r="BF137" s="634"/>
      <c r="BG137" s="634"/>
      <c r="BH137" s="634"/>
      <c r="BI137" s="634"/>
      <c r="BJ137" s="634"/>
      <c r="BK137" s="634"/>
      <c r="BL137" s="634"/>
      <c r="BM137" s="634"/>
      <c r="BN137" s="635"/>
      <c r="BO137" s="634"/>
      <c r="BP137" s="634"/>
      <c r="BQ137" s="634"/>
      <c r="BR137" s="634"/>
      <c r="BS137" s="3"/>
      <c r="BT137" s="3"/>
      <c r="BU137" s="3"/>
      <c r="BV137" s="3"/>
      <c r="BW137" s="3"/>
      <c r="BX137" s="3"/>
      <c r="BY137" s="3"/>
      <c r="BZ137" s="3"/>
      <c r="CA137" s="3"/>
      <c r="CB137" s="831"/>
      <c r="CC137" s="831"/>
      <c r="CD137" s="831"/>
      <c r="CE137" s="831"/>
      <c r="CF137" s="831"/>
      <c r="CG137" s="831"/>
      <c r="CH137" s="831"/>
      <c r="CI137" s="831"/>
      <c r="CJ137" s="831"/>
      <c r="CK137" s="831"/>
      <c r="CL137" s="831"/>
      <c r="CM137" s="831"/>
      <c r="CN137" s="831"/>
      <c r="CO137" s="831"/>
      <c r="CP137" s="831"/>
      <c r="CQ137" s="831"/>
      <c r="CR137" s="831"/>
      <c r="CS137" s="831"/>
    </row>
    <row r="138" spans="2:97" ht="25.5" customHeight="1" thickBot="1">
      <c r="B138" s="10"/>
      <c r="C138" s="3643"/>
      <c r="D138" s="3644"/>
      <c r="E138" s="3644"/>
      <c r="F138" s="3644"/>
      <c r="G138" s="3644"/>
      <c r="H138" s="3644"/>
      <c r="I138" s="3644"/>
      <c r="J138" s="3644"/>
      <c r="K138" s="3644"/>
      <c r="L138" s="3644"/>
      <c r="M138" s="3644"/>
      <c r="N138" s="3644"/>
      <c r="O138" s="3645"/>
      <c r="P138" s="313"/>
      <c r="Q138" s="3078"/>
      <c r="R138" s="3076"/>
      <c r="S138" s="3076"/>
      <c r="T138" s="3076"/>
      <c r="U138" s="3076"/>
      <c r="V138" s="3079"/>
      <c r="W138" s="3077"/>
      <c r="X138" s="3200"/>
      <c r="Y138" s="3201"/>
      <c r="Z138" s="3201"/>
      <c r="AA138" s="3201"/>
      <c r="AB138" s="3202"/>
      <c r="AC138" s="10"/>
      <c r="AD138" s="3274"/>
      <c r="AE138" s="2093"/>
      <c r="AF138" s="3275"/>
      <c r="AG138" s="10"/>
      <c r="AH138" s="1548"/>
      <c r="AI138" s="1548"/>
      <c r="AJ138" s="1548"/>
      <c r="AK138" s="1548"/>
      <c r="AL138" s="1548"/>
      <c r="AM138" s="1548"/>
      <c r="AN138" s="1548"/>
      <c r="AO138" s="1548"/>
      <c r="AP138" s="1548"/>
      <c r="AQ138" s="1548"/>
      <c r="AR138" s="1548"/>
      <c r="AS138" s="1896"/>
      <c r="AT138" s="1896"/>
      <c r="AU138" s="1896"/>
      <c r="AV138" s="50"/>
      <c r="AW138" s="50"/>
      <c r="AX138" s="47"/>
      <c r="AY138" s="47"/>
      <c r="AZ138" s="7"/>
      <c r="BA138" s="7"/>
      <c r="BB138" s="7"/>
      <c r="BC138" s="7"/>
      <c r="BD138" s="7"/>
      <c r="BE138" s="634"/>
      <c r="BF138" s="634"/>
      <c r="BG138" s="634"/>
      <c r="BH138" s="634"/>
      <c r="BI138" s="634"/>
      <c r="BJ138" s="634"/>
      <c r="BK138" s="634"/>
      <c r="BL138" s="634"/>
      <c r="BM138" s="634"/>
      <c r="BN138" s="635"/>
      <c r="BO138" s="634"/>
      <c r="BP138" s="634"/>
      <c r="BQ138" s="634"/>
      <c r="BR138" s="634"/>
      <c r="BS138" s="3"/>
      <c r="BT138" s="3"/>
      <c r="BU138" s="3"/>
      <c r="BV138" s="3"/>
      <c r="BW138" s="3"/>
      <c r="BX138" s="3"/>
      <c r="BY138" s="3"/>
      <c r="BZ138" s="3"/>
      <c r="CA138" s="3"/>
      <c r="CB138" s="831"/>
      <c r="CC138" s="831"/>
      <c r="CD138" s="831"/>
      <c r="CE138" s="831"/>
      <c r="CF138" s="831"/>
      <c r="CG138" s="831"/>
      <c r="CH138" s="831"/>
      <c r="CI138" s="831"/>
      <c r="CJ138" s="831"/>
      <c r="CK138" s="831"/>
      <c r="CL138" s="831"/>
      <c r="CM138" s="831"/>
      <c r="CN138" s="831"/>
      <c r="CO138" s="831"/>
      <c r="CP138" s="831"/>
      <c r="CQ138" s="831"/>
      <c r="CR138" s="831"/>
      <c r="CS138" s="831"/>
    </row>
    <row r="139" spans="2:97" ht="40.5" customHeight="1" thickBot="1">
      <c r="B139" s="10"/>
      <c r="C139" s="3643"/>
      <c r="D139" s="3644"/>
      <c r="E139" s="3644"/>
      <c r="F139" s="3644"/>
      <c r="G139" s="3644"/>
      <c r="H139" s="3644"/>
      <c r="I139" s="3644"/>
      <c r="J139" s="3644"/>
      <c r="K139" s="3644"/>
      <c r="L139" s="3644"/>
      <c r="M139" s="3644"/>
      <c r="N139" s="3644"/>
      <c r="O139" s="3645"/>
      <c r="P139" s="313"/>
      <c r="Q139" s="3203"/>
      <c r="R139" s="3204"/>
      <c r="S139" s="3204"/>
      <c r="T139" s="3204"/>
      <c r="U139" s="3204"/>
      <c r="V139" s="3205"/>
      <c r="W139" s="1097"/>
      <c r="X139" s="3092" t="s">
        <v>521</v>
      </c>
      <c r="Y139" s="3092" t="s">
        <v>188</v>
      </c>
      <c r="Z139" s="3093" t="s">
        <v>189</v>
      </c>
      <c r="AA139" s="3093" t="s">
        <v>22</v>
      </c>
      <c r="AB139" s="3160" t="str">
        <f>Formula!AD921</f>
        <v/>
      </c>
      <c r="AC139" s="10"/>
      <c r="AD139" s="3274"/>
      <c r="AE139" s="2093"/>
      <c r="AF139" s="3275"/>
      <c r="AG139" s="10"/>
      <c r="AH139" s="1548"/>
      <c r="AI139" s="1548"/>
      <c r="AJ139" s="1548"/>
      <c r="AK139" s="1548"/>
      <c r="AL139" s="1548"/>
      <c r="AM139" s="1548"/>
      <c r="AN139" s="1548"/>
      <c r="AO139" s="1548"/>
      <c r="AP139" s="1548"/>
      <c r="AQ139" s="1548"/>
      <c r="AR139" s="1548"/>
      <c r="AS139" s="1896"/>
      <c r="AT139" s="1896"/>
      <c r="AU139" s="1896"/>
      <c r="AV139" s="50"/>
      <c r="AW139" s="50"/>
      <c r="AX139" s="47"/>
      <c r="AY139" s="47"/>
      <c r="AZ139" s="7"/>
      <c r="BA139" s="7"/>
      <c r="BB139" s="7"/>
      <c r="BC139" s="7"/>
      <c r="BD139" s="7"/>
      <c r="BE139" s="634"/>
      <c r="BF139" s="634"/>
      <c r="BG139" s="634"/>
      <c r="BH139" s="634"/>
      <c r="BI139" s="634"/>
      <c r="BJ139" s="634"/>
      <c r="BK139" s="634"/>
      <c r="BL139" s="634"/>
      <c r="BM139" s="634"/>
      <c r="BN139" s="635"/>
      <c r="BO139" s="634"/>
      <c r="BP139" s="634"/>
      <c r="BQ139" s="634"/>
      <c r="BR139" s="634"/>
      <c r="BS139" s="3"/>
      <c r="BT139" s="3"/>
      <c r="BU139" s="3"/>
      <c r="BV139" s="3"/>
      <c r="BW139" s="3"/>
      <c r="BX139" s="3"/>
      <c r="BY139" s="3"/>
      <c r="BZ139" s="3"/>
      <c r="CA139" s="3"/>
      <c r="CB139" s="831"/>
      <c r="CC139" s="831"/>
      <c r="CD139" s="831"/>
      <c r="CE139" s="831"/>
      <c r="CF139" s="831"/>
      <c r="CG139" s="831"/>
      <c r="CH139" s="831"/>
      <c r="CI139" s="831"/>
      <c r="CJ139" s="831"/>
      <c r="CK139" s="831"/>
      <c r="CL139" s="831"/>
      <c r="CM139" s="831"/>
      <c r="CN139" s="831"/>
      <c r="CO139" s="831"/>
      <c r="CP139" s="831"/>
      <c r="CQ139" s="831"/>
      <c r="CR139" s="831"/>
      <c r="CS139" s="831"/>
    </row>
    <row r="140" spans="2:97" ht="40.5" customHeight="1" thickBot="1">
      <c r="B140" s="10"/>
      <c r="C140" s="3643"/>
      <c r="D140" s="3644"/>
      <c r="E140" s="3644"/>
      <c r="F140" s="3644"/>
      <c r="G140" s="3644"/>
      <c r="H140" s="3644"/>
      <c r="I140" s="3644"/>
      <c r="J140" s="3644"/>
      <c r="K140" s="3644"/>
      <c r="L140" s="3644"/>
      <c r="M140" s="3644"/>
      <c r="N140" s="3644"/>
      <c r="O140" s="3645"/>
      <c r="P140" s="313"/>
      <c r="Q140" s="4550" t="str">
        <f>Formula!U922</f>
        <v xml:space="preserve"> Fitment Arrears  for the Period From  Oct-25 To  Jan-26</v>
      </c>
      <c r="R140" s="4551"/>
      <c r="S140" s="4551"/>
      <c r="T140" s="4551"/>
      <c r="U140" s="4551"/>
      <c r="V140" s="4552"/>
      <c r="W140" s="1097"/>
      <c r="X140" s="3206"/>
      <c r="Y140" s="3206"/>
      <c r="Z140" s="3206"/>
      <c r="AA140" s="3207">
        <f>SUM(X140+Y140+Z140)</f>
        <v>0</v>
      </c>
      <c r="AB140" s="3206"/>
      <c r="AC140" s="10"/>
      <c r="AD140" s="3274"/>
      <c r="AE140" s="2093"/>
      <c r="AF140" s="3275"/>
      <c r="AG140" s="10"/>
      <c r="AH140" s="1548"/>
      <c r="AI140" s="1548"/>
      <c r="AJ140" s="1548"/>
      <c r="AK140" s="1548"/>
      <c r="AL140" s="1548"/>
      <c r="AM140" s="1548"/>
      <c r="AN140" s="1548"/>
      <c r="AO140" s="1548"/>
      <c r="AP140" s="1548"/>
      <c r="AQ140" s="1548"/>
      <c r="AR140" s="1548"/>
      <c r="AS140" s="1896"/>
      <c r="AT140" s="1896"/>
      <c r="AU140" s="1896"/>
      <c r="AV140" s="50"/>
      <c r="AW140" s="50"/>
      <c r="AX140" s="47"/>
      <c r="AY140" s="47"/>
      <c r="AZ140" s="7"/>
      <c r="BA140" s="7"/>
      <c r="BB140" s="7"/>
      <c r="BC140" s="7"/>
      <c r="BD140" s="7"/>
      <c r="BE140" s="634"/>
      <c r="BF140" s="634"/>
      <c r="BG140" s="634"/>
      <c r="BH140" s="634"/>
      <c r="BI140" s="634"/>
      <c r="BJ140" s="634"/>
      <c r="BK140" s="634"/>
      <c r="BL140" s="634"/>
      <c r="BM140" s="634"/>
      <c r="BN140" s="635"/>
      <c r="BO140" s="634"/>
      <c r="BP140" s="634"/>
      <c r="BQ140" s="634"/>
      <c r="BR140" s="634"/>
      <c r="BS140" s="3"/>
      <c r="BT140" s="3"/>
      <c r="BU140" s="3"/>
      <c r="BV140" s="3"/>
      <c r="BW140" s="3"/>
      <c r="BX140" s="3"/>
      <c r="BY140" s="3"/>
      <c r="BZ140" s="3"/>
      <c r="CA140" s="3"/>
      <c r="CB140" s="831"/>
      <c r="CC140" s="831"/>
      <c r="CD140" s="831"/>
      <c r="CE140" s="831"/>
      <c r="CF140" s="831"/>
      <c r="CG140" s="831"/>
      <c r="CH140" s="831"/>
      <c r="CI140" s="831"/>
      <c r="CJ140" s="831"/>
      <c r="CK140" s="831"/>
      <c r="CL140" s="831"/>
      <c r="CM140" s="831"/>
      <c r="CN140" s="831"/>
      <c r="CO140" s="831"/>
      <c r="CP140" s="831"/>
      <c r="CQ140" s="831"/>
      <c r="CR140" s="831"/>
      <c r="CS140" s="831"/>
    </row>
    <row r="141" spans="2:97" ht="32.25" customHeight="1" thickBot="1">
      <c r="B141" s="10"/>
      <c r="C141" s="3643"/>
      <c r="D141" s="3644"/>
      <c r="E141" s="3644"/>
      <c r="F141" s="3644"/>
      <c r="G141" s="3644"/>
      <c r="H141" s="3644"/>
      <c r="I141" s="3644"/>
      <c r="J141" s="3644"/>
      <c r="K141" s="3644"/>
      <c r="L141" s="3644"/>
      <c r="M141" s="3644"/>
      <c r="N141" s="3644"/>
      <c r="O141" s="3645"/>
      <c r="P141" s="313"/>
      <c r="Q141" s="4553"/>
      <c r="R141" s="4554"/>
      <c r="S141" s="4554"/>
      <c r="T141" s="4554"/>
      <c r="U141" s="4554"/>
      <c r="V141" s="4554"/>
      <c r="W141" s="4554"/>
      <c r="X141" s="4554"/>
      <c r="Y141" s="4554"/>
      <c r="Z141" s="4554"/>
      <c r="AA141" s="4554"/>
      <c r="AB141" s="4555"/>
      <c r="AC141" s="10"/>
      <c r="AD141" s="3274"/>
      <c r="AE141" s="2093"/>
      <c r="AF141" s="3275"/>
      <c r="AG141" s="10"/>
      <c r="AH141" s="1548"/>
      <c r="AI141" s="1548"/>
      <c r="AJ141" s="1548"/>
      <c r="AK141" s="1548"/>
      <c r="AL141" s="1548"/>
      <c r="AM141" s="1548"/>
      <c r="AN141" s="1548"/>
      <c r="AO141" s="1548"/>
      <c r="AP141" s="1548"/>
      <c r="AQ141" s="1548"/>
      <c r="AR141" s="1548"/>
      <c r="AS141" s="1896"/>
      <c r="AT141" s="1896"/>
      <c r="AU141" s="1896"/>
      <c r="AV141" s="50"/>
      <c r="AW141" s="50"/>
      <c r="AX141" s="47"/>
      <c r="AY141" s="47"/>
      <c r="AZ141" s="7"/>
      <c r="BA141" s="7"/>
      <c r="BB141" s="7"/>
      <c r="BC141" s="7"/>
      <c r="BD141" s="7"/>
      <c r="BE141" s="634"/>
      <c r="BF141" s="634"/>
      <c r="BG141" s="634"/>
      <c r="BH141" s="634"/>
      <c r="BI141" s="634"/>
      <c r="BJ141" s="634"/>
      <c r="BK141" s="634"/>
      <c r="BL141" s="634"/>
      <c r="BM141" s="634"/>
      <c r="BN141" s="635"/>
      <c r="BO141" s="634"/>
      <c r="BP141" s="634"/>
      <c r="BQ141" s="634"/>
      <c r="BR141" s="634"/>
      <c r="BS141" s="3"/>
      <c r="BT141" s="3"/>
      <c r="BU141" s="3"/>
      <c r="BV141" s="3"/>
      <c r="BW141" s="3"/>
      <c r="BX141" s="3"/>
      <c r="BY141" s="3"/>
      <c r="BZ141" s="3"/>
      <c r="CA141" s="3"/>
      <c r="CB141" s="831"/>
      <c r="CC141" s="831"/>
      <c r="CD141" s="831"/>
      <c r="CE141" s="831"/>
      <c r="CF141" s="831"/>
      <c r="CG141" s="831"/>
      <c r="CH141" s="831"/>
      <c r="CI141" s="831"/>
      <c r="CJ141" s="831"/>
      <c r="CK141" s="831"/>
      <c r="CL141" s="831"/>
      <c r="CM141" s="831"/>
      <c r="CN141" s="831"/>
      <c r="CO141" s="831"/>
      <c r="CP141" s="831"/>
      <c r="CQ141" s="831"/>
      <c r="CR141" s="831"/>
      <c r="CS141" s="831"/>
    </row>
    <row r="142" spans="2:97" ht="38.25" customHeight="1" thickBot="1">
      <c r="B142" s="10"/>
      <c r="C142" s="3643"/>
      <c r="D142" s="3644"/>
      <c r="E142" s="3644"/>
      <c r="F142" s="3644"/>
      <c r="G142" s="3644"/>
      <c r="H142" s="3644"/>
      <c r="I142" s="3644"/>
      <c r="J142" s="3644"/>
      <c r="K142" s="3644"/>
      <c r="L142" s="3644"/>
      <c r="M142" s="3644"/>
      <c r="N142" s="3644"/>
      <c r="O142" s="3645"/>
      <c r="P142" s="313"/>
      <c r="Q142" s="4556" t="s">
        <v>1618</v>
      </c>
      <c r="R142" s="4557"/>
      <c r="S142" s="4557"/>
      <c r="T142" s="4557"/>
      <c r="U142" s="4557"/>
      <c r="V142" s="4557"/>
      <c r="W142" s="4557"/>
      <c r="X142" s="4557"/>
      <c r="Y142" s="4557"/>
      <c r="Z142" s="4557"/>
      <c r="AA142" s="4557"/>
      <c r="AB142" s="4558"/>
      <c r="AC142" s="10"/>
      <c r="AD142" s="3274"/>
      <c r="AE142" s="2093"/>
      <c r="AF142" s="3275"/>
      <c r="AG142" s="10"/>
      <c r="AH142" s="1548"/>
      <c r="AI142" s="1548"/>
      <c r="AJ142" s="1548"/>
      <c r="AK142" s="1548"/>
      <c r="AL142" s="1548"/>
      <c r="AM142" s="1548"/>
      <c r="AN142" s="1548"/>
      <c r="AO142" s="1548"/>
      <c r="AP142" s="1548"/>
      <c r="AQ142" s="1548"/>
      <c r="AR142" s="1548"/>
      <c r="AS142" s="1896"/>
      <c r="AT142" s="1896"/>
      <c r="AU142" s="1896"/>
      <c r="AV142" s="50"/>
      <c r="AW142" s="50"/>
      <c r="AX142" s="47"/>
      <c r="AY142" s="47"/>
      <c r="AZ142" s="7"/>
      <c r="BA142" s="7"/>
      <c r="BB142" s="7"/>
      <c r="BC142" s="7"/>
      <c r="BD142" s="7"/>
      <c r="BE142" s="634"/>
      <c r="BF142" s="634"/>
      <c r="BG142" s="634"/>
      <c r="BH142" s="634"/>
      <c r="BI142" s="634"/>
      <c r="BJ142" s="634"/>
      <c r="BK142" s="634"/>
      <c r="BL142" s="634"/>
      <c r="BM142" s="634"/>
      <c r="BN142" s="635"/>
      <c r="BO142" s="634"/>
      <c r="BP142" s="634"/>
      <c r="BQ142" s="634"/>
      <c r="BR142" s="634"/>
      <c r="BS142" s="3"/>
      <c r="BT142" s="3"/>
      <c r="BU142" s="3"/>
      <c r="BV142" s="3"/>
      <c r="BW142" s="3"/>
      <c r="BX142" s="3"/>
      <c r="BY142" s="3"/>
      <c r="BZ142" s="3"/>
      <c r="CA142" s="3"/>
      <c r="CB142" s="831"/>
      <c r="CC142" s="831"/>
      <c r="CD142" s="831"/>
      <c r="CE142" s="831"/>
      <c r="CF142" s="831"/>
      <c r="CG142" s="831"/>
      <c r="CH142" s="831"/>
      <c r="CI142" s="831"/>
      <c r="CJ142" s="831"/>
      <c r="CK142" s="831"/>
      <c r="CL142" s="831"/>
      <c r="CM142" s="831"/>
      <c r="CN142" s="831"/>
      <c r="CO142" s="831"/>
      <c r="CP142" s="831"/>
      <c r="CQ142" s="831"/>
      <c r="CR142" s="831"/>
      <c r="CS142" s="831"/>
    </row>
    <row r="143" spans="2:97" ht="40.5" customHeight="1" thickBot="1">
      <c r="B143" s="10"/>
      <c r="C143" s="3643"/>
      <c r="D143" s="3644"/>
      <c r="E143" s="3644"/>
      <c r="F143" s="3644"/>
      <c r="G143" s="3644"/>
      <c r="H143" s="3644"/>
      <c r="I143" s="3644"/>
      <c r="J143" s="3644"/>
      <c r="K143" s="3644"/>
      <c r="L143" s="3644"/>
      <c r="M143" s="3644"/>
      <c r="N143" s="3644"/>
      <c r="O143" s="3645"/>
      <c r="P143" s="313"/>
      <c r="Q143" s="4559" t="s">
        <v>1619</v>
      </c>
      <c r="R143" s="4560"/>
      <c r="S143" s="4560"/>
      <c r="T143" s="4560"/>
      <c r="U143" s="4560"/>
      <c r="V143" s="4561"/>
      <c r="W143" s="1097"/>
      <c r="X143" s="3085"/>
      <c r="Y143" s="3086"/>
      <c r="Z143" s="3086"/>
      <c r="AA143" s="3087"/>
      <c r="AB143" s="3088"/>
      <c r="AC143" s="10"/>
      <c r="AD143" s="3274"/>
      <c r="AE143" s="2093"/>
      <c r="AF143" s="3275"/>
      <c r="AG143" s="10"/>
      <c r="AH143" s="1548"/>
      <c r="AI143" s="1548"/>
      <c r="AJ143" s="1548"/>
      <c r="AK143" s="1548"/>
      <c r="AL143" s="1548"/>
      <c r="AM143" s="1548"/>
      <c r="AN143" s="1548"/>
      <c r="AO143" s="1548"/>
      <c r="AP143" s="1548"/>
      <c r="AQ143" s="1548"/>
      <c r="AR143" s="1548"/>
      <c r="AS143" s="1896"/>
      <c r="AT143" s="1896"/>
      <c r="AU143" s="1896"/>
      <c r="AV143" s="50"/>
      <c r="AW143" s="50"/>
      <c r="AX143" s="47"/>
      <c r="AY143" s="47"/>
      <c r="AZ143" s="7"/>
      <c r="BA143" s="7"/>
      <c r="BB143" s="7"/>
      <c r="BC143" s="7"/>
      <c r="BD143" s="7"/>
      <c r="BE143" s="634"/>
      <c r="BF143" s="634"/>
      <c r="BG143" s="634"/>
      <c r="BH143" s="634"/>
      <c r="BI143" s="634"/>
      <c r="BJ143" s="634"/>
      <c r="BK143" s="634"/>
      <c r="BL143" s="634"/>
      <c r="BM143" s="634"/>
      <c r="BN143" s="635"/>
      <c r="BO143" s="634"/>
      <c r="BP143" s="634"/>
      <c r="BQ143" s="634"/>
      <c r="BR143" s="634"/>
      <c r="BS143" s="3"/>
      <c r="BT143" s="3"/>
      <c r="BU143" s="3"/>
      <c r="BV143" s="3"/>
      <c r="BW143" s="3"/>
      <c r="BX143" s="3"/>
      <c r="BY143" s="3"/>
      <c r="BZ143" s="3"/>
      <c r="CA143" s="3"/>
      <c r="CB143" s="831"/>
      <c r="CC143" s="831"/>
      <c r="CD143" s="831"/>
      <c r="CE143" s="831"/>
      <c r="CF143" s="831"/>
      <c r="CG143" s="831"/>
      <c r="CH143" s="831"/>
      <c r="CI143" s="831"/>
      <c r="CJ143" s="831"/>
      <c r="CK143" s="831"/>
      <c r="CL143" s="831"/>
      <c r="CM143" s="831"/>
      <c r="CN143" s="831"/>
      <c r="CO143" s="831"/>
      <c r="CP143" s="831"/>
      <c r="CQ143" s="831"/>
      <c r="CR143" s="831"/>
      <c r="CS143" s="831"/>
    </row>
    <row r="144" spans="2:97" ht="36" customHeight="1" thickBot="1">
      <c r="B144" s="10"/>
      <c r="C144" s="3643"/>
      <c r="D144" s="3644"/>
      <c r="E144" s="3644"/>
      <c r="F144" s="3644"/>
      <c r="G144" s="3644"/>
      <c r="H144" s="3644"/>
      <c r="I144" s="3644"/>
      <c r="J144" s="3644"/>
      <c r="K144" s="3644"/>
      <c r="L144" s="3644"/>
      <c r="M144" s="3644"/>
      <c r="N144" s="3644"/>
      <c r="O144" s="3645"/>
      <c r="P144" s="313"/>
      <c r="Q144" s="4478" t="s">
        <v>1620</v>
      </c>
      <c r="R144" s="4479"/>
      <c r="S144" s="4479"/>
      <c r="T144" s="4479"/>
      <c r="U144" s="4479"/>
      <c r="V144" s="4480"/>
      <c r="W144" s="1097"/>
      <c r="X144" s="3197" t="s">
        <v>1181</v>
      </c>
      <c r="Y144" s="3198"/>
      <c r="Z144" s="4481" t="s">
        <v>1611</v>
      </c>
      <c r="AA144" s="4481"/>
      <c r="AB144" s="3199"/>
      <c r="AC144" s="10"/>
      <c r="AD144" s="3274"/>
      <c r="AE144" s="2093"/>
      <c r="AF144" s="3275"/>
      <c r="AG144" s="10"/>
      <c r="AH144" s="1548"/>
      <c r="AI144" s="1548"/>
      <c r="AJ144" s="1548"/>
      <c r="AK144" s="1548"/>
      <c r="AL144" s="1548"/>
      <c r="AM144" s="1548"/>
      <c r="AN144" s="1548"/>
      <c r="AO144" s="1548"/>
      <c r="AP144" s="1548"/>
      <c r="AQ144" s="1548"/>
      <c r="AR144" s="1548"/>
      <c r="AS144" s="1896"/>
      <c r="AT144" s="1896"/>
      <c r="AU144" s="1896"/>
      <c r="AV144" s="50"/>
      <c r="AW144" s="50"/>
      <c r="AX144" s="47"/>
      <c r="AY144" s="47"/>
      <c r="AZ144" s="7"/>
      <c r="BA144" s="7"/>
      <c r="BB144" s="7"/>
      <c r="BC144" s="7"/>
      <c r="BD144" s="7"/>
      <c r="BE144" s="634"/>
      <c r="BF144" s="634"/>
      <c r="BG144" s="634"/>
      <c r="BH144" s="634"/>
      <c r="BI144" s="634"/>
      <c r="BJ144" s="634"/>
      <c r="BK144" s="634"/>
      <c r="BL144" s="634"/>
      <c r="BM144" s="634"/>
      <c r="BN144" s="635"/>
      <c r="BO144" s="634"/>
      <c r="BP144" s="634"/>
      <c r="BQ144" s="634"/>
      <c r="BR144" s="634"/>
      <c r="BS144" s="3"/>
      <c r="BT144" s="3"/>
      <c r="BU144" s="3"/>
      <c r="BV144" s="3"/>
      <c r="BW144" s="3"/>
      <c r="BX144" s="3"/>
      <c r="BY144" s="3"/>
      <c r="BZ144" s="3"/>
      <c r="CA144" s="3"/>
      <c r="CB144" s="831"/>
      <c r="CC144" s="831"/>
      <c r="CD144" s="831"/>
      <c r="CE144" s="831"/>
      <c r="CF144" s="831"/>
      <c r="CG144" s="831"/>
      <c r="CH144" s="831"/>
      <c r="CI144" s="831"/>
      <c r="CJ144" s="831"/>
      <c r="CK144" s="831"/>
      <c r="CL144" s="831"/>
      <c r="CM144" s="831"/>
      <c r="CN144" s="831"/>
      <c r="CO144" s="831"/>
      <c r="CP144" s="831"/>
      <c r="CQ144" s="831"/>
      <c r="CR144" s="831"/>
      <c r="CS144" s="831"/>
    </row>
    <row r="145" spans="2:97" ht="40.5" customHeight="1" thickBot="1">
      <c r="B145" s="10"/>
      <c r="C145" s="3643"/>
      <c r="D145" s="3644"/>
      <c r="E145" s="3644"/>
      <c r="F145" s="3644"/>
      <c r="G145" s="3644"/>
      <c r="H145" s="3644"/>
      <c r="I145" s="3644"/>
      <c r="J145" s="3644"/>
      <c r="K145" s="3644"/>
      <c r="L145" s="3644"/>
      <c r="M145" s="3644"/>
      <c r="N145" s="3644"/>
      <c r="O145" s="3645"/>
      <c r="P145" s="313"/>
      <c r="Q145" s="3078"/>
      <c r="R145" s="3076"/>
      <c r="S145" s="3076"/>
      <c r="T145" s="3076"/>
      <c r="U145" s="3076"/>
      <c r="V145" s="3079"/>
      <c r="W145" s="3077"/>
      <c r="X145" s="3200"/>
      <c r="Y145" s="3201"/>
      <c r="Z145" s="3201"/>
      <c r="AA145" s="3201"/>
      <c r="AB145" s="3202"/>
      <c r="AC145" s="10"/>
      <c r="AD145" s="3274"/>
      <c r="AE145" s="2093"/>
      <c r="AF145" s="3275"/>
      <c r="AG145" s="10"/>
      <c r="AH145" s="1548"/>
      <c r="AI145" s="1548"/>
      <c r="AJ145" s="1548"/>
      <c r="AK145" s="1548"/>
      <c r="AL145" s="1548"/>
      <c r="AM145" s="1548"/>
      <c r="AN145" s="1548"/>
      <c r="AO145" s="1548"/>
      <c r="AP145" s="1548"/>
      <c r="AQ145" s="1548"/>
      <c r="AR145" s="1548"/>
      <c r="AS145" s="1896"/>
      <c r="AT145" s="1896"/>
      <c r="AU145" s="1896"/>
      <c r="AV145" s="50"/>
      <c r="AW145" s="50"/>
      <c r="AX145" s="47"/>
      <c r="AY145" s="47"/>
      <c r="AZ145" s="7"/>
      <c r="BA145" s="7"/>
      <c r="BB145" s="7"/>
      <c r="BC145" s="7"/>
      <c r="BD145" s="7"/>
      <c r="BE145" s="634"/>
      <c r="BF145" s="634"/>
      <c r="BG145" s="634"/>
      <c r="BH145" s="634"/>
      <c r="BI145" s="634"/>
      <c r="BJ145" s="634"/>
      <c r="BK145" s="634"/>
      <c r="BL145" s="634"/>
      <c r="BM145" s="634"/>
      <c r="BN145" s="635"/>
      <c r="BO145" s="634"/>
      <c r="BP145" s="634"/>
      <c r="BQ145" s="634"/>
      <c r="BR145" s="634"/>
      <c r="BS145" s="3"/>
      <c r="BT145" s="3"/>
      <c r="BU145" s="3"/>
      <c r="BV145" s="3"/>
      <c r="BW145" s="3"/>
      <c r="BX145" s="3"/>
      <c r="BY145" s="3"/>
      <c r="BZ145" s="3"/>
      <c r="CA145" s="3"/>
      <c r="CB145" s="831"/>
      <c r="CC145" s="831"/>
      <c r="CD145" s="831"/>
      <c r="CE145" s="831"/>
      <c r="CF145" s="831"/>
      <c r="CG145" s="831"/>
      <c r="CH145" s="831"/>
      <c r="CI145" s="831"/>
      <c r="CJ145" s="831"/>
      <c r="CK145" s="831"/>
      <c r="CL145" s="831"/>
      <c r="CM145" s="831"/>
      <c r="CN145" s="831"/>
      <c r="CO145" s="831"/>
      <c r="CP145" s="831"/>
      <c r="CQ145" s="831"/>
      <c r="CR145" s="831"/>
      <c r="CS145" s="831"/>
    </row>
    <row r="146" spans="2:97" ht="33" customHeight="1" thickBot="1">
      <c r="B146" s="10"/>
      <c r="C146" s="3643"/>
      <c r="D146" s="3644"/>
      <c r="E146" s="3644"/>
      <c r="F146" s="3644"/>
      <c r="G146" s="3644"/>
      <c r="H146" s="3644"/>
      <c r="I146" s="3644"/>
      <c r="J146" s="3644"/>
      <c r="K146" s="3644"/>
      <c r="L146" s="3644"/>
      <c r="M146" s="3644"/>
      <c r="N146" s="3644"/>
      <c r="O146" s="3645"/>
      <c r="P146" s="313"/>
      <c r="Q146" s="3208"/>
      <c r="R146" s="3209"/>
      <c r="S146" s="3209"/>
      <c r="T146" s="3209"/>
      <c r="U146" s="3209"/>
      <c r="V146" s="3210"/>
      <c r="W146" s="1097"/>
      <c r="X146" s="3092" t="s">
        <v>521</v>
      </c>
      <c r="Y146" s="3092" t="s">
        <v>188</v>
      </c>
      <c r="Z146" s="3093" t="s">
        <v>189</v>
      </c>
      <c r="AA146" s="3093" t="s">
        <v>22</v>
      </c>
      <c r="AB146" s="3160" t="str">
        <f>Formula!AU921</f>
        <v/>
      </c>
      <c r="AC146" s="10"/>
      <c r="AD146" s="3274"/>
      <c r="AE146" s="2093"/>
      <c r="AF146" s="3275"/>
      <c r="AG146" s="10"/>
      <c r="AH146" s="1548"/>
      <c r="AI146" s="1548"/>
      <c r="AJ146" s="1548"/>
      <c r="AK146" s="1548"/>
      <c r="AL146" s="1548"/>
      <c r="AM146" s="1548"/>
      <c r="AN146" s="1548"/>
      <c r="AO146" s="1548"/>
      <c r="AP146" s="1548"/>
      <c r="AQ146" s="1548"/>
      <c r="AR146" s="1548"/>
      <c r="AS146" s="1896"/>
      <c r="AT146" s="1896"/>
      <c r="AU146" s="1896"/>
      <c r="AV146" s="50"/>
      <c r="AW146" s="50"/>
      <c r="AX146" s="47"/>
      <c r="AY146" s="47"/>
      <c r="AZ146" s="7"/>
      <c r="BA146" s="7"/>
      <c r="BB146" s="7"/>
      <c r="BC146" s="7"/>
      <c r="BD146" s="7"/>
      <c r="BE146" s="634"/>
      <c r="BF146" s="634"/>
      <c r="BG146" s="634"/>
      <c r="BH146" s="634"/>
      <c r="BI146" s="634"/>
      <c r="BJ146" s="634"/>
      <c r="BK146" s="634"/>
      <c r="BL146" s="634"/>
      <c r="BM146" s="634"/>
      <c r="BN146" s="635"/>
      <c r="BO146" s="634"/>
      <c r="BP146" s="634"/>
      <c r="BQ146" s="634"/>
      <c r="BR146" s="634"/>
      <c r="BS146" s="3"/>
      <c r="BT146" s="3"/>
      <c r="BU146" s="3"/>
      <c r="BV146" s="3"/>
      <c r="BW146" s="3"/>
      <c r="BX146" s="3"/>
      <c r="BY146" s="3"/>
      <c r="BZ146" s="3"/>
      <c r="CA146" s="3"/>
      <c r="CB146" s="831"/>
      <c r="CC146" s="831"/>
      <c r="CD146" s="831"/>
      <c r="CE146" s="831"/>
      <c r="CF146" s="831"/>
      <c r="CG146" s="831"/>
      <c r="CH146" s="831"/>
      <c r="CI146" s="831"/>
      <c r="CJ146" s="831"/>
      <c r="CK146" s="831"/>
      <c r="CL146" s="831"/>
      <c r="CM146" s="831"/>
      <c r="CN146" s="831"/>
      <c r="CO146" s="831"/>
      <c r="CP146" s="831"/>
      <c r="CQ146" s="831"/>
      <c r="CR146" s="831"/>
      <c r="CS146" s="831"/>
    </row>
    <row r="147" spans="2:97" ht="35.25" customHeight="1" thickBot="1">
      <c r="B147" s="10"/>
      <c r="C147" s="3643"/>
      <c r="D147" s="3644"/>
      <c r="E147" s="3644"/>
      <c r="F147" s="3644"/>
      <c r="G147" s="3644"/>
      <c r="H147" s="3644"/>
      <c r="I147" s="3644"/>
      <c r="J147" s="3644"/>
      <c r="K147" s="3644"/>
      <c r="L147" s="3644"/>
      <c r="M147" s="3644"/>
      <c r="N147" s="3644"/>
      <c r="O147" s="3645"/>
      <c r="P147" s="313"/>
      <c r="Q147" s="4550" t="str">
        <f>Formula!AL922</f>
        <v xml:space="preserve"> CAS Arrears  for the Period From  Aug-24 To  Nov-25</v>
      </c>
      <c r="R147" s="4551"/>
      <c r="S147" s="4551"/>
      <c r="T147" s="4551"/>
      <c r="U147" s="4551"/>
      <c r="V147" s="4552"/>
      <c r="W147" s="1097"/>
      <c r="X147" s="3094"/>
      <c r="Y147" s="3094"/>
      <c r="Z147" s="3094"/>
      <c r="AA147" s="3095">
        <f>SUM(X147+Y147+Z147)</f>
        <v>0</v>
      </c>
      <c r="AB147" s="3094"/>
      <c r="AC147" s="10"/>
      <c r="AD147" s="3274"/>
      <c r="AE147" s="2093"/>
      <c r="AF147" s="3275"/>
      <c r="AG147" s="10"/>
      <c r="AH147" s="1548"/>
      <c r="AI147" s="1548"/>
      <c r="AJ147" s="1548"/>
      <c r="AK147" s="1548"/>
      <c r="AL147" s="1548"/>
      <c r="AM147" s="1548"/>
      <c r="AN147" s="1548"/>
      <c r="AO147" s="1548"/>
      <c r="AP147" s="1548"/>
      <c r="AQ147" s="1548"/>
      <c r="AR147" s="1548"/>
      <c r="AS147" s="1896"/>
      <c r="AT147" s="1896"/>
      <c r="AU147" s="1896"/>
      <c r="AV147" s="50"/>
      <c r="AW147" s="50"/>
      <c r="AX147" s="47"/>
      <c r="AY147" s="47"/>
      <c r="AZ147" s="7"/>
      <c r="BA147" s="7"/>
      <c r="BB147" s="7"/>
      <c r="BC147" s="7"/>
      <c r="BD147" s="7"/>
      <c r="BE147" s="634"/>
      <c r="BF147" s="634"/>
      <c r="BG147" s="634"/>
      <c r="BH147" s="634"/>
      <c r="BI147" s="634"/>
      <c r="BJ147" s="634"/>
      <c r="BK147" s="634"/>
      <c r="BL147" s="634"/>
      <c r="BM147" s="634"/>
      <c r="BN147" s="635"/>
      <c r="BO147" s="634"/>
      <c r="BP147" s="634"/>
      <c r="BQ147" s="634"/>
      <c r="BR147" s="634"/>
      <c r="BS147" s="3"/>
      <c r="BT147" s="3"/>
      <c r="BU147" s="3"/>
      <c r="BV147" s="3"/>
      <c r="BW147" s="3"/>
      <c r="BX147" s="3"/>
      <c r="BY147" s="3"/>
      <c r="BZ147" s="3"/>
      <c r="CA147" s="3"/>
      <c r="CB147" s="831"/>
      <c r="CC147" s="831"/>
      <c r="CD147" s="831"/>
      <c r="CE147" s="831"/>
      <c r="CF147" s="831"/>
      <c r="CG147" s="831"/>
      <c r="CH147" s="831"/>
      <c r="CI147" s="831"/>
      <c r="CJ147" s="831"/>
      <c r="CK147" s="831"/>
      <c r="CL147" s="831"/>
      <c r="CM147" s="831"/>
      <c r="CN147" s="831"/>
      <c r="CO147" s="831"/>
      <c r="CP147" s="831"/>
      <c r="CQ147" s="831"/>
      <c r="CR147" s="831"/>
      <c r="CS147" s="831"/>
    </row>
    <row r="148" spans="2:97" ht="30.75" customHeight="1" thickBot="1">
      <c r="B148" s="10"/>
      <c r="C148" s="3643"/>
      <c r="D148" s="3644"/>
      <c r="E148" s="3644"/>
      <c r="F148" s="3644"/>
      <c r="G148" s="3644"/>
      <c r="H148" s="3644"/>
      <c r="I148" s="3644"/>
      <c r="J148" s="3644"/>
      <c r="K148" s="3644"/>
      <c r="L148" s="3644"/>
      <c r="M148" s="3644"/>
      <c r="N148" s="3644"/>
      <c r="O148" s="3645"/>
      <c r="P148" s="313"/>
      <c r="Q148" s="4541" t="s">
        <v>1592</v>
      </c>
      <c r="R148" s="4542"/>
      <c r="S148" s="4542"/>
      <c r="T148" s="4542"/>
      <c r="U148" s="4542"/>
      <c r="V148" s="4543"/>
      <c r="W148" s="2061"/>
      <c r="X148" s="3271"/>
      <c r="Y148" s="3080"/>
      <c r="Z148" s="3080"/>
      <c r="AA148" s="3080"/>
      <c r="AB148" s="3535"/>
      <c r="AC148" s="10"/>
      <c r="AD148" s="3274"/>
      <c r="AE148" s="2093"/>
      <c r="AF148" s="3275"/>
      <c r="AG148" s="10"/>
      <c r="AH148" s="1548"/>
      <c r="AI148" s="1548"/>
      <c r="AJ148" s="1548"/>
      <c r="AK148" s="1548"/>
      <c r="AL148" s="1548"/>
      <c r="AM148" s="1548"/>
      <c r="AN148" s="1548"/>
      <c r="AO148" s="1548"/>
      <c r="AP148" s="1548"/>
      <c r="AQ148" s="1548"/>
      <c r="AR148" s="1548"/>
      <c r="AS148" s="1896"/>
      <c r="AT148" s="1896"/>
      <c r="AU148" s="1896"/>
      <c r="AV148" s="50"/>
      <c r="AW148" s="50"/>
      <c r="AX148" s="47"/>
      <c r="AY148" s="47"/>
      <c r="AZ148" s="7"/>
      <c r="BA148" s="7"/>
      <c r="BB148" s="7"/>
      <c r="BC148" s="7"/>
      <c r="BD148" s="7"/>
      <c r="BE148" s="634"/>
      <c r="BF148" s="634"/>
      <c r="BG148" s="634"/>
      <c r="BH148" s="634"/>
      <c r="BI148" s="634"/>
      <c r="BJ148" s="634"/>
      <c r="BK148" s="634"/>
      <c r="BL148" s="634"/>
      <c r="BM148" s="634"/>
      <c r="BN148" s="635"/>
      <c r="BO148" s="634"/>
      <c r="BP148" s="634"/>
      <c r="BQ148" s="634"/>
      <c r="BR148" s="634"/>
      <c r="BS148" s="3"/>
      <c r="BT148" s="3"/>
      <c r="BU148" s="3"/>
      <c r="BV148" s="3"/>
      <c r="BW148" s="3"/>
      <c r="BX148" s="3"/>
      <c r="BY148" s="3"/>
      <c r="BZ148" s="3"/>
      <c r="CA148" s="3"/>
      <c r="CB148" s="831"/>
      <c r="CC148" s="831"/>
      <c r="CD148" s="831"/>
      <c r="CE148" s="831"/>
      <c r="CF148" s="831"/>
      <c r="CG148" s="831"/>
      <c r="CH148" s="831"/>
      <c r="CI148" s="831"/>
      <c r="CJ148" s="831"/>
      <c r="CK148" s="831"/>
      <c r="CL148" s="831"/>
      <c r="CM148" s="831"/>
      <c r="CN148" s="831"/>
      <c r="CO148" s="831"/>
      <c r="CP148" s="831"/>
      <c r="CQ148" s="831"/>
      <c r="CR148" s="831"/>
      <c r="CS148" s="831"/>
    </row>
    <row r="149" spans="2:97" ht="30.75" customHeight="1" thickBot="1">
      <c r="B149" s="10"/>
      <c r="C149" s="3643"/>
      <c r="D149" s="3644"/>
      <c r="E149" s="3644"/>
      <c r="F149" s="3644"/>
      <c r="G149" s="3644"/>
      <c r="H149" s="3644"/>
      <c r="I149" s="3644"/>
      <c r="J149" s="3644"/>
      <c r="K149" s="3644"/>
      <c r="L149" s="3644"/>
      <c r="M149" s="3644"/>
      <c r="N149" s="3644"/>
      <c r="O149" s="3645"/>
      <c r="P149" s="313"/>
      <c r="Q149" s="3537"/>
      <c r="R149" s="3534"/>
      <c r="S149" s="3534"/>
      <c r="T149" s="3534"/>
      <c r="U149" s="3534"/>
      <c r="V149" s="3538"/>
      <c r="W149" s="2061"/>
      <c r="X149" s="3533"/>
      <c r="Y149" s="3080"/>
      <c r="Z149" s="3080"/>
      <c r="AA149" s="3080"/>
      <c r="AB149" s="3536"/>
      <c r="AC149" s="10"/>
      <c r="AD149" s="3274"/>
      <c r="AE149" s="2093"/>
      <c r="AF149" s="3275"/>
      <c r="AG149" s="10"/>
      <c r="AH149" s="1548"/>
      <c r="AI149" s="1548"/>
      <c r="AJ149" s="1548"/>
      <c r="AK149" s="1548"/>
      <c r="AL149" s="1548"/>
      <c r="AM149" s="1548"/>
      <c r="AN149" s="1548"/>
      <c r="AO149" s="1548"/>
      <c r="AP149" s="1548"/>
      <c r="AQ149" s="1548"/>
      <c r="AR149" s="1548"/>
      <c r="AS149" s="1896"/>
      <c r="AT149" s="1896"/>
      <c r="AU149" s="1896"/>
      <c r="AV149" s="50"/>
      <c r="AW149" s="50"/>
      <c r="AX149" s="47"/>
      <c r="AY149" s="47"/>
      <c r="AZ149" s="7"/>
      <c r="BA149" s="7"/>
      <c r="BB149" s="7"/>
      <c r="BC149" s="7"/>
      <c r="BD149" s="7"/>
      <c r="BE149" s="634"/>
      <c r="BF149" s="634"/>
      <c r="BG149" s="634"/>
      <c r="BH149" s="634"/>
      <c r="BI149" s="634"/>
      <c r="BJ149" s="634"/>
      <c r="BK149" s="634"/>
      <c r="BL149" s="634"/>
      <c r="BM149" s="634"/>
      <c r="BN149" s="635"/>
      <c r="BO149" s="634"/>
      <c r="BP149" s="634"/>
      <c r="BQ149" s="634"/>
      <c r="BR149" s="634"/>
      <c r="BS149" s="3"/>
      <c r="BT149" s="3"/>
      <c r="BU149" s="3"/>
      <c r="BV149" s="3"/>
      <c r="BW149" s="3"/>
      <c r="BX149" s="3"/>
      <c r="BY149" s="3"/>
      <c r="BZ149" s="3"/>
      <c r="CA149" s="3"/>
      <c r="CB149" s="831"/>
      <c r="CC149" s="831"/>
      <c r="CD149" s="831"/>
      <c r="CE149" s="831"/>
      <c r="CF149" s="831"/>
      <c r="CG149" s="831"/>
      <c r="CH149" s="831"/>
      <c r="CI149" s="831"/>
      <c r="CJ149" s="831"/>
      <c r="CK149" s="831"/>
      <c r="CL149" s="831"/>
      <c r="CM149" s="831"/>
      <c r="CN149" s="831"/>
      <c r="CO149" s="831"/>
      <c r="CP149" s="831"/>
      <c r="CQ149" s="831"/>
      <c r="CR149" s="831"/>
      <c r="CS149" s="831"/>
    </row>
    <row r="150" spans="2:97" ht="33.75" customHeight="1" thickTop="1" thickBot="1">
      <c r="B150" s="10"/>
      <c r="C150" s="3643"/>
      <c r="D150" s="3644"/>
      <c r="E150" s="3644"/>
      <c r="F150" s="3644"/>
      <c r="G150" s="3644"/>
      <c r="H150" s="3644"/>
      <c r="I150" s="3644"/>
      <c r="J150" s="3644"/>
      <c r="K150" s="3644"/>
      <c r="L150" s="3644"/>
      <c r="M150" s="3644"/>
      <c r="N150" s="3644"/>
      <c r="O150" s="3645"/>
      <c r="P150" s="313"/>
      <c r="Q150" s="4445" t="s">
        <v>1690</v>
      </c>
      <c r="R150" s="4446"/>
      <c r="S150" s="4446"/>
      <c r="T150" s="4446"/>
      <c r="U150" s="4446"/>
      <c r="V150" s="4446"/>
      <c r="W150" s="4446"/>
      <c r="X150" s="4446"/>
      <c r="Y150" s="4446"/>
      <c r="Z150" s="4446"/>
      <c r="AA150" s="4446"/>
      <c r="AB150" s="4447"/>
      <c r="AC150" s="10"/>
      <c r="AD150" s="3274"/>
      <c r="AE150" s="2093"/>
      <c r="AF150" s="3275"/>
      <c r="AG150" s="10"/>
      <c r="AH150" s="1548"/>
      <c r="AI150" s="1548"/>
      <c r="AJ150" s="1548"/>
      <c r="AK150" s="1548"/>
      <c r="AL150" s="1548"/>
      <c r="AM150" s="1548"/>
      <c r="AN150" s="1548"/>
      <c r="AO150" s="1548"/>
      <c r="AP150" s="1548"/>
      <c r="AQ150" s="1548"/>
      <c r="AR150" s="1548"/>
      <c r="AS150" s="1896"/>
      <c r="AT150" s="1896"/>
      <c r="AU150" s="1896"/>
      <c r="AV150" s="50"/>
      <c r="AW150" s="50"/>
      <c r="AX150" s="47"/>
      <c r="AY150" s="47"/>
      <c r="AZ150" s="7"/>
      <c r="BA150" s="7"/>
      <c r="BB150" s="7"/>
      <c r="BC150" s="7"/>
      <c r="BD150" s="7"/>
      <c r="BE150" s="634"/>
      <c r="BF150" s="634"/>
      <c r="BG150" s="634"/>
      <c r="BH150" s="634"/>
      <c r="BI150" s="634"/>
      <c r="BJ150" s="634"/>
      <c r="BK150" s="634"/>
      <c r="BL150" s="634"/>
      <c r="BM150" s="634"/>
      <c r="BN150" s="635"/>
      <c r="BO150" s="634"/>
      <c r="BP150" s="634"/>
      <c r="BQ150" s="634"/>
      <c r="BR150" s="634"/>
      <c r="BS150" s="3"/>
      <c r="BT150" s="3"/>
      <c r="BU150" s="3"/>
      <c r="BV150" s="3"/>
      <c r="BW150" s="3"/>
      <c r="BX150" s="3"/>
      <c r="BY150" s="3"/>
      <c r="BZ150" s="3"/>
      <c r="CA150" s="3"/>
      <c r="CB150" s="831"/>
      <c r="CC150" s="831"/>
      <c r="CD150" s="831"/>
      <c r="CE150" s="831"/>
      <c r="CF150" s="831"/>
      <c r="CG150" s="831"/>
      <c r="CH150" s="831"/>
      <c r="CI150" s="831"/>
      <c r="CJ150" s="831"/>
      <c r="CK150" s="831"/>
      <c r="CL150" s="831"/>
      <c r="CM150" s="831"/>
      <c r="CN150" s="831"/>
      <c r="CO150" s="831"/>
      <c r="CP150" s="831"/>
      <c r="CQ150" s="831"/>
      <c r="CR150" s="831"/>
      <c r="CS150" s="831"/>
    </row>
    <row r="151" spans="2:97" ht="39.75" customHeight="1" thickTop="1" thickBot="1">
      <c r="B151" s="10"/>
      <c r="C151" s="3643"/>
      <c r="D151" s="3644"/>
      <c r="E151" s="3644"/>
      <c r="F151" s="3644"/>
      <c r="G151" s="3644"/>
      <c r="H151" s="3644"/>
      <c r="I151" s="3644"/>
      <c r="J151" s="3644"/>
      <c r="K151" s="3644"/>
      <c r="L151" s="3644"/>
      <c r="M151" s="3644"/>
      <c r="N151" s="3644"/>
      <c r="O151" s="3645"/>
      <c r="P151" s="313"/>
      <c r="Q151" s="4448" t="s">
        <v>1691</v>
      </c>
      <c r="R151" s="4449"/>
      <c r="S151" s="4449"/>
      <c r="T151" s="4449"/>
      <c r="U151" s="4449"/>
      <c r="V151" s="4450"/>
      <c r="W151" s="3224"/>
      <c r="X151" s="4454"/>
      <c r="Y151" s="4455"/>
      <c r="Z151" s="4455"/>
      <c r="AA151" s="4455"/>
      <c r="AB151" s="4456"/>
      <c r="AC151" s="10"/>
      <c r="AD151" s="3274"/>
      <c r="AE151" s="2093"/>
      <c r="AF151" s="3275"/>
      <c r="AG151" s="10"/>
      <c r="AH151" s="1548"/>
      <c r="AI151" s="1548"/>
      <c r="AJ151" s="1548"/>
      <c r="AK151" s="1548"/>
      <c r="AL151" s="1548"/>
      <c r="AM151" s="1548"/>
      <c r="AN151" s="1548"/>
      <c r="AO151" s="1548"/>
      <c r="AP151" s="1548"/>
      <c r="AQ151" s="1548"/>
      <c r="AR151" s="1548"/>
      <c r="AS151" s="1896"/>
      <c r="AT151" s="1896"/>
      <c r="AU151" s="1896"/>
      <c r="AV151" s="50"/>
      <c r="AW151" s="50"/>
      <c r="AX151" s="47"/>
      <c r="AY151" s="47"/>
      <c r="AZ151" s="7"/>
      <c r="BA151" s="7"/>
      <c r="BB151" s="7"/>
      <c r="BC151" s="7"/>
      <c r="BD151" s="7"/>
      <c r="BE151" s="634"/>
      <c r="BF151" s="634"/>
      <c r="BG151" s="634"/>
      <c r="BH151" s="634"/>
      <c r="BI151" s="634"/>
      <c r="BJ151" s="634"/>
      <c r="BK151" s="634"/>
      <c r="BL151" s="634"/>
      <c r="BM151" s="634"/>
      <c r="BN151" s="635"/>
      <c r="BO151" s="634"/>
      <c r="BP151" s="634"/>
      <c r="BQ151" s="634"/>
      <c r="BR151" s="634"/>
      <c r="BS151" s="3"/>
      <c r="BT151" s="3"/>
      <c r="BU151" s="3"/>
      <c r="BV151" s="3"/>
      <c r="BW151" s="3"/>
      <c r="BX151" s="3"/>
      <c r="BY151" s="3"/>
      <c r="BZ151" s="3"/>
      <c r="CA151" s="3"/>
      <c r="CB151" s="831"/>
      <c r="CC151" s="831"/>
      <c r="CD151" s="831"/>
      <c r="CE151" s="831"/>
      <c r="CF151" s="831"/>
      <c r="CG151" s="831"/>
      <c r="CH151" s="831"/>
      <c r="CI151" s="831"/>
      <c r="CJ151" s="831"/>
      <c r="CK151" s="831"/>
      <c r="CL151" s="831"/>
      <c r="CM151" s="831"/>
      <c r="CN151" s="831"/>
      <c r="CO151" s="831"/>
      <c r="CP151" s="831"/>
      <c r="CQ151" s="831"/>
      <c r="CR151" s="831"/>
      <c r="CS151" s="831"/>
    </row>
    <row r="152" spans="2:97" ht="27.95" customHeight="1" thickBot="1">
      <c r="B152" s="10"/>
      <c r="C152" s="3643"/>
      <c r="D152" s="3644"/>
      <c r="E152" s="3644"/>
      <c r="F152" s="3644"/>
      <c r="G152" s="3644"/>
      <c r="H152" s="3644"/>
      <c r="I152" s="3644"/>
      <c r="J152" s="3644"/>
      <c r="K152" s="3644"/>
      <c r="L152" s="3644"/>
      <c r="M152" s="3644"/>
      <c r="N152" s="3644"/>
      <c r="O152" s="3645"/>
      <c r="P152" s="313"/>
      <c r="Q152" s="2774"/>
      <c r="R152" s="2775"/>
      <c r="S152" s="2775"/>
      <c r="T152" s="2775"/>
      <c r="U152" s="2775"/>
      <c r="V152" s="2776"/>
      <c r="W152" s="1097"/>
      <c r="X152" s="3539" t="s">
        <v>521</v>
      </c>
      <c r="Y152" s="3092" t="s">
        <v>188</v>
      </c>
      <c r="Z152" s="3093" t="s">
        <v>189</v>
      </c>
      <c r="AA152" s="3541" t="s">
        <v>22</v>
      </c>
      <c r="AB152" s="4457"/>
      <c r="AC152" s="10"/>
      <c r="AD152" s="3274"/>
      <c r="AE152" s="2093"/>
      <c r="AF152" s="3275"/>
      <c r="AG152" s="10"/>
      <c r="AH152" s="1548"/>
      <c r="AI152" s="1548"/>
      <c r="AJ152" s="1548"/>
      <c r="AK152" s="1548"/>
      <c r="AL152" s="1548"/>
      <c r="AM152" s="1548"/>
      <c r="AN152" s="1548"/>
      <c r="AO152" s="1548"/>
      <c r="AP152" s="1548"/>
      <c r="AQ152" s="1548"/>
      <c r="AR152" s="1548"/>
      <c r="AS152" s="1896"/>
      <c r="AT152" s="1896"/>
      <c r="AU152" s="1896"/>
      <c r="AV152" s="50"/>
      <c r="AW152" s="50"/>
      <c r="AX152" s="47"/>
      <c r="AY152" s="47"/>
      <c r="AZ152" s="7"/>
      <c r="BA152" s="7"/>
      <c r="BB152" s="7"/>
      <c r="BC152" s="7"/>
      <c r="BD152" s="7"/>
      <c r="BE152" s="634"/>
      <c r="BF152" s="634"/>
      <c r="BG152" s="634"/>
      <c r="BH152" s="634"/>
      <c r="BI152" s="634"/>
      <c r="BJ152" s="634"/>
      <c r="BK152" s="634"/>
      <c r="BL152" s="634"/>
      <c r="BM152" s="634"/>
      <c r="BN152" s="635"/>
      <c r="BO152" s="634"/>
      <c r="BP152" s="634"/>
      <c r="BQ152" s="634"/>
      <c r="BR152" s="634"/>
      <c r="BS152" s="3"/>
      <c r="BT152" s="3"/>
      <c r="BU152" s="3"/>
      <c r="BV152" s="3"/>
      <c r="BW152" s="3"/>
      <c r="BX152" s="3"/>
      <c r="BY152" s="3"/>
      <c r="BZ152" s="3"/>
      <c r="CA152" s="3"/>
      <c r="CB152" s="831"/>
      <c r="CC152" s="831"/>
      <c r="CD152" s="831"/>
      <c r="CE152" s="831"/>
      <c r="CF152" s="831"/>
      <c r="CG152" s="831"/>
      <c r="CH152" s="831"/>
      <c r="CI152" s="831"/>
      <c r="CJ152" s="831"/>
      <c r="CK152" s="831"/>
      <c r="CL152" s="831"/>
      <c r="CM152" s="831"/>
      <c r="CN152" s="831"/>
      <c r="CO152" s="831"/>
      <c r="CP152" s="831"/>
      <c r="CQ152" s="831"/>
      <c r="CR152" s="831"/>
      <c r="CS152" s="831"/>
    </row>
    <row r="153" spans="2:97" ht="33" customHeight="1" thickBot="1">
      <c r="B153" s="10"/>
      <c r="C153" s="3643"/>
      <c r="D153" s="3644"/>
      <c r="E153" s="3644"/>
      <c r="F153" s="3644"/>
      <c r="G153" s="3644"/>
      <c r="H153" s="3644"/>
      <c r="I153" s="3644"/>
      <c r="J153" s="3644"/>
      <c r="K153" s="3644"/>
      <c r="L153" s="3644"/>
      <c r="M153" s="3644"/>
      <c r="N153" s="3644"/>
      <c r="O153" s="3645"/>
      <c r="P153" s="313"/>
      <c r="Q153" s="4451" t="s">
        <v>1692</v>
      </c>
      <c r="R153" s="4452"/>
      <c r="S153" s="4452"/>
      <c r="T153" s="4452"/>
      <c r="U153" s="4452"/>
      <c r="V153" s="4453"/>
      <c r="W153" s="1097"/>
      <c r="X153" s="3540"/>
      <c r="Y153" s="3094"/>
      <c r="Z153" s="3094"/>
      <c r="AA153" s="3542">
        <f>SUM(X153+Y153+Z153)</f>
        <v>0</v>
      </c>
      <c r="AB153" s="4457"/>
      <c r="AC153" s="10"/>
      <c r="AD153" s="3274"/>
      <c r="AE153" s="2093"/>
      <c r="AF153" s="3275"/>
      <c r="AG153" s="10"/>
      <c r="AH153" s="1548"/>
      <c r="AI153" s="1548"/>
      <c r="AJ153" s="1548"/>
      <c r="AK153" s="1548"/>
      <c r="AL153" s="1548"/>
      <c r="AM153" s="1548"/>
      <c r="AN153" s="1548"/>
      <c r="AO153" s="1548"/>
      <c r="AP153" s="1548"/>
      <c r="AQ153" s="1548"/>
      <c r="AR153" s="1548"/>
      <c r="AS153" s="1896"/>
      <c r="AT153" s="1896"/>
      <c r="AU153" s="1896"/>
      <c r="AV153" s="50"/>
      <c r="AW153" s="50"/>
      <c r="AX153" s="47"/>
      <c r="AY153" s="47"/>
      <c r="AZ153" s="7"/>
      <c r="BA153" s="7"/>
      <c r="BB153" s="7"/>
      <c r="BC153" s="7"/>
      <c r="BD153" s="7"/>
      <c r="BE153" s="634"/>
      <c r="BF153" s="634"/>
      <c r="BG153" s="634"/>
      <c r="BH153" s="634"/>
      <c r="BI153" s="634"/>
      <c r="BJ153" s="634"/>
      <c r="BK153" s="634"/>
      <c r="BL153" s="634"/>
      <c r="BM153" s="634"/>
      <c r="BN153" s="635"/>
      <c r="BO153" s="634"/>
      <c r="BP153" s="634"/>
      <c r="BQ153" s="634"/>
      <c r="BR153" s="634"/>
      <c r="BS153" s="3"/>
      <c r="BT153" s="3"/>
      <c r="BU153" s="3"/>
      <c r="BV153" s="3"/>
      <c r="BW153" s="3"/>
      <c r="BX153" s="3"/>
      <c r="BY153" s="3"/>
      <c r="BZ153" s="3"/>
      <c r="CA153" s="3"/>
      <c r="CB153" s="831"/>
      <c r="CC153" s="831"/>
      <c r="CD153" s="831"/>
      <c r="CE153" s="831"/>
      <c r="CF153" s="831"/>
      <c r="CG153" s="831"/>
      <c r="CH153" s="831"/>
      <c r="CI153" s="831"/>
      <c r="CJ153" s="831"/>
      <c r="CK153" s="831"/>
      <c r="CL153" s="831"/>
      <c r="CM153" s="831"/>
      <c r="CN153" s="831"/>
      <c r="CO153" s="831"/>
      <c r="CP153" s="831"/>
      <c r="CQ153" s="831"/>
      <c r="CR153" s="831"/>
      <c r="CS153" s="831"/>
    </row>
    <row r="154" spans="2:97" ht="27.95" customHeight="1">
      <c r="B154" s="10"/>
      <c r="C154" s="3643"/>
      <c r="D154" s="3644"/>
      <c r="E154" s="3644"/>
      <c r="F154" s="3644"/>
      <c r="G154" s="3644"/>
      <c r="H154" s="3644"/>
      <c r="I154" s="3644"/>
      <c r="J154" s="3644"/>
      <c r="K154" s="3644"/>
      <c r="L154" s="3644"/>
      <c r="M154" s="3644"/>
      <c r="N154" s="3644"/>
      <c r="O154" s="3645"/>
      <c r="P154" s="313"/>
      <c r="Q154" s="2777"/>
      <c r="R154" s="2769"/>
      <c r="S154" s="2769"/>
      <c r="T154" s="2769"/>
      <c r="U154" s="2769"/>
      <c r="V154" s="2770"/>
      <c r="W154" s="1097"/>
      <c r="X154" s="3550"/>
      <c r="Y154" s="3551"/>
      <c r="Z154" s="3551"/>
      <c r="AA154" s="3551"/>
      <c r="AB154" s="4457"/>
      <c r="AC154" s="10"/>
      <c r="AD154" s="3274"/>
      <c r="AE154" s="2093"/>
      <c r="AF154" s="3275"/>
      <c r="AG154" s="10"/>
      <c r="AH154" s="1548"/>
      <c r="AI154" s="1548"/>
      <c r="AJ154" s="1548"/>
      <c r="AK154" s="1548"/>
      <c r="AL154" s="1548"/>
      <c r="AM154" s="1548"/>
      <c r="AN154" s="1548"/>
      <c r="AO154" s="1548"/>
      <c r="AP154" s="1548"/>
      <c r="AQ154" s="1548"/>
      <c r="AR154" s="1548"/>
      <c r="AS154" s="1896"/>
      <c r="AT154" s="1896"/>
      <c r="AU154" s="1896"/>
      <c r="AV154" s="50"/>
      <c r="AW154" s="50"/>
      <c r="AX154" s="47"/>
      <c r="AY154" s="47"/>
      <c r="AZ154" s="7"/>
      <c r="BA154" s="7"/>
      <c r="BB154" s="7"/>
      <c r="BC154" s="7"/>
      <c r="BD154" s="7"/>
      <c r="BE154" s="634"/>
      <c r="BF154" s="634"/>
      <c r="BG154" s="634"/>
      <c r="BH154" s="634"/>
      <c r="BI154" s="634"/>
      <c r="BJ154" s="634"/>
      <c r="BK154" s="634"/>
      <c r="BL154" s="634"/>
      <c r="BM154" s="634"/>
      <c r="BN154" s="635"/>
      <c r="BO154" s="634"/>
      <c r="BP154" s="634"/>
      <c r="BQ154" s="634"/>
      <c r="BR154" s="634"/>
      <c r="BS154" s="3"/>
      <c r="BT154" s="3"/>
      <c r="BU154" s="3"/>
      <c r="BV154" s="3"/>
      <c r="BW154" s="3"/>
      <c r="BX154" s="3"/>
      <c r="BY154" s="3"/>
      <c r="BZ154" s="3"/>
      <c r="CA154" s="3"/>
      <c r="CB154" s="831"/>
      <c r="CC154" s="831"/>
      <c r="CD154" s="831"/>
      <c r="CE154" s="831"/>
      <c r="CF154" s="831"/>
      <c r="CG154" s="831"/>
      <c r="CH154" s="831"/>
      <c r="CI154" s="831"/>
      <c r="CJ154" s="831"/>
      <c r="CK154" s="831"/>
      <c r="CL154" s="831"/>
      <c r="CM154" s="831"/>
      <c r="CN154" s="831"/>
      <c r="CO154" s="831"/>
      <c r="CP154" s="831"/>
      <c r="CQ154" s="831"/>
      <c r="CR154" s="831"/>
      <c r="CS154" s="831"/>
    </row>
    <row r="155" spans="2:97" ht="27.95" customHeight="1" thickBot="1">
      <c r="B155" s="10"/>
      <c r="C155" s="3646"/>
      <c r="D155" s="3623"/>
      <c r="E155" s="3623"/>
      <c r="F155" s="3623"/>
      <c r="G155" s="3623"/>
      <c r="H155" s="3623"/>
      <c r="I155" s="3623"/>
      <c r="J155" s="3623"/>
      <c r="K155" s="3623"/>
      <c r="L155" s="3623"/>
      <c r="M155" s="3623"/>
      <c r="N155" s="3623"/>
      <c r="O155" s="3647"/>
      <c r="P155" s="313"/>
      <c r="Q155" s="2778"/>
      <c r="R155" s="2779"/>
      <c r="S155" s="2779"/>
      <c r="T155" s="2779"/>
      <c r="U155" s="2779"/>
      <c r="V155" s="2780"/>
      <c r="W155" s="1097"/>
      <c r="X155" s="3552"/>
      <c r="Y155" s="3553"/>
      <c r="Z155" s="3553"/>
      <c r="AA155" s="3553"/>
      <c r="AB155" s="4458"/>
      <c r="AC155" s="10"/>
      <c r="AD155" s="3276"/>
      <c r="AE155" s="3277"/>
      <c r="AF155" s="3278"/>
      <c r="AG155" s="10"/>
      <c r="AH155" s="1548"/>
      <c r="AI155" s="1548"/>
      <c r="AJ155" s="1548"/>
      <c r="AK155" s="1548"/>
      <c r="AL155" s="1548"/>
      <c r="AM155" s="1548"/>
      <c r="AN155" s="1548"/>
      <c r="AO155" s="1548"/>
      <c r="AP155" s="1548"/>
      <c r="AQ155" s="1548"/>
      <c r="AR155" s="1548"/>
      <c r="AS155" s="1896"/>
      <c r="AT155" s="1896"/>
      <c r="AU155" s="1896"/>
      <c r="AV155" s="50"/>
      <c r="AW155" s="50"/>
      <c r="AX155" s="47"/>
      <c r="AY155" s="47"/>
      <c r="AZ155" s="7"/>
      <c r="BA155" s="7"/>
      <c r="BB155" s="7"/>
      <c r="BC155" s="7"/>
      <c r="BD155" s="7"/>
      <c r="BE155" s="634"/>
      <c r="BF155" s="634"/>
      <c r="BG155" s="634"/>
      <c r="BH155" s="634"/>
      <c r="BI155" s="634"/>
      <c r="BJ155" s="634"/>
      <c r="BK155" s="634"/>
      <c r="BL155" s="634"/>
      <c r="BM155" s="634"/>
      <c r="BN155" s="635"/>
      <c r="BO155" s="634"/>
      <c r="BP155" s="634"/>
      <c r="BQ155" s="634"/>
      <c r="BR155" s="634"/>
      <c r="BS155" s="3"/>
      <c r="BT155" s="3"/>
      <c r="BU155" s="3"/>
      <c r="BV155" s="3"/>
      <c r="BW155" s="3"/>
      <c r="BX155" s="3"/>
      <c r="BY155" s="3"/>
      <c r="BZ155" s="3"/>
      <c r="CA155" s="3"/>
      <c r="CB155" s="831"/>
      <c r="CC155" s="831"/>
      <c r="CD155" s="831"/>
      <c r="CE155" s="831"/>
      <c r="CF155" s="831"/>
      <c r="CG155" s="831"/>
      <c r="CH155" s="831"/>
      <c r="CI155" s="831"/>
      <c r="CJ155" s="831"/>
      <c r="CK155" s="831"/>
      <c r="CL155" s="831"/>
      <c r="CM155" s="831"/>
      <c r="CN155" s="831"/>
      <c r="CO155" s="831"/>
      <c r="CP155" s="831"/>
      <c r="CQ155" s="831"/>
      <c r="CR155" s="831"/>
      <c r="CS155" s="831"/>
    </row>
    <row r="156" spans="2:97" ht="27" customHeight="1" thickBot="1">
      <c r="B156" s="3309"/>
      <c r="C156" s="3279"/>
      <c r="D156" s="3280"/>
      <c r="E156" s="3280"/>
      <c r="F156" s="3280"/>
      <c r="G156" s="3280"/>
      <c r="H156" s="3280"/>
      <c r="I156" s="3280"/>
      <c r="J156" s="3280"/>
      <c r="K156" s="3280"/>
      <c r="L156" s="3280"/>
      <c r="M156" s="3280"/>
      <c r="N156" s="3280"/>
      <c r="O156" s="3281"/>
      <c r="P156" s="2077"/>
      <c r="Q156" s="3282"/>
      <c r="R156" s="3283"/>
      <c r="S156" s="3283"/>
      <c r="T156" s="3283"/>
      <c r="U156" s="3283"/>
      <c r="V156" s="3284"/>
      <c r="W156" s="2078"/>
      <c r="X156" s="3285"/>
      <c r="Y156" s="3286"/>
      <c r="Z156" s="3286"/>
      <c r="AA156" s="3286"/>
      <c r="AB156" s="3287"/>
      <c r="AC156" s="942"/>
      <c r="AD156" s="3288"/>
      <c r="AE156" s="3289"/>
      <c r="AF156" s="3290"/>
      <c r="AG156" s="10"/>
      <c r="AH156" s="1548"/>
      <c r="AI156" s="1548"/>
      <c r="AJ156" s="1548"/>
      <c r="AK156" s="1548"/>
      <c r="AL156" s="1548"/>
      <c r="AM156" s="1548"/>
      <c r="AN156" s="1548"/>
      <c r="AO156" s="1548"/>
      <c r="AP156" s="1548"/>
      <c r="AQ156" s="1548"/>
      <c r="AR156" s="1548"/>
      <c r="AS156" s="1896"/>
      <c r="AT156" s="1896"/>
      <c r="AU156" s="1896"/>
      <c r="AV156" s="50"/>
      <c r="AW156" s="50"/>
      <c r="AX156" s="47"/>
      <c r="AY156" s="47"/>
      <c r="AZ156" s="7"/>
      <c r="BA156" s="7"/>
      <c r="BB156" s="7"/>
      <c r="BC156" s="7"/>
      <c r="BD156" s="7"/>
      <c r="BE156" s="634"/>
      <c r="BF156" s="634"/>
      <c r="BG156" s="634"/>
      <c r="BH156" s="634"/>
      <c r="BI156" s="634"/>
      <c r="BJ156" s="634"/>
      <c r="BK156" s="634"/>
      <c r="BL156" s="634"/>
      <c r="BM156" s="634"/>
      <c r="BN156" s="635"/>
      <c r="BO156" s="634"/>
      <c r="BP156" s="634"/>
      <c r="BQ156" s="634"/>
      <c r="BR156" s="634"/>
      <c r="BS156" s="3"/>
      <c r="BT156" s="3"/>
      <c r="BU156" s="3"/>
      <c r="BV156" s="3"/>
      <c r="BW156" s="3"/>
      <c r="BX156" s="3"/>
      <c r="BY156" s="3"/>
      <c r="BZ156" s="3"/>
      <c r="CA156" s="3"/>
      <c r="CB156" s="831"/>
      <c r="CC156" s="831"/>
      <c r="CD156" s="831"/>
      <c r="CE156" s="831"/>
      <c r="CF156" s="831"/>
      <c r="CG156" s="831"/>
      <c r="CH156" s="831"/>
      <c r="CI156" s="831"/>
      <c r="CJ156" s="831"/>
      <c r="CK156" s="831"/>
      <c r="CL156" s="831"/>
      <c r="CM156" s="831"/>
      <c r="CN156" s="831"/>
      <c r="CO156" s="831"/>
      <c r="CP156" s="831"/>
      <c r="CQ156" s="831"/>
      <c r="CR156" s="831"/>
      <c r="CS156" s="831"/>
    </row>
    <row r="157" spans="2:97" s="1270" customFormat="1" ht="36" customHeight="1">
      <c r="B157" s="3309"/>
      <c r="C157" s="3304"/>
      <c r="D157" s="3304"/>
      <c r="E157" s="3304"/>
      <c r="F157" s="3304"/>
      <c r="G157" s="3304"/>
      <c r="H157" s="3304"/>
      <c r="I157" s="3304"/>
      <c r="J157" s="3304"/>
      <c r="K157" s="3304"/>
      <c r="L157" s="3304"/>
      <c r="M157" s="3304"/>
      <c r="N157" s="3304"/>
      <c r="O157" s="3304"/>
      <c r="P157" s="3304"/>
      <c r="Q157" s="3304"/>
      <c r="R157" s="3304"/>
      <c r="S157" s="3304"/>
      <c r="T157" s="3304"/>
      <c r="U157" s="3304"/>
      <c r="V157" s="3304"/>
      <c r="W157" s="3304"/>
      <c r="X157" s="3304"/>
      <c r="Y157" s="3304"/>
      <c r="Z157" s="3304"/>
      <c r="AA157" s="3304"/>
      <c r="AB157" s="3304"/>
      <c r="AC157" s="3304"/>
      <c r="AD157" s="3304"/>
      <c r="AE157" s="3304"/>
      <c r="AF157" s="3304"/>
      <c r="AG157" s="3313"/>
      <c r="AH157" s="3310"/>
      <c r="AI157" s="3310"/>
      <c r="AJ157" s="3310"/>
      <c r="AK157" s="3310"/>
      <c r="AL157" s="3310"/>
      <c r="AM157" s="3310"/>
      <c r="AN157" s="3310"/>
      <c r="AO157" s="3310"/>
      <c r="AP157" s="3310"/>
      <c r="AQ157" s="3310"/>
      <c r="AR157" s="3310"/>
      <c r="AS157" s="1096"/>
      <c r="AT157" s="1096"/>
      <c r="AU157" s="1096"/>
      <c r="AV157" s="1096"/>
      <c r="AW157" s="1096"/>
      <c r="AX157" s="3310"/>
      <c r="AY157" s="3310"/>
      <c r="AZ157" s="831"/>
      <c r="BA157" s="831"/>
      <c r="BB157" s="831"/>
      <c r="BC157" s="831"/>
      <c r="BD157" s="831"/>
      <c r="BE157" s="2089"/>
      <c r="BF157" s="2089"/>
      <c r="BG157" s="2089"/>
      <c r="BH157" s="2089"/>
      <c r="BI157" s="2089"/>
      <c r="BJ157" s="2089"/>
      <c r="BK157" s="2089"/>
      <c r="BL157" s="2089"/>
      <c r="BM157" s="2089"/>
      <c r="BN157" s="2090"/>
      <c r="BO157" s="2089"/>
      <c r="BP157" s="2089"/>
      <c r="BQ157" s="2089"/>
      <c r="BR157" s="2089"/>
    </row>
    <row r="158" spans="2:97" s="1270" customFormat="1" ht="39" hidden="1" customHeight="1" thickBot="1">
      <c r="B158" s="3309"/>
      <c r="C158" s="3304"/>
      <c r="D158" s="3304"/>
      <c r="E158" s="3304"/>
      <c r="F158" s="3304"/>
      <c r="G158" s="3304"/>
      <c r="H158" s="3304"/>
      <c r="I158" s="3304"/>
      <c r="J158" s="3304"/>
      <c r="K158" s="3304"/>
      <c r="L158" s="3304"/>
      <c r="M158" s="3304"/>
      <c r="N158" s="3304"/>
      <c r="O158" s="3304"/>
      <c r="P158" s="3304"/>
      <c r="Q158" s="4491" t="s">
        <v>1627</v>
      </c>
      <c r="R158" s="4492"/>
      <c r="S158" s="4492"/>
      <c r="T158" s="4492"/>
      <c r="U158" s="4492"/>
      <c r="V158" s="4492"/>
      <c r="W158" s="4492"/>
      <c r="X158" s="4492"/>
      <c r="Y158" s="4492"/>
      <c r="Z158" s="4492"/>
      <c r="AA158" s="4492"/>
      <c r="AB158" s="4493"/>
      <c r="AC158" s="3304"/>
      <c r="AD158" s="3304"/>
      <c r="AE158" s="3304"/>
      <c r="AF158" s="3304"/>
      <c r="AG158" s="3313"/>
      <c r="AH158" s="3310"/>
      <c r="AI158" s="3310"/>
      <c r="AJ158" s="3310"/>
      <c r="AK158" s="2087"/>
      <c r="AL158" s="2087"/>
      <c r="AM158" s="2087"/>
      <c r="AN158" s="3310"/>
      <c r="AO158" s="2087"/>
      <c r="AP158" s="2087"/>
      <c r="AQ158" s="2087"/>
      <c r="AR158" s="2087"/>
      <c r="AS158" s="2088"/>
      <c r="AT158" s="1096"/>
      <c r="AU158" s="2088"/>
      <c r="AV158" s="2088"/>
      <c r="AW158" s="2088"/>
      <c r="AX158" s="2087"/>
      <c r="AY158" s="2087"/>
      <c r="BE158" s="2089"/>
      <c r="BF158" s="2089"/>
      <c r="BG158" s="2089"/>
      <c r="BH158" s="2089"/>
      <c r="BI158" s="2089"/>
      <c r="BJ158" s="2089"/>
      <c r="BK158" s="2089"/>
      <c r="BL158" s="2089"/>
      <c r="BM158" s="2089"/>
      <c r="BN158" s="2090"/>
      <c r="BO158" s="2089"/>
      <c r="BP158" s="2089"/>
      <c r="BQ158" s="2089"/>
      <c r="BR158" s="2089"/>
    </row>
    <row r="159" spans="2:97" s="1270" customFormat="1" ht="39" hidden="1" customHeight="1" thickBot="1">
      <c r="B159" s="3309"/>
      <c r="C159" s="3304"/>
      <c r="D159" s="3304"/>
      <c r="E159" s="3304"/>
      <c r="F159" s="3304"/>
      <c r="G159" s="3304"/>
      <c r="H159" s="3304"/>
      <c r="I159" s="3304"/>
      <c r="J159" s="3304"/>
      <c r="K159" s="3304"/>
      <c r="L159" s="3304"/>
      <c r="M159" s="3304"/>
      <c r="N159" s="3304"/>
      <c r="O159" s="3304"/>
      <c r="P159" s="3304"/>
      <c r="Q159" s="3297">
        <v>1</v>
      </c>
      <c r="R159" s="4494" t="s">
        <v>1628</v>
      </c>
      <c r="S159" s="4495"/>
      <c r="T159" s="4495"/>
      <c r="U159" s="4495"/>
      <c r="V159" s="4495"/>
      <c r="W159" s="4495"/>
      <c r="X159" s="4495"/>
      <c r="Y159" s="4495"/>
      <c r="Z159" s="4495"/>
      <c r="AA159" s="4496"/>
      <c r="AB159" s="3298"/>
      <c r="AC159" s="3304"/>
      <c r="AD159" s="3304"/>
      <c r="AE159" s="3304"/>
      <c r="AF159" s="3304"/>
      <c r="AG159" s="3313"/>
      <c r="AH159" s="3310"/>
      <c r="AI159" s="3310"/>
      <c r="AJ159" s="3310"/>
      <c r="AK159" s="2087"/>
      <c r="AL159" s="2087"/>
      <c r="AM159" s="2087"/>
      <c r="AN159" s="3310"/>
      <c r="AO159" s="2087"/>
      <c r="AP159" s="2087"/>
      <c r="AQ159" s="2087"/>
      <c r="AR159" s="2087"/>
      <c r="AS159" s="2088"/>
      <c r="AT159" s="1096"/>
      <c r="AU159" s="2088"/>
      <c r="AV159" s="2088"/>
      <c r="AW159" s="2088"/>
      <c r="AX159" s="2087"/>
      <c r="AY159" s="2087"/>
      <c r="BE159" s="2089"/>
      <c r="BF159" s="2089"/>
      <c r="BG159" s="2089"/>
      <c r="BH159" s="2089"/>
      <c r="BI159" s="2089"/>
      <c r="BJ159" s="2089"/>
      <c r="BK159" s="2089"/>
      <c r="BL159" s="2089"/>
      <c r="BM159" s="2089"/>
      <c r="BN159" s="2090"/>
      <c r="BO159" s="2089"/>
      <c r="BP159" s="2089"/>
      <c r="BQ159" s="2089"/>
      <c r="BR159" s="2089"/>
    </row>
    <row r="160" spans="2:97" s="1270" customFormat="1" ht="39.75" hidden="1" customHeight="1" thickBot="1">
      <c r="B160" s="3309"/>
      <c r="C160" s="3304"/>
      <c r="D160" s="3304"/>
      <c r="E160" s="3304"/>
      <c r="F160" s="3304"/>
      <c r="G160" s="3304"/>
      <c r="H160" s="3304"/>
      <c r="I160" s="3304"/>
      <c r="J160" s="3304"/>
      <c r="K160" s="3304"/>
      <c r="L160" s="3304"/>
      <c r="M160" s="3304"/>
      <c r="N160" s="3304"/>
      <c r="O160" s="3304"/>
      <c r="P160" s="3304"/>
      <c r="Q160" s="3299">
        <v>2</v>
      </c>
      <c r="R160" s="4595" t="s">
        <v>1629</v>
      </c>
      <c r="S160" s="4596"/>
      <c r="T160" s="4596"/>
      <c r="U160" s="4596"/>
      <c r="V160" s="4596"/>
      <c r="W160" s="4596"/>
      <c r="X160" s="4596"/>
      <c r="Y160" s="4596"/>
      <c r="Z160" s="4596"/>
      <c r="AA160" s="4597"/>
      <c r="AB160" s="3300"/>
      <c r="AC160" s="3304"/>
      <c r="AD160" s="3304"/>
      <c r="AE160" s="3304"/>
      <c r="AF160" s="3304"/>
      <c r="AG160" s="3313"/>
      <c r="AH160" s="3310"/>
      <c r="AI160" s="3310"/>
      <c r="AJ160" s="3310"/>
      <c r="AK160" s="2087"/>
      <c r="AL160" s="2087"/>
      <c r="AM160" s="2087"/>
      <c r="AN160" s="3310"/>
      <c r="AO160" s="2087"/>
      <c r="AP160" s="2087"/>
      <c r="AQ160" s="2087"/>
      <c r="AR160" s="2087"/>
      <c r="AS160" s="2088"/>
      <c r="AT160" s="1096"/>
      <c r="AU160" s="2088"/>
      <c r="AV160" s="2088"/>
      <c r="AW160" s="2088"/>
      <c r="AX160" s="2087"/>
      <c r="AY160" s="2087"/>
      <c r="BE160" s="2089"/>
      <c r="BF160" s="2089"/>
      <c r="BG160" s="2089"/>
      <c r="BH160" s="2089"/>
      <c r="BI160" s="2089"/>
      <c r="BJ160" s="2089"/>
      <c r="BK160" s="2089"/>
      <c r="BL160" s="2089"/>
      <c r="BM160" s="2089"/>
      <c r="BN160" s="2090"/>
      <c r="BO160" s="2089"/>
      <c r="BP160" s="2089"/>
      <c r="BQ160" s="2089"/>
      <c r="BR160" s="2089"/>
    </row>
    <row r="161" spans="2:70" s="1270" customFormat="1" ht="36" hidden="1" customHeight="1">
      <c r="B161" s="3309"/>
      <c r="C161" s="3304"/>
      <c r="D161" s="3304"/>
      <c r="E161" s="3304"/>
      <c r="F161" s="3304"/>
      <c r="G161" s="3304"/>
      <c r="H161" s="3304"/>
      <c r="I161" s="3304"/>
      <c r="J161" s="3304"/>
      <c r="K161" s="3304"/>
      <c r="L161" s="3304"/>
      <c r="M161" s="3304"/>
      <c r="N161" s="3304"/>
      <c r="O161" s="3304"/>
      <c r="P161" s="3304"/>
      <c r="Q161" s="4598">
        <v>3</v>
      </c>
      <c r="R161" s="4426" t="s">
        <v>1630</v>
      </c>
      <c r="S161" s="4427"/>
      <c r="T161" s="4427"/>
      <c r="U161" s="4427"/>
      <c r="V161" s="4427"/>
      <c r="W161" s="4427"/>
      <c r="X161" s="4427"/>
      <c r="Y161" s="4427"/>
      <c r="Z161" s="4427"/>
      <c r="AA161" s="4428"/>
      <c r="AB161" s="3301"/>
      <c r="AC161" s="3304"/>
      <c r="AD161" s="3304"/>
      <c r="AE161" s="3304"/>
      <c r="AF161" s="3304"/>
      <c r="AG161" s="3313"/>
      <c r="AH161" s="3310"/>
      <c r="AI161" s="3310"/>
      <c r="AJ161" s="3310"/>
      <c r="AK161" s="2087"/>
      <c r="AL161" s="2087"/>
      <c r="AM161" s="2087"/>
      <c r="AN161" s="3310"/>
      <c r="AO161" s="2087"/>
      <c r="AP161" s="2087"/>
      <c r="AQ161" s="2087"/>
      <c r="AR161" s="2087"/>
      <c r="AS161" s="2088"/>
      <c r="AT161" s="1096"/>
      <c r="AU161" s="2088"/>
      <c r="AV161" s="2088"/>
      <c r="AW161" s="2088"/>
      <c r="AX161" s="2087"/>
      <c r="AY161" s="2087"/>
      <c r="BE161" s="2089"/>
      <c r="BF161" s="2089"/>
      <c r="BG161" s="2089"/>
      <c r="BH161" s="2089"/>
      <c r="BI161" s="2089"/>
      <c r="BJ161" s="2089"/>
      <c r="BK161" s="2089"/>
      <c r="BL161" s="2089"/>
      <c r="BM161" s="2089"/>
      <c r="BN161" s="2090"/>
      <c r="BO161" s="2089"/>
      <c r="BP161" s="2089"/>
      <c r="BQ161" s="2089"/>
      <c r="BR161" s="2089"/>
    </row>
    <row r="162" spans="2:70" s="1270" customFormat="1" ht="39.75" hidden="1" customHeight="1" thickBot="1">
      <c r="B162" s="3309"/>
      <c r="C162" s="3304"/>
      <c r="D162" s="3304"/>
      <c r="E162" s="3304"/>
      <c r="F162" s="3304"/>
      <c r="G162" s="3304"/>
      <c r="H162" s="3304"/>
      <c r="I162" s="3304"/>
      <c r="J162" s="3304"/>
      <c r="K162" s="3304"/>
      <c r="L162" s="3304"/>
      <c r="M162" s="3304"/>
      <c r="N162" s="3304"/>
      <c r="O162" s="3304"/>
      <c r="P162" s="3304"/>
      <c r="Q162" s="4598"/>
      <c r="R162" s="4429"/>
      <c r="S162" s="4430"/>
      <c r="T162" s="4430"/>
      <c r="U162" s="4430"/>
      <c r="V162" s="4430"/>
      <c r="W162" s="4430"/>
      <c r="X162" s="4430"/>
      <c r="Y162" s="4430"/>
      <c r="Z162" s="4430"/>
      <c r="AA162" s="4431"/>
      <c r="AB162" s="3302"/>
      <c r="AC162" s="3304"/>
      <c r="AD162" s="3304"/>
      <c r="AE162" s="3304"/>
      <c r="AF162" s="3304"/>
      <c r="AG162" s="3313"/>
      <c r="AH162" s="3310"/>
      <c r="AI162" s="3310"/>
      <c r="AJ162" s="3310"/>
      <c r="AK162" s="2087"/>
      <c r="AL162" s="2087"/>
      <c r="AM162" s="2087"/>
      <c r="AN162" s="3310"/>
      <c r="AO162" s="2087"/>
      <c r="AP162" s="2087"/>
      <c r="AQ162" s="2087"/>
      <c r="AR162" s="2087"/>
      <c r="AS162" s="2088"/>
      <c r="AT162" s="1096"/>
      <c r="AU162" s="2088"/>
      <c r="AV162" s="2088"/>
      <c r="AW162" s="2088"/>
      <c r="AX162" s="2087"/>
      <c r="AY162" s="2087"/>
      <c r="BE162" s="2089"/>
      <c r="BF162" s="2089"/>
      <c r="BG162" s="2089"/>
      <c r="BH162" s="2089"/>
      <c r="BI162" s="2089"/>
      <c r="BJ162" s="2089"/>
      <c r="BK162" s="2089"/>
      <c r="BL162" s="2089"/>
      <c r="BM162" s="2089"/>
      <c r="BN162" s="2090"/>
      <c r="BO162" s="2089"/>
      <c r="BP162" s="2089"/>
      <c r="BQ162" s="2089"/>
      <c r="BR162" s="2089"/>
    </row>
    <row r="163" spans="2:70" s="1270" customFormat="1" ht="33.75" hidden="1" customHeight="1">
      <c r="B163" s="3309"/>
      <c r="C163" s="3304"/>
      <c r="D163" s="3304"/>
      <c r="E163" s="3304"/>
      <c r="F163" s="3304"/>
      <c r="G163" s="3304"/>
      <c r="H163" s="3304"/>
      <c r="I163" s="3304"/>
      <c r="J163" s="3304"/>
      <c r="K163" s="3304"/>
      <c r="L163" s="3304"/>
      <c r="M163" s="3304"/>
      <c r="N163" s="3304"/>
      <c r="O163" s="3304"/>
      <c r="P163" s="3304"/>
      <c r="Q163" s="4599">
        <v>4</v>
      </c>
      <c r="R163" s="4426" t="s">
        <v>1631</v>
      </c>
      <c r="S163" s="4427"/>
      <c r="T163" s="4427"/>
      <c r="U163" s="4427"/>
      <c r="V163" s="4427"/>
      <c r="W163" s="4427"/>
      <c r="X163" s="4427"/>
      <c r="Y163" s="4427"/>
      <c r="Z163" s="4427"/>
      <c r="AA163" s="4428"/>
      <c r="AB163" s="3302"/>
      <c r="AC163" s="3304"/>
      <c r="AD163" s="3304"/>
      <c r="AE163" s="3304"/>
      <c r="AF163" s="3304"/>
      <c r="AG163" s="3313"/>
      <c r="AH163" s="3310"/>
      <c r="AI163" s="3310"/>
      <c r="AJ163" s="3310"/>
      <c r="AK163" s="2087"/>
      <c r="AL163" s="2087"/>
      <c r="AM163" s="2087"/>
      <c r="AN163" s="3310"/>
      <c r="AO163" s="2087"/>
      <c r="AP163" s="2087"/>
      <c r="AQ163" s="2087"/>
      <c r="AR163" s="2087"/>
      <c r="AS163" s="2088"/>
      <c r="AT163" s="1096"/>
      <c r="AU163" s="2088"/>
      <c r="AV163" s="2088"/>
      <c r="AW163" s="2088"/>
      <c r="AX163" s="2087"/>
      <c r="AY163" s="2087"/>
      <c r="BE163" s="2089"/>
      <c r="BF163" s="2089"/>
      <c r="BG163" s="2089"/>
      <c r="BH163" s="2089"/>
      <c r="BI163" s="2089"/>
      <c r="BJ163" s="2089"/>
      <c r="BK163" s="2089"/>
      <c r="BL163" s="2089"/>
      <c r="BM163" s="2089"/>
      <c r="BN163" s="2090"/>
      <c r="BO163" s="2089"/>
      <c r="BP163" s="2089"/>
      <c r="BQ163" s="2089"/>
      <c r="BR163" s="2089"/>
    </row>
    <row r="164" spans="2:70" s="1270" customFormat="1" ht="44.25" hidden="1" customHeight="1" thickBot="1">
      <c r="B164" s="3309"/>
      <c r="C164" s="3304"/>
      <c r="D164" s="3304"/>
      <c r="E164" s="3304"/>
      <c r="F164" s="3304"/>
      <c r="G164" s="3304"/>
      <c r="H164" s="3304"/>
      <c r="I164" s="3304"/>
      <c r="J164" s="3304"/>
      <c r="K164" s="3304"/>
      <c r="L164" s="3304"/>
      <c r="M164" s="3304"/>
      <c r="N164" s="3304"/>
      <c r="O164" s="3304"/>
      <c r="P164" s="3304"/>
      <c r="Q164" s="4599"/>
      <c r="R164" s="4429"/>
      <c r="S164" s="4430"/>
      <c r="T164" s="4430"/>
      <c r="U164" s="4430"/>
      <c r="V164" s="4430"/>
      <c r="W164" s="4430"/>
      <c r="X164" s="4430"/>
      <c r="Y164" s="4430"/>
      <c r="Z164" s="4430"/>
      <c r="AA164" s="4431"/>
      <c r="AB164" s="3303"/>
      <c r="AC164" s="3304"/>
      <c r="AD164" s="3304"/>
      <c r="AE164" s="3304"/>
      <c r="AF164" s="3304"/>
      <c r="AG164" s="3313"/>
      <c r="AH164" s="3310"/>
      <c r="AI164" s="3310"/>
      <c r="AJ164" s="3310"/>
      <c r="AK164" s="2087"/>
      <c r="AL164" s="2087"/>
      <c r="AM164" s="2087"/>
      <c r="AN164" s="3310"/>
      <c r="AO164" s="2087"/>
      <c r="AP164" s="2087"/>
      <c r="AQ164" s="2087"/>
      <c r="AR164" s="2087"/>
      <c r="AS164" s="2088"/>
      <c r="AT164" s="1096"/>
      <c r="AU164" s="2088"/>
      <c r="AV164" s="2088"/>
      <c r="AW164" s="2088"/>
      <c r="AX164" s="2087"/>
      <c r="AY164" s="2087"/>
      <c r="BE164" s="2089"/>
      <c r="BF164" s="2089"/>
      <c r="BG164" s="2089"/>
      <c r="BH164" s="2089"/>
      <c r="BI164" s="2089"/>
      <c r="BJ164" s="2089"/>
      <c r="BK164" s="2089"/>
      <c r="BL164" s="2089"/>
      <c r="BM164" s="2089"/>
      <c r="BN164" s="2090"/>
      <c r="BO164" s="2089"/>
      <c r="BP164" s="2089"/>
      <c r="BQ164" s="2089"/>
      <c r="BR164" s="2089"/>
    </row>
    <row r="165" spans="2:70" s="1270" customFormat="1" ht="39.75" hidden="1" customHeight="1" thickBot="1">
      <c r="B165" s="3309"/>
      <c r="C165" s="3304"/>
      <c r="D165" s="3304"/>
      <c r="E165" s="3304"/>
      <c r="F165" s="3304"/>
      <c r="G165" s="3304"/>
      <c r="H165" s="3304"/>
      <c r="I165" s="3304"/>
      <c r="J165" s="3304"/>
      <c r="K165" s="3304"/>
      <c r="L165" s="3304"/>
      <c r="M165" s="3304"/>
      <c r="N165" s="3304"/>
      <c r="O165" s="3304"/>
      <c r="P165" s="3304"/>
      <c r="Q165" s="4432"/>
      <c r="R165" s="4433"/>
      <c r="S165" s="4433"/>
      <c r="T165" s="4433"/>
      <c r="U165" s="4433"/>
      <c r="V165" s="4433"/>
      <c r="W165" s="4433"/>
      <c r="X165" s="4433"/>
      <c r="Y165" s="4433"/>
      <c r="Z165" s="4433"/>
      <c r="AA165" s="4433"/>
      <c r="AB165" s="4434"/>
      <c r="AC165" s="3304"/>
      <c r="AD165" s="3304"/>
      <c r="AE165" s="3304"/>
      <c r="AF165" s="3304"/>
      <c r="AG165" s="3313"/>
      <c r="AH165" s="3310"/>
      <c r="AI165" s="3310"/>
      <c r="AJ165" s="3310"/>
      <c r="AK165" s="2087"/>
      <c r="AL165" s="2087"/>
      <c r="AM165" s="2087"/>
      <c r="AN165" s="3310"/>
      <c r="AO165" s="2087"/>
      <c r="AP165" s="2087"/>
      <c r="AQ165" s="2087"/>
      <c r="AR165" s="2087"/>
      <c r="AS165" s="2088"/>
      <c r="AT165" s="1096"/>
      <c r="AU165" s="2088"/>
      <c r="AV165" s="2088"/>
      <c r="AW165" s="2088"/>
      <c r="AX165" s="2087"/>
      <c r="AY165" s="2087"/>
      <c r="BE165" s="2089"/>
      <c r="BF165" s="2089"/>
      <c r="BG165" s="2089"/>
      <c r="BH165" s="2089"/>
      <c r="BI165" s="2089"/>
      <c r="BJ165" s="2089"/>
      <c r="BK165" s="2089"/>
      <c r="BL165" s="2089"/>
      <c r="BM165" s="2089"/>
      <c r="BN165" s="2090"/>
      <c r="BO165" s="2089"/>
      <c r="BP165" s="2089"/>
      <c r="BQ165" s="2089"/>
      <c r="BR165" s="2089"/>
    </row>
    <row r="166" spans="2:70" s="1270" customFormat="1" ht="33.75" hidden="1" customHeight="1" thickBot="1">
      <c r="B166" s="3309"/>
      <c r="C166" s="3304"/>
      <c r="D166" s="3304"/>
      <c r="E166" s="3304"/>
      <c r="F166" s="3304"/>
      <c r="G166" s="3304"/>
      <c r="H166" s="3304"/>
      <c r="I166" s="3304"/>
      <c r="J166" s="3304"/>
      <c r="K166" s="3304"/>
      <c r="L166" s="3304"/>
      <c r="M166" s="3304"/>
      <c r="N166" s="3304"/>
      <c r="O166" s="3304"/>
      <c r="P166" s="3304"/>
      <c r="Q166" s="3304"/>
      <c r="R166" s="3304"/>
      <c r="S166" s="3304"/>
      <c r="T166" s="3304"/>
      <c r="U166" s="3304"/>
      <c r="V166" s="3304"/>
      <c r="W166" s="3304"/>
      <c r="X166" s="3304"/>
      <c r="Y166" s="3304"/>
      <c r="Z166" s="3304"/>
      <c r="AA166" s="3304"/>
      <c r="AB166" s="3304"/>
      <c r="AC166" s="3304"/>
      <c r="AD166" s="3304"/>
      <c r="AE166" s="3304"/>
      <c r="AF166" s="3304"/>
      <c r="AG166" s="3313"/>
      <c r="AH166" s="3310"/>
      <c r="AI166" s="3310"/>
      <c r="AJ166" s="3310"/>
      <c r="AK166" s="2087"/>
      <c r="AL166" s="2087"/>
      <c r="AM166" s="2087"/>
      <c r="AN166" s="3310"/>
      <c r="AO166" s="2087"/>
      <c r="AP166" s="2087"/>
      <c r="AQ166" s="2087"/>
      <c r="AR166" s="2087"/>
      <c r="AS166" s="2088"/>
      <c r="AT166" s="1096"/>
      <c r="AU166" s="2088"/>
      <c r="AV166" s="2088"/>
      <c r="AW166" s="2088"/>
      <c r="AX166" s="2087"/>
      <c r="AY166" s="2087"/>
      <c r="BE166" s="2089"/>
      <c r="BF166" s="2089"/>
      <c r="BG166" s="2089"/>
      <c r="BH166" s="2089"/>
      <c r="BI166" s="2089"/>
      <c r="BJ166" s="2089"/>
      <c r="BK166" s="2089"/>
      <c r="BL166" s="2089"/>
      <c r="BM166" s="2089"/>
      <c r="BN166" s="2090"/>
      <c r="BO166" s="2089"/>
      <c r="BP166" s="2089"/>
      <c r="BQ166" s="2089"/>
      <c r="BR166" s="2089"/>
    </row>
    <row r="167" spans="2:70" s="1270" customFormat="1" ht="33.75" hidden="1" customHeight="1" thickBot="1">
      <c r="B167" s="3309"/>
      <c r="C167" s="3304"/>
      <c r="D167" s="3304"/>
      <c r="E167" s="3304"/>
      <c r="F167" s="3304"/>
      <c r="G167" s="3304"/>
      <c r="H167" s="3304"/>
      <c r="I167" s="3304"/>
      <c r="J167" s="3304"/>
      <c r="K167" s="3304"/>
      <c r="L167" s="3304"/>
      <c r="M167" s="3304"/>
      <c r="N167" s="3304"/>
      <c r="O167" s="3304"/>
      <c r="P167" s="3304"/>
      <c r="Q167" s="4562" t="s">
        <v>1632</v>
      </c>
      <c r="R167" s="4563"/>
      <c r="S167" s="4563"/>
      <c r="T167" s="4563"/>
      <c r="U167" s="4563"/>
      <c r="V167" s="4563"/>
      <c r="W167" s="4563"/>
      <c r="X167" s="4563"/>
      <c r="Y167" s="4563"/>
      <c r="Z167" s="4563"/>
      <c r="AA167" s="4563"/>
      <c r="AB167" s="4564"/>
      <c r="AC167" s="3304"/>
      <c r="AD167" s="3304"/>
      <c r="AE167" s="3304"/>
      <c r="AF167" s="3304"/>
      <c r="AG167" s="3313"/>
      <c r="AH167" s="3310"/>
      <c r="AI167" s="3310"/>
      <c r="AJ167" s="3310"/>
      <c r="AK167" s="2087"/>
      <c r="AL167" s="2087"/>
      <c r="AM167" s="2087"/>
      <c r="AN167" s="3310"/>
      <c r="AO167" s="2087"/>
      <c r="AP167" s="2087"/>
      <c r="AQ167" s="2087"/>
      <c r="AR167" s="2087"/>
      <c r="AS167" s="2088"/>
      <c r="AT167" s="1096"/>
      <c r="AU167" s="2088"/>
      <c r="AV167" s="2088"/>
      <c r="AW167" s="2088"/>
      <c r="AX167" s="2087"/>
      <c r="AY167" s="2087"/>
      <c r="BE167" s="2089"/>
      <c r="BF167" s="2089"/>
      <c r="BG167" s="2089"/>
      <c r="BH167" s="2089"/>
      <c r="BI167" s="2089"/>
      <c r="BJ167" s="2089"/>
      <c r="BK167" s="2089"/>
      <c r="BL167" s="2089"/>
      <c r="BM167" s="2089"/>
      <c r="BN167" s="2090"/>
      <c r="BO167" s="2089"/>
      <c r="BP167" s="2089"/>
      <c r="BQ167" s="2089"/>
      <c r="BR167" s="2089"/>
    </row>
    <row r="168" spans="2:70" s="1270" customFormat="1" ht="33.75" hidden="1" customHeight="1" thickBot="1">
      <c r="B168" s="3309"/>
      <c r="C168" s="3304"/>
      <c r="D168" s="3304"/>
      <c r="E168" s="3304"/>
      <c r="F168" s="3304"/>
      <c r="G168" s="3304"/>
      <c r="H168" s="3304"/>
      <c r="I168" s="3304"/>
      <c r="J168" s="3304"/>
      <c r="K168" s="3304"/>
      <c r="L168" s="3304"/>
      <c r="M168" s="3304"/>
      <c r="N168" s="3304"/>
      <c r="O168" s="3304"/>
      <c r="P168" s="3304"/>
      <c r="Q168" s="3314">
        <v>1</v>
      </c>
      <c r="R168" s="4565" t="s">
        <v>1633</v>
      </c>
      <c r="S168" s="4566"/>
      <c r="T168" s="4566"/>
      <c r="U168" s="4566"/>
      <c r="V168" s="4566"/>
      <c r="W168" s="4566"/>
      <c r="X168" s="4566"/>
      <c r="Y168" s="4566"/>
      <c r="Z168" s="4566"/>
      <c r="AA168" s="4567"/>
      <c r="AB168" s="3315"/>
      <c r="AC168" s="3304"/>
      <c r="AD168" s="3304"/>
      <c r="AE168" s="3304"/>
      <c r="AF168" s="3304"/>
      <c r="AG168" s="3313"/>
      <c r="AH168" s="3310"/>
      <c r="AI168" s="3310"/>
      <c r="AJ168" s="3310"/>
      <c r="AK168" s="2087"/>
      <c r="AL168" s="2087"/>
      <c r="AM168" s="2087"/>
      <c r="AN168" s="3310"/>
      <c r="AO168" s="2087"/>
      <c r="AP168" s="2087"/>
      <c r="AQ168" s="2087"/>
      <c r="AR168" s="2087"/>
      <c r="AS168" s="2088"/>
      <c r="AT168" s="1096"/>
      <c r="AU168" s="2088"/>
      <c r="AV168" s="2088"/>
      <c r="AW168" s="2088"/>
      <c r="AX168" s="2087"/>
      <c r="AY168" s="2087"/>
      <c r="BE168" s="2089"/>
      <c r="BF168" s="2089"/>
      <c r="BG168" s="2089"/>
      <c r="BH168" s="2089"/>
      <c r="BI168" s="2089"/>
      <c r="BJ168" s="2089"/>
      <c r="BK168" s="2089"/>
      <c r="BL168" s="2089"/>
      <c r="BM168" s="2089"/>
      <c r="BN168" s="2090"/>
      <c r="BO168" s="2089"/>
      <c r="BP168" s="2089"/>
      <c r="BQ168" s="2089"/>
      <c r="BR168" s="2089"/>
    </row>
    <row r="169" spans="2:70" s="1270" customFormat="1" ht="40.5" hidden="1" customHeight="1" thickBot="1">
      <c r="B169" s="3309"/>
      <c r="C169" s="3304"/>
      <c r="D169" s="3304"/>
      <c r="E169" s="3304"/>
      <c r="F169" s="3304"/>
      <c r="G169" s="3304"/>
      <c r="H169" s="3304"/>
      <c r="I169" s="3304"/>
      <c r="J169" s="3304"/>
      <c r="K169" s="3304"/>
      <c r="L169" s="3304"/>
      <c r="M169" s="3304"/>
      <c r="N169" s="3304"/>
      <c r="O169" s="3304"/>
      <c r="P169" s="3304"/>
      <c r="Q169" s="3316">
        <v>2</v>
      </c>
      <c r="R169" s="4568" t="s">
        <v>1634</v>
      </c>
      <c r="S169" s="4569"/>
      <c r="T169" s="4569"/>
      <c r="U169" s="4569"/>
      <c r="V169" s="4569"/>
      <c r="W169" s="4569"/>
      <c r="X169" s="4569"/>
      <c r="Y169" s="4569"/>
      <c r="Z169" s="4569"/>
      <c r="AA169" s="4570"/>
      <c r="AB169" s="3317"/>
      <c r="AC169" s="3304"/>
      <c r="AD169" s="3304"/>
      <c r="AE169" s="3304"/>
      <c r="AF169" s="3304"/>
      <c r="AG169" s="3313"/>
      <c r="AH169" s="3310"/>
      <c r="AI169" s="3310"/>
      <c r="AJ169" s="3310"/>
      <c r="AK169" s="2087"/>
      <c r="AL169" s="2087"/>
      <c r="AM169" s="2087"/>
      <c r="AN169" s="3310"/>
      <c r="AO169" s="2087"/>
      <c r="AP169" s="2087"/>
      <c r="AQ169" s="2087"/>
      <c r="AR169" s="2087"/>
      <c r="AS169" s="2088"/>
      <c r="AT169" s="1096"/>
      <c r="AU169" s="2088"/>
      <c r="AV169" s="2088"/>
      <c r="AW169" s="2088"/>
      <c r="AX169" s="2087"/>
      <c r="AY169" s="2087"/>
      <c r="BE169" s="2089"/>
      <c r="BF169" s="2089"/>
      <c r="BG169" s="2089"/>
      <c r="BH169" s="2089"/>
      <c r="BI169" s="2089"/>
      <c r="BJ169" s="2089"/>
      <c r="BK169" s="2089"/>
      <c r="BL169" s="2089"/>
      <c r="BM169" s="2089"/>
      <c r="BN169" s="2090"/>
      <c r="BO169" s="2089"/>
      <c r="BP169" s="2089"/>
      <c r="BQ169" s="2089"/>
      <c r="BR169" s="2089"/>
    </row>
    <row r="170" spans="2:70" s="1270" customFormat="1" ht="48" hidden="1" customHeight="1">
      <c r="B170" s="3309"/>
      <c r="C170" s="3304"/>
      <c r="D170" s="3304"/>
      <c r="E170" s="3304"/>
      <c r="F170" s="3304"/>
      <c r="G170" s="3304"/>
      <c r="H170" s="3304"/>
      <c r="I170" s="3304"/>
      <c r="J170" s="3304"/>
      <c r="K170" s="3304"/>
      <c r="L170" s="3304"/>
      <c r="M170" s="3304"/>
      <c r="N170" s="3304"/>
      <c r="O170" s="3304"/>
      <c r="P170" s="3304"/>
      <c r="Q170" s="4571">
        <v>3</v>
      </c>
      <c r="R170" s="4572" t="s">
        <v>1635</v>
      </c>
      <c r="S170" s="4573"/>
      <c r="T170" s="4573"/>
      <c r="U170" s="4573"/>
      <c r="V170" s="4573"/>
      <c r="W170" s="4573"/>
      <c r="X170" s="4573"/>
      <c r="Y170" s="4573"/>
      <c r="Z170" s="4573"/>
      <c r="AA170" s="4574"/>
      <c r="AB170" s="3318"/>
      <c r="AC170" s="3304"/>
      <c r="AD170" s="3304"/>
      <c r="AE170" s="3304"/>
      <c r="AF170" s="3304"/>
      <c r="AG170" s="3313"/>
      <c r="AH170" s="3310"/>
      <c r="AI170" s="3310"/>
      <c r="AJ170" s="3310"/>
      <c r="AK170" s="2087"/>
      <c r="AL170" s="2087"/>
      <c r="AM170" s="2087"/>
      <c r="AN170" s="3310"/>
      <c r="AO170" s="2087"/>
      <c r="AP170" s="2087"/>
      <c r="AQ170" s="2087"/>
      <c r="AR170" s="2087"/>
      <c r="AS170" s="2088"/>
      <c r="AT170" s="1096"/>
      <c r="AU170" s="2088"/>
      <c r="AV170" s="2088"/>
      <c r="AW170" s="2088"/>
      <c r="AX170" s="2087"/>
      <c r="AY170" s="2087"/>
      <c r="BE170" s="2089"/>
      <c r="BF170" s="2089"/>
      <c r="BG170" s="2089"/>
      <c r="BH170" s="2089"/>
      <c r="BI170" s="2089"/>
      <c r="BJ170" s="2089"/>
      <c r="BK170" s="2089"/>
      <c r="BL170" s="2089"/>
      <c r="BM170" s="2089"/>
      <c r="BN170" s="2090"/>
      <c r="BO170" s="2089"/>
      <c r="BP170" s="2089"/>
      <c r="BQ170" s="2089"/>
      <c r="BR170" s="2089"/>
    </row>
    <row r="171" spans="2:70" s="1270" customFormat="1" ht="33.75" hidden="1" customHeight="1" thickBot="1">
      <c r="B171" s="3309"/>
      <c r="C171" s="3304"/>
      <c r="D171" s="3304"/>
      <c r="E171" s="3304"/>
      <c r="F171" s="3304"/>
      <c r="G171" s="3304"/>
      <c r="H171" s="3304"/>
      <c r="I171" s="3304"/>
      <c r="J171" s="3304"/>
      <c r="K171" s="3304"/>
      <c r="L171" s="3304"/>
      <c r="M171" s="3304"/>
      <c r="N171" s="3304"/>
      <c r="O171" s="3304"/>
      <c r="P171" s="3304"/>
      <c r="Q171" s="4571"/>
      <c r="R171" s="4575"/>
      <c r="S171" s="4576"/>
      <c r="T171" s="4576"/>
      <c r="U171" s="4576"/>
      <c r="V171" s="4576"/>
      <c r="W171" s="4576"/>
      <c r="X171" s="4576"/>
      <c r="Y171" s="4576"/>
      <c r="Z171" s="4576"/>
      <c r="AA171" s="4577"/>
      <c r="AB171" s="3319"/>
      <c r="AC171" s="3304"/>
      <c r="AD171" s="3304"/>
      <c r="AE171" s="3304"/>
      <c r="AF171" s="3304"/>
      <c r="AG171" s="3313"/>
      <c r="AH171" s="3310"/>
      <c r="AI171" s="3310"/>
      <c r="AJ171" s="3310"/>
      <c r="AK171" s="2087"/>
      <c r="AL171" s="2087"/>
      <c r="AM171" s="2087"/>
      <c r="AN171" s="3310"/>
      <c r="AO171" s="2087"/>
      <c r="AP171" s="2087"/>
      <c r="AQ171" s="2087"/>
      <c r="AR171" s="2087"/>
      <c r="AS171" s="2088"/>
      <c r="AT171" s="1096"/>
      <c r="AU171" s="2088"/>
      <c r="AV171" s="2088"/>
      <c r="AW171" s="2088"/>
      <c r="AX171" s="2087"/>
      <c r="AY171" s="2087"/>
      <c r="BE171" s="2089"/>
      <c r="BF171" s="2089"/>
      <c r="BG171" s="2089"/>
      <c r="BH171" s="2089"/>
      <c r="BI171" s="2089"/>
      <c r="BJ171" s="2089"/>
      <c r="BK171" s="2089"/>
      <c r="BL171" s="2089"/>
      <c r="BM171" s="2089"/>
      <c r="BN171" s="2090"/>
      <c r="BO171" s="2089"/>
      <c r="BP171" s="2089"/>
      <c r="BQ171" s="2089"/>
      <c r="BR171" s="2089"/>
    </row>
    <row r="172" spans="2:70" s="1270" customFormat="1" ht="33.75" hidden="1" customHeight="1">
      <c r="B172" s="3309"/>
      <c r="C172" s="3304"/>
      <c r="D172" s="3304"/>
      <c r="E172" s="3304"/>
      <c r="F172" s="3304"/>
      <c r="G172" s="3304"/>
      <c r="H172" s="3304"/>
      <c r="I172" s="3304"/>
      <c r="J172" s="3304"/>
      <c r="K172" s="3304"/>
      <c r="L172" s="3304"/>
      <c r="M172" s="3304"/>
      <c r="N172" s="3304"/>
      <c r="O172" s="3304"/>
      <c r="P172" s="3304"/>
      <c r="Q172" s="4578">
        <v>4</v>
      </c>
      <c r="R172" s="4482" t="s">
        <v>1636</v>
      </c>
      <c r="S172" s="4483"/>
      <c r="T172" s="4483"/>
      <c r="U172" s="4483"/>
      <c r="V172" s="4483"/>
      <c r="W172" s="4483"/>
      <c r="X172" s="4483"/>
      <c r="Y172" s="4483"/>
      <c r="Z172" s="4483"/>
      <c r="AA172" s="4484"/>
      <c r="AB172" s="3319"/>
      <c r="AC172" s="3304"/>
      <c r="AD172" s="3304"/>
      <c r="AE172" s="3304"/>
      <c r="AF172" s="3304"/>
      <c r="AG172" s="3313"/>
      <c r="AH172" s="3310"/>
      <c r="AI172" s="3310"/>
      <c r="AJ172" s="3310"/>
      <c r="AK172" s="2087"/>
      <c r="AL172" s="2087"/>
      <c r="AM172" s="2087"/>
      <c r="AN172" s="3310"/>
      <c r="AO172" s="2087"/>
      <c r="AP172" s="2087"/>
      <c r="AQ172" s="2087"/>
      <c r="AR172" s="2087"/>
      <c r="AS172" s="2088"/>
      <c r="AT172" s="1096"/>
      <c r="AU172" s="2088"/>
      <c r="AV172" s="2088"/>
      <c r="AW172" s="2088"/>
      <c r="AX172" s="2087"/>
      <c r="AY172" s="2087"/>
      <c r="BE172" s="2089"/>
      <c r="BF172" s="2089"/>
      <c r="BG172" s="2089"/>
      <c r="BH172" s="2089"/>
      <c r="BI172" s="2089"/>
      <c r="BJ172" s="2089"/>
      <c r="BK172" s="2089"/>
      <c r="BL172" s="2089"/>
      <c r="BM172" s="2089"/>
      <c r="BN172" s="2090"/>
      <c r="BO172" s="2089"/>
      <c r="BP172" s="2089"/>
      <c r="BQ172" s="2089"/>
      <c r="BR172" s="2089"/>
    </row>
    <row r="173" spans="2:70" s="1270" customFormat="1" ht="55.5" hidden="1" customHeight="1" thickBot="1">
      <c r="B173" s="3309"/>
      <c r="C173" s="3304"/>
      <c r="D173" s="3304"/>
      <c r="E173" s="3304"/>
      <c r="F173" s="3304"/>
      <c r="G173" s="3304"/>
      <c r="H173" s="3304"/>
      <c r="I173" s="3304"/>
      <c r="J173" s="3304"/>
      <c r="K173" s="3304"/>
      <c r="L173" s="3304"/>
      <c r="M173" s="3304"/>
      <c r="N173" s="3304"/>
      <c r="O173" s="3304"/>
      <c r="P173" s="3304"/>
      <c r="Q173" s="4578"/>
      <c r="R173" s="4485"/>
      <c r="S173" s="4486"/>
      <c r="T173" s="4486"/>
      <c r="U173" s="4486"/>
      <c r="V173" s="4486"/>
      <c r="W173" s="4486"/>
      <c r="X173" s="4486"/>
      <c r="Y173" s="4486"/>
      <c r="Z173" s="4486"/>
      <c r="AA173" s="4487"/>
      <c r="AB173" s="3320"/>
      <c r="AC173" s="3304"/>
      <c r="AD173" s="3304"/>
      <c r="AE173" s="3304"/>
      <c r="AF173" s="3304"/>
      <c r="AG173" s="3313"/>
      <c r="AH173" s="3310"/>
      <c r="AI173" s="3310"/>
      <c r="AJ173" s="3310"/>
      <c r="AK173" s="2087"/>
      <c r="AL173" s="2087"/>
      <c r="AM173" s="2087"/>
      <c r="AN173" s="3310"/>
      <c r="AO173" s="2087"/>
      <c r="AP173" s="2087"/>
      <c r="AQ173" s="2087"/>
      <c r="AR173" s="2087"/>
      <c r="AS173" s="2088"/>
      <c r="AT173" s="1096"/>
      <c r="AU173" s="2088"/>
      <c r="AV173" s="2088"/>
      <c r="AW173" s="2088"/>
      <c r="AX173" s="2087"/>
      <c r="AY173" s="2087"/>
      <c r="BE173" s="2089"/>
      <c r="BF173" s="2089"/>
      <c r="BG173" s="2089"/>
      <c r="BH173" s="2089"/>
      <c r="BI173" s="2089"/>
      <c r="BJ173" s="2089"/>
      <c r="BK173" s="2089"/>
      <c r="BL173" s="2089"/>
      <c r="BM173" s="2089"/>
      <c r="BN173" s="2090"/>
      <c r="BO173" s="2089"/>
      <c r="BP173" s="2089"/>
      <c r="BQ173" s="2089"/>
      <c r="BR173" s="2089"/>
    </row>
    <row r="174" spans="2:70" s="1270" customFormat="1" ht="33.75" hidden="1" customHeight="1" thickBot="1">
      <c r="B174" s="3309"/>
      <c r="C174" s="3304"/>
      <c r="D174" s="3304"/>
      <c r="E174" s="3304"/>
      <c r="F174" s="3304"/>
      <c r="G174" s="3304"/>
      <c r="H174" s="3304"/>
      <c r="I174" s="3304"/>
      <c r="J174" s="3304"/>
      <c r="K174" s="3304"/>
      <c r="L174" s="3304"/>
      <c r="M174" s="3304"/>
      <c r="N174" s="3304"/>
      <c r="O174" s="3304"/>
      <c r="P174" s="3304"/>
      <c r="Q174" s="4488"/>
      <c r="R174" s="4489"/>
      <c r="S174" s="4489"/>
      <c r="T174" s="4489"/>
      <c r="U174" s="4489"/>
      <c r="V174" s="4489"/>
      <c r="W174" s="4489"/>
      <c r="X174" s="4489"/>
      <c r="Y174" s="4489"/>
      <c r="Z174" s="4489"/>
      <c r="AA174" s="4489"/>
      <c r="AB174" s="4490"/>
      <c r="AC174" s="3304"/>
      <c r="AD174" s="3304"/>
      <c r="AE174" s="3304"/>
      <c r="AF174" s="3304"/>
      <c r="AG174" s="3313"/>
      <c r="AH174" s="3310"/>
      <c r="AI174" s="3310"/>
      <c r="AJ174" s="3310"/>
      <c r="AK174" s="2087"/>
      <c r="AL174" s="2087"/>
      <c r="AM174" s="2087"/>
      <c r="AN174" s="3310"/>
      <c r="AO174" s="2087"/>
      <c r="AP174" s="2087"/>
      <c r="AQ174" s="2087"/>
      <c r="AR174" s="2087"/>
      <c r="AS174" s="2088"/>
      <c r="AT174" s="1096"/>
      <c r="AU174" s="2088"/>
      <c r="AV174" s="2088"/>
      <c r="AW174" s="2088"/>
      <c r="AX174" s="2087"/>
      <c r="AY174" s="2087"/>
      <c r="BE174" s="2089"/>
      <c r="BF174" s="2089"/>
      <c r="BG174" s="2089"/>
      <c r="BH174" s="2089"/>
      <c r="BI174" s="2089"/>
      <c r="BJ174" s="2089"/>
      <c r="BK174" s="2089"/>
      <c r="BL174" s="2089"/>
      <c r="BM174" s="2089"/>
      <c r="BN174" s="2090"/>
      <c r="BO174" s="2089"/>
      <c r="BP174" s="2089"/>
      <c r="BQ174" s="2089"/>
      <c r="BR174" s="2089"/>
    </row>
    <row r="175" spans="2:70" s="1270" customFormat="1" ht="33.75" hidden="1" customHeight="1">
      <c r="B175" s="3309"/>
      <c r="C175" s="3304"/>
      <c r="D175" s="3304"/>
      <c r="E175" s="3304"/>
      <c r="F175" s="3304"/>
      <c r="G175" s="3304"/>
      <c r="H175" s="3304"/>
      <c r="I175" s="3304"/>
      <c r="J175" s="3304"/>
      <c r="K175" s="3304"/>
      <c r="L175" s="3304"/>
      <c r="M175" s="3304"/>
      <c r="N175" s="3304"/>
      <c r="O175" s="3304"/>
      <c r="P175" s="3304"/>
      <c r="Q175" s="3304"/>
      <c r="R175" s="3304"/>
      <c r="S175" s="3304"/>
      <c r="T175" s="3304"/>
      <c r="U175" s="3304"/>
      <c r="V175" s="3304"/>
      <c r="W175" s="3304"/>
      <c r="X175" s="3304"/>
      <c r="Y175" s="3304"/>
      <c r="Z175" s="3304"/>
      <c r="AA175" s="3304"/>
      <c r="AB175" s="3304"/>
      <c r="AC175" s="3304"/>
      <c r="AD175" s="3304"/>
      <c r="AE175" s="3304"/>
      <c r="AF175" s="3304"/>
      <c r="AG175" s="3313"/>
      <c r="AH175" s="3310"/>
      <c r="AI175" s="3310"/>
      <c r="AJ175" s="3310"/>
      <c r="AK175" s="2087"/>
      <c r="AL175" s="2087"/>
      <c r="AM175" s="2087"/>
      <c r="AN175" s="3310"/>
      <c r="AO175" s="2087"/>
      <c r="AP175" s="2087"/>
      <c r="AQ175" s="2087"/>
      <c r="AR175" s="2087"/>
      <c r="AS175" s="2088"/>
      <c r="AT175" s="1096"/>
      <c r="AU175" s="2088"/>
      <c r="AV175" s="2088"/>
      <c r="AW175" s="2088"/>
      <c r="AX175" s="2087"/>
      <c r="AY175" s="2087"/>
      <c r="BE175" s="2089"/>
      <c r="BF175" s="2089"/>
      <c r="BG175" s="2089"/>
      <c r="BH175" s="2089"/>
      <c r="BI175" s="2089"/>
      <c r="BJ175" s="2089"/>
      <c r="BK175" s="2089"/>
      <c r="BL175" s="2089"/>
      <c r="BM175" s="2089"/>
      <c r="BN175" s="2090"/>
      <c r="BO175" s="2089"/>
      <c r="BP175" s="2089"/>
      <c r="BQ175" s="2089"/>
      <c r="BR175" s="2089"/>
    </row>
    <row r="176" spans="2:70" s="1270" customFormat="1" ht="33.75" hidden="1" customHeight="1">
      <c r="B176" s="3309"/>
      <c r="C176" s="3304"/>
      <c r="D176" s="3304"/>
      <c r="E176" s="3304"/>
      <c r="F176" s="3304"/>
      <c r="G176" s="3304"/>
      <c r="H176" s="3304"/>
      <c r="I176" s="3304"/>
      <c r="J176" s="3304"/>
      <c r="K176" s="3304"/>
      <c r="L176" s="3304"/>
      <c r="M176" s="3304"/>
      <c r="N176" s="3304"/>
      <c r="O176" s="3304"/>
      <c r="P176" s="3304"/>
      <c r="Q176" s="3304"/>
      <c r="R176" s="3304"/>
      <c r="S176" s="3304"/>
      <c r="T176" s="3304"/>
      <c r="U176" s="3304"/>
      <c r="V176" s="3304"/>
      <c r="W176" s="3304"/>
      <c r="X176" s="3304"/>
      <c r="Y176" s="3304"/>
      <c r="Z176" s="3304"/>
      <c r="AA176" s="3304"/>
      <c r="AB176" s="3304"/>
      <c r="AC176" s="3304"/>
      <c r="AD176" s="3304"/>
      <c r="AE176" s="3304"/>
      <c r="AF176" s="3304"/>
      <c r="AG176" s="3313"/>
      <c r="AH176" s="3310"/>
      <c r="AI176" s="3310"/>
      <c r="AJ176" s="3310"/>
      <c r="AK176" s="2087"/>
      <c r="AL176" s="2087"/>
      <c r="AM176" s="2087"/>
      <c r="AN176" s="3310"/>
      <c r="AO176" s="2087"/>
      <c r="AP176" s="2087"/>
      <c r="AQ176" s="2087"/>
      <c r="AR176" s="2087"/>
      <c r="AS176" s="2088"/>
      <c r="AT176" s="1096"/>
      <c r="AU176" s="2088"/>
      <c r="AV176" s="2088"/>
      <c r="AW176" s="2088"/>
      <c r="AX176" s="2087"/>
      <c r="AY176" s="2087"/>
      <c r="BE176" s="2089"/>
      <c r="BF176" s="2089"/>
      <c r="BG176" s="2089"/>
      <c r="BH176" s="2089"/>
      <c r="BI176" s="2089"/>
      <c r="BJ176" s="2089"/>
      <c r="BK176" s="2089"/>
      <c r="BL176" s="2089"/>
      <c r="BM176" s="2089"/>
      <c r="BN176" s="2090"/>
      <c r="BO176" s="2089"/>
      <c r="BP176" s="2089"/>
      <c r="BQ176" s="2089"/>
      <c r="BR176" s="2089"/>
    </row>
    <row r="177" spans="2:70" s="1270" customFormat="1" ht="33.75" hidden="1" customHeight="1">
      <c r="B177" s="3309"/>
      <c r="C177" s="3304"/>
      <c r="D177" s="3304"/>
      <c r="E177" s="3304"/>
      <c r="F177" s="3304"/>
      <c r="G177" s="3304"/>
      <c r="H177" s="3304"/>
      <c r="I177" s="3304"/>
      <c r="J177" s="3304"/>
      <c r="K177" s="3304"/>
      <c r="L177" s="3304"/>
      <c r="M177" s="3304"/>
      <c r="N177" s="3304"/>
      <c r="O177" s="3304"/>
      <c r="P177" s="3304"/>
      <c r="Q177" s="3304"/>
      <c r="R177" s="3304"/>
      <c r="S177" s="3304"/>
      <c r="T177" s="3304"/>
      <c r="U177" s="3304"/>
      <c r="V177" s="3304"/>
      <c r="W177" s="3304"/>
      <c r="X177" s="3304"/>
      <c r="Y177" s="3304"/>
      <c r="Z177" s="3304"/>
      <c r="AA177" s="3304"/>
      <c r="AB177" s="3304"/>
      <c r="AC177" s="3304"/>
      <c r="AD177" s="3304"/>
      <c r="AE177" s="3304"/>
      <c r="AF177" s="3304"/>
      <c r="AG177" s="3313"/>
      <c r="AH177" s="3310"/>
      <c r="AI177" s="3310"/>
      <c r="AJ177" s="3310"/>
      <c r="AK177" s="2087"/>
      <c r="AL177" s="2087"/>
      <c r="AM177" s="2087"/>
      <c r="AN177" s="3310"/>
      <c r="AO177" s="2087"/>
      <c r="AP177" s="2087"/>
      <c r="AQ177" s="2087"/>
      <c r="AR177" s="2087"/>
      <c r="AS177" s="2088"/>
      <c r="AT177" s="1096"/>
      <c r="AU177" s="2088"/>
      <c r="AV177" s="2088"/>
      <c r="AW177" s="2088"/>
      <c r="AX177" s="2087"/>
      <c r="AY177" s="2087"/>
      <c r="BE177" s="2089"/>
      <c r="BF177" s="2089"/>
      <c r="BG177" s="2089"/>
      <c r="BH177" s="2089"/>
      <c r="BI177" s="2089"/>
      <c r="BJ177" s="2089"/>
      <c r="BK177" s="2089"/>
      <c r="BL177" s="2089"/>
      <c r="BM177" s="2089"/>
      <c r="BN177" s="2090"/>
      <c r="BO177" s="2089"/>
      <c r="BP177" s="2089"/>
      <c r="BQ177" s="2089"/>
      <c r="BR177" s="2089"/>
    </row>
    <row r="178" spans="2:70" s="1270" customFormat="1" ht="29.25" hidden="1" customHeight="1">
      <c r="B178" s="3309"/>
      <c r="C178" s="3304"/>
      <c r="D178" s="3304"/>
      <c r="E178" s="3304"/>
      <c r="F178" s="3304"/>
      <c r="G178" s="3304"/>
      <c r="H178" s="3304"/>
      <c r="I178" s="3304"/>
      <c r="J178" s="3304"/>
      <c r="K178" s="3304"/>
      <c r="L178" s="3304"/>
      <c r="M178" s="3304"/>
      <c r="N178" s="3304"/>
      <c r="O178" s="3304"/>
      <c r="P178" s="3304"/>
      <c r="Q178" s="3304"/>
      <c r="R178" s="3304"/>
      <c r="S178" s="3304"/>
      <c r="T178" s="3304"/>
      <c r="U178" s="3304"/>
      <c r="V178" s="3304"/>
      <c r="W178" s="3304"/>
      <c r="X178" s="3304"/>
      <c r="Y178" s="3304"/>
      <c r="Z178" s="3304"/>
      <c r="AA178" s="3304"/>
      <c r="AB178" s="3304"/>
      <c r="AC178" s="3304"/>
      <c r="AD178" s="3304"/>
      <c r="AE178" s="3304"/>
      <c r="AF178" s="3304"/>
      <c r="AG178" s="3313"/>
      <c r="AH178" s="3310"/>
      <c r="AI178" s="3310"/>
      <c r="AJ178" s="3310"/>
      <c r="AK178" s="2087"/>
      <c r="AL178" s="2087"/>
      <c r="AM178" s="2087"/>
      <c r="AN178" s="3310"/>
      <c r="AO178" s="2087"/>
      <c r="AP178" s="2087"/>
      <c r="AQ178" s="2087"/>
      <c r="AR178" s="2087"/>
      <c r="AS178" s="2088"/>
      <c r="AT178" s="1096"/>
      <c r="AU178" s="2088"/>
      <c r="AV178" s="2088"/>
      <c r="AW178" s="2088"/>
      <c r="AX178" s="2087"/>
      <c r="AY178" s="2087"/>
      <c r="BE178" s="2089"/>
      <c r="BF178" s="2089"/>
      <c r="BG178" s="2089"/>
      <c r="BH178" s="2089"/>
      <c r="BI178" s="2089"/>
      <c r="BJ178" s="2089"/>
      <c r="BK178" s="2089"/>
      <c r="BL178" s="2089"/>
      <c r="BM178" s="2089"/>
      <c r="BN178" s="2090"/>
      <c r="BO178" s="2089"/>
      <c r="BP178" s="2089"/>
      <c r="BQ178" s="2089"/>
      <c r="BR178" s="2089"/>
    </row>
    <row r="179" spans="2:70" s="1270" customFormat="1" ht="33.75" hidden="1" customHeight="1">
      <c r="B179" s="3309"/>
      <c r="C179" s="3304"/>
      <c r="D179" s="3304"/>
      <c r="E179" s="3304"/>
      <c r="F179" s="3304"/>
      <c r="G179" s="3304"/>
      <c r="H179" s="3304"/>
      <c r="I179" s="3304"/>
      <c r="J179" s="3304"/>
      <c r="K179" s="3304"/>
      <c r="L179" s="3304"/>
      <c r="M179" s="3304"/>
      <c r="N179" s="3304"/>
      <c r="O179" s="3304"/>
      <c r="P179" s="3304"/>
      <c r="Q179" s="3304"/>
      <c r="R179" s="3304"/>
      <c r="S179" s="3304"/>
      <c r="T179" s="3304"/>
      <c r="U179" s="3304"/>
      <c r="V179" s="3304"/>
      <c r="W179" s="3304"/>
      <c r="X179" s="3304"/>
      <c r="Y179" s="3304"/>
      <c r="Z179" s="3304"/>
      <c r="AA179" s="3304"/>
      <c r="AB179" s="3304"/>
      <c r="AC179" s="3304"/>
      <c r="AD179" s="3304"/>
      <c r="AE179" s="3304"/>
      <c r="AF179" s="3304"/>
      <c r="AG179" s="3313"/>
      <c r="AH179" s="3310"/>
      <c r="AI179" s="3310"/>
      <c r="AJ179" s="3310"/>
      <c r="AK179" s="2087"/>
      <c r="AL179" s="2087"/>
      <c r="AM179" s="2087"/>
      <c r="AN179" s="3310"/>
      <c r="AO179" s="2087"/>
      <c r="AP179" s="2087"/>
      <c r="AQ179" s="2087"/>
      <c r="AR179" s="2087"/>
      <c r="AS179" s="2088"/>
      <c r="AT179" s="1096"/>
      <c r="AU179" s="2088"/>
      <c r="AV179" s="2088"/>
      <c r="AW179" s="2088"/>
      <c r="AX179" s="2087"/>
      <c r="AY179" s="2087"/>
      <c r="BE179" s="2089"/>
      <c r="BF179" s="2089"/>
      <c r="BG179" s="2089"/>
      <c r="BH179" s="2089"/>
      <c r="BI179" s="2089"/>
      <c r="BJ179" s="2089"/>
      <c r="BK179" s="2089"/>
      <c r="BL179" s="2089"/>
      <c r="BM179" s="2089"/>
      <c r="BN179" s="2090"/>
      <c r="BO179" s="2089"/>
      <c r="BP179" s="2089"/>
      <c r="BQ179" s="2089"/>
      <c r="BR179" s="2089"/>
    </row>
    <row r="180" spans="2:70" s="1270" customFormat="1" ht="33.75" hidden="1" customHeight="1">
      <c r="B180" s="3309"/>
      <c r="C180" s="3304"/>
      <c r="D180" s="3304"/>
      <c r="E180" s="3304"/>
      <c r="F180" s="3304"/>
      <c r="G180" s="3304"/>
      <c r="H180" s="3304"/>
      <c r="I180" s="3304"/>
      <c r="J180" s="3304"/>
      <c r="K180" s="3304"/>
      <c r="L180" s="3304"/>
      <c r="M180" s="3304"/>
      <c r="N180" s="3304"/>
      <c r="O180" s="3304"/>
      <c r="P180" s="3304"/>
      <c r="Q180" s="3304"/>
      <c r="R180" s="3304"/>
      <c r="S180" s="3304"/>
      <c r="T180" s="3304"/>
      <c r="U180" s="3304"/>
      <c r="V180" s="3304"/>
      <c r="W180" s="3304"/>
      <c r="X180" s="3304"/>
      <c r="Y180" s="3304"/>
      <c r="Z180" s="3304"/>
      <c r="AA180" s="3304"/>
      <c r="AB180" s="3304"/>
      <c r="AC180" s="3304"/>
      <c r="AD180" s="3304"/>
      <c r="AE180" s="3304"/>
      <c r="AF180" s="3304"/>
      <c r="AG180" s="3313"/>
      <c r="AH180" s="3310"/>
      <c r="AI180" s="3310"/>
      <c r="AJ180" s="3310"/>
      <c r="AK180" s="2087"/>
      <c r="AL180" s="2087"/>
      <c r="AM180" s="2087"/>
      <c r="AN180" s="3310"/>
      <c r="AO180" s="2087"/>
      <c r="AP180" s="2087"/>
      <c r="AQ180" s="2087"/>
      <c r="AR180" s="2087"/>
      <c r="AS180" s="2088"/>
      <c r="AT180" s="1096"/>
      <c r="AU180" s="2088"/>
      <c r="AV180" s="2088"/>
      <c r="AW180" s="2088"/>
      <c r="AX180" s="2087"/>
      <c r="AY180" s="2087"/>
      <c r="BE180" s="2089"/>
      <c r="BF180" s="2089"/>
      <c r="BG180" s="2089"/>
      <c r="BH180" s="2089"/>
      <c r="BI180" s="2089"/>
      <c r="BJ180" s="2089"/>
      <c r="BK180" s="2089"/>
      <c r="BL180" s="2089"/>
      <c r="BM180" s="2089"/>
      <c r="BN180" s="2090"/>
      <c r="BO180" s="2089"/>
      <c r="BP180" s="2089"/>
      <c r="BQ180" s="2089"/>
      <c r="BR180" s="2089"/>
    </row>
    <row r="181" spans="2:70" s="1270" customFormat="1" ht="29.25" hidden="1" customHeight="1">
      <c r="B181" s="3309"/>
      <c r="C181" s="3304"/>
      <c r="D181" s="3304"/>
      <c r="E181" s="3304"/>
      <c r="F181" s="3304"/>
      <c r="G181" s="3304"/>
      <c r="H181" s="3304"/>
      <c r="I181" s="3304"/>
      <c r="J181" s="3304"/>
      <c r="K181" s="3304"/>
      <c r="L181" s="3304"/>
      <c r="M181" s="3304"/>
      <c r="N181" s="3304"/>
      <c r="O181" s="3304"/>
      <c r="P181" s="3304"/>
      <c r="Q181" s="3304"/>
      <c r="R181" s="3304"/>
      <c r="S181" s="3304"/>
      <c r="T181" s="3304"/>
      <c r="U181" s="3304"/>
      <c r="V181" s="3304"/>
      <c r="W181" s="3304"/>
      <c r="X181" s="3304"/>
      <c r="Y181" s="3304"/>
      <c r="Z181" s="3304"/>
      <c r="AA181" s="3304"/>
      <c r="AB181" s="3304"/>
      <c r="AC181" s="3304"/>
      <c r="AD181" s="3304"/>
      <c r="AE181" s="3304"/>
      <c r="AF181" s="3304"/>
      <c r="AG181" s="3313"/>
      <c r="AH181" s="3310"/>
      <c r="AI181" s="3310"/>
      <c r="AJ181" s="3310"/>
      <c r="AK181" s="2087"/>
      <c r="AL181" s="2087"/>
      <c r="AM181" s="2087"/>
      <c r="AN181" s="3310"/>
      <c r="AO181" s="2087"/>
      <c r="AP181" s="2087"/>
      <c r="AQ181" s="2087"/>
      <c r="AR181" s="2087"/>
      <c r="AS181" s="2088"/>
      <c r="AT181" s="1096"/>
      <c r="AU181" s="2088"/>
      <c r="AV181" s="2088"/>
      <c r="AW181" s="2088"/>
      <c r="AX181" s="2087"/>
      <c r="AY181" s="2087"/>
      <c r="BE181" s="2089"/>
      <c r="BF181" s="2089"/>
      <c r="BG181" s="2089"/>
      <c r="BH181" s="2089"/>
      <c r="BI181" s="2089"/>
      <c r="BJ181" s="2089"/>
      <c r="BK181" s="2089"/>
      <c r="BL181" s="2089"/>
      <c r="BM181" s="2089"/>
      <c r="BN181" s="2090"/>
      <c r="BO181" s="2089"/>
      <c r="BP181" s="2089"/>
      <c r="BQ181" s="2089"/>
      <c r="BR181" s="2089"/>
    </row>
    <row r="182" spans="2:70" s="1270" customFormat="1" ht="29.25" hidden="1" customHeight="1">
      <c r="B182" s="3309"/>
      <c r="C182" s="3304"/>
      <c r="D182" s="3304"/>
      <c r="E182" s="3304"/>
      <c r="F182" s="3304"/>
      <c r="G182" s="3304"/>
      <c r="H182" s="3304"/>
      <c r="I182" s="3304"/>
      <c r="J182" s="3304"/>
      <c r="K182" s="3304"/>
      <c r="L182" s="3304"/>
      <c r="M182" s="3304"/>
      <c r="N182" s="3304"/>
      <c r="O182" s="3304"/>
      <c r="P182" s="3304"/>
      <c r="Q182" s="3304"/>
      <c r="R182" s="3304"/>
      <c r="S182" s="3304"/>
      <c r="T182" s="3304"/>
      <c r="U182" s="3304"/>
      <c r="V182" s="3304"/>
      <c r="W182" s="3304"/>
      <c r="X182" s="3304"/>
      <c r="Y182" s="3304"/>
      <c r="Z182" s="3304"/>
      <c r="AA182" s="3304"/>
      <c r="AB182" s="3304"/>
      <c r="AC182" s="3304"/>
      <c r="AD182" s="3304"/>
      <c r="AE182" s="3304"/>
      <c r="AF182" s="3304"/>
      <c r="AG182" s="3313"/>
      <c r="AH182" s="3310"/>
      <c r="AI182" s="3310"/>
      <c r="AJ182" s="3310"/>
      <c r="AK182" s="2087"/>
      <c r="AL182" s="2087"/>
      <c r="AM182" s="2087"/>
      <c r="AN182" s="3310"/>
      <c r="AO182" s="2087"/>
      <c r="AP182" s="2087"/>
      <c r="AQ182" s="2087"/>
      <c r="AR182" s="2087"/>
      <c r="AS182" s="2088"/>
      <c r="AT182" s="1096"/>
      <c r="AU182" s="2088"/>
      <c r="AV182" s="2088"/>
      <c r="AW182" s="2088"/>
      <c r="AX182" s="2087"/>
      <c r="AY182" s="2087"/>
      <c r="BE182" s="2089"/>
      <c r="BF182" s="2089"/>
      <c r="BG182" s="2089"/>
      <c r="BH182" s="2089"/>
      <c r="BI182" s="2089"/>
      <c r="BJ182" s="2089"/>
      <c r="BK182" s="2089"/>
      <c r="BL182" s="2089"/>
      <c r="BM182" s="2089"/>
      <c r="BN182" s="2090"/>
      <c r="BO182" s="2089"/>
      <c r="BP182" s="2089"/>
      <c r="BQ182" s="2089"/>
      <c r="BR182" s="2089"/>
    </row>
    <row r="183" spans="2:70" s="1270" customFormat="1" ht="29.25" hidden="1" customHeight="1">
      <c r="B183" s="3309"/>
      <c r="C183" s="3304"/>
      <c r="D183" s="3304"/>
      <c r="E183" s="3304"/>
      <c r="F183" s="3304"/>
      <c r="G183" s="3304"/>
      <c r="H183" s="3304"/>
      <c r="I183" s="3304"/>
      <c r="J183" s="3304"/>
      <c r="K183" s="3304"/>
      <c r="L183" s="3304"/>
      <c r="M183" s="3304"/>
      <c r="N183" s="3304"/>
      <c r="O183" s="3304"/>
      <c r="P183" s="3304"/>
      <c r="Q183" s="3304"/>
      <c r="R183" s="3304"/>
      <c r="S183" s="3304"/>
      <c r="T183" s="3304"/>
      <c r="U183" s="3304"/>
      <c r="V183" s="3304"/>
      <c r="W183" s="3304"/>
      <c r="X183" s="3304"/>
      <c r="Y183" s="3304"/>
      <c r="Z183" s="3304"/>
      <c r="AA183" s="3304"/>
      <c r="AB183" s="3304"/>
      <c r="AC183" s="3304"/>
      <c r="AD183" s="3304"/>
      <c r="AE183" s="3304"/>
      <c r="AF183" s="3304"/>
      <c r="AG183" s="3313"/>
      <c r="AH183" s="3310"/>
      <c r="AI183" s="3310"/>
      <c r="AJ183" s="3310"/>
      <c r="AK183" s="2087"/>
      <c r="AL183" s="2087"/>
      <c r="AM183" s="2087"/>
      <c r="AN183" s="3310"/>
      <c r="AO183" s="2087"/>
      <c r="AP183" s="2087"/>
      <c r="AQ183" s="2087"/>
      <c r="AR183" s="2087"/>
      <c r="AS183" s="2088"/>
      <c r="AT183" s="1096"/>
      <c r="AU183" s="2088"/>
      <c r="AV183" s="2088"/>
      <c r="AW183" s="2088"/>
      <c r="AX183" s="2087"/>
      <c r="AY183" s="2087"/>
      <c r="BE183" s="2089"/>
      <c r="BF183" s="2089"/>
      <c r="BG183" s="2089"/>
      <c r="BH183" s="2089"/>
      <c r="BI183" s="2089"/>
      <c r="BJ183" s="2089"/>
      <c r="BK183" s="2089"/>
      <c r="BL183" s="2089"/>
      <c r="BM183" s="2089"/>
      <c r="BN183" s="2090"/>
      <c r="BO183" s="2089"/>
      <c r="BP183" s="2089"/>
      <c r="BQ183" s="2089"/>
      <c r="BR183" s="2089"/>
    </row>
    <row r="184" spans="2:70" s="1270" customFormat="1" ht="29.25" hidden="1" customHeight="1">
      <c r="B184" s="3309"/>
      <c r="C184" s="3304"/>
      <c r="D184" s="3304"/>
      <c r="E184" s="3304"/>
      <c r="F184" s="3304"/>
      <c r="G184" s="3304"/>
      <c r="H184" s="3304"/>
      <c r="I184" s="3304"/>
      <c r="J184" s="3304"/>
      <c r="K184" s="3304"/>
      <c r="L184" s="3304"/>
      <c r="M184" s="3304"/>
      <c r="N184" s="3304"/>
      <c r="O184" s="3304"/>
      <c r="P184" s="3304"/>
      <c r="Q184" s="3304"/>
      <c r="R184" s="3304"/>
      <c r="S184" s="3304"/>
      <c r="T184" s="3304"/>
      <c r="U184" s="3304"/>
      <c r="V184" s="3304"/>
      <c r="W184" s="3304"/>
      <c r="X184" s="3304"/>
      <c r="Y184" s="3304"/>
      <c r="Z184" s="3304"/>
      <c r="AA184" s="3304"/>
      <c r="AB184" s="3304"/>
      <c r="AC184" s="3304"/>
      <c r="AD184" s="3304"/>
      <c r="AE184" s="3304"/>
      <c r="AF184" s="3304"/>
      <c r="AG184" s="3313"/>
      <c r="AH184" s="3310"/>
      <c r="AI184" s="3310"/>
      <c r="AJ184" s="3310"/>
      <c r="AK184" s="2087"/>
      <c r="AL184" s="2087"/>
      <c r="AM184" s="2087"/>
      <c r="AN184" s="3310"/>
      <c r="AO184" s="2087"/>
      <c r="AP184" s="2087"/>
      <c r="AQ184" s="2087"/>
      <c r="AR184" s="2087"/>
      <c r="AS184" s="2088"/>
      <c r="AT184" s="1096"/>
      <c r="AU184" s="2088"/>
      <c r="AV184" s="2088"/>
      <c r="AW184" s="2088"/>
      <c r="AX184" s="2087"/>
      <c r="AY184" s="2087"/>
      <c r="BE184" s="2089"/>
      <c r="BF184" s="2089"/>
      <c r="BG184" s="2089"/>
      <c r="BH184" s="2089"/>
      <c r="BI184" s="2089"/>
      <c r="BJ184" s="2089"/>
      <c r="BK184" s="2089"/>
      <c r="BL184" s="2089"/>
      <c r="BM184" s="2089"/>
      <c r="BN184" s="2090"/>
      <c r="BO184" s="2089"/>
      <c r="BP184" s="2089"/>
      <c r="BQ184" s="2089"/>
      <c r="BR184" s="2089"/>
    </row>
    <row r="185" spans="2:70" s="1270" customFormat="1" ht="8.25" hidden="1" customHeight="1">
      <c r="B185" s="3309"/>
      <c r="C185" s="3304"/>
      <c r="D185" s="3304"/>
      <c r="E185" s="3304"/>
      <c r="F185" s="3304"/>
      <c r="G185" s="3304"/>
      <c r="H185" s="3304"/>
      <c r="I185" s="3304"/>
      <c r="J185" s="3304"/>
      <c r="K185" s="3304"/>
      <c r="L185" s="3304"/>
      <c r="M185" s="3304"/>
      <c r="N185" s="3304"/>
      <c r="O185" s="3304"/>
      <c r="P185" s="3304"/>
      <c r="Q185" s="3304"/>
      <c r="R185" s="3304"/>
      <c r="S185" s="3304"/>
      <c r="T185" s="3304"/>
      <c r="U185" s="3304"/>
      <c r="V185" s="3304"/>
      <c r="W185" s="3304"/>
      <c r="X185" s="3304"/>
      <c r="Y185" s="3304"/>
      <c r="Z185" s="3304"/>
      <c r="AA185" s="3304"/>
      <c r="AB185" s="3304"/>
      <c r="AC185" s="3304"/>
      <c r="AD185" s="3304"/>
      <c r="AE185" s="3304"/>
      <c r="AF185" s="3304"/>
      <c r="AG185" s="3313"/>
      <c r="AH185" s="3310"/>
      <c r="AI185" s="3310"/>
      <c r="AJ185" s="3310"/>
      <c r="AK185" s="2087"/>
      <c r="AL185" s="2087"/>
      <c r="AM185" s="2087"/>
      <c r="AN185" s="3310"/>
      <c r="AO185" s="2087"/>
      <c r="AP185" s="2087"/>
      <c r="AQ185" s="2087"/>
      <c r="AR185" s="2087"/>
      <c r="AS185" s="2088"/>
      <c r="AT185" s="1096"/>
      <c r="AU185" s="2088"/>
      <c r="AV185" s="2088"/>
      <c r="AW185" s="2088"/>
      <c r="AX185" s="2087"/>
      <c r="AY185" s="2087"/>
      <c r="BE185" s="2089"/>
      <c r="BF185" s="2089"/>
      <c r="BG185" s="2089"/>
      <c r="BH185" s="2089"/>
      <c r="BI185" s="2089"/>
      <c r="BJ185" s="2089"/>
      <c r="BK185" s="4534"/>
      <c r="BL185" s="4534"/>
      <c r="BM185" s="4534"/>
      <c r="BN185" s="2089"/>
      <c r="BO185" s="2089"/>
      <c r="BP185" s="2089"/>
      <c r="BQ185" s="2089"/>
      <c r="BR185" s="2089"/>
    </row>
    <row r="186" spans="2:70" s="1270" customFormat="1" ht="15" hidden="1" customHeight="1">
      <c r="B186" s="3309"/>
      <c r="C186" s="3304"/>
      <c r="D186" s="3304"/>
      <c r="E186" s="3304"/>
      <c r="F186" s="3304"/>
      <c r="G186" s="3304"/>
      <c r="H186" s="3304"/>
      <c r="I186" s="3304"/>
      <c r="J186" s="3304"/>
      <c r="K186" s="3304"/>
      <c r="L186" s="3304"/>
      <c r="M186" s="3304"/>
      <c r="N186" s="3304"/>
      <c r="O186" s="3304"/>
      <c r="P186" s="3304"/>
      <c r="Q186" s="3304"/>
      <c r="R186" s="3304"/>
      <c r="S186" s="3304"/>
      <c r="T186" s="3304"/>
      <c r="U186" s="3304"/>
      <c r="V186" s="3304"/>
      <c r="W186" s="3304"/>
      <c r="X186" s="3304"/>
      <c r="Y186" s="3304"/>
      <c r="Z186" s="3304"/>
      <c r="AA186" s="3304"/>
      <c r="AB186" s="3304"/>
      <c r="AC186" s="3304"/>
      <c r="AD186" s="3304"/>
      <c r="AE186" s="3304"/>
      <c r="AF186" s="3304"/>
      <c r="AG186" s="3313"/>
      <c r="AH186" s="3311"/>
      <c r="AI186" s="3311"/>
      <c r="AJ186" s="3311"/>
      <c r="AK186" s="2091"/>
      <c r="AL186" s="2091"/>
      <c r="AN186" s="831"/>
      <c r="AS186" s="2088"/>
      <c r="AT186" s="1096"/>
      <c r="AU186" s="2088"/>
      <c r="AV186" s="2088"/>
      <c r="AW186" s="2088"/>
      <c r="BE186" s="2089"/>
      <c r="BF186" s="2089"/>
      <c r="BG186" s="2089"/>
      <c r="BH186" s="2089"/>
      <c r="BI186" s="2089"/>
      <c r="BJ186" s="2089"/>
      <c r="BK186" s="4534"/>
      <c r="BL186" s="4534"/>
      <c r="BM186" s="4534"/>
      <c r="BN186" s="2089"/>
      <c r="BO186" s="2089"/>
      <c r="BP186" s="2089"/>
      <c r="BQ186" s="2089"/>
      <c r="BR186" s="2089"/>
    </row>
    <row r="187" spans="2:70" s="1270" customFormat="1" ht="15" hidden="1" customHeight="1">
      <c r="B187" s="3309"/>
      <c r="C187" s="3304"/>
      <c r="D187" s="3304"/>
      <c r="E187" s="3304"/>
      <c r="F187" s="3304"/>
      <c r="G187" s="3304"/>
      <c r="H187" s="3304"/>
      <c r="I187" s="3304"/>
      <c r="J187" s="3304"/>
      <c r="K187" s="3304"/>
      <c r="L187" s="3304"/>
      <c r="M187" s="3304"/>
      <c r="N187" s="3304"/>
      <c r="O187" s="3304"/>
      <c r="P187" s="3304"/>
      <c r="Q187" s="3304"/>
      <c r="R187" s="3304"/>
      <c r="S187" s="3304"/>
      <c r="T187" s="3304"/>
      <c r="U187" s="3304"/>
      <c r="V187" s="3304"/>
      <c r="W187" s="3304"/>
      <c r="X187" s="3304"/>
      <c r="Y187" s="3304"/>
      <c r="Z187" s="3304"/>
      <c r="AA187" s="3304"/>
      <c r="AB187" s="3304"/>
      <c r="AC187" s="3304"/>
      <c r="AD187" s="3304"/>
      <c r="AE187" s="3304"/>
      <c r="AF187" s="3304"/>
      <c r="AG187" s="3313"/>
      <c r="AH187" s="3311"/>
      <c r="AI187" s="3311"/>
      <c r="AJ187" s="3311"/>
      <c r="AK187" s="2091"/>
      <c r="AL187" s="2091"/>
      <c r="AN187" s="831"/>
      <c r="AS187" s="2088"/>
      <c r="AT187" s="1096"/>
      <c r="AU187" s="2088"/>
      <c r="AV187" s="2088"/>
      <c r="AW187" s="2088"/>
      <c r="BE187" s="2089"/>
      <c r="BF187" s="2089"/>
      <c r="BG187" s="2089"/>
      <c r="BH187" s="2089"/>
      <c r="BI187" s="2089"/>
      <c r="BJ187" s="2089"/>
      <c r="BK187" s="4534"/>
      <c r="BL187" s="4534"/>
      <c r="BM187" s="4534"/>
      <c r="BN187" s="2089"/>
      <c r="BO187" s="2089"/>
      <c r="BP187" s="2089"/>
      <c r="BQ187" s="2089"/>
      <c r="BR187" s="2089"/>
    </row>
    <row r="188" spans="2:70" s="1270" customFormat="1" ht="27" hidden="1" customHeight="1">
      <c r="B188" s="3309"/>
      <c r="C188" s="3304"/>
      <c r="D188" s="3304"/>
      <c r="E188" s="3304"/>
      <c r="F188" s="3304"/>
      <c r="G188" s="3304"/>
      <c r="H188" s="3304"/>
      <c r="I188" s="3304"/>
      <c r="J188" s="3304"/>
      <c r="K188" s="3304"/>
      <c r="L188" s="3304"/>
      <c r="M188" s="3304"/>
      <c r="N188" s="3304"/>
      <c r="O188" s="3304"/>
      <c r="P188" s="3304"/>
      <c r="Q188" s="3304"/>
      <c r="R188" s="3304"/>
      <c r="S188" s="3304"/>
      <c r="T188" s="3304"/>
      <c r="U188" s="3304"/>
      <c r="V188" s="3304"/>
      <c r="W188" s="3304"/>
      <c r="X188" s="3304"/>
      <c r="Y188" s="3304"/>
      <c r="Z188" s="3304"/>
      <c r="AA188" s="3304"/>
      <c r="AB188" s="3304"/>
      <c r="AC188" s="3304"/>
      <c r="AD188" s="3304"/>
      <c r="AE188" s="3304"/>
      <c r="AF188" s="3304"/>
      <c r="AG188" s="3313"/>
      <c r="AH188" s="3311"/>
      <c r="AI188" s="3311"/>
      <c r="AJ188" s="3311"/>
      <c r="AK188" s="2091"/>
      <c r="AL188" s="2091"/>
      <c r="AN188" s="831"/>
      <c r="AS188" s="2088"/>
      <c r="AT188" s="1096"/>
      <c r="AU188" s="2088"/>
      <c r="AV188" s="2088"/>
      <c r="AW188" s="2088"/>
      <c r="BE188" s="2089"/>
      <c r="BF188" s="2089"/>
      <c r="BG188" s="2089"/>
      <c r="BH188" s="2089"/>
      <c r="BI188" s="2089"/>
      <c r="BJ188" s="2089"/>
      <c r="BK188" s="2089"/>
      <c r="BL188" s="2089"/>
      <c r="BM188" s="2089"/>
      <c r="BN188" s="2089"/>
      <c r="BO188" s="2089"/>
      <c r="BP188" s="2089"/>
      <c r="BQ188" s="2089"/>
      <c r="BR188" s="2089"/>
    </row>
    <row r="189" spans="2:70" s="1270" customFormat="1" ht="24" hidden="1" customHeight="1">
      <c r="B189" s="3309"/>
      <c r="C189" s="3304"/>
      <c r="D189" s="3304"/>
      <c r="E189" s="3304"/>
      <c r="F189" s="3304"/>
      <c r="G189" s="3304"/>
      <c r="H189" s="3304"/>
      <c r="I189" s="3304"/>
      <c r="J189" s="3304"/>
      <c r="K189" s="3304"/>
      <c r="L189" s="3304"/>
      <c r="M189" s="3304"/>
      <c r="N189" s="3304"/>
      <c r="O189" s="3304"/>
      <c r="P189" s="3304"/>
      <c r="Q189" s="3304"/>
      <c r="R189" s="3304"/>
      <c r="S189" s="3304"/>
      <c r="T189" s="3304"/>
      <c r="U189" s="3304"/>
      <c r="V189" s="3304"/>
      <c r="W189" s="3304"/>
      <c r="X189" s="3304"/>
      <c r="Y189" s="3304"/>
      <c r="Z189" s="3304"/>
      <c r="AA189" s="3304"/>
      <c r="AB189" s="3304"/>
      <c r="AC189" s="3304"/>
      <c r="AD189" s="3304"/>
      <c r="AE189" s="3304"/>
      <c r="AF189" s="3304"/>
      <c r="AG189" s="3313"/>
      <c r="AH189" s="3311"/>
      <c r="AI189" s="3311"/>
      <c r="AJ189" s="3311"/>
      <c r="AK189" s="2091"/>
      <c r="AL189" s="2091"/>
      <c r="AN189" s="831"/>
      <c r="AS189" s="2088"/>
      <c r="AT189" s="1096"/>
      <c r="AU189" s="2088"/>
      <c r="AV189" s="2088"/>
      <c r="AW189" s="2088"/>
      <c r="BE189" s="2089"/>
      <c r="BF189" s="2089"/>
      <c r="BG189" s="2089"/>
      <c r="BH189" s="2089"/>
      <c r="BI189" s="2089"/>
      <c r="BJ189" s="2089"/>
      <c r="BK189" s="2089"/>
      <c r="BL189" s="2089"/>
      <c r="BM189" s="2089"/>
      <c r="BN189" s="2089"/>
      <c r="BO189" s="2089"/>
      <c r="BP189" s="2089"/>
      <c r="BQ189" s="2089"/>
      <c r="BR189" s="2089"/>
    </row>
    <row r="190" spans="2:70" s="1270" customFormat="1" ht="25.5" hidden="1" customHeight="1">
      <c r="B190" s="3309"/>
      <c r="C190" s="3304"/>
      <c r="D190" s="3304"/>
      <c r="E190" s="3304"/>
      <c r="F190" s="3304"/>
      <c r="G190" s="3304"/>
      <c r="H190" s="3304"/>
      <c r="I190" s="3304"/>
      <c r="J190" s="3304"/>
      <c r="K190" s="3304"/>
      <c r="L190" s="3304"/>
      <c r="M190" s="3304"/>
      <c r="N190" s="3304"/>
      <c r="O190" s="3304"/>
      <c r="P190" s="3304"/>
      <c r="Q190" s="3304"/>
      <c r="R190" s="3304"/>
      <c r="S190" s="3304"/>
      <c r="T190" s="3304"/>
      <c r="U190" s="3304"/>
      <c r="V190" s="3304"/>
      <c r="W190" s="3304"/>
      <c r="X190" s="3304"/>
      <c r="Y190" s="3304"/>
      <c r="Z190" s="3304"/>
      <c r="AA190" s="3304"/>
      <c r="AB190" s="3304"/>
      <c r="AC190" s="3304"/>
      <c r="AD190" s="3304"/>
      <c r="AE190" s="3304"/>
      <c r="AF190" s="3304"/>
      <c r="AG190" s="3313"/>
      <c r="AH190" s="3311"/>
      <c r="AI190" s="3311"/>
      <c r="AJ190" s="3311"/>
      <c r="AK190" s="2091"/>
      <c r="AL190" s="2091"/>
      <c r="AN190" s="831"/>
      <c r="AS190" s="2088"/>
      <c r="AT190" s="1096"/>
      <c r="AU190" s="2088"/>
      <c r="AV190" s="2088"/>
      <c r="AW190" s="2088"/>
      <c r="BE190" s="2089"/>
      <c r="BF190" s="2089"/>
      <c r="BG190" s="2089"/>
      <c r="BH190" s="2089"/>
      <c r="BI190" s="2089"/>
      <c r="BJ190" s="2089"/>
      <c r="BK190" s="2089"/>
      <c r="BL190" s="2089"/>
      <c r="BM190" s="2089"/>
      <c r="BN190" s="2089"/>
      <c r="BO190" s="2089"/>
      <c r="BP190" s="2089"/>
      <c r="BQ190" s="2089"/>
      <c r="BR190" s="2089"/>
    </row>
    <row r="191" spans="2:70" s="1270" customFormat="1" ht="26.25" hidden="1" customHeight="1">
      <c r="B191" s="3309"/>
      <c r="C191" s="3304"/>
      <c r="D191" s="3304"/>
      <c r="E191" s="3304"/>
      <c r="F191" s="3304"/>
      <c r="G191" s="3304"/>
      <c r="H191" s="3304"/>
      <c r="I191" s="3304"/>
      <c r="J191" s="3304"/>
      <c r="K191" s="3304"/>
      <c r="L191" s="3304"/>
      <c r="M191" s="3304"/>
      <c r="N191" s="3304"/>
      <c r="O191" s="3304"/>
      <c r="P191" s="3304"/>
      <c r="Q191" s="3304"/>
      <c r="R191" s="3304"/>
      <c r="S191" s="3304"/>
      <c r="T191" s="3304"/>
      <c r="U191" s="3304"/>
      <c r="V191" s="3304"/>
      <c r="W191" s="3304"/>
      <c r="X191" s="3304"/>
      <c r="Y191" s="3304"/>
      <c r="Z191" s="3304"/>
      <c r="AA191" s="3304"/>
      <c r="AB191" s="3304"/>
      <c r="AC191" s="3304"/>
      <c r="AD191" s="3304"/>
      <c r="AE191" s="3304"/>
      <c r="AF191" s="3304"/>
      <c r="AG191" s="3313"/>
      <c r="AH191" s="3311"/>
      <c r="AI191" s="3311"/>
      <c r="AJ191" s="3311"/>
      <c r="AK191" s="2091"/>
      <c r="AL191" s="2091"/>
      <c r="AN191" s="831"/>
      <c r="AS191" s="2088"/>
      <c r="AT191" s="1096"/>
      <c r="AU191" s="2088"/>
      <c r="AV191" s="2088"/>
      <c r="AW191" s="2088"/>
      <c r="BE191" s="2089"/>
      <c r="BF191" s="2089"/>
      <c r="BG191" s="2089"/>
      <c r="BH191" s="2089"/>
      <c r="BI191" s="2089"/>
      <c r="BJ191" s="2089"/>
      <c r="BK191" s="2089"/>
      <c r="BL191" s="2089"/>
      <c r="BM191" s="2089"/>
      <c r="BN191" s="2089"/>
      <c r="BO191" s="2089"/>
      <c r="BP191" s="2089"/>
      <c r="BQ191" s="2089"/>
      <c r="BR191" s="2089"/>
    </row>
    <row r="192" spans="2:70" s="1270" customFormat="1" ht="25.5" hidden="1" customHeight="1">
      <c r="B192" s="3309"/>
      <c r="C192" s="3304"/>
      <c r="D192" s="3304"/>
      <c r="E192" s="3304"/>
      <c r="F192" s="3304"/>
      <c r="G192" s="3304"/>
      <c r="H192" s="3304"/>
      <c r="I192" s="3304"/>
      <c r="J192" s="3304"/>
      <c r="K192" s="3304"/>
      <c r="L192" s="3304"/>
      <c r="M192" s="3304"/>
      <c r="N192" s="3304"/>
      <c r="O192" s="3304"/>
      <c r="P192" s="3304"/>
      <c r="Q192" s="3304"/>
      <c r="R192" s="3304"/>
      <c r="S192" s="3304"/>
      <c r="T192" s="3304"/>
      <c r="U192" s="3304"/>
      <c r="V192" s="3304"/>
      <c r="W192" s="3304"/>
      <c r="X192" s="3304"/>
      <c r="Y192" s="3304"/>
      <c r="Z192" s="3304"/>
      <c r="AA192" s="3304"/>
      <c r="AB192" s="3304"/>
      <c r="AC192" s="3304"/>
      <c r="AD192" s="3304"/>
      <c r="AE192" s="3304"/>
      <c r="AF192" s="3304"/>
      <c r="AG192" s="3313"/>
      <c r="AH192" s="3311"/>
      <c r="AI192" s="3311"/>
      <c r="AJ192" s="3311"/>
      <c r="AK192" s="2091"/>
      <c r="AL192" s="2091"/>
      <c r="AN192" s="831"/>
      <c r="AS192" s="2088"/>
      <c r="AT192" s="1096"/>
      <c r="AU192" s="2088"/>
      <c r="AV192" s="2088"/>
      <c r="AW192" s="2088"/>
      <c r="BE192" s="2089"/>
      <c r="BF192" s="2089"/>
      <c r="BG192" s="2089"/>
      <c r="BH192" s="2089"/>
      <c r="BI192" s="2089"/>
      <c r="BJ192" s="2089"/>
      <c r="BK192" s="2089"/>
      <c r="BL192" s="2089"/>
      <c r="BM192" s="2089"/>
      <c r="BN192" s="2089"/>
      <c r="BO192" s="2089"/>
      <c r="BP192" s="2089"/>
      <c r="BQ192" s="2089"/>
      <c r="BR192" s="2089"/>
    </row>
    <row r="193" spans="2:70" s="1270" customFormat="1" ht="25.5" hidden="1" customHeight="1">
      <c r="B193" s="3309"/>
      <c r="C193" s="3304"/>
      <c r="D193" s="3304"/>
      <c r="E193" s="3304"/>
      <c r="F193" s="3304"/>
      <c r="G193" s="3304"/>
      <c r="H193" s="3304"/>
      <c r="I193" s="3304"/>
      <c r="J193" s="3304"/>
      <c r="K193" s="3304"/>
      <c r="L193" s="3304"/>
      <c r="M193" s="3304"/>
      <c r="N193" s="3304"/>
      <c r="O193" s="3304"/>
      <c r="P193" s="3304"/>
      <c r="Q193" s="3304"/>
      <c r="R193" s="3304"/>
      <c r="S193" s="3304"/>
      <c r="T193" s="3304"/>
      <c r="U193" s="3304"/>
      <c r="V193" s="3304"/>
      <c r="W193" s="3304"/>
      <c r="X193" s="3304"/>
      <c r="Y193" s="3304"/>
      <c r="Z193" s="3304"/>
      <c r="AA193" s="3304"/>
      <c r="AB193" s="3304"/>
      <c r="AC193" s="3304"/>
      <c r="AD193" s="3304"/>
      <c r="AE193" s="3304"/>
      <c r="AF193" s="3304"/>
      <c r="AG193" s="3313"/>
      <c r="AH193" s="3311"/>
      <c r="AI193" s="3311"/>
      <c r="AJ193" s="3311"/>
      <c r="AK193" s="2091"/>
      <c r="AL193" s="2091"/>
      <c r="AN193" s="831"/>
      <c r="AS193" s="2088"/>
      <c r="AT193" s="1096"/>
      <c r="AU193" s="2088"/>
      <c r="AV193" s="2088"/>
      <c r="AW193" s="2088"/>
      <c r="BE193" s="2089"/>
      <c r="BF193" s="2089"/>
      <c r="BG193" s="2089"/>
      <c r="BH193" s="2089"/>
      <c r="BI193" s="2089"/>
      <c r="BJ193" s="2089"/>
      <c r="BK193" s="2089"/>
      <c r="BL193" s="2089"/>
      <c r="BM193" s="2089"/>
      <c r="BN193" s="2089"/>
      <c r="BO193" s="2089"/>
      <c r="BP193" s="2089"/>
      <c r="BQ193" s="2089"/>
      <c r="BR193" s="2089"/>
    </row>
    <row r="194" spans="2:70" s="1270" customFormat="1" ht="24.75" hidden="1" customHeight="1">
      <c r="B194" s="3309"/>
      <c r="C194" s="3304"/>
      <c r="D194" s="3304"/>
      <c r="E194" s="3304"/>
      <c r="F194" s="3304"/>
      <c r="G194" s="3304"/>
      <c r="H194" s="3304"/>
      <c r="I194" s="3304"/>
      <c r="J194" s="3304"/>
      <c r="K194" s="3304"/>
      <c r="L194" s="3304"/>
      <c r="M194" s="3304"/>
      <c r="N194" s="3304"/>
      <c r="O194" s="3304"/>
      <c r="P194" s="3304"/>
      <c r="Q194" s="3304"/>
      <c r="R194" s="3304"/>
      <c r="S194" s="3304"/>
      <c r="T194" s="3304"/>
      <c r="U194" s="3304"/>
      <c r="V194" s="3304"/>
      <c r="W194" s="3304"/>
      <c r="X194" s="3304"/>
      <c r="Y194" s="3304"/>
      <c r="Z194" s="3304"/>
      <c r="AA194" s="3304"/>
      <c r="AB194" s="3304"/>
      <c r="AC194" s="3304"/>
      <c r="AD194" s="3304"/>
      <c r="AE194" s="3304"/>
      <c r="AF194" s="3304"/>
      <c r="AG194" s="3313"/>
      <c r="AH194" s="3311"/>
      <c r="AI194" s="3311"/>
      <c r="AJ194" s="3311"/>
      <c r="AK194" s="2091"/>
      <c r="AL194" s="2091"/>
      <c r="AN194" s="831"/>
      <c r="AS194" s="2088"/>
      <c r="AT194" s="1096"/>
      <c r="AU194" s="2088"/>
      <c r="AV194" s="2088"/>
      <c r="AW194" s="2088"/>
      <c r="BE194" s="2089"/>
      <c r="BF194" s="2089"/>
      <c r="BG194" s="2089"/>
      <c r="BH194" s="2089"/>
      <c r="BI194" s="2089"/>
      <c r="BJ194" s="2089"/>
      <c r="BK194" s="2089"/>
      <c r="BL194" s="2089"/>
      <c r="BM194" s="2089"/>
      <c r="BN194" s="2089"/>
      <c r="BO194" s="2089"/>
      <c r="BP194" s="2089"/>
      <c r="BQ194" s="2089"/>
      <c r="BR194" s="2089"/>
    </row>
    <row r="195" spans="2:70" s="1270" customFormat="1" ht="24" hidden="1" customHeight="1">
      <c r="B195" s="3309"/>
      <c r="C195" s="3304"/>
      <c r="D195" s="3304"/>
      <c r="E195" s="3304"/>
      <c r="F195" s="3304"/>
      <c r="G195" s="3304"/>
      <c r="H195" s="3304"/>
      <c r="I195" s="3304"/>
      <c r="J195" s="3304"/>
      <c r="K195" s="3304"/>
      <c r="L195" s="3304"/>
      <c r="M195" s="3304"/>
      <c r="N195" s="3304"/>
      <c r="O195" s="3304"/>
      <c r="P195" s="3304"/>
      <c r="Q195" s="3304"/>
      <c r="R195" s="3304"/>
      <c r="S195" s="3304"/>
      <c r="T195" s="3304"/>
      <c r="U195" s="3304"/>
      <c r="V195" s="3304"/>
      <c r="W195" s="3304"/>
      <c r="X195" s="3304"/>
      <c r="Y195" s="3304"/>
      <c r="Z195" s="3304"/>
      <c r="AA195" s="3304"/>
      <c r="AB195" s="3304"/>
      <c r="AC195" s="3304"/>
      <c r="AD195" s="3304"/>
      <c r="AE195" s="3304"/>
      <c r="AF195" s="3304"/>
      <c r="AG195" s="3313"/>
      <c r="AH195" s="3311"/>
      <c r="AI195" s="3311"/>
      <c r="AJ195" s="3311"/>
      <c r="AK195" s="2091"/>
      <c r="AL195" s="2091"/>
      <c r="AN195" s="831"/>
      <c r="AS195" s="2088"/>
      <c r="AT195" s="1096"/>
      <c r="AU195" s="2088"/>
      <c r="AV195" s="2088"/>
      <c r="AW195" s="2088"/>
      <c r="BE195" s="2089"/>
      <c r="BF195" s="2089"/>
      <c r="BG195" s="2089"/>
      <c r="BH195" s="2089"/>
      <c r="BI195" s="2089"/>
      <c r="BJ195" s="2089"/>
      <c r="BK195" s="2089"/>
      <c r="BL195" s="2089"/>
      <c r="BM195" s="2089"/>
      <c r="BN195" s="2089"/>
      <c r="BO195" s="2089"/>
      <c r="BP195" s="2089"/>
      <c r="BQ195" s="2089"/>
      <c r="BR195" s="2089"/>
    </row>
    <row r="196" spans="2:70" s="1270" customFormat="1" ht="24" hidden="1" customHeight="1">
      <c r="B196" s="3309"/>
      <c r="C196" s="3304"/>
      <c r="D196" s="3304"/>
      <c r="E196" s="3304"/>
      <c r="F196" s="3304"/>
      <c r="G196" s="3304"/>
      <c r="H196" s="3304"/>
      <c r="I196" s="3304"/>
      <c r="J196" s="3304"/>
      <c r="K196" s="3304"/>
      <c r="L196" s="3304"/>
      <c r="M196" s="3304"/>
      <c r="N196" s="3304"/>
      <c r="O196" s="3304"/>
      <c r="P196" s="3304"/>
      <c r="Q196" s="3304"/>
      <c r="R196" s="3304"/>
      <c r="S196" s="3304"/>
      <c r="T196" s="3304"/>
      <c r="U196" s="3304"/>
      <c r="V196" s="3304"/>
      <c r="W196" s="3304"/>
      <c r="X196" s="3304"/>
      <c r="Y196" s="3304"/>
      <c r="Z196" s="3304"/>
      <c r="AA196" s="3304"/>
      <c r="AB196" s="3304"/>
      <c r="AC196" s="3304"/>
      <c r="AD196" s="3304"/>
      <c r="AE196" s="3304"/>
      <c r="AF196" s="3304"/>
      <c r="AG196" s="3313"/>
      <c r="AH196" s="3311"/>
      <c r="AI196" s="3311"/>
      <c r="AJ196" s="3311"/>
      <c r="AK196" s="2091"/>
      <c r="AL196" s="2091"/>
      <c r="AN196" s="831"/>
      <c r="AS196" s="2088"/>
      <c r="AT196" s="1096"/>
      <c r="AU196" s="2088"/>
      <c r="AV196" s="2088"/>
      <c r="AW196" s="2088"/>
      <c r="BE196" s="2089"/>
      <c r="BF196" s="2089"/>
      <c r="BG196" s="2089"/>
      <c r="BH196" s="2089"/>
      <c r="BI196" s="2089"/>
      <c r="BJ196" s="2089"/>
      <c r="BK196" s="2089"/>
      <c r="BL196" s="2089"/>
      <c r="BM196" s="2089"/>
      <c r="BN196" s="2089"/>
      <c r="BO196" s="2089"/>
      <c r="BP196" s="2089"/>
      <c r="BQ196" s="2089"/>
      <c r="BR196" s="2089"/>
    </row>
    <row r="197" spans="2:70" s="1270" customFormat="1" ht="24" hidden="1" customHeight="1">
      <c r="B197" s="3309"/>
      <c r="C197" s="3304"/>
      <c r="D197" s="3304"/>
      <c r="E197" s="3304"/>
      <c r="F197" s="3304"/>
      <c r="G197" s="3304"/>
      <c r="H197" s="3304"/>
      <c r="I197" s="3304"/>
      <c r="J197" s="3304"/>
      <c r="K197" s="3304"/>
      <c r="L197" s="3304"/>
      <c r="M197" s="3304"/>
      <c r="N197" s="3304"/>
      <c r="O197" s="3304"/>
      <c r="P197" s="3304"/>
      <c r="Q197" s="3304"/>
      <c r="R197" s="3304"/>
      <c r="S197" s="3304"/>
      <c r="T197" s="3304"/>
      <c r="U197" s="3304"/>
      <c r="V197" s="3304"/>
      <c r="W197" s="3304"/>
      <c r="X197" s="3304"/>
      <c r="Y197" s="3304"/>
      <c r="Z197" s="3304"/>
      <c r="AA197" s="3304"/>
      <c r="AB197" s="3304"/>
      <c r="AC197" s="3304"/>
      <c r="AD197" s="3304"/>
      <c r="AE197" s="3304"/>
      <c r="AF197" s="3304"/>
      <c r="AG197" s="3313"/>
      <c r="AH197" s="3311"/>
      <c r="AI197" s="3311"/>
      <c r="AJ197" s="3311"/>
      <c r="AK197" s="2091"/>
      <c r="AL197" s="2091"/>
      <c r="AN197" s="831"/>
      <c r="AS197" s="2088"/>
      <c r="AT197" s="1096"/>
      <c r="AU197" s="2088"/>
      <c r="AV197" s="2088"/>
      <c r="AW197" s="2088"/>
      <c r="BE197" s="2089"/>
      <c r="BF197" s="2089"/>
      <c r="BG197" s="2089"/>
      <c r="BH197" s="2089"/>
      <c r="BI197" s="2089"/>
      <c r="BJ197" s="2089"/>
      <c r="BK197" s="2089"/>
      <c r="BL197" s="2089"/>
      <c r="BM197" s="2089"/>
      <c r="BN197" s="2089"/>
      <c r="BO197" s="2089"/>
      <c r="BP197" s="2089"/>
      <c r="BQ197" s="2089"/>
      <c r="BR197" s="2089"/>
    </row>
    <row r="198" spans="2:70" s="1270" customFormat="1" ht="24.75" hidden="1" customHeight="1">
      <c r="B198" s="3309"/>
      <c r="C198" s="3304"/>
      <c r="D198" s="3304"/>
      <c r="E198" s="3304"/>
      <c r="F198" s="3304"/>
      <c r="G198" s="3304"/>
      <c r="H198" s="3304"/>
      <c r="I198" s="3304"/>
      <c r="J198" s="3304"/>
      <c r="K198" s="3304"/>
      <c r="L198" s="3304"/>
      <c r="M198" s="3304"/>
      <c r="N198" s="3304"/>
      <c r="O198" s="3304"/>
      <c r="P198" s="3304"/>
      <c r="Q198" s="3304"/>
      <c r="R198" s="3304"/>
      <c r="S198" s="3304"/>
      <c r="T198" s="3304"/>
      <c r="U198" s="3304"/>
      <c r="V198" s="3304"/>
      <c r="W198" s="3304"/>
      <c r="X198" s="3304"/>
      <c r="Y198" s="3304"/>
      <c r="Z198" s="3304"/>
      <c r="AA198" s="3304"/>
      <c r="AB198" s="3304"/>
      <c r="AC198" s="3304"/>
      <c r="AD198" s="3304"/>
      <c r="AE198" s="3304"/>
      <c r="AF198" s="3304"/>
      <c r="AG198" s="3313"/>
      <c r="AH198" s="3311"/>
      <c r="AI198" s="3311"/>
      <c r="AJ198" s="3311"/>
      <c r="AK198" s="2091"/>
      <c r="AL198" s="2091"/>
      <c r="AN198" s="831"/>
      <c r="AS198" s="2088"/>
      <c r="AT198" s="1096"/>
      <c r="AU198" s="2088"/>
      <c r="AV198" s="2088"/>
      <c r="AW198" s="2088"/>
      <c r="BE198" s="2089"/>
      <c r="BF198" s="2089"/>
      <c r="BG198" s="2089"/>
      <c r="BH198" s="2089"/>
      <c r="BI198" s="2089"/>
      <c r="BJ198" s="2089"/>
      <c r="BK198" s="2089"/>
      <c r="BL198" s="2089"/>
      <c r="BM198" s="2089"/>
      <c r="BN198" s="2089"/>
      <c r="BO198" s="2089"/>
      <c r="BP198" s="2089"/>
      <c r="BQ198" s="2089"/>
      <c r="BR198" s="2089"/>
    </row>
    <row r="199" spans="2:70" s="1270" customFormat="1" ht="24" hidden="1" customHeight="1">
      <c r="B199" s="3309"/>
      <c r="C199" s="3304"/>
      <c r="D199" s="3304"/>
      <c r="E199" s="3304"/>
      <c r="F199" s="3304"/>
      <c r="G199" s="3304"/>
      <c r="H199" s="3304"/>
      <c r="I199" s="3304"/>
      <c r="J199" s="3304"/>
      <c r="K199" s="3304"/>
      <c r="L199" s="3304"/>
      <c r="M199" s="3304"/>
      <c r="N199" s="3304"/>
      <c r="O199" s="3304"/>
      <c r="P199" s="3304"/>
      <c r="Q199" s="3304"/>
      <c r="R199" s="3304"/>
      <c r="S199" s="3304"/>
      <c r="T199" s="3304"/>
      <c r="U199" s="3304"/>
      <c r="V199" s="3304"/>
      <c r="W199" s="3304"/>
      <c r="X199" s="3304"/>
      <c r="Y199" s="3304"/>
      <c r="Z199" s="3304"/>
      <c r="AA199" s="3304"/>
      <c r="AB199" s="3304"/>
      <c r="AC199" s="3304"/>
      <c r="AD199" s="3304"/>
      <c r="AE199" s="3304"/>
      <c r="AF199" s="3304"/>
      <c r="AG199" s="3313"/>
      <c r="AH199" s="3311"/>
      <c r="AI199" s="3311"/>
      <c r="AJ199" s="3311"/>
      <c r="AK199" s="2091"/>
      <c r="AL199" s="2091"/>
      <c r="AN199" s="831"/>
      <c r="AS199" s="2088"/>
      <c r="AT199" s="1096"/>
      <c r="AU199" s="2088"/>
      <c r="BE199" s="2089"/>
      <c r="BF199" s="2089"/>
      <c r="BG199" s="2089"/>
      <c r="BH199" s="2089"/>
      <c r="BI199" s="2089"/>
      <c r="BJ199" s="2089"/>
      <c r="BK199" s="2089"/>
      <c r="BL199" s="2089"/>
      <c r="BM199" s="2089"/>
      <c r="BN199" s="2089"/>
      <c r="BO199" s="2089"/>
      <c r="BP199" s="2089"/>
      <c r="BQ199" s="2089"/>
      <c r="BR199" s="2089"/>
    </row>
    <row r="200" spans="2:70" s="1270" customFormat="1" ht="22.5" hidden="1" customHeight="1">
      <c r="B200" s="3309"/>
      <c r="C200" s="3304"/>
      <c r="D200" s="3304"/>
      <c r="E200" s="3304"/>
      <c r="F200" s="3304"/>
      <c r="G200" s="3304"/>
      <c r="H200" s="3304"/>
      <c r="I200" s="3304"/>
      <c r="J200" s="3304"/>
      <c r="K200" s="3304"/>
      <c r="L200" s="3304"/>
      <c r="M200" s="3304"/>
      <c r="N200" s="3304"/>
      <c r="O200" s="3304"/>
      <c r="P200" s="3304"/>
      <c r="Q200" s="3304"/>
      <c r="R200" s="3304"/>
      <c r="S200" s="3304"/>
      <c r="T200" s="3304"/>
      <c r="U200" s="3304"/>
      <c r="V200" s="3304"/>
      <c r="W200" s="3304"/>
      <c r="X200" s="3304"/>
      <c r="Y200" s="3304"/>
      <c r="Z200" s="3304"/>
      <c r="AA200" s="3304"/>
      <c r="AB200" s="3304"/>
      <c r="AC200" s="3304"/>
      <c r="AD200" s="3304"/>
      <c r="AE200" s="3304"/>
      <c r="AF200" s="3304"/>
      <c r="AG200" s="3313"/>
      <c r="AH200" s="3311"/>
      <c r="AI200" s="3311"/>
      <c r="AJ200" s="3311"/>
      <c r="AK200" s="2091"/>
      <c r="AL200" s="2091"/>
      <c r="AN200" s="831"/>
      <c r="AS200" s="2088"/>
      <c r="AT200" s="1096"/>
      <c r="AU200" s="2088"/>
      <c r="BE200" s="2089"/>
      <c r="BF200" s="2089"/>
      <c r="BG200" s="2089"/>
      <c r="BH200" s="2089"/>
      <c r="BI200" s="2089"/>
      <c r="BJ200" s="2089"/>
      <c r="BK200" s="2089"/>
      <c r="BL200" s="2089"/>
      <c r="BM200" s="2089"/>
      <c r="BN200" s="2089"/>
      <c r="BO200" s="2089"/>
      <c r="BP200" s="2089"/>
      <c r="BQ200" s="2089"/>
      <c r="BR200" s="2089"/>
    </row>
    <row r="201" spans="2:70" s="1270" customFormat="1" ht="24.75" hidden="1" customHeight="1">
      <c r="B201" s="3309"/>
      <c r="C201" s="3304"/>
      <c r="D201" s="3304"/>
      <c r="E201" s="3304"/>
      <c r="F201" s="3304"/>
      <c r="G201" s="3304"/>
      <c r="H201" s="3304"/>
      <c r="I201" s="3304"/>
      <c r="J201" s="3304"/>
      <c r="K201" s="3304"/>
      <c r="L201" s="3304"/>
      <c r="M201" s="3304"/>
      <c r="N201" s="3304"/>
      <c r="O201" s="3304"/>
      <c r="P201" s="3304"/>
      <c r="Q201" s="3304"/>
      <c r="R201" s="3304"/>
      <c r="S201" s="3304"/>
      <c r="T201" s="3304"/>
      <c r="U201" s="3304"/>
      <c r="V201" s="3304"/>
      <c r="W201" s="3304"/>
      <c r="X201" s="3304"/>
      <c r="Y201" s="3304"/>
      <c r="Z201" s="3304"/>
      <c r="AA201" s="3304"/>
      <c r="AB201" s="3304"/>
      <c r="AC201" s="3304"/>
      <c r="AD201" s="3304"/>
      <c r="AE201" s="3304"/>
      <c r="AF201" s="3304"/>
      <c r="AG201" s="3313"/>
      <c r="AH201" s="3311"/>
      <c r="AI201" s="3311"/>
      <c r="AJ201" s="3311"/>
      <c r="AK201" s="2091"/>
      <c r="AL201" s="2091"/>
      <c r="AN201" s="831"/>
      <c r="AT201" s="831"/>
      <c r="BE201" s="2089"/>
      <c r="BF201" s="2089"/>
      <c r="BG201" s="2089"/>
      <c r="BH201" s="2089"/>
      <c r="BI201" s="2089"/>
      <c r="BJ201" s="2089"/>
      <c r="BK201" s="2089"/>
      <c r="BL201" s="2089"/>
      <c r="BM201" s="2089"/>
      <c r="BN201" s="2089"/>
      <c r="BO201" s="2089"/>
      <c r="BP201" s="2089"/>
      <c r="BQ201" s="2089"/>
      <c r="BR201" s="2089"/>
    </row>
    <row r="202" spans="2:70" s="1270" customFormat="1" ht="27.75" hidden="1" customHeight="1">
      <c r="B202" s="3309"/>
      <c r="C202" s="3304"/>
      <c r="D202" s="3304"/>
      <c r="E202" s="3304"/>
      <c r="F202" s="3304"/>
      <c r="G202" s="3304"/>
      <c r="H202" s="3304"/>
      <c r="I202" s="3304"/>
      <c r="J202" s="3304"/>
      <c r="K202" s="3304"/>
      <c r="L202" s="3304"/>
      <c r="M202" s="3304"/>
      <c r="N202" s="3304"/>
      <c r="O202" s="3304"/>
      <c r="P202" s="3304"/>
      <c r="Q202" s="3304"/>
      <c r="R202" s="3304"/>
      <c r="S202" s="3304"/>
      <c r="T202" s="3304"/>
      <c r="U202" s="3304"/>
      <c r="V202" s="3304"/>
      <c r="W202" s="3304"/>
      <c r="X202" s="3304"/>
      <c r="Y202" s="3304"/>
      <c r="Z202" s="3304"/>
      <c r="AA202" s="3304"/>
      <c r="AB202" s="3304"/>
      <c r="AC202" s="3304"/>
      <c r="AD202" s="3304"/>
      <c r="AE202" s="3304"/>
      <c r="AF202" s="3304"/>
      <c r="AG202" s="3313"/>
      <c r="AH202" s="3311"/>
      <c r="AI202" s="3311"/>
      <c r="AJ202" s="3311"/>
      <c r="AK202" s="2091"/>
      <c r="AL202" s="2091"/>
      <c r="AN202" s="831"/>
      <c r="AT202" s="831"/>
      <c r="BE202" s="2089"/>
      <c r="BF202" s="2089"/>
      <c r="BG202" s="2089"/>
      <c r="BH202" s="2089"/>
      <c r="BI202" s="2089"/>
      <c r="BJ202" s="2089"/>
      <c r="BK202" s="2089"/>
      <c r="BL202" s="2089"/>
      <c r="BM202" s="2089"/>
      <c r="BN202" s="2089"/>
      <c r="BO202" s="2089"/>
      <c r="BP202" s="2089"/>
      <c r="BQ202" s="2089"/>
      <c r="BR202" s="2089"/>
    </row>
    <row r="203" spans="2:70" s="1270" customFormat="1" ht="23.25" hidden="1" customHeight="1">
      <c r="B203" s="3309"/>
      <c r="C203" s="3304"/>
      <c r="D203" s="3304"/>
      <c r="E203" s="3304"/>
      <c r="F203" s="3304"/>
      <c r="G203" s="3304"/>
      <c r="H203" s="3304"/>
      <c r="I203" s="3304"/>
      <c r="J203" s="3304"/>
      <c r="K203" s="3304"/>
      <c r="L203" s="3304"/>
      <c r="M203" s="3304"/>
      <c r="N203" s="3304"/>
      <c r="O203" s="3304"/>
      <c r="P203" s="3304"/>
      <c r="Q203" s="3304"/>
      <c r="R203" s="3304"/>
      <c r="S203" s="3304"/>
      <c r="T203" s="3304"/>
      <c r="U203" s="3304"/>
      <c r="V203" s="3304"/>
      <c r="W203" s="3304"/>
      <c r="X203" s="3304"/>
      <c r="Y203" s="3304"/>
      <c r="Z203" s="3304"/>
      <c r="AA203" s="3304"/>
      <c r="AB203" s="3304"/>
      <c r="AC203" s="3304"/>
      <c r="AD203" s="3304"/>
      <c r="AE203" s="3304"/>
      <c r="AF203" s="3304"/>
      <c r="AG203" s="3313"/>
      <c r="AH203" s="831"/>
      <c r="AI203" s="831"/>
      <c r="AJ203" s="831"/>
      <c r="AN203" s="831"/>
      <c r="AT203" s="831"/>
      <c r="BE203" s="2089"/>
      <c r="BF203" s="2089"/>
      <c r="BG203" s="2089"/>
      <c r="BH203" s="2089"/>
      <c r="BI203" s="2089"/>
      <c r="BJ203" s="2089"/>
      <c r="BK203" s="2089"/>
      <c r="BL203" s="2089"/>
      <c r="BM203" s="2089"/>
      <c r="BN203" s="2089"/>
      <c r="BO203" s="2089"/>
      <c r="BP203" s="2089"/>
      <c r="BQ203" s="2089"/>
      <c r="BR203" s="2089"/>
    </row>
    <row r="204" spans="2:70" s="1270" customFormat="1" ht="20.25" hidden="1" customHeight="1">
      <c r="B204" s="3309"/>
      <c r="C204" s="3304"/>
      <c r="D204" s="3304"/>
      <c r="E204" s="3304"/>
      <c r="F204" s="3304"/>
      <c r="G204" s="3304"/>
      <c r="H204" s="3304"/>
      <c r="I204" s="3304"/>
      <c r="J204" s="3304"/>
      <c r="K204" s="3304"/>
      <c r="L204" s="3304"/>
      <c r="M204" s="3304"/>
      <c r="N204" s="3304"/>
      <c r="O204" s="3304"/>
      <c r="P204" s="3304"/>
      <c r="Q204" s="3304"/>
      <c r="R204" s="3304"/>
      <c r="S204" s="3304"/>
      <c r="T204" s="3304"/>
      <c r="U204" s="3304"/>
      <c r="V204" s="3304"/>
      <c r="W204" s="3304"/>
      <c r="X204" s="3304"/>
      <c r="Y204" s="3304"/>
      <c r="Z204" s="3304"/>
      <c r="AA204" s="3304"/>
      <c r="AB204" s="3304"/>
      <c r="AC204" s="3304"/>
      <c r="AD204" s="3304"/>
      <c r="AE204" s="3304"/>
      <c r="AF204" s="3304"/>
      <c r="AG204" s="3313"/>
      <c r="AH204" s="831"/>
      <c r="AI204" s="831"/>
      <c r="AJ204" s="831"/>
      <c r="AN204" s="831"/>
      <c r="AT204" s="831"/>
      <c r="BE204" s="2089"/>
      <c r="BF204" s="2089"/>
      <c r="BG204" s="2089"/>
      <c r="BH204" s="2089"/>
      <c r="BI204" s="2089"/>
      <c r="BJ204" s="2089"/>
      <c r="BK204" s="2089"/>
      <c r="BL204" s="2089"/>
      <c r="BM204" s="2089"/>
      <c r="BN204" s="2089"/>
      <c r="BO204" s="2089"/>
      <c r="BP204" s="2089"/>
      <c r="BQ204" s="2089"/>
      <c r="BR204" s="2089"/>
    </row>
    <row r="205" spans="2:70" s="1270" customFormat="1" ht="28.5" hidden="1" customHeight="1">
      <c r="B205" s="3309"/>
      <c r="C205" s="3304"/>
      <c r="D205" s="3304"/>
      <c r="E205" s="3304"/>
      <c r="F205" s="3304"/>
      <c r="G205" s="3304"/>
      <c r="H205" s="3304"/>
      <c r="I205" s="3304"/>
      <c r="J205" s="3304"/>
      <c r="K205" s="3304"/>
      <c r="L205" s="3304"/>
      <c r="M205" s="3304"/>
      <c r="N205" s="3304"/>
      <c r="O205" s="3304"/>
      <c r="P205" s="3304"/>
      <c r="Q205" s="3304"/>
      <c r="R205" s="3304"/>
      <c r="S205" s="3304"/>
      <c r="T205" s="3304"/>
      <c r="U205" s="3304"/>
      <c r="V205" s="3304"/>
      <c r="W205" s="3304"/>
      <c r="X205" s="3304"/>
      <c r="Y205" s="3304"/>
      <c r="Z205" s="3304"/>
      <c r="AA205" s="3304"/>
      <c r="AB205" s="3304"/>
      <c r="AC205" s="3304"/>
      <c r="AD205" s="3304"/>
      <c r="AE205" s="3304"/>
      <c r="AF205" s="3304"/>
      <c r="AG205" s="3313"/>
      <c r="AH205" s="831"/>
      <c r="AI205" s="831"/>
      <c r="AJ205" s="831"/>
      <c r="AN205" s="831"/>
      <c r="AT205" s="831"/>
      <c r="BE205" s="2089"/>
      <c r="BF205" s="2089"/>
      <c r="BG205" s="2089"/>
      <c r="BH205" s="2089"/>
      <c r="BI205" s="2089"/>
      <c r="BJ205" s="2089"/>
      <c r="BK205" s="2089"/>
      <c r="BL205" s="2089"/>
      <c r="BM205" s="2089"/>
      <c r="BN205" s="2089"/>
      <c r="BO205" s="2089"/>
      <c r="BP205" s="2089"/>
      <c r="BQ205" s="2089"/>
      <c r="BR205" s="2089"/>
    </row>
    <row r="206" spans="2:70" s="1270" customFormat="1" ht="21.95" hidden="1" customHeight="1">
      <c r="B206" s="3309"/>
      <c r="C206" s="3304"/>
      <c r="D206" s="3304"/>
      <c r="E206" s="3304"/>
      <c r="F206" s="3304"/>
      <c r="G206" s="3304"/>
      <c r="H206" s="3304"/>
      <c r="I206" s="3304"/>
      <c r="J206" s="3304"/>
      <c r="K206" s="3304"/>
      <c r="L206" s="3304"/>
      <c r="M206" s="3304"/>
      <c r="N206" s="3304"/>
      <c r="O206" s="3304"/>
      <c r="P206" s="3304"/>
      <c r="Q206" s="3304"/>
      <c r="R206" s="3304"/>
      <c r="S206" s="3304"/>
      <c r="T206" s="3304"/>
      <c r="U206" s="3304"/>
      <c r="V206" s="3304"/>
      <c r="W206" s="3304"/>
      <c r="X206" s="3304"/>
      <c r="Y206" s="3304"/>
      <c r="Z206" s="3304"/>
      <c r="AA206" s="3304"/>
      <c r="AB206" s="3304"/>
      <c r="AC206" s="3304"/>
      <c r="AD206" s="3304"/>
      <c r="AE206" s="3304"/>
      <c r="AF206" s="3304"/>
      <c r="AG206" s="3313"/>
      <c r="AH206" s="831"/>
      <c r="AI206" s="3312"/>
      <c r="AJ206" s="3312"/>
      <c r="AN206" s="831"/>
      <c r="AT206" s="831"/>
      <c r="BE206" s="2089"/>
      <c r="BF206" s="2089"/>
      <c r="BG206" s="2089"/>
      <c r="BH206" s="2089"/>
      <c r="BI206" s="2089"/>
      <c r="BJ206" s="2089"/>
      <c r="BK206" s="2089"/>
      <c r="BL206" s="2089"/>
      <c r="BM206" s="2089"/>
      <c r="BN206" s="2089"/>
      <c r="BO206" s="2089"/>
      <c r="BP206" s="2089"/>
      <c r="BQ206" s="2089"/>
      <c r="BR206" s="2089"/>
    </row>
    <row r="207" spans="2:70" s="1270" customFormat="1" ht="21.95" hidden="1" customHeight="1">
      <c r="B207" s="3309"/>
      <c r="C207" s="3304"/>
      <c r="D207" s="3304"/>
      <c r="E207" s="3304"/>
      <c r="F207" s="3304"/>
      <c r="G207" s="3304"/>
      <c r="H207" s="3304"/>
      <c r="I207" s="3304"/>
      <c r="J207" s="3304"/>
      <c r="K207" s="3304"/>
      <c r="L207" s="3304"/>
      <c r="M207" s="3304"/>
      <c r="N207" s="3304"/>
      <c r="O207" s="3304"/>
      <c r="P207" s="3304"/>
      <c r="Q207" s="3304"/>
      <c r="R207" s="3304"/>
      <c r="S207" s="3304"/>
      <c r="T207" s="3304"/>
      <c r="U207" s="3304"/>
      <c r="V207" s="3304"/>
      <c r="W207" s="3304"/>
      <c r="X207" s="3304"/>
      <c r="Y207" s="3304"/>
      <c r="Z207" s="3304"/>
      <c r="AA207" s="3304"/>
      <c r="AB207" s="3304"/>
      <c r="AC207" s="3304"/>
      <c r="AD207" s="3304"/>
      <c r="AE207" s="3304"/>
      <c r="AF207" s="3304"/>
      <c r="AG207" s="3313"/>
      <c r="AH207" s="831"/>
      <c r="AI207" s="831"/>
      <c r="AJ207" s="831"/>
      <c r="AN207" s="831"/>
      <c r="AT207" s="831"/>
      <c r="BE207" s="2089"/>
      <c r="BF207" s="2089"/>
      <c r="BG207" s="2089"/>
      <c r="BH207" s="2089"/>
      <c r="BI207" s="2089"/>
      <c r="BJ207" s="2089"/>
      <c r="BK207" s="2089"/>
      <c r="BL207" s="2089"/>
      <c r="BM207" s="2089"/>
      <c r="BN207" s="2089"/>
      <c r="BO207" s="2089"/>
      <c r="BP207" s="2089"/>
      <c r="BQ207" s="2089"/>
      <c r="BR207" s="2089"/>
    </row>
    <row r="208" spans="2:70" s="1270" customFormat="1" ht="21.95" hidden="1" customHeight="1">
      <c r="B208" s="3309"/>
      <c r="C208" s="3304"/>
      <c r="D208" s="3304"/>
      <c r="E208" s="3304"/>
      <c r="F208" s="3304"/>
      <c r="G208" s="3304"/>
      <c r="H208" s="3304"/>
      <c r="I208" s="3304"/>
      <c r="J208" s="3304"/>
      <c r="K208" s="3304"/>
      <c r="L208" s="3304"/>
      <c r="M208" s="3304"/>
      <c r="N208" s="3304"/>
      <c r="O208" s="3304"/>
      <c r="P208" s="3304"/>
      <c r="Q208" s="3304"/>
      <c r="R208" s="3304"/>
      <c r="S208" s="3304"/>
      <c r="T208" s="3304"/>
      <c r="U208" s="3304"/>
      <c r="V208" s="3304"/>
      <c r="W208" s="3304"/>
      <c r="X208" s="3304"/>
      <c r="Y208" s="3304"/>
      <c r="Z208" s="3304"/>
      <c r="AA208" s="3304"/>
      <c r="AB208" s="3304"/>
      <c r="AC208" s="3304"/>
      <c r="AD208" s="3304"/>
      <c r="AE208" s="3304"/>
      <c r="AF208" s="3304"/>
      <c r="AG208" s="3313"/>
      <c r="AH208" s="831"/>
      <c r="AI208" s="831"/>
      <c r="AJ208" s="831"/>
      <c r="AN208" s="831"/>
      <c r="AT208" s="831"/>
      <c r="BE208" s="2089"/>
      <c r="BF208" s="2089"/>
      <c r="BG208" s="2089"/>
      <c r="BH208" s="2089"/>
      <c r="BI208" s="2089"/>
      <c r="BJ208" s="2089"/>
      <c r="BK208" s="2089"/>
      <c r="BL208" s="2089"/>
      <c r="BM208" s="2089"/>
      <c r="BN208" s="2089"/>
      <c r="BO208" s="2089"/>
      <c r="BP208" s="2089"/>
      <c r="BQ208" s="2089"/>
      <c r="BR208" s="2089"/>
    </row>
    <row r="209" spans="2:79" s="1270" customFormat="1" ht="25.5" hidden="1" customHeight="1">
      <c r="B209" s="3309"/>
      <c r="C209" s="3304"/>
      <c r="D209" s="3304"/>
      <c r="E209" s="3304"/>
      <c r="F209" s="3304"/>
      <c r="G209" s="3304"/>
      <c r="H209" s="3304"/>
      <c r="I209" s="3304"/>
      <c r="J209" s="3304"/>
      <c r="K209" s="3304"/>
      <c r="L209" s="3304"/>
      <c r="M209" s="3304"/>
      <c r="N209" s="3304"/>
      <c r="O209" s="3304"/>
      <c r="P209" s="3304"/>
      <c r="Q209" s="3304"/>
      <c r="R209" s="3304"/>
      <c r="S209" s="3304"/>
      <c r="T209" s="3304"/>
      <c r="U209" s="3304"/>
      <c r="V209" s="3304"/>
      <c r="W209" s="3304"/>
      <c r="X209" s="3304"/>
      <c r="Y209" s="3304"/>
      <c r="Z209" s="3304"/>
      <c r="AA209" s="3304"/>
      <c r="AB209" s="3304"/>
      <c r="AC209" s="3304"/>
      <c r="AD209" s="3304"/>
      <c r="AE209" s="3304"/>
      <c r="AF209" s="3304"/>
      <c r="AG209" s="3313"/>
      <c r="AH209" s="831"/>
      <c r="AI209" s="831"/>
      <c r="AJ209" s="831"/>
      <c r="AN209" s="831"/>
      <c r="AT209" s="831"/>
      <c r="BE209" s="2089"/>
      <c r="BF209" s="2089"/>
      <c r="BG209" s="2089"/>
      <c r="BH209" s="2089"/>
      <c r="BI209" s="2089"/>
      <c r="BJ209" s="2089"/>
      <c r="BK209" s="2089"/>
      <c r="BL209" s="2089"/>
      <c r="BM209" s="2089"/>
      <c r="BN209" s="2089"/>
      <c r="BO209" s="2089"/>
      <c r="BP209" s="2089"/>
      <c r="BQ209" s="2089"/>
      <c r="BR209" s="2089"/>
    </row>
    <row r="210" spans="2:79" s="1270" customFormat="1" ht="21.95" hidden="1" customHeight="1">
      <c r="B210" s="3309"/>
      <c r="C210" s="3304"/>
      <c r="D210" s="3304"/>
      <c r="E210" s="3304"/>
      <c r="F210" s="3304"/>
      <c r="G210" s="3304"/>
      <c r="H210" s="3304"/>
      <c r="I210" s="3304"/>
      <c r="J210" s="3304"/>
      <c r="K210" s="3304"/>
      <c r="L210" s="3304"/>
      <c r="M210" s="3304"/>
      <c r="N210" s="3304"/>
      <c r="O210" s="3304"/>
      <c r="P210" s="3304"/>
      <c r="Q210" s="3304"/>
      <c r="R210" s="3304"/>
      <c r="S210" s="3304"/>
      <c r="T210" s="3304"/>
      <c r="U210" s="3304"/>
      <c r="V210" s="3304"/>
      <c r="W210" s="3304"/>
      <c r="X210" s="3304"/>
      <c r="Y210" s="3304"/>
      <c r="Z210" s="3304"/>
      <c r="AA210" s="3304"/>
      <c r="AB210" s="3304"/>
      <c r="AC210" s="3304"/>
      <c r="AD210" s="3304"/>
      <c r="AE210" s="3304"/>
      <c r="AF210" s="3304"/>
      <c r="AG210" s="3313"/>
      <c r="AH210" s="831"/>
      <c r="AI210" s="831"/>
      <c r="AJ210" s="831"/>
      <c r="AN210" s="831"/>
      <c r="AT210" s="831"/>
      <c r="BE210" s="2089"/>
      <c r="BF210" s="2089"/>
      <c r="BG210" s="2089"/>
      <c r="BH210" s="2089"/>
      <c r="BI210" s="2089"/>
      <c r="BJ210" s="2089"/>
      <c r="BK210" s="2089"/>
      <c r="BL210" s="2089"/>
      <c r="BM210" s="2089"/>
      <c r="BN210" s="2089"/>
      <c r="BO210" s="2089"/>
      <c r="BP210" s="2089"/>
      <c r="BQ210" s="2089"/>
      <c r="BR210" s="2089"/>
    </row>
    <row r="211" spans="2:79" s="1270" customFormat="1" ht="24.75" hidden="1" customHeight="1">
      <c r="B211" s="3309"/>
      <c r="C211" s="3304"/>
      <c r="D211" s="3304"/>
      <c r="E211" s="3304"/>
      <c r="F211" s="3304"/>
      <c r="G211" s="3304"/>
      <c r="H211" s="3304"/>
      <c r="I211" s="3304"/>
      <c r="J211" s="3304"/>
      <c r="K211" s="3304"/>
      <c r="L211" s="3304"/>
      <c r="M211" s="3304"/>
      <c r="N211" s="3304"/>
      <c r="O211" s="3304"/>
      <c r="P211" s="3304"/>
      <c r="Q211" s="3304"/>
      <c r="R211" s="3304"/>
      <c r="S211" s="3304"/>
      <c r="T211" s="3304"/>
      <c r="U211" s="3304"/>
      <c r="V211" s="3304"/>
      <c r="W211" s="3304"/>
      <c r="X211" s="3304"/>
      <c r="Y211" s="3304"/>
      <c r="Z211" s="3304"/>
      <c r="AA211" s="3304"/>
      <c r="AB211" s="3304"/>
      <c r="AC211" s="3304"/>
      <c r="AD211" s="3304"/>
      <c r="AE211" s="3304"/>
      <c r="AF211" s="3304"/>
      <c r="AG211" s="3313"/>
      <c r="AH211" s="831"/>
      <c r="AI211" s="831"/>
      <c r="AJ211" s="831"/>
      <c r="AN211" s="831"/>
      <c r="AT211" s="831"/>
      <c r="BE211" s="2089"/>
      <c r="BF211" s="2089"/>
      <c r="BG211" s="2089"/>
      <c r="BH211" s="2089"/>
      <c r="BI211" s="2089"/>
      <c r="BJ211" s="2089"/>
      <c r="BK211" s="2089"/>
      <c r="BL211" s="2089"/>
      <c r="BM211" s="2089"/>
      <c r="BN211" s="2089"/>
      <c r="BO211" s="2089"/>
      <c r="BP211" s="2089"/>
      <c r="BQ211" s="2089"/>
      <c r="BR211" s="2089"/>
    </row>
    <row r="212" spans="2:79" s="1270" customFormat="1" ht="24.75" hidden="1" customHeight="1">
      <c r="B212" s="3309"/>
      <c r="C212" s="3304"/>
      <c r="D212" s="3304"/>
      <c r="E212" s="3304"/>
      <c r="F212" s="3304"/>
      <c r="G212" s="3304"/>
      <c r="H212" s="3304"/>
      <c r="I212" s="3304"/>
      <c r="J212" s="3304"/>
      <c r="K212" s="3304"/>
      <c r="L212" s="3304"/>
      <c r="M212" s="3304"/>
      <c r="N212" s="3304"/>
      <c r="O212" s="3304"/>
      <c r="P212" s="3304"/>
      <c r="Q212" s="3304"/>
      <c r="R212" s="3304"/>
      <c r="S212" s="3304"/>
      <c r="T212" s="3304"/>
      <c r="U212" s="3304"/>
      <c r="V212" s="3304"/>
      <c r="W212" s="3304"/>
      <c r="X212" s="3304"/>
      <c r="Y212" s="3304"/>
      <c r="Z212" s="3304"/>
      <c r="AA212" s="3304"/>
      <c r="AB212" s="3304"/>
      <c r="AC212" s="3304"/>
      <c r="AD212" s="3304"/>
      <c r="AE212" s="3304"/>
      <c r="AF212" s="3304"/>
      <c r="AG212" s="3313"/>
      <c r="AH212" s="831"/>
      <c r="AI212" s="831"/>
      <c r="AJ212" s="831"/>
      <c r="AN212" s="831"/>
      <c r="AT212" s="831"/>
      <c r="BE212" s="2089"/>
      <c r="BF212" s="2089"/>
      <c r="BG212" s="2089"/>
      <c r="BH212" s="2089"/>
      <c r="BI212" s="2089"/>
      <c r="BJ212" s="2089"/>
      <c r="BK212" s="2089"/>
      <c r="BL212" s="2089"/>
      <c r="BM212" s="2089"/>
      <c r="BN212" s="2089"/>
      <c r="BO212" s="2089"/>
      <c r="BP212" s="2089"/>
      <c r="BQ212" s="2089"/>
      <c r="BR212" s="2089"/>
    </row>
    <row r="213" spans="2:79" s="1270" customFormat="1" ht="24.75" hidden="1" customHeight="1">
      <c r="B213" s="3309"/>
      <c r="C213" s="3304"/>
      <c r="D213" s="3304"/>
      <c r="E213" s="3304"/>
      <c r="F213" s="3304"/>
      <c r="G213" s="3304"/>
      <c r="H213" s="3304"/>
      <c r="I213" s="3304"/>
      <c r="J213" s="3304"/>
      <c r="K213" s="3304"/>
      <c r="L213" s="3304"/>
      <c r="M213" s="3304"/>
      <c r="N213" s="3304"/>
      <c r="O213" s="3304"/>
      <c r="P213" s="3304"/>
      <c r="Q213" s="3304"/>
      <c r="R213" s="3304"/>
      <c r="S213" s="3304"/>
      <c r="T213" s="3304"/>
      <c r="U213" s="3304"/>
      <c r="V213" s="3304"/>
      <c r="W213" s="3304"/>
      <c r="X213" s="3304"/>
      <c r="Y213" s="3304"/>
      <c r="Z213" s="3304"/>
      <c r="AA213" s="3304"/>
      <c r="AB213" s="3304"/>
      <c r="AC213" s="3304"/>
      <c r="AD213" s="3304"/>
      <c r="AE213" s="3304"/>
      <c r="AF213" s="3304"/>
      <c r="AG213" s="3313"/>
      <c r="AH213" s="831"/>
      <c r="AI213" s="831"/>
      <c r="AJ213" s="831"/>
      <c r="AN213" s="831"/>
      <c r="AT213" s="831"/>
      <c r="BE213" s="2089"/>
      <c r="BF213" s="2089"/>
      <c r="BG213" s="2089"/>
      <c r="BH213" s="2089"/>
      <c r="BI213" s="2089"/>
      <c r="BJ213" s="2089"/>
      <c r="BK213" s="2089"/>
      <c r="BL213" s="2089"/>
      <c r="BM213" s="2089"/>
      <c r="BN213" s="2089"/>
      <c r="BO213" s="2089"/>
      <c r="BP213" s="2089"/>
      <c r="BQ213" s="2089"/>
      <c r="BR213" s="2089"/>
    </row>
    <row r="214" spans="2:79" s="1270" customFormat="1" ht="22.5" hidden="1" customHeight="1">
      <c r="B214" s="3309"/>
      <c r="C214" s="4535"/>
      <c r="D214" s="4535"/>
      <c r="E214" s="4535"/>
      <c r="F214" s="4535"/>
      <c r="G214" s="4535"/>
      <c r="H214" s="3305"/>
      <c r="I214" s="3306"/>
      <c r="J214" s="3306"/>
      <c r="K214" s="3306"/>
      <c r="L214" s="3306"/>
      <c r="M214" s="4536"/>
      <c r="N214" s="4536"/>
      <c r="O214" s="831"/>
      <c r="P214" s="831"/>
      <c r="Q214" s="831"/>
      <c r="R214" s="831"/>
      <c r="S214" s="831"/>
      <c r="T214" s="831"/>
      <c r="U214" s="831"/>
      <c r="V214" s="831"/>
      <c r="W214" s="831"/>
      <c r="X214" s="3307"/>
      <c r="Y214" s="3307"/>
      <c r="Z214" s="3307"/>
      <c r="AA214" s="3307"/>
      <c r="AB214" s="3307"/>
      <c r="AC214" s="831"/>
      <c r="AD214" s="3308"/>
      <c r="AE214" s="3308"/>
      <c r="AF214" s="3308"/>
      <c r="AG214" s="3309"/>
      <c r="AH214" s="831"/>
      <c r="AI214" s="831"/>
      <c r="AJ214" s="831"/>
      <c r="AN214" s="831"/>
      <c r="AT214" s="831"/>
      <c r="BE214" s="2089"/>
      <c r="BF214" s="2089"/>
      <c r="BG214" s="2089"/>
      <c r="BH214" s="2089"/>
      <c r="BI214" s="2089"/>
      <c r="BJ214" s="2089"/>
      <c r="BK214" s="2089"/>
      <c r="BL214" s="2089"/>
      <c r="BM214" s="2089"/>
      <c r="BN214" s="2089"/>
      <c r="BO214" s="2089"/>
      <c r="BP214" s="2089"/>
      <c r="BQ214" s="2089"/>
      <c r="BR214" s="2089"/>
    </row>
    <row r="215" spans="2:79" ht="6.75" hidden="1" customHeight="1">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4437"/>
      <c r="Z215" s="4437"/>
      <c r="AA215" s="4437"/>
      <c r="AB215" s="4437"/>
      <c r="AC215" s="10"/>
      <c r="AD215" s="10"/>
      <c r="AE215" s="10"/>
      <c r="AF215" s="10"/>
      <c r="AG215" s="10"/>
      <c r="AH215" s="7"/>
      <c r="AI215" s="7"/>
      <c r="AJ215" s="7"/>
      <c r="AK215" s="7"/>
      <c r="AL215" s="7"/>
      <c r="AM215" s="7"/>
      <c r="AO215" s="7"/>
      <c r="AP215" s="7"/>
      <c r="AQ215" s="7"/>
      <c r="AR215" s="7"/>
      <c r="AS215" s="7"/>
      <c r="AU215" s="7"/>
      <c r="AV215" s="7"/>
      <c r="AW215" s="7"/>
      <c r="AX215" s="7"/>
      <c r="AY215" s="7"/>
      <c r="AZ215" s="7"/>
      <c r="BA215" s="7"/>
      <c r="BB215" s="7"/>
      <c r="BC215" s="7"/>
      <c r="BD215" s="7"/>
      <c r="BE215" s="634"/>
      <c r="BF215" s="634"/>
      <c r="BG215" s="634"/>
      <c r="BH215" s="634"/>
      <c r="BI215" s="634"/>
      <c r="BJ215" s="634"/>
      <c r="BK215" s="634"/>
      <c r="BL215" s="634"/>
      <c r="BM215" s="634"/>
      <c r="BN215" s="634"/>
      <c r="BO215" s="634"/>
      <c r="BP215" s="634"/>
      <c r="BQ215" s="634"/>
      <c r="BR215" s="634"/>
      <c r="BS215" s="3"/>
      <c r="BT215" s="3"/>
      <c r="BU215" s="3"/>
      <c r="BV215" s="3"/>
      <c r="BW215" s="3"/>
      <c r="BX215" s="3"/>
      <c r="BY215" s="3"/>
      <c r="BZ215" s="3"/>
      <c r="CA215" s="3"/>
    </row>
    <row r="216" spans="2:79" ht="15" hidden="1">
      <c r="B216" s="10"/>
      <c r="C216" s="320"/>
      <c r="D216" s="320"/>
      <c r="E216" s="321"/>
      <c r="F216" s="321"/>
      <c r="G216" s="321"/>
      <c r="H216" s="321"/>
      <c r="I216" s="321"/>
      <c r="J216" s="321"/>
      <c r="K216" s="321"/>
      <c r="L216" s="321"/>
      <c r="M216" s="322"/>
      <c r="N216" s="322"/>
      <c r="O216" s="322"/>
      <c r="P216" s="322"/>
      <c r="Q216" s="322"/>
      <c r="R216" s="322"/>
      <c r="S216" s="322"/>
      <c r="T216" s="322"/>
      <c r="U216" s="322"/>
      <c r="V216" s="322"/>
      <c r="W216" s="322"/>
      <c r="X216" s="322"/>
      <c r="Y216" s="322"/>
      <c r="Z216" s="322"/>
      <c r="AA216" s="322"/>
      <c r="AB216" s="322"/>
      <c r="AC216" s="338"/>
      <c r="AD216" s="4459" t="e">
        <f>IF(#REF!=1,'New Tax Regime'!AN32,0)</f>
        <v>#REF!</v>
      </c>
      <c r="AE216" s="4459"/>
      <c r="AF216" s="317">
        <f>SUM(M200:N209)</f>
        <v>0</v>
      </c>
      <c r="AG216" s="10"/>
      <c r="AH216" s="7"/>
      <c r="AI216" s="7"/>
      <c r="AJ216" s="7"/>
      <c r="AK216" s="7"/>
      <c r="AL216" s="7"/>
      <c r="AM216" s="7"/>
      <c r="AO216" s="7"/>
      <c r="AP216" s="7"/>
      <c r="AQ216" s="7"/>
      <c r="AR216" s="7"/>
      <c r="AS216" s="7"/>
      <c r="AU216" s="7"/>
      <c r="AV216" s="7"/>
      <c r="AW216" s="7"/>
      <c r="AX216" s="7"/>
      <c r="AY216" s="7"/>
      <c r="AZ216" s="7"/>
      <c r="BA216" s="7"/>
      <c r="BB216" s="7"/>
      <c r="BC216" s="7"/>
      <c r="BD216" s="7"/>
      <c r="BE216" s="3"/>
      <c r="BF216" s="3"/>
      <c r="BG216" s="3"/>
      <c r="BH216" s="3"/>
      <c r="BI216" s="3"/>
      <c r="BJ216" s="3"/>
      <c r="BK216" s="3"/>
      <c r="BL216" s="3"/>
      <c r="BM216" s="3"/>
      <c r="BN216" s="3"/>
      <c r="BO216" s="3"/>
      <c r="BP216" s="3"/>
      <c r="BQ216" s="3"/>
      <c r="BR216" s="3"/>
      <c r="BS216" s="3"/>
      <c r="BT216" s="3"/>
      <c r="BU216" s="3"/>
      <c r="BV216" s="3"/>
      <c r="BW216" s="3"/>
      <c r="BX216" s="3"/>
      <c r="BY216" s="3"/>
      <c r="BZ216" s="3"/>
      <c r="CA216" s="3"/>
    </row>
    <row r="217" spans="2:79" ht="16.5" hidden="1" thickBot="1">
      <c r="B217" s="10"/>
      <c r="C217" s="4439" t="s">
        <v>203</v>
      </c>
      <c r="D217" s="4439"/>
      <c r="E217" s="4439"/>
      <c r="F217" s="4439"/>
      <c r="G217" s="4439"/>
      <c r="H217" s="4439"/>
      <c r="I217" s="4439"/>
      <c r="J217" s="4439"/>
      <c r="K217" s="4439"/>
      <c r="L217" s="4439"/>
      <c r="M217" s="4439"/>
      <c r="N217" s="343"/>
      <c r="O217" s="4440" t="s">
        <v>204</v>
      </c>
      <c r="P217" s="4440"/>
      <c r="Q217" s="4440"/>
      <c r="R217" s="4440"/>
      <c r="S217" s="4440"/>
      <c r="T217" s="4440"/>
      <c r="U217" s="4440"/>
      <c r="V217" s="4440"/>
      <c r="W217" s="4440"/>
      <c r="X217" s="4440"/>
      <c r="Y217" s="4440"/>
      <c r="Z217" s="4440"/>
      <c r="AA217" s="4440"/>
      <c r="AB217" s="4440"/>
      <c r="AC217" s="335"/>
      <c r="AD217" s="4460" t="e">
        <f>IF(#REF!=1,'New Tax Regime'!#REF!,"")</f>
        <v>#REF!</v>
      </c>
      <c r="AE217" s="4459"/>
      <c r="AF217" s="317">
        <f>SUM(M210:N211)</f>
        <v>0</v>
      </c>
      <c r="AG217" s="10"/>
      <c r="AH217" s="7"/>
      <c r="AI217" s="7"/>
      <c r="AJ217" s="7"/>
      <c r="AK217" s="7"/>
      <c r="AL217" s="7"/>
      <c r="AM217" s="7"/>
      <c r="AO217" s="7"/>
      <c r="AP217" s="7"/>
      <c r="AQ217" s="7"/>
      <c r="AR217" s="7"/>
      <c r="AS217" s="7"/>
      <c r="AU217" s="7"/>
      <c r="AV217" s="7"/>
      <c r="AW217" s="7"/>
      <c r="AX217" s="7"/>
      <c r="AY217" s="7"/>
      <c r="AZ217" s="7"/>
      <c r="BA217" s="7"/>
      <c r="BB217" s="7"/>
      <c r="BC217" s="7"/>
      <c r="BD217" s="7"/>
      <c r="BE217" s="3"/>
      <c r="BF217" s="3"/>
      <c r="BG217" s="3"/>
      <c r="BH217" s="3"/>
      <c r="BI217" s="3"/>
      <c r="BJ217" s="3"/>
      <c r="BK217" s="3"/>
      <c r="BL217" s="3"/>
      <c r="BM217" s="3"/>
      <c r="BN217" s="3"/>
      <c r="BO217" s="3"/>
      <c r="BP217" s="3"/>
      <c r="BQ217" s="3"/>
      <c r="BR217" s="3"/>
      <c r="BS217" s="3"/>
      <c r="BT217" s="3"/>
      <c r="BU217" s="3"/>
      <c r="BV217" s="3"/>
      <c r="BW217" s="3"/>
      <c r="BX217" s="3"/>
      <c r="BY217" s="3"/>
      <c r="BZ217" s="3"/>
      <c r="CA217" s="3"/>
    </row>
    <row r="218" spans="2:79" ht="15" hidden="1" customHeight="1" thickTop="1" thickBot="1">
      <c r="B218" s="10"/>
      <c r="C218" s="4508" t="s">
        <v>205</v>
      </c>
      <c r="D218" s="4508"/>
      <c r="E218" s="4508"/>
      <c r="F218" s="4508"/>
      <c r="G218" s="4508"/>
      <c r="H218" s="4508"/>
      <c r="I218" s="4508"/>
      <c r="J218" s="4508"/>
      <c r="K218" s="4508"/>
      <c r="L218" s="4508"/>
      <c r="M218" s="4508"/>
      <c r="N218" s="323"/>
      <c r="O218" s="4438" t="s">
        <v>503</v>
      </c>
      <c r="P218" s="4438"/>
      <c r="Q218" s="4438"/>
      <c r="R218" s="4438"/>
      <c r="S218" s="4438"/>
      <c r="T218" s="4438"/>
      <c r="U218" s="4438"/>
      <c r="V218" s="4438"/>
      <c r="W218" s="4438"/>
      <c r="X218" s="4438"/>
      <c r="Y218" s="4438"/>
      <c r="Z218" s="4438"/>
      <c r="AA218" s="4438"/>
      <c r="AB218" s="4438"/>
      <c r="AC218" s="335"/>
      <c r="AD218" s="589"/>
      <c r="AE218" s="589"/>
      <c r="AF218" s="589"/>
      <c r="AG218" s="552"/>
      <c r="AH218" s="550"/>
      <c r="AI218" s="550"/>
      <c r="AJ218" s="2705"/>
      <c r="AK218" s="551"/>
      <c r="AL218" s="7"/>
      <c r="AM218" s="7"/>
      <c r="AO218" s="7"/>
      <c r="AP218" s="7"/>
      <c r="AQ218" s="7"/>
      <c r="AR218" s="7"/>
      <c r="AS218" s="7"/>
      <c r="AU218" s="7"/>
      <c r="AV218" s="7"/>
      <c r="AW218" s="7"/>
      <c r="AX218" s="7"/>
      <c r="AY218" s="7"/>
      <c r="AZ218" s="7"/>
      <c r="BA218" s="7"/>
      <c r="BB218" s="7"/>
      <c r="BC218" s="7"/>
      <c r="BD218" s="7"/>
      <c r="BE218" s="3"/>
      <c r="BF218" s="3"/>
      <c r="BG218" s="3"/>
      <c r="BH218" s="3"/>
      <c r="BI218" s="3"/>
      <c r="BJ218" s="3"/>
      <c r="BK218" s="3"/>
      <c r="BL218" s="3"/>
      <c r="BM218" s="3"/>
      <c r="BN218" s="3"/>
      <c r="BO218" s="3"/>
      <c r="BP218" s="3"/>
      <c r="BQ218" s="3"/>
      <c r="BR218" s="3"/>
      <c r="BS218" s="3"/>
      <c r="BT218" s="3"/>
      <c r="BU218" s="3"/>
      <c r="BV218" s="3"/>
      <c r="BW218" s="3"/>
      <c r="BX218" s="3"/>
      <c r="BY218" s="3"/>
      <c r="BZ218" s="3"/>
      <c r="CA218" s="3"/>
    </row>
    <row r="219" spans="2:79" ht="15.75" hidden="1" customHeight="1" thickTop="1">
      <c r="B219" s="10"/>
      <c r="C219" s="4508"/>
      <c r="D219" s="4508"/>
      <c r="E219" s="4508"/>
      <c r="F219" s="4508"/>
      <c r="G219" s="4508"/>
      <c r="H219" s="4508"/>
      <c r="I219" s="4508"/>
      <c r="J219" s="4508"/>
      <c r="K219" s="4508"/>
      <c r="L219" s="4508"/>
      <c r="M219" s="4508"/>
      <c r="N219" s="323"/>
      <c r="O219" s="4438" t="s">
        <v>504</v>
      </c>
      <c r="P219" s="4438"/>
      <c r="Q219" s="4438"/>
      <c r="R219" s="4438"/>
      <c r="S219" s="4438"/>
      <c r="T219" s="4438"/>
      <c r="U219" s="4438"/>
      <c r="V219" s="4438"/>
      <c r="W219" s="4438"/>
      <c r="X219" s="4438"/>
      <c r="Y219" s="4438"/>
      <c r="Z219" s="4438"/>
      <c r="AA219" s="4438"/>
      <c r="AB219" s="4438"/>
      <c r="AC219" s="335"/>
      <c r="AD219" s="590"/>
      <c r="AE219" s="590"/>
      <c r="AF219" s="590"/>
      <c r="AG219" s="10"/>
      <c r="AH219" s="7"/>
      <c r="AI219" s="7"/>
      <c r="AJ219" s="7"/>
      <c r="AK219" s="7"/>
      <c r="AL219" s="7"/>
      <c r="AM219" s="7"/>
      <c r="AO219" s="7"/>
      <c r="AP219" s="7"/>
      <c r="AQ219" s="7"/>
      <c r="AR219" s="7"/>
      <c r="AS219" s="7"/>
      <c r="AU219" s="7"/>
      <c r="AV219" s="7"/>
      <c r="AW219" s="7"/>
      <c r="AX219" s="7"/>
      <c r="AY219" s="7"/>
      <c r="AZ219" s="7"/>
      <c r="BA219" s="7"/>
      <c r="BB219" s="7"/>
      <c r="BC219" s="7"/>
      <c r="BD219" s="7"/>
      <c r="BE219" s="3"/>
      <c r="BF219" s="3"/>
      <c r="BG219" s="3"/>
      <c r="BH219" s="3"/>
      <c r="BI219" s="3"/>
      <c r="BJ219" s="3"/>
      <c r="BK219" s="3"/>
      <c r="BL219" s="3"/>
      <c r="BM219" s="3"/>
      <c r="BN219" s="3"/>
      <c r="BO219" s="3"/>
      <c r="BP219" s="3"/>
      <c r="BQ219" s="3"/>
      <c r="BR219" s="3"/>
      <c r="BS219" s="3"/>
      <c r="BT219" s="3"/>
      <c r="BU219" s="3"/>
      <c r="BV219" s="3"/>
      <c r="BW219" s="3"/>
      <c r="BX219" s="3"/>
      <c r="BY219" s="3"/>
      <c r="BZ219" s="3"/>
      <c r="CA219" s="3"/>
    </row>
    <row r="220" spans="2:79" ht="15" hidden="1">
      <c r="B220" s="10"/>
      <c r="C220" s="4508"/>
      <c r="D220" s="4508"/>
      <c r="E220" s="4508"/>
      <c r="F220" s="4508"/>
      <c r="G220" s="4508"/>
      <c r="H220" s="4508"/>
      <c r="I220" s="4508"/>
      <c r="J220" s="4508"/>
      <c r="K220" s="4508"/>
      <c r="L220" s="4508"/>
      <c r="M220" s="4508"/>
      <c r="N220" s="324"/>
      <c r="O220" s="4438" t="s">
        <v>505</v>
      </c>
      <c r="P220" s="4438"/>
      <c r="Q220" s="4438"/>
      <c r="R220" s="4438"/>
      <c r="S220" s="4438"/>
      <c r="T220" s="4438"/>
      <c r="U220" s="4438"/>
      <c r="V220" s="4438"/>
      <c r="W220" s="4438"/>
      <c r="X220" s="4438"/>
      <c r="Y220" s="4438"/>
      <c r="Z220" s="4438"/>
      <c r="AA220" s="4438"/>
      <c r="AB220" s="4438"/>
      <c r="AC220" s="335"/>
      <c r="AD220" s="4497"/>
      <c r="AE220" s="4497"/>
      <c r="AF220" s="133"/>
      <c r="AG220" s="10"/>
      <c r="AH220" s="7"/>
      <c r="AI220" s="7"/>
      <c r="AJ220" s="7"/>
      <c r="AK220" s="7"/>
      <c r="AL220" s="7"/>
      <c r="AM220" s="7"/>
      <c r="AO220" s="7"/>
      <c r="AP220" s="7"/>
      <c r="AQ220" s="7"/>
      <c r="AR220" s="7"/>
      <c r="AS220" s="7"/>
      <c r="AU220" s="7"/>
      <c r="AV220" s="7"/>
      <c r="AW220" s="7"/>
      <c r="AX220" s="7"/>
      <c r="AY220" s="7"/>
      <c r="AZ220" s="7"/>
      <c r="BA220" s="7"/>
      <c r="BB220" s="7"/>
      <c r="BC220" s="7"/>
      <c r="BD220" s="7"/>
      <c r="BE220" s="3"/>
      <c r="BF220" s="3"/>
      <c r="BG220" s="3"/>
      <c r="BH220" s="3"/>
      <c r="BI220" s="3"/>
      <c r="BJ220" s="3"/>
      <c r="BK220" s="3"/>
      <c r="BL220" s="3"/>
      <c r="BM220" s="3"/>
      <c r="BN220" s="3"/>
      <c r="BO220" s="3"/>
      <c r="BP220" s="3"/>
      <c r="BQ220" s="3"/>
      <c r="BR220" s="3"/>
      <c r="BS220" s="3"/>
      <c r="BT220" s="3"/>
      <c r="BU220" s="3"/>
      <c r="BV220" s="3"/>
      <c r="BW220" s="3"/>
      <c r="BX220" s="3"/>
      <c r="BY220" s="3"/>
      <c r="BZ220" s="3"/>
      <c r="CA220" s="3"/>
    </row>
    <row r="221" spans="2:79" ht="15" hidden="1" customHeight="1">
      <c r="B221" s="10"/>
      <c r="C221" s="4508"/>
      <c r="D221" s="4508"/>
      <c r="E221" s="4508"/>
      <c r="F221" s="4508"/>
      <c r="G221" s="4508"/>
      <c r="H221" s="4508"/>
      <c r="I221" s="4508"/>
      <c r="J221" s="4508"/>
      <c r="K221" s="4508"/>
      <c r="L221" s="4508"/>
      <c r="M221" s="4508"/>
      <c r="N221" s="324"/>
      <c r="O221" s="4435" t="s">
        <v>506</v>
      </c>
      <c r="P221" s="4435"/>
      <c r="Q221" s="4435"/>
      <c r="R221" s="4435"/>
      <c r="S221" s="4435"/>
      <c r="T221" s="4435"/>
      <c r="U221" s="4435"/>
      <c r="V221" s="4435"/>
      <c r="W221" s="4435"/>
      <c r="X221" s="4435"/>
      <c r="Y221" s="4435"/>
      <c r="Z221" s="4435"/>
      <c r="AA221" s="4435"/>
      <c r="AB221" s="4435"/>
      <c r="AC221" s="334"/>
      <c r="AD221" s="4505"/>
      <c r="AE221" s="4505"/>
      <c r="AF221" s="1"/>
      <c r="AG221" s="10"/>
      <c r="AH221" s="7"/>
      <c r="AI221" s="7"/>
      <c r="AJ221" s="7"/>
      <c r="AK221" s="7"/>
      <c r="AL221" s="7"/>
      <c r="AM221" s="7"/>
      <c r="AO221" s="7"/>
      <c r="AP221" s="7"/>
      <c r="AQ221" s="7"/>
      <c r="AR221" s="7"/>
      <c r="AS221" s="7"/>
      <c r="AU221" s="7"/>
      <c r="AV221" s="7"/>
      <c r="AW221" s="7"/>
      <c r="AX221" s="7"/>
      <c r="AY221" s="7"/>
      <c r="AZ221" s="7"/>
      <c r="BA221" s="7"/>
      <c r="BB221" s="7"/>
      <c r="BC221" s="7"/>
      <c r="BD221" s="7"/>
      <c r="BE221" s="3"/>
      <c r="BF221" s="3"/>
      <c r="BG221" s="3"/>
      <c r="BH221" s="3"/>
      <c r="BI221" s="3"/>
      <c r="BJ221" s="3"/>
      <c r="BK221" s="3"/>
      <c r="BL221" s="3"/>
      <c r="BM221" s="3"/>
      <c r="BN221" s="3"/>
      <c r="BO221" s="3"/>
      <c r="BP221" s="3"/>
      <c r="BQ221" s="3"/>
      <c r="BR221" s="3"/>
      <c r="BS221" s="3"/>
      <c r="BT221" s="3"/>
      <c r="BU221" s="3"/>
      <c r="BV221" s="3"/>
      <c r="BW221" s="3"/>
      <c r="BX221" s="3"/>
      <c r="BY221" s="3"/>
      <c r="BZ221" s="3"/>
      <c r="CA221" s="3"/>
    </row>
    <row r="222" spans="2:79" ht="15" hidden="1">
      <c r="B222" s="10"/>
      <c r="C222" s="4508"/>
      <c r="D222" s="4508"/>
      <c r="E222" s="4508"/>
      <c r="F222" s="4508"/>
      <c r="G222" s="4508"/>
      <c r="H222" s="4508"/>
      <c r="I222" s="4508"/>
      <c r="J222" s="4508"/>
      <c r="K222" s="4508"/>
      <c r="L222" s="4508"/>
      <c r="M222" s="4508"/>
      <c r="N222" s="324"/>
      <c r="O222" s="965"/>
      <c r="P222" s="965"/>
      <c r="Q222" s="965"/>
      <c r="R222" s="965"/>
      <c r="S222" s="965"/>
      <c r="T222" s="965"/>
      <c r="U222" s="965"/>
      <c r="V222" s="965"/>
      <c r="W222" s="965"/>
      <c r="X222" s="965"/>
      <c r="Y222" s="965"/>
      <c r="Z222" s="965"/>
      <c r="AA222" s="965"/>
      <c r="AB222" s="965"/>
      <c r="AC222" s="334"/>
      <c r="AD222" s="4505"/>
      <c r="AE222" s="4505"/>
      <c r="AF222" s="1"/>
      <c r="AG222" s="10"/>
      <c r="AH222" s="7"/>
      <c r="AI222" s="7"/>
      <c r="AJ222" s="7"/>
      <c r="AK222" s="7"/>
      <c r="AL222" s="7"/>
      <c r="AM222" s="7"/>
      <c r="AO222" s="7"/>
      <c r="AP222" s="7"/>
      <c r="AQ222" s="7"/>
      <c r="AR222" s="7"/>
      <c r="AS222" s="7"/>
      <c r="AU222" s="7"/>
      <c r="AV222" s="7"/>
      <c r="AW222" s="7"/>
      <c r="AX222" s="7"/>
      <c r="AY222" s="7"/>
      <c r="AZ222" s="7"/>
      <c r="BA222" s="7"/>
      <c r="BB222" s="7"/>
      <c r="BC222" s="7"/>
      <c r="BD222" s="7"/>
      <c r="BE222" s="3"/>
      <c r="BF222" s="3"/>
      <c r="BG222" s="3"/>
      <c r="BH222" s="3"/>
      <c r="BI222" s="3"/>
      <c r="BJ222" s="3"/>
      <c r="BK222" s="3"/>
      <c r="BL222" s="3"/>
      <c r="BM222" s="3"/>
      <c r="BN222" s="3"/>
      <c r="BO222" s="3"/>
      <c r="BP222" s="3"/>
      <c r="BQ222" s="3"/>
      <c r="BR222" s="3"/>
      <c r="BS222" s="3"/>
      <c r="BT222" s="3"/>
      <c r="BU222" s="3"/>
      <c r="BV222" s="3"/>
      <c r="BW222" s="3"/>
      <c r="BX222" s="3"/>
      <c r="BY222" s="3"/>
      <c r="BZ222" s="3"/>
      <c r="CA222" s="3"/>
    </row>
    <row r="223" spans="2:79" ht="15" hidden="1">
      <c r="B223" s="10"/>
      <c r="C223" s="4508"/>
      <c r="D223" s="4508"/>
      <c r="E223" s="4508"/>
      <c r="F223" s="4508"/>
      <c r="G223" s="4508"/>
      <c r="H223" s="4508"/>
      <c r="I223" s="4508"/>
      <c r="J223" s="4508"/>
      <c r="K223" s="4508"/>
      <c r="L223" s="4508"/>
      <c r="M223" s="4508"/>
      <c r="N223" s="324"/>
      <c r="O223" s="4438" t="s">
        <v>507</v>
      </c>
      <c r="P223" s="4438"/>
      <c r="Q223" s="4438"/>
      <c r="R223" s="4438"/>
      <c r="S223" s="4438"/>
      <c r="T223" s="4438"/>
      <c r="U223" s="4438"/>
      <c r="V223" s="4438"/>
      <c r="W223" s="4438"/>
      <c r="X223" s="4438"/>
      <c r="Y223" s="4438"/>
      <c r="Z223" s="4438"/>
      <c r="AA223" s="4438"/>
      <c r="AB223" s="4438"/>
      <c r="AC223" s="335"/>
      <c r="AD223" s="1"/>
      <c r="AE223" s="1"/>
      <c r="AF223" s="1"/>
      <c r="AG223" s="10"/>
      <c r="AH223" s="7"/>
      <c r="AI223" s="7"/>
      <c r="AJ223" s="7"/>
      <c r="AK223" s="7"/>
      <c r="AL223" s="7"/>
      <c r="AM223" s="7"/>
      <c r="AO223" s="7"/>
      <c r="AP223" s="7"/>
      <c r="AQ223" s="7"/>
      <c r="AR223" s="7"/>
      <c r="AS223" s="7"/>
      <c r="AU223" s="7"/>
      <c r="AV223" s="7"/>
      <c r="AW223" s="7"/>
      <c r="AX223" s="7"/>
      <c r="AY223" s="7"/>
      <c r="AZ223" s="7"/>
      <c r="BA223" s="7"/>
      <c r="BB223" s="7"/>
      <c r="BC223" s="7"/>
      <c r="BD223" s="7"/>
      <c r="BE223" s="3"/>
      <c r="BF223" s="3"/>
      <c r="BG223" s="3"/>
      <c r="BH223" s="3"/>
      <c r="BI223" s="3"/>
      <c r="BJ223" s="3"/>
      <c r="BK223" s="3"/>
      <c r="BL223" s="3"/>
      <c r="BM223" s="3"/>
      <c r="BN223" s="3"/>
      <c r="BO223" s="3"/>
      <c r="BP223" s="3"/>
      <c r="BQ223" s="3"/>
      <c r="BR223" s="3"/>
      <c r="BS223" s="3"/>
      <c r="BT223" s="3"/>
      <c r="BU223" s="3"/>
      <c r="BV223" s="3"/>
      <c r="BW223" s="3"/>
      <c r="BX223" s="3"/>
      <c r="BY223" s="3"/>
      <c r="BZ223" s="3"/>
      <c r="CA223" s="3"/>
    </row>
    <row r="224" spans="2:79" ht="24" hidden="1" customHeight="1">
      <c r="B224" s="10"/>
      <c r="C224" s="4508"/>
      <c r="D224" s="4508"/>
      <c r="E224" s="4508"/>
      <c r="F224" s="4508"/>
      <c r="G224" s="4508"/>
      <c r="H224" s="4508"/>
      <c r="I224" s="4508"/>
      <c r="J224" s="4508"/>
      <c r="K224" s="4508"/>
      <c r="L224" s="4508"/>
      <c r="M224" s="4508"/>
      <c r="N224" s="324"/>
      <c r="O224" s="4438" t="s">
        <v>508</v>
      </c>
      <c r="P224" s="4438"/>
      <c r="Q224" s="4438"/>
      <c r="R224" s="4438"/>
      <c r="S224" s="4438"/>
      <c r="T224" s="4438"/>
      <c r="U224" s="4438"/>
      <c r="V224" s="4438"/>
      <c r="W224" s="4438"/>
      <c r="X224" s="4438"/>
      <c r="Y224" s="4438"/>
      <c r="Z224" s="4438"/>
      <c r="AA224" s="4438"/>
      <c r="AB224" s="4438"/>
      <c r="AC224" s="335"/>
      <c r="AD224" s="1"/>
      <c r="AE224" s="1"/>
      <c r="AF224" s="1"/>
      <c r="AG224" s="10"/>
      <c r="AH224" s="7"/>
      <c r="AI224" s="7"/>
      <c r="AJ224" s="7"/>
      <c r="AK224" s="7"/>
      <c r="AL224" s="7"/>
      <c r="AM224" s="7"/>
      <c r="AO224" s="7"/>
      <c r="AP224" s="7"/>
      <c r="AQ224" s="7"/>
      <c r="AR224" s="7"/>
      <c r="AS224" s="7"/>
      <c r="AU224" s="7"/>
      <c r="AV224" s="7"/>
      <c r="AW224" s="7"/>
      <c r="AX224" s="7"/>
      <c r="AY224" s="7"/>
      <c r="AZ224" s="7"/>
      <c r="BA224" s="7"/>
      <c r="BB224" s="7"/>
      <c r="BC224" s="7"/>
      <c r="BD224" s="7"/>
      <c r="BE224" s="3"/>
      <c r="BF224" s="3"/>
      <c r="BG224" s="3"/>
      <c r="BH224" s="3"/>
      <c r="BI224" s="3"/>
      <c r="BJ224" s="3"/>
      <c r="BK224" s="3"/>
      <c r="BL224" s="3"/>
      <c r="BM224" s="3"/>
      <c r="BN224" s="3"/>
      <c r="BO224" s="3"/>
      <c r="BP224" s="3"/>
      <c r="BQ224" s="3"/>
      <c r="BR224" s="3"/>
      <c r="BS224" s="3"/>
      <c r="BT224" s="3"/>
      <c r="BU224" s="3"/>
      <c r="BV224" s="3"/>
      <c r="BW224" s="3"/>
      <c r="BX224" s="3"/>
      <c r="BY224" s="3"/>
      <c r="BZ224" s="3"/>
      <c r="CA224" s="3"/>
    </row>
    <row r="225" spans="2:79" ht="15" hidden="1" customHeight="1">
      <c r="B225" s="10"/>
      <c r="C225" s="4435" t="s">
        <v>206</v>
      </c>
      <c r="D225" s="4435"/>
      <c r="E225" s="4435"/>
      <c r="F225" s="4435"/>
      <c r="G225" s="4435"/>
      <c r="H225" s="4435"/>
      <c r="I225" s="4435"/>
      <c r="J225" s="4435"/>
      <c r="K225" s="4435"/>
      <c r="L225" s="4435"/>
      <c r="M225" s="4435"/>
      <c r="N225" s="324"/>
      <c r="O225" s="4436" t="s">
        <v>509</v>
      </c>
      <c r="P225" s="4436"/>
      <c r="Q225" s="4436"/>
      <c r="R225" s="4436"/>
      <c r="S225" s="4436"/>
      <c r="T225" s="4436"/>
      <c r="U225" s="4436"/>
      <c r="V225" s="4436"/>
      <c r="W225" s="4436"/>
      <c r="X225" s="4436"/>
      <c r="Y225" s="4436"/>
      <c r="Z225" s="4436"/>
      <c r="AA225" s="4436"/>
      <c r="AB225" s="4436"/>
      <c r="AC225" s="334"/>
      <c r="AD225" s="1"/>
      <c r="AE225" s="1"/>
      <c r="AF225" s="1"/>
      <c r="AG225" s="10"/>
      <c r="AH225" s="7"/>
      <c r="AI225" s="7"/>
      <c r="AJ225" s="7"/>
      <c r="AK225" s="7"/>
      <c r="AL225" s="7"/>
      <c r="AM225" s="7"/>
      <c r="AO225" s="7"/>
      <c r="AP225" s="7"/>
      <c r="AQ225" s="7"/>
      <c r="AR225" s="7"/>
      <c r="AS225" s="7"/>
      <c r="AU225" s="7"/>
      <c r="AV225" s="7"/>
      <c r="AW225" s="7"/>
      <c r="AX225" s="7"/>
      <c r="AY225" s="7"/>
      <c r="AZ225" s="7"/>
      <c r="BA225" s="7"/>
      <c r="BB225" s="7"/>
      <c r="BC225" s="7"/>
      <c r="BD225" s="7"/>
      <c r="BE225" s="3"/>
      <c r="BF225" s="3"/>
      <c r="BG225" s="3"/>
      <c r="BH225" s="3"/>
      <c r="BI225" s="3"/>
      <c r="BJ225" s="3"/>
      <c r="BK225" s="3"/>
      <c r="BL225" s="3"/>
      <c r="BM225" s="3"/>
      <c r="BN225" s="3"/>
      <c r="BO225" s="3"/>
      <c r="BP225" s="3"/>
      <c r="BQ225" s="3"/>
      <c r="BR225" s="3"/>
      <c r="BS225" s="3"/>
      <c r="BT225" s="3"/>
      <c r="BU225" s="3"/>
      <c r="BV225" s="3"/>
      <c r="BW225" s="3"/>
      <c r="BX225" s="3"/>
      <c r="BY225" s="3"/>
      <c r="BZ225" s="3"/>
      <c r="CA225" s="3"/>
    </row>
    <row r="226" spans="2:79" ht="15" hidden="1">
      <c r="B226" s="10"/>
      <c r="C226" s="4435"/>
      <c r="D226" s="4435"/>
      <c r="E226" s="4435"/>
      <c r="F226" s="4435"/>
      <c r="G226" s="4435"/>
      <c r="H226" s="4435"/>
      <c r="I226" s="4435"/>
      <c r="J226" s="4435"/>
      <c r="K226" s="4435"/>
      <c r="L226" s="4435"/>
      <c r="M226" s="4435"/>
      <c r="N226" s="324"/>
      <c r="O226" s="4436"/>
      <c r="P226" s="4436"/>
      <c r="Q226" s="4436"/>
      <c r="R226" s="4436"/>
      <c r="S226" s="4436"/>
      <c r="T226" s="4436"/>
      <c r="U226" s="4436"/>
      <c r="V226" s="4436"/>
      <c r="W226" s="4436"/>
      <c r="X226" s="4436"/>
      <c r="Y226" s="4436"/>
      <c r="Z226" s="4436"/>
      <c r="AA226" s="4436"/>
      <c r="AB226" s="4436"/>
      <c r="AC226" s="334"/>
      <c r="AD226" s="1"/>
      <c r="AE226" s="1"/>
      <c r="AF226" s="1"/>
      <c r="AG226" s="10"/>
      <c r="AH226" s="7"/>
      <c r="AI226" s="7"/>
      <c r="AJ226" s="7"/>
      <c r="AK226" s="7"/>
      <c r="AL226" s="7"/>
      <c r="AM226" s="7"/>
      <c r="AO226" s="7"/>
      <c r="AP226" s="7"/>
      <c r="AQ226" s="7"/>
      <c r="AR226" s="7"/>
      <c r="AS226" s="7"/>
      <c r="AU226" s="7"/>
      <c r="AV226" s="7"/>
      <c r="AW226" s="7"/>
      <c r="AX226" s="7"/>
      <c r="AY226" s="7"/>
      <c r="AZ226" s="7"/>
      <c r="BA226" s="7"/>
      <c r="BB226" s="7"/>
      <c r="BC226" s="7"/>
      <c r="BD226" s="7"/>
      <c r="BE226" s="3"/>
      <c r="BF226" s="3"/>
      <c r="BG226" s="3"/>
      <c r="BH226" s="3"/>
      <c r="BI226" s="3"/>
      <c r="BJ226" s="3"/>
      <c r="BK226" s="3"/>
      <c r="BL226" s="3"/>
      <c r="BM226" s="3"/>
      <c r="BN226" s="3"/>
      <c r="BO226" s="3"/>
      <c r="BP226" s="3"/>
      <c r="BQ226" s="3"/>
      <c r="BR226" s="3"/>
      <c r="BS226" s="3"/>
      <c r="BT226" s="3"/>
      <c r="BU226" s="3"/>
      <c r="BV226" s="3"/>
      <c r="BW226" s="3"/>
      <c r="BX226" s="3"/>
      <c r="BY226" s="3"/>
      <c r="BZ226" s="3"/>
      <c r="CA226" s="3"/>
    </row>
    <row r="227" spans="2:79" ht="15" hidden="1">
      <c r="B227" s="10"/>
      <c r="C227" s="4435"/>
      <c r="D227" s="4435"/>
      <c r="E227" s="4435"/>
      <c r="F227" s="4435"/>
      <c r="G227" s="4435"/>
      <c r="H227" s="4435"/>
      <c r="I227" s="4435"/>
      <c r="J227" s="4435"/>
      <c r="K227" s="4435"/>
      <c r="L227" s="4435"/>
      <c r="M227" s="4435"/>
      <c r="N227" s="324"/>
      <c r="O227" s="4436"/>
      <c r="P227" s="4436"/>
      <c r="Q227" s="4436"/>
      <c r="R227" s="4436"/>
      <c r="S227" s="4436"/>
      <c r="T227" s="4436"/>
      <c r="U227" s="4436"/>
      <c r="V227" s="4436"/>
      <c r="W227" s="4436"/>
      <c r="X227" s="4436"/>
      <c r="Y227" s="4436"/>
      <c r="Z227" s="4436"/>
      <c r="AA227" s="4436"/>
      <c r="AB227" s="4436"/>
      <c r="AC227" s="334"/>
      <c r="AD227" s="1"/>
      <c r="AE227" s="1"/>
      <c r="AF227" s="1"/>
      <c r="AG227" s="10"/>
      <c r="AH227" s="7"/>
      <c r="AI227" s="7"/>
      <c r="AJ227" s="7"/>
      <c r="AK227" s="7"/>
      <c r="AL227" s="7"/>
      <c r="AM227" s="7"/>
      <c r="AO227" s="7"/>
      <c r="AP227" s="7"/>
      <c r="AQ227" s="7"/>
      <c r="AR227" s="7"/>
      <c r="AS227" s="7"/>
      <c r="AU227" s="7"/>
      <c r="AV227" s="7"/>
      <c r="AW227" s="7"/>
      <c r="AX227" s="7"/>
      <c r="AY227" s="7"/>
      <c r="AZ227" s="7"/>
      <c r="BA227" s="7"/>
      <c r="BB227" s="7"/>
      <c r="BC227" s="7"/>
      <c r="BD227" s="7"/>
      <c r="BE227" s="3"/>
      <c r="BF227" s="3"/>
      <c r="BG227" s="3"/>
      <c r="BH227" s="3"/>
      <c r="BI227" s="3"/>
      <c r="BJ227" s="3"/>
      <c r="BK227" s="3"/>
      <c r="BL227" s="3"/>
      <c r="BM227" s="3"/>
      <c r="BN227" s="3"/>
      <c r="BO227" s="3"/>
      <c r="BP227" s="3"/>
      <c r="BQ227" s="3"/>
      <c r="BR227" s="3"/>
      <c r="BS227" s="3"/>
      <c r="BT227" s="3"/>
      <c r="BU227" s="3"/>
      <c r="BV227" s="3"/>
      <c r="BW227" s="3"/>
      <c r="BX227" s="3"/>
      <c r="BY227" s="3"/>
      <c r="BZ227" s="3"/>
      <c r="CA227" s="3"/>
    </row>
    <row r="228" spans="2:79" ht="15" hidden="1" customHeight="1">
      <c r="B228" s="10"/>
      <c r="C228" s="4435" t="s">
        <v>207</v>
      </c>
      <c r="D228" s="4435"/>
      <c r="E228" s="4435"/>
      <c r="F228" s="4435"/>
      <c r="G228" s="4435"/>
      <c r="H228" s="4435"/>
      <c r="I228" s="4435"/>
      <c r="J228" s="4435"/>
      <c r="K228" s="4435"/>
      <c r="L228" s="4435"/>
      <c r="M228" s="4435"/>
      <c r="N228" s="324"/>
      <c r="O228" s="4438" t="s">
        <v>208</v>
      </c>
      <c r="P228" s="4438"/>
      <c r="Q228" s="4438"/>
      <c r="R228" s="4438"/>
      <c r="S228" s="4438"/>
      <c r="T228" s="4438"/>
      <c r="U228" s="4438"/>
      <c r="V228" s="4438"/>
      <c r="W228" s="4438"/>
      <c r="X228" s="4438"/>
      <c r="Y228" s="4438"/>
      <c r="Z228" s="4438"/>
      <c r="AA228" s="4438"/>
      <c r="AB228" s="4438"/>
      <c r="AC228" s="335"/>
      <c r="AD228" s="1"/>
      <c r="AE228" s="1"/>
      <c r="AF228" s="1"/>
      <c r="AG228" s="10"/>
      <c r="AH228" s="7"/>
      <c r="AI228" s="7"/>
      <c r="AJ228" s="7"/>
      <c r="AK228" s="7"/>
      <c r="AL228" s="7"/>
      <c r="AM228" s="7"/>
      <c r="AO228" s="7"/>
      <c r="AP228" s="7"/>
      <c r="AQ228" s="7"/>
      <c r="AR228" s="7"/>
      <c r="AS228" s="7"/>
      <c r="AU228" s="7"/>
      <c r="AV228" s="7"/>
      <c r="AW228" s="7"/>
      <c r="AX228" s="7"/>
      <c r="AY228" s="7"/>
      <c r="AZ228" s="7"/>
      <c r="BA228" s="7"/>
      <c r="BB228" s="7"/>
      <c r="BC228" s="7"/>
      <c r="BD228" s="7"/>
      <c r="BE228" s="3"/>
      <c r="BF228" s="3"/>
      <c r="BG228" s="3"/>
      <c r="BH228" s="3"/>
      <c r="BI228" s="3"/>
      <c r="BJ228" s="3"/>
      <c r="BK228" s="3"/>
      <c r="BL228" s="3"/>
      <c r="BM228" s="3"/>
      <c r="BN228" s="3"/>
      <c r="BO228" s="3"/>
      <c r="BP228" s="3"/>
      <c r="BQ228" s="3"/>
      <c r="BR228" s="3"/>
      <c r="BS228" s="3"/>
      <c r="BT228" s="3"/>
      <c r="BU228" s="3"/>
      <c r="BV228" s="3"/>
      <c r="BW228" s="3"/>
      <c r="BX228" s="3"/>
      <c r="BY228" s="3"/>
      <c r="BZ228" s="3"/>
      <c r="CA228" s="3"/>
    </row>
    <row r="229" spans="2:79" ht="15" hidden="1">
      <c r="B229" s="10"/>
      <c r="C229" s="4435"/>
      <c r="D229" s="4435"/>
      <c r="E229" s="4435"/>
      <c r="F229" s="4435"/>
      <c r="G229" s="4435"/>
      <c r="H229" s="4435"/>
      <c r="I229" s="4435"/>
      <c r="J229" s="4435"/>
      <c r="K229" s="4435"/>
      <c r="L229" s="4435"/>
      <c r="M229" s="4435"/>
      <c r="N229" s="324"/>
      <c r="O229" s="4438" t="s">
        <v>209</v>
      </c>
      <c r="P229" s="4438"/>
      <c r="Q229" s="4438"/>
      <c r="R229" s="4438"/>
      <c r="S229" s="4438"/>
      <c r="T229" s="4438"/>
      <c r="U229" s="4438"/>
      <c r="V229" s="4438"/>
      <c r="W229" s="4438"/>
      <c r="X229" s="4438"/>
      <c r="Y229" s="4438"/>
      <c r="Z229" s="4438"/>
      <c r="AA229" s="4438"/>
      <c r="AB229" s="4438"/>
      <c r="AC229" s="335"/>
      <c r="AD229" s="1"/>
      <c r="AE229" s="1"/>
      <c r="AF229" s="1"/>
      <c r="AG229" s="10"/>
      <c r="AH229" s="7"/>
      <c r="AI229" s="7"/>
      <c r="AJ229" s="7"/>
      <c r="AK229" s="7"/>
      <c r="AL229" s="7"/>
      <c r="AM229" s="7"/>
      <c r="AO229" s="7"/>
      <c r="AP229" s="7"/>
      <c r="AQ229" s="7"/>
      <c r="AR229" s="7"/>
      <c r="AS229" s="7"/>
      <c r="AU229" s="7"/>
      <c r="AV229" s="7"/>
      <c r="AW229" s="7"/>
      <c r="AX229" s="7"/>
      <c r="AY229" s="7"/>
      <c r="AZ229" s="7"/>
      <c r="BA229" s="7"/>
      <c r="BB229" s="7"/>
      <c r="BC229" s="7"/>
      <c r="BD229" s="7"/>
      <c r="BE229" s="3"/>
      <c r="BF229" s="3"/>
      <c r="BG229" s="3"/>
      <c r="BH229" s="3"/>
      <c r="BI229" s="3"/>
      <c r="BJ229" s="3"/>
      <c r="BK229" s="3"/>
      <c r="BL229" s="3"/>
      <c r="BM229" s="3"/>
      <c r="BN229" s="3"/>
      <c r="BO229" s="3"/>
      <c r="BP229" s="3"/>
      <c r="BQ229" s="3"/>
      <c r="BR229" s="3"/>
      <c r="BS229" s="3"/>
      <c r="BT229" s="3"/>
      <c r="BU229" s="3"/>
      <c r="BV229" s="3"/>
      <c r="BW229" s="3"/>
      <c r="BX229" s="3"/>
      <c r="BY229" s="3"/>
      <c r="BZ229" s="3"/>
      <c r="CA229" s="3"/>
    </row>
    <row r="230" spans="2:79" ht="15" hidden="1">
      <c r="B230" s="10"/>
      <c r="C230" s="4435"/>
      <c r="D230" s="4435"/>
      <c r="E230" s="4435"/>
      <c r="F230" s="4435"/>
      <c r="G230" s="4435"/>
      <c r="H230" s="4435"/>
      <c r="I230" s="4435"/>
      <c r="J230" s="4435"/>
      <c r="K230" s="4435"/>
      <c r="L230" s="4435"/>
      <c r="M230" s="4435"/>
      <c r="N230" s="324"/>
      <c r="O230" s="4436" t="s">
        <v>210</v>
      </c>
      <c r="P230" s="4436"/>
      <c r="Q230" s="4436"/>
      <c r="R230" s="4436"/>
      <c r="S230" s="4436"/>
      <c r="T230" s="4436"/>
      <c r="U230" s="4436"/>
      <c r="V230" s="4436"/>
      <c r="W230" s="4436"/>
      <c r="X230" s="4436"/>
      <c r="Y230" s="4436"/>
      <c r="Z230" s="4436"/>
      <c r="AA230" s="4436"/>
      <c r="AB230" s="4436"/>
      <c r="AC230" s="334"/>
      <c r="AD230" s="1"/>
      <c r="AE230" s="1"/>
      <c r="AF230" s="1"/>
      <c r="AG230" s="10"/>
      <c r="AH230" s="7"/>
      <c r="AI230" s="7"/>
      <c r="AJ230" s="7"/>
      <c r="AK230" s="7"/>
      <c r="AL230" s="7"/>
      <c r="AM230" s="7"/>
      <c r="AO230" s="7"/>
      <c r="AP230" s="7"/>
      <c r="AQ230" s="7"/>
      <c r="AR230" s="7"/>
      <c r="AS230" s="7"/>
      <c r="AU230" s="7"/>
      <c r="AV230" s="7"/>
      <c r="AW230" s="7"/>
      <c r="AX230" s="7"/>
      <c r="AY230" s="7"/>
      <c r="AZ230" s="7"/>
      <c r="BA230" s="7"/>
      <c r="BB230" s="7"/>
      <c r="BC230" s="7"/>
      <c r="BD230" s="7"/>
      <c r="BE230" s="3"/>
      <c r="BF230" s="3"/>
      <c r="BG230" s="3"/>
      <c r="BH230" s="3"/>
      <c r="BI230" s="3"/>
      <c r="BJ230" s="3"/>
      <c r="BK230" s="3"/>
      <c r="BL230" s="3"/>
      <c r="BM230" s="3"/>
      <c r="BN230" s="3"/>
      <c r="BO230" s="3"/>
      <c r="BP230" s="3"/>
      <c r="BQ230" s="3"/>
      <c r="BR230" s="3"/>
      <c r="BS230" s="3"/>
      <c r="BT230" s="3"/>
      <c r="BU230" s="3"/>
      <c r="BV230" s="3"/>
      <c r="BW230" s="3"/>
      <c r="BX230" s="3"/>
      <c r="BY230" s="3"/>
      <c r="BZ230" s="3"/>
      <c r="CA230" s="3"/>
    </row>
    <row r="231" spans="2:79" ht="15" hidden="1">
      <c r="B231" s="10"/>
      <c r="C231" s="4435"/>
      <c r="D231" s="4435"/>
      <c r="E231" s="4435"/>
      <c r="F231" s="4435"/>
      <c r="G231" s="4435"/>
      <c r="H231" s="4435"/>
      <c r="I231" s="4435"/>
      <c r="J231" s="4435"/>
      <c r="K231" s="4435"/>
      <c r="L231" s="4435"/>
      <c r="M231" s="4435"/>
      <c r="N231" s="324"/>
      <c r="O231" s="4436"/>
      <c r="P231" s="4436"/>
      <c r="Q231" s="4436"/>
      <c r="R231" s="4436"/>
      <c r="S231" s="4436"/>
      <c r="T231" s="4436"/>
      <c r="U231" s="4436"/>
      <c r="V231" s="4436"/>
      <c r="W231" s="4436"/>
      <c r="X231" s="4436"/>
      <c r="Y231" s="4436"/>
      <c r="Z231" s="4436"/>
      <c r="AA231" s="4436"/>
      <c r="AB231" s="4436"/>
      <c r="AC231" s="334"/>
      <c r="AD231" s="1"/>
      <c r="AE231" s="1"/>
      <c r="AF231" s="1"/>
      <c r="AG231" s="10"/>
      <c r="AH231" s="7"/>
      <c r="AI231" s="7"/>
      <c r="AJ231" s="7"/>
      <c r="AK231" s="7"/>
      <c r="AL231" s="7"/>
      <c r="AM231" s="7"/>
      <c r="AO231" s="7"/>
      <c r="AP231" s="7"/>
      <c r="AQ231" s="7"/>
      <c r="AR231" s="7"/>
      <c r="AS231" s="7"/>
      <c r="AU231" s="7"/>
      <c r="AV231" s="7"/>
      <c r="AW231" s="7"/>
      <c r="AX231" s="7"/>
      <c r="AY231" s="7"/>
      <c r="AZ231" s="7"/>
      <c r="BA231" s="7"/>
      <c r="BB231" s="7"/>
      <c r="BC231" s="7"/>
      <c r="BD231" s="7"/>
      <c r="BE231" s="3"/>
      <c r="BF231" s="3"/>
      <c r="BG231" s="3"/>
      <c r="BH231" s="3"/>
      <c r="BI231" s="3"/>
      <c r="BJ231" s="3"/>
      <c r="BK231" s="3"/>
      <c r="BL231" s="3"/>
      <c r="BM231" s="3"/>
      <c r="BN231" s="3"/>
      <c r="BO231" s="3"/>
      <c r="BP231" s="3"/>
      <c r="BQ231" s="3"/>
      <c r="BR231" s="3"/>
      <c r="BS231" s="3"/>
      <c r="BT231" s="3"/>
      <c r="BU231" s="3"/>
      <c r="BV231" s="3"/>
      <c r="BW231" s="3"/>
      <c r="BX231" s="3"/>
      <c r="BY231" s="3"/>
      <c r="BZ231" s="3"/>
      <c r="CA231" s="3"/>
    </row>
    <row r="232" spans="2:79" ht="15" hidden="1">
      <c r="B232" s="10"/>
      <c r="C232" s="4435"/>
      <c r="D232" s="4435"/>
      <c r="E232" s="4435"/>
      <c r="F232" s="4435"/>
      <c r="G232" s="4435"/>
      <c r="H232" s="4435"/>
      <c r="I232" s="4435"/>
      <c r="J232" s="4435"/>
      <c r="K232" s="4435"/>
      <c r="L232" s="4435"/>
      <c r="M232" s="4435"/>
      <c r="N232" s="324"/>
      <c r="O232" s="4436"/>
      <c r="P232" s="4436"/>
      <c r="Q232" s="4436"/>
      <c r="R232" s="4436"/>
      <c r="S232" s="4436"/>
      <c r="T232" s="4436"/>
      <c r="U232" s="4436"/>
      <c r="V232" s="4436"/>
      <c r="W232" s="4436"/>
      <c r="X232" s="4436"/>
      <c r="Y232" s="4436"/>
      <c r="Z232" s="4436"/>
      <c r="AA232" s="4436"/>
      <c r="AB232" s="4436"/>
      <c r="AC232" s="334"/>
      <c r="AD232" s="1"/>
      <c r="AE232" s="1"/>
      <c r="AF232" s="1"/>
      <c r="AG232" s="10"/>
      <c r="AH232" s="7"/>
      <c r="AI232" s="7"/>
      <c r="AJ232" s="7"/>
      <c r="AK232" s="7"/>
      <c r="AL232" s="7"/>
      <c r="AM232" s="7"/>
      <c r="AO232" s="7"/>
      <c r="AP232" s="7"/>
      <c r="AQ232" s="7"/>
      <c r="AR232" s="7"/>
      <c r="AS232" s="7"/>
      <c r="AU232" s="7"/>
      <c r="AV232" s="7"/>
      <c r="AW232" s="7"/>
      <c r="AX232" s="7"/>
      <c r="AY232" s="7"/>
      <c r="AZ232" s="7"/>
      <c r="BA232" s="7"/>
      <c r="BB232" s="7"/>
      <c r="BC232" s="7"/>
      <c r="BD232" s="7"/>
      <c r="BE232" s="3"/>
      <c r="BF232" s="3"/>
      <c r="BG232" s="3"/>
      <c r="BH232" s="3"/>
      <c r="BI232" s="3"/>
      <c r="BJ232" s="3"/>
      <c r="BK232" s="3"/>
      <c r="BL232" s="3"/>
      <c r="BM232" s="3"/>
      <c r="BN232" s="3"/>
      <c r="BO232" s="3"/>
      <c r="BP232" s="3"/>
      <c r="BQ232" s="3"/>
      <c r="BR232" s="3"/>
      <c r="BS232" s="3"/>
      <c r="BT232" s="3"/>
      <c r="BU232" s="3"/>
      <c r="BV232" s="3"/>
      <c r="BW232" s="3"/>
      <c r="BX232" s="3"/>
      <c r="BY232" s="3"/>
      <c r="BZ232" s="3"/>
      <c r="CA232" s="3"/>
    </row>
    <row r="233" spans="2:79" ht="15" hidden="1" customHeight="1">
      <c r="B233" s="10"/>
      <c r="C233" s="320"/>
      <c r="D233" s="320"/>
      <c r="E233" s="325"/>
      <c r="F233" s="325"/>
      <c r="G233" s="325"/>
      <c r="H233" s="325"/>
      <c r="I233" s="325"/>
      <c r="J233" s="325"/>
      <c r="K233" s="325"/>
      <c r="L233" s="325"/>
      <c r="M233" s="326"/>
      <c r="N233" s="320"/>
      <c r="O233" s="4436" t="s">
        <v>211</v>
      </c>
      <c r="P233" s="4436"/>
      <c r="Q233" s="4436"/>
      <c r="R233" s="4436"/>
      <c r="S233" s="4436"/>
      <c r="T233" s="4436"/>
      <c r="U233" s="4436"/>
      <c r="V233" s="4436"/>
      <c r="W233" s="4436"/>
      <c r="X233" s="4436"/>
      <c r="Y233" s="4436"/>
      <c r="Z233" s="4436"/>
      <c r="AA233" s="4436"/>
      <c r="AB233" s="4436"/>
      <c r="AC233" s="334"/>
      <c r="AD233" s="4501"/>
      <c r="AE233" s="4501"/>
      <c r="AF233" s="4501"/>
      <c r="AG233" s="10"/>
      <c r="AH233" s="7"/>
      <c r="AI233" s="7"/>
      <c r="AJ233" s="7"/>
      <c r="AK233" s="7"/>
      <c r="AL233" s="7"/>
      <c r="AM233" s="7"/>
      <c r="AO233" s="7"/>
      <c r="AP233" s="7"/>
      <c r="AQ233" s="7"/>
      <c r="AR233" s="7"/>
      <c r="AS233" s="7"/>
      <c r="AU233" s="7"/>
      <c r="AV233" s="7"/>
      <c r="AW233" s="7"/>
      <c r="AX233" s="7"/>
      <c r="AY233" s="7"/>
      <c r="AZ233" s="7"/>
      <c r="BA233" s="7"/>
      <c r="BB233" s="7"/>
      <c r="BC233" s="7"/>
      <c r="BD233" s="7"/>
      <c r="BE233" s="3"/>
      <c r="BF233" s="3"/>
      <c r="BG233" s="3"/>
      <c r="BH233" s="3"/>
      <c r="BI233" s="3"/>
      <c r="BJ233" s="3"/>
      <c r="BK233" s="3"/>
      <c r="BL233" s="3"/>
      <c r="BM233" s="3"/>
      <c r="BN233" s="3"/>
      <c r="BO233" s="3"/>
      <c r="BP233" s="3"/>
      <c r="BQ233" s="3"/>
      <c r="BR233" s="3"/>
      <c r="BS233" s="3"/>
      <c r="BT233" s="3"/>
      <c r="BU233" s="3"/>
      <c r="BV233" s="3"/>
      <c r="BW233" s="3"/>
      <c r="BX233" s="3"/>
      <c r="BY233" s="3"/>
      <c r="BZ233" s="3"/>
      <c r="CA233" s="3"/>
    </row>
    <row r="234" spans="2:79" ht="24" hidden="1">
      <c r="B234" s="10"/>
      <c r="C234" s="320"/>
      <c r="D234" s="320"/>
      <c r="E234" s="325"/>
      <c r="F234" s="325"/>
      <c r="G234" s="325"/>
      <c r="H234" s="325"/>
      <c r="I234" s="325"/>
      <c r="J234" s="325"/>
      <c r="K234" s="325"/>
      <c r="L234" s="325"/>
      <c r="M234" s="326"/>
      <c r="N234" s="320"/>
      <c r="O234" s="4436"/>
      <c r="P234" s="4436"/>
      <c r="Q234" s="4436"/>
      <c r="R234" s="4436"/>
      <c r="S234" s="4436"/>
      <c r="T234" s="4436"/>
      <c r="U234" s="4436"/>
      <c r="V234" s="4436"/>
      <c r="W234" s="4436"/>
      <c r="X234" s="4436"/>
      <c r="Y234" s="4436"/>
      <c r="Z234" s="4436"/>
      <c r="AA234" s="4436"/>
      <c r="AB234" s="4436"/>
      <c r="AC234" s="334"/>
      <c r="AD234" s="4501"/>
      <c r="AE234" s="4501"/>
      <c r="AF234" s="4501"/>
      <c r="AG234" s="558"/>
      <c r="AH234" s="25"/>
      <c r="AI234" s="553"/>
      <c r="AJ234" s="553"/>
      <c r="AK234" s="554"/>
      <c r="AL234" s="7"/>
      <c r="AM234" s="7"/>
      <c r="AO234" s="7"/>
      <c r="AP234" s="7"/>
      <c r="AQ234" s="7"/>
      <c r="AR234" s="7"/>
      <c r="AS234" s="7"/>
      <c r="AU234" s="7"/>
      <c r="AV234" s="7"/>
      <c r="AW234" s="7"/>
      <c r="AX234" s="7"/>
      <c r="AY234" s="7"/>
      <c r="AZ234" s="7"/>
      <c r="BA234" s="7"/>
      <c r="BB234" s="7"/>
      <c r="BC234" s="7"/>
      <c r="BD234" s="7"/>
      <c r="BE234" s="3"/>
      <c r="BF234" s="3"/>
      <c r="BG234" s="3"/>
      <c r="BH234" s="3"/>
      <c r="BI234" s="3"/>
      <c r="BJ234" s="3"/>
      <c r="BK234" s="3"/>
      <c r="BL234" s="3"/>
      <c r="BM234" s="3"/>
      <c r="BN234" s="3"/>
      <c r="BO234" s="3"/>
      <c r="BP234" s="3"/>
      <c r="BQ234" s="3"/>
      <c r="BR234" s="3"/>
      <c r="BS234" s="3"/>
      <c r="BT234" s="3"/>
      <c r="BU234" s="3"/>
      <c r="BV234" s="3"/>
      <c r="BW234" s="3"/>
      <c r="BX234" s="3"/>
      <c r="BY234" s="3"/>
      <c r="BZ234" s="3"/>
      <c r="CA234" s="3"/>
    </row>
    <row r="235" spans="2:79" ht="24" hidden="1">
      <c r="B235" s="10"/>
      <c r="C235" s="320"/>
      <c r="D235" s="320"/>
      <c r="E235" s="322"/>
      <c r="F235" s="322"/>
      <c r="G235" s="322"/>
      <c r="H235" s="322"/>
      <c r="I235" s="322"/>
      <c r="J235" s="322"/>
      <c r="K235" s="322"/>
      <c r="L235" s="322"/>
      <c r="M235" s="327"/>
      <c r="N235" s="320"/>
      <c r="O235" s="328"/>
      <c r="P235" s="328"/>
      <c r="Q235" s="328"/>
      <c r="R235" s="328"/>
      <c r="S235" s="328"/>
      <c r="T235" s="328"/>
      <c r="U235" s="328"/>
      <c r="V235" s="328"/>
      <c r="W235" s="328"/>
      <c r="X235" s="328"/>
      <c r="Y235" s="328"/>
      <c r="Z235" s="328"/>
      <c r="AA235" s="328"/>
      <c r="AB235" s="329"/>
      <c r="AC235" s="336"/>
      <c r="AD235" s="4501"/>
      <c r="AE235" s="4501"/>
      <c r="AF235" s="4501"/>
      <c r="AG235" s="558"/>
      <c r="AH235" s="25"/>
      <c r="AI235" s="553"/>
      <c r="AJ235" s="553"/>
      <c r="AK235" s="25"/>
      <c r="AL235" s="25"/>
      <c r="AM235" s="25"/>
      <c r="AN235" s="3371"/>
      <c r="AO235" s="25"/>
      <c r="AP235" s="553"/>
      <c r="AQ235" s="554"/>
      <c r="AR235" s="7"/>
      <c r="AS235" s="7"/>
      <c r="AU235" s="7"/>
      <c r="AV235" s="7"/>
      <c r="AW235" s="7"/>
      <c r="AX235" s="7"/>
      <c r="AY235" s="7"/>
      <c r="AZ235" s="7"/>
      <c r="BA235" s="7"/>
      <c r="BB235" s="7"/>
      <c r="BC235" s="7"/>
      <c r="BD235" s="7"/>
      <c r="BE235" s="3"/>
      <c r="BF235" s="3"/>
      <c r="BG235" s="3"/>
      <c r="BH235" s="3"/>
      <c r="BI235" s="3"/>
      <c r="BJ235" s="3"/>
      <c r="BK235" s="3"/>
      <c r="BL235" s="3"/>
      <c r="BM235" s="3"/>
      <c r="BN235" s="3"/>
      <c r="BO235" s="3"/>
      <c r="BP235" s="3"/>
      <c r="BQ235" s="3"/>
      <c r="BR235" s="3"/>
      <c r="BS235" s="3"/>
      <c r="BT235" s="3"/>
      <c r="BU235" s="3"/>
      <c r="BV235" s="3"/>
      <c r="BW235" s="3"/>
      <c r="BX235" s="3"/>
      <c r="BY235" s="3"/>
      <c r="BZ235" s="3"/>
      <c r="CA235" s="3"/>
    </row>
    <row r="236" spans="2:79" ht="15" hidden="1" customHeight="1">
      <c r="B236" s="10"/>
      <c r="C236" s="4502" t="s">
        <v>212</v>
      </c>
      <c r="D236" s="4502"/>
      <c r="E236" s="4502"/>
      <c r="F236" s="4502"/>
      <c r="G236" s="4502"/>
      <c r="H236" s="4502"/>
      <c r="I236" s="322"/>
      <c r="J236" s="322"/>
      <c r="K236" s="322"/>
      <c r="L236" s="322"/>
      <c r="M236" s="322"/>
      <c r="N236" s="322"/>
      <c r="O236" s="328"/>
      <c r="P236" s="328"/>
      <c r="Q236" s="328"/>
      <c r="R236" s="328"/>
      <c r="S236" s="328"/>
      <c r="T236" s="328"/>
      <c r="U236" s="328"/>
      <c r="V236" s="328"/>
      <c r="W236" s="328"/>
      <c r="X236" s="328"/>
      <c r="Y236" s="328"/>
      <c r="Z236" s="328"/>
      <c r="AA236" s="328"/>
      <c r="AB236" s="329"/>
      <c r="AC236" s="336"/>
      <c r="AD236" s="4501"/>
      <c r="AE236" s="4501"/>
      <c r="AF236" s="4501"/>
      <c r="AG236" s="559"/>
      <c r="AH236" s="555"/>
      <c r="AI236" s="556"/>
      <c r="AJ236" s="556"/>
      <c r="AK236" s="25"/>
      <c r="AL236" s="25"/>
      <c r="AM236" s="25"/>
      <c r="AN236" s="3371"/>
      <c r="AO236" s="25"/>
      <c r="AP236" s="553"/>
      <c r="AQ236" s="554"/>
      <c r="AR236" s="7"/>
      <c r="AS236" s="7"/>
      <c r="AU236" s="7"/>
      <c r="AV236" s="7"/>
      <c r="AW236" s="7"/>
      <c r="AX236" s="7"/>
      <c r="AY236" s="7"/>
      <c r="AZ236" s="7"/>
      <c r="BA236" s="7"/>
      <c r="BB236" s="7"/>
      <c r="BC236" s="7"/>
      <c r="BD236" s="7"/>
      <c r="BE236" s="3"/>
      <c r="BF236" s="3"/>
      <c r="BG236" s="3"/>
      <c r="BH236" s="3"/>
      <c r="BI236" s="3"/>
      <c r="BJ236" s="3"/>
      <c r="BK236" s="3"/>
      <c r="BL236" s="3"/>
      <c r="BM236" s="3"/>
      <c r="BN236" s="3"/>
      <c r="BO236" s="3"/>
      <c r="BP236" s="3"/>
      <c r="BQ236" s="3"/>
      <c r="BR236" s="3"/>
      <c r="BS236" s="3"/>
      <c r="BT236" s="3"/>
      <c r="BU236" s="3"/>
      <c r="BV236" s="3"/>
      <c r="BW236" s="3"/>
      <c r="BX236" s="3"/>
      <c r="BY236" s="3"/>
      <c r="BZ236" s="3"/>
      <c r="CA236" s="3"/>
    </row>
    <row r="237" spans="2:79" ht="15.75" hidden="1" customHeight="1">
      <c r="B237" s="10"/>
      <c r="C237" s="4503" t="s">
        <v>213</v>
      </c>
      <c r="D237" s="4503"/>
      <c r="E237" s="4503"/>
      <c r="F237" s="4503"/>
      <c r="G237" s="4503"/>
      <c r="H237" s="4503"/>
      <c r="I237" s="4503"/>
      <c r="J237" s="4503"/>
      <c r="K237" s="4503"/>
      <c r="L237" s="4503"/>
      <c r="M237" s="4503"/>
      <c r="N237" s="4503"/>
      <c r="O237" s="4503"/>
      <c r="P237" s="4503"/>
      <c r="Q237" s="4503"/>
      <c r="R237" s="4503"/>
      <c r="S237" s="4503"/>
      <c r="T237" s="4503"/>
      <c r="U237" s="4503"/>
      <c r="V237" s="4503"/>
      <c r="W237" s="4503"/>
      <c r="X237" s="4503"/>
      <c r="Y237" s="4503"/>
      <c r="Z237" s="4503"/>
      <c r="AA237" s="964"/>
      <c r="AB237" s="330"/>
      <c r="AC237" s="337"/>
      <c r="AD237" s="4501"/>
      <c r="AE237" s="4501"/>
      <c r="AF237" s="4501"/>
      <c r="AG237" s="558"/>
      <c r="AH237" s="25"/>
      <c r="AI237" s="553"/>
      <c r="AJ237" s="553"/>
      <c r="AK237" s="555"/>
      <c r="AL237" s="555"/>
      <c r="AM237" s="555"/>
      <c r="AN237" s="3372"/>
      <c r="AO237" s="555"/>
      <c r="AP237" s="556"/>
      <c r="AQ237" s="554"/>
      <c r="AR237" s="7"/>
      <c r="AS237" s="7"/>
      <c r="AU237" s="7"/>
      <c r="AV237" s="7"/>
      <c r="AW237" s="7"/>
      <c r="AX237" s="7"/>
      <c r="AY237" s="7"/>
      <c r="AZ237" s="7"/>
      <c r="BA237" s="7"/>
      <c r="BB237" s="7"/>
      <c r="BC237" s="7"/>
      <c r="BD237" s="7"/>
      <c r="BE237" s="3"/>
      <c r="BF237" s="3"/>
      <c r="BG237" s="3"/>
      <c r="BH237" s="3"/>
      <c r="BI237" s="3"/>
      <c r="BJ237" s="3"/>
      <c r="BK237" s="3"/>
      <c r="BL237" s="3"/>
      <c r="BM237" s="3"/>
      <c r="BN237" s="3"/>
      <c r="BO237" s="3"/>
      <c r="BP237" s="3"/>
      <c r="BQ237" s="3"/>
      <c r="BR237" s="3"/>
      <c r="BS237" s="3"/>
      <c r="BT237" s="3"/>
      <c r="BU237" s="3"/>
      <c r="BV237" s="3"/>
      <c r="BW237" s="3"/>
      <c r="BX237" s="3"/>
      <c r="BY237" s="3"/>
      <c r="BZ237" s="3"/>
      <c r="CA237" s="3"/>
    </row>
    <row r="238" spans="2:79" ht="15" hidden="1" customHeight="1">
      <c r="B238" s="10"/>
      <c r="C238" s="343" t="s">
        <v>214</v>
      </c>
      <c r="D238" s="343"/>
      <c r="E238" s="343"/>
      <c r="F238" s="343"/>
      <c r="G238" s="343"/>
      <c r="H238" s="343"/>
      <c r="I238" s="343"/>
      <c r="J238" s="343"/>
      <c r="K238" s="343"/>
      <c r="L238" s="343"/>
      <c r="M238" s="343"/>
      <c r="N238" s="343"/>
      <c r="O238" s="343"/>
      <c r="P238" s="322"/>
      <c r="Q238" s="322"/>
      <c r="R238" s="322"/>
      <c r="S238" s="322"/>
      <c r="T238" s="322"/>
      <c r="U238" s="322"/>
      <c r="V238" s="322"/>
      <c r="W238" s="322"/>
      <c r="X238" s="322"/>
      <c r="Y238" s="322"/>
      <c r="Z238" s="322"/>
      <c r="AA238" s="322"/>
      <c r="AB238" s="331"/>
      <c r="AC238" s="338"/>
      <c r="AD238" s="4501"/>
      <c r="AE238" s="4501"/>
      <c r="AF238" s="4501"/>
      <c r="AG238" s="560"/>
      <c r="AH238" s="557"/>
      <c r="AI238" s="557"/>
      <c r="AJ238" s="557"/>
      <c r="AK238" s="25"/>
      <c r="AL238" s="25"/>
      <c r="AM238" s="25"/>
      <c r="AN238" s="3371"/>
      <c r="AO238" s="25"/>
      <c r="AP238" s="553"/>
      <c r="AQ238" s="554"/>
      <c r="AR238" s="7"/>
      <c r="AS238" s="7"/>
      <c r="AU238" s="7"/>
      <c r="AV238" s="7"/>
      <c r="AW238" s="7"/>
      <c r="AX238" s="7"/>
      <c r="AY238" s="7"/>
      <c r="AZ238" s="7"/>
      <c r="BA238" s="7"/>
      <c r="BB238" s="7"/>
      <c r="BC238" s="7"/>
      <c r="BD238" s="7"/>
      <c r="BE238" s="3"/>
      <c r="BF238" s="3"/>
      <c r="BG238" s="3"/>
      <c r="BH238" s="3"/>
      <c r="BI238" s="3"/>
      <c r="BJ238" s="3"/>
      <c r="BK238" s="3"/>
      <c r="BL238" s="3"/>
      <c r="BM238" s="3"/>
      <c r="BN238" s="3"/>
      <c r="BO238" s="3"/>
      <c r="BP238" s="3"/>
      <c r="BQ238" s="3"/>
      <c r="BR238" s="3"/>
      <c r="BS238" s="3"/>
      <c r="BT238" s="3"/>
      <c r="BU238" s="3"/>
      <c r="BV238" s="3"/>
      <c r="BW238" s="3"/>
      <c r="BX238" s="3"/>
      <c r="BY238" s="3"/>
      <c r="BZ238" s="3"/>
      <c r="CA238" s="3"/>
    </row>
    <row r="239" spans="2:79" ht="15" hidden="1" customHeight="1">
      <c r="B239" s="10"/>
      <c r="C239" s="4503" t="s">
        <v>215</v>
      </c>
      <c r="D239" s="4503"/>
      <c r="E239" s="4503"/>
      <c r="F239" s="4503"/>
      <c r="G239" s="4503"/>
      <c r="H239" s="4503"/>
      <c r="I239" s="4503"/>
      <c r="J239" s="4503"/>
      <c r="K239" s="4503"/>
      <c r="L239" s="4503"/>
      <c r="M239" s="4503"/>
      <c r="N239" s="4503"/>
      <c r="O239" s="4503"/>
      <c r="P239" s="4503"/>
      <c r="Q239" s="4503"/>
      <c r="R239" s="4503"/>
      <c r="S239" s="4503"/>
      <c r="T239" s="4503"/>
      <c r="U239" s="4503"/>
      <c r="V239" s="4503"/>
      <c r="W239" s="4503"/>
      <c r="X239" s="4503"/>
      <c r="Y239" s="4503"/>
      <c r="Z239" s="4503"/>
      <c r="AA239" s="964"/>
      <c r="AB239" s="331"/>
      <c r="AC239" s="338"/>
      <c r="AD239" s="4501"/>
      <c r="AE239" s="4501"/>
      <c r="AF239" s="4501"/>
      <c r="AG239" s="558"/>
      <c r="AH239" s="25"/>
      <c r="AI239" s="25"/>
      <c r="AJ239" s="25"/>
      <c r="AK239" s="25"/>
      <c r="AL239" s="25"/>
      <c r="AM239" s="25"/>
      <c r="AN239" s="3371"/>
      <c r="AO239" s="25"/>
      <c r="AP239" s="25"/>
      <c r="AQ239" s="26"/>
      <c r="AR239" s="7"/>
      <c r="AS239" s="7"/>
      <c r="AU239" s="7"/>
      <c r="AV239" s="7"/>
      <c r="AW239" s="7"/>
      <c r="AX239" s="7"/>
      <c r="AY239" s="7"/>
      <c r="AZ239" s="7"/>
      <c r="BA239" s="7"/>
      <c r="BB239" s="7"/>
      <c r="BC239" s="7"/>
      <c r="BD239" s="7"/>
      <c r="BE239" s="3"/>
      <c r="BF239" s="3"/>
      <c r="BG239" s="3"/>
      <c r="BH239" s="3"/>
      <c r="BI239" s="3"/>
      <c r="BJ239" s="3"/>
      <c r="BK239" s="3"/>
      <c r="BL239" s="3"/>
      <c r="BM239" s="3"/>
      <c r="BN239" s="3"/>
      <c r="BO239" s="3"/>
      <c r="BP239" s="3"/>
      <c r="BQ239" s="3"/>
      <c r="BR239" s="3"/>
      <c r="BS239" s="3"/>
      <c r="BT239" s="3"/>
      <c r="BU239" s="3"/>
      <c r="BV239" s="3"/>
      <c r="BW239" s="3"/>
      <c r="BX239" s="3"/>
      <c r="BY239" s="3"/>
      <c r="BZ239" s="3"/>
      <c r="CA239" s="3"/>
    </row>
    <row r="240" spans="2:79" ht="15" hidden="1" customHeight="1">
      <c r="B240" s="10"/>
      <c r="C240" s="4502" t="s">
        <v>216</v>
      </c>
      <c r="D240" s="4502"/>
      <c r="E240" s="4502"/>
      <c r="F240" s="4502"/>
      <c r="G240" s="4502"/>
      <c r="H240" s="4502"/>
      <c r="I240" s="4502"/>
      <c r="J240" s="4502"/>
      <c r="K240" s="4502"/>
      <c r="L240" s="4502"/>
      <c r="M240" s="4502"/>
      <c r="N240" s="4502"/>
      <c r="O240" s="322"/>
      <c r="P240" s="322"/>
      <c r="Q240" s="322"/>
      <c r="R240" s="322"/>
      <c r="S240" s="322"/>
      <c r="T240" s="322"/>
      <c r="U240" s="322"/>
      <c r="V240" s="322"/>
      <c r="W240" s="322"/>
      <c r="X240" s="322"/>
      <c r="Y240" s="322"/>
      <c r="Z240" s="322"/>
      <c r="AA240" s="322"/>
      <c r="AB240" s="331"/>
      <c r="AC240" s="338"/>
      <c r="AD240" s="1"/>
      <c r="AE240" s="1"/>
      <c r="AF240" s="1"/>
      <c r="AG240" s="10"/>
      <c r="AH240" s="7"/>
      <c r="AI240" s="7"/>
      <c r="AJ240" s="7"/>
      <c r="AK240" s="27"/>
      <c r="AL240" s="25"/>
      <c r="AM240" s="25"/>
      <c r="AN240" s="3371"/>
      <c r="AO240" s="25"/>
      <c r="AP240" s="25"/>
      <c r="AQ240" s="26"/>
      <c r="AR240" s="7"/>
      <c r="AS240" s="7"/>
      <c r="AU240" s="7"/>
      <c r="AV240" s="7"/>
      <c r="AW240" s="7"/>
      <c r="AX240" s="7"/>
      <c r="AY240" s="7"/>
      <c r="AZ240" s="7"/>
      <c r="BA240" s="7"/>
      <c r="BB240" s="7"/>
      <c r="BC240" s="7"/>
      <c r="BD240" s="7"/>
      <c r="BE240" s="3"/>
      <c r="BF240" s="3"/>
      <c r="BG240" s="3"/>
      <c r="BH240" s="3"/>
      <c r="BI240" s="3"/>
      <c r="BJ240" s="3"/>
      <c r="BK240" s="3"/>
      <c r="BL240" s="3"/>
      <c r="BM240" s="3"/>
      <c r="BN240" s="3"/>
      <c r="BO240" s="3"/>
      <c r="BP240" s="3"/>
      <c r="BQ240" s="3"/>
      <c r="BR240" s="3"/>
      <c r="BS240" s="3"/>
      <c r="BT240" s="3"/>
      <c r="BU240" s="3"/>
      <c r="BV240" s="3"/>
      <c r="BW240" s="3"/>
      <c r="BX240" s="3"/>
      <c r="BY240" s="3"/>
      <c r="BZ240" s="3"/>
      <c r="CA240" s="3"/>
    </row>
    <row r="241" spans="2:79" ht="15" hidden="1" customHeight="1">
      <c r="B241" s="10"/>
      <c r="C241" s="4503" t="s">
        <v>217</v>
      </c>
      <c r="D241" s="4503"/>
      <c r="E241" s="4503"/>
      <c r="F241" s="4503"/>
      <c r="G241" s="4503"/>
      <c r="H241" s="4503"/>
      <c r="I241" s="4503"/>
      <c r="J241" s="4503"/>
      <c r="K241" s="4503"/>
      <c r="L241" s="4503"/>
      <c r="M241" s="4503"/>
      <c r="N241" s="4503"/>
      <c r="O241" s="4503"/>
      <c r="P241" s="4503"/>
      <c r="Q241" s="4503"/>
      <c r="R241" s="4503"/>
      <c r="S241" s="4503"/>
      <c r="T241" s="4503"/>
      <c r="U241" s="4503"/>
      <c r="V241" s="4503"/>
      <c r="W241" s="4503"/>
      <c r="X241" s="4503"/>
      <c r="Y241" s="4503"/>
      <c r="Z241" s="4503"/>
      <c r="AA241" s="964"/>
      <c r="AB241" s="331"/>
      <c r="AC241" s="338"/>
      <c r="AD241" s="4504"/>
      <c r="AE241" s="4504"/>
      <c r="AF241" s="4504"/>
      <c r="AG241" s="10"/>
      <c r="AH241" s="7"/>
      <c r="AI241" s="7"/>
      <c r="AJ241" s="7"/>
      <c r="AK241" s="27"/>
      <c r="AL241" s="25"/>
      <c r="AM241" s="25"/>
      <c r="AN241" s="3371"/>
      <c r="AO241" s="25"/>
      <c r="AP241" s="25"/>
      <c r="AQ241" s="26"/>
      <c r="AR241" s="7"/>
      <c r="AS241" s="7"/>
      <c r="AU241" s="7"/>
      <c r="AV241" s="7"/>
      <c r="AW241" s="7"/>
      <c r="AX241" s="7"/>
      <c r="AY241" s="7"/>
      <c r="AZ241" s="7"/>
      <c r="BA241" s="7"/>
      <c r="BB241" s="7"/>
      <c r="BC241" s="7"/>
      <c r="BD241" s="7"/>
      <c r="BE241" s="3"/>
      <c r="BF241" s="3"/>
      <c r="BG241" s="3"/>
      <c r="BH241" s="3"/>
      <c r="BI241" s="3"/>
      <c r="BJ241" s="3"/>
      <c r="BK241" s="3"/>
      <c r="BL241" s="3"/>
      <c r="BM241" s="3"/>
      <c r="BN241" s="3"/>
      <c r="BO241" s="3"/>
      <c r="BP241" s="3"/>
      <c r="BQ241" s="3"/>
      <c r="BR241" s="3"/>
      <c r="BS241" s="3"/>
      <c r="BT241" s="3"/>
      <c r="BU241" s="3"/>
      <c r="BV241" s="3"/>
      <c r="BW241" s="3"/>
      <c r="BX241" s="3"/>
      <c r="BY241" s="3"/>
      <c r="BZ241" s="3"/>
      <c r="CA241" s="3"/>
    </row>
    <row r="242" spans="2:79" ht="15" hidden="1" customHeight="1">
      <c r="B242" s="10"/>
      <c r="C242" s="332" t="s">
        <v>218</v>
      </c>
      <c r="D242" s="332"/>
      <c r="E242" s="332"/>
      <c r="F242" s="332"/>
      <c r="G242" s="332"/>
      <c r="H242" s="332"/>
      <c r="I242" s="332"/>
      <c r="J242" s="332"/>
      <c r="K242" s="332"/>
      <c r="L242" s="332"/>
      <c r="M242" s="332"/>
      <c r="N242" s="332"/>
      <c r="O242" s="332"/>
      <c r="P242" s="322"/>
      <c r="Q242" s="322"/>
      <c r="R242" s="322"/>
      <c r="S242" s="322"/>
      <c r="T242" s="322"/>
      <c r="U242" s="322"/>
      <c r="V242" s="322"/>
      <c r="W242" s="322"/>
      <c r="X242" s="322"/>
      <c r="Y242" s="322"/>
      <c r="Z242" s="322"/>
      <c r="AA242" s="322"/>
      <c r="AB242" s="331"/>
      <c r="AC242" s="338"/>
      <c r="AD242" s="4504"/>
      <c r="AE242" s="4504"/>
      <c r="AF242" s="4504"/>
      <c r="AG242" s="10"/>
      <c r="AH242" s="7"/>
      <c r="AI242" s="7"/>
      <c r="AJ242" s="7"/>
      <c r="AK242" s="28"/>
      <c r="AL242" s="25"/>
      <c r="AM242" s="25"/>
      <c r="AN242" s="3371"/>
      <c r="AO242" s="25"/>
      <c r="AP242" s="25"/>
      <c r="AQ242" s="26"/>
      <c r="AR242" s="7"/>
      <c r="AS242" s="7"/>
      <c r="AU242" s="7"/>
      <c r="AV242" s="7"/>
      <c r="AW242" s="7"/>
      <c r="AX242" s="7"/>
      <c r="AY242" s="7"/>
      <c r="AZ242" s="7"/>
      <c r="BA242" s="7"/>
      <c r="BB242" s="7"/>
      <c r="BC242" s="7"/>
      <c r="BD242" s="7"/>
      <c r="BE242" s="3"/>
      <c r="BF242" s="3"/>
      <c r="BG242" s="3"/>
      <c r="BH242" s="3"/>
      <c r="BI242" s="3"/>
      <c r="BJ242" s="3"/>
      <c r="BK242" s="3"/>
      <c r="BL242" s="3"/>
      <c r="BM242" s="3"/>
      <c r="BN242" s="3"/>
      <c r="BO242" s="3"/>
      <c r="BP242" s="3"/>
      <c r="BQ242" s="3"/>
      <c r="BR242" s="3"/>
      <c r="BS242" s="3"/>
      <c r="BT242" s="3"/>
      <c r="BU242" s="3"/>
      <c r="BV242" s="3"/>
      <c r="BW242" s="3"/>
      <c r="BX242" s="3"/>
      <c r="BY242" s="3"/>
      <c r="BZ242" s="3"/>
      <c r="CA242" s="3"/>
    </row>
    <row r="243" spans="2:79" ht="15" hidden="1" customHeight="1">
      <c r="B243" s="10"/>
      <c r="C243" s="4503" t="s">
        <v>219</v>
      </c>
      <c r="D243" s="4503"/>
      <c r="E243" s="4503"/>
      <c r="F243" s="4503"/>
      <c r="G243" s="4503"/>
      <c r="H243" s="4503"/>
      <c r="I243" s="4503"/>
      <c r="J243" s="4503"/>
      <c r="K243" s="4503"/>
      <c r="L243" s="4503"/>
      <c r="M243" s="4503"/>
      <c r="N243" s="4503"/>
      <c r="O243" s="4503"/>
      <c r="P243" s="4503"/>
      <c r="Q243" s="4503"/>
      <c r="R243" s="4503"/>
      <c r="S243" s="4503"/>
      <c r="T243" s="4503"/>
      <c r="U243" s="4503"/>
      <c r="V243" s="4503"/>
      <c r="W243" s="4503"/>
      <c r="X243" s="4503"/>
      <c r="Y243" s="4503"/>
      <c r="Z243" s="4503"/>
      <c r="AA243" s="964"/>
      <c r="AB243" s="331"/>
      <c r="AC243" s="338"/>
      <c r="AD243" s="4504"/>
      <c r="AE243" s="4504"/>
      <c r="AF243" s="4504"/>
      <c r="AG243" s="10"/>
      <c r="AH243" s="7"/>
      <c r="AI243" s="7"/>
      <c r="AJ243" s="7"/>
      <c r="AK243" s="549"/>
      <c r="AL243" s="25"/>
      <c r="AM243" s="25"/>
      <c r="AN243" s="3371"/>
      <c r="AO243" s="25"/>
      <c r="AP243" s="25"/>
      <c r="AQ243" s="26"/>
      <c r="AR243" s="7"/>
      <c r="AS243" s="7"/>
      <c r="AU243" s="7"/>
      <c r="AV243" s="7"/>
      <c r="AW243" s="7"/>
      <c r="AX243" s="7"/>
      <c r="AY243" s="7"/>
      <c r="AZ243" s="7"/>
      <c r="BA243" s="7"/>
      <c r="BB243" s="7"/>
      <c r="BC243" s="7"/>
      <c r="BD243" s="7"/>
      <c r="BE243" s="3"/>
      <c r="BF243" s="3"/>
      <c r="BG243" s="3"/>
      <c r="BH243" s="3"/>
      <c r="BI243" s="3"/>
      <c r="BJ243" s="3"/>
      <c r="BK243" s="3"/>
      <c r="BL243" s="3"/>
      <c r="BM243" s="3"/>
      <c r="BN243" s="3"/>
      <c r="BO243" s="3"/>
      <c r="BP243" s="3"/>
      <c r="BQ243" s="3"/>
      <c r="BR243" s="3"/>
      <c r="BS243" s="3"/>
      <c r="BT243" s="3"/>
      <c r="BU243" s="3"/>
      <c r="BV243" s="3"/>
      <c r="BW243" s="3"/>
      <c r="BX243" s="3"/>
      <c r="BY243" s="3"/>
      <c r="BZ243" s="3"/>
      <c r="CA243" s="3"/>
    </row>
    <row r="244" spans="2:79" ht="15" hidden="1" customHeight="1">
      <c r="B244" s="10"/>
      <c r="C244" s="4425" t="s">
        <v>220</v>
      </c>
      <c r="D244" s="4425"/>
      <c r="E244" s="4425"/>
      <c r="F244" s="4425"/>
      <c r="G244" s="4425"/>
      <c r="H244" s="4425"/>
      <c r="I244" s="4425"/>
      <c r="J244" s="4425"/>
      <c r="K244" s="4425"/>
      <c r="L244" s="4425"/>
      <c r="M244" s="4425"/>
      <c r="N244" s="4425"/>
      <c r="O244" s="322"/>
      <c r="P244" s="322"/>
      <c r="Q244" s="322"/>
      <c r="R244" s="322"/>
      <c r="S244" s="322"/>
      <c r="T244" s="322"/>
      <c r="U244" s="322"/>
      <c r="V244" s="322"/>
      <c r="W244" s="322"/>
      <c r="X244" s="322"/>
      <c r="Y244" s="322"/>
      <c r="Z244" s="322"/>
      <c r="AA244" s="322"/>
      <c r="AB244" s="331"/>
      <c r="AC244" s="338"/>
      <c r="AD244" s="4504"/>
      <c r="AE244" s="4504"/>
      <c r="AF244" s="4504"/>
      <c r="AG244" s="10"/>
      <c r="AH244" s="7"/>
      <c r="AI244" s="7"/>
      <c r="AJ244" s="7"/>
      <c r="AK244" s="25"/>
      <c r="AL244" s="25"/>
      <c r="AM244" s="25"/>
      <c r="AN244" s="3371"/>
      <c r="AO244" s="25"/>
      <c r="AP244" s="25"/>
      <c r="AQ244" s="26"/>
      <c r="AR244" s="7"/>
      <c r="AS244" s="7"/>
      <c r="AU244" s="7"/>
      <c r="AV244" s="7"/>
      <c r="AW244" s="7"/>
      <c r="AX244" s="7"/>
      <c r="AY244" s="7"/>
      <c r="AZ244" s="7"/>
      <c r="BA244" s="7"/>
      <c r="BB244" s="7"/>
      <c r="BC244" s="7"/>
      <c r="BD244" s="7"/>
      <c r="BE244" s="3"/>
      <c r="BF244" s="3"/>
      <c r="BG244" s="3"/>
      <c r="BH244" s="3"/>
      <c r="BI244" s="3"/>
      <c r="BJ244" s="3"/>
      <c r="BK244" s="3"/>
      <c r="BL244" s="3"/>
      <c r="BM244" s="3"/>
      <c r="BN244" s="3"/>
      <c r="BO244" s="3"/>
      <c r="BP244" s="3"/>
      <c r="BQ244" s="3"/>
      <c r="BR244" s="3"/>
      <c r="BS244" s="3"/>
      <c r="BT244" s="3"/>
      <c r="BU244" s="3"/>
      <c r="BV244" s="3"/>
      <c r="BW244" s="3"/>
      <c r="BX244" s="3"/>
      <c r="BY244" s="3"/>
      <c r="BZ244" s="3"/>
      <c r="CA244" s="3"/>
    </row>
    <row r="245" spans="2:79" ht="15" hidden="1" customHeight="1">
      <c r="B245" s="10"/>
      <c r="C245" s="4425" t="s">
        <v>221</v>
      </c>
      <c r="D245" s="4425"/>
      <c r="E245" s="4425"/>
      <c r="F245" s="4425"/>
      <c r="G245" s="4425"/>
      <c r="H245" s="4425"/>
      <c r="I245" s="4425"/>
      <c r="J245" s="4425"/>
      <c r="K245" s="4425"/>
      <c r="L245" s="4425"/>
      <c r="M245" s="4425"/>
      <c r="N245" s="4425"/>
      <c r="O245" s="4425"/>
      <c r="P245" s="4425"/>
      <c r="Q245" s="4425"/>
      <c r="R245" s="4425"/>
      <c r="S245" s="322"/>
      <c r="T245" s="322"/>
      <c r="U245" s="322"/>
      <c r="V245" s="322"/>
      <c r="W245" s="322"/>
      <c r="X245" s="322"/>
      <c r="Y245" s="322"/>
      <c r="Z245" s="322"/>
      <c r="AA245" s="322"/>
      <c r="AB245" s="331"/>
      <c r="AC245" s="338"/>
      <c r="AD245" s="4504"/>
      <c r="AE245" s="4504"/>
      <c r="AF245" s="4504"/>
      <c r="AG245" s="10"/>
      <c r="AH245" s="7"/>
      <c r="AI245" s="7"/>
      <c r="AJ245" s="7"/>
      <c r="AK245" s="7"/>
      <c r="AL245" s="7"/>
      <c r="AM245" s="7"/>
      <c r="AO245" s="7"/>
      <c r="AP245" s="7"/>
      <c r="AQ245" s="7"/>
      <c r="AR245" s="7"/>
      <c r="AS245" s="7"/>
      <c r="AU245" s="7"/>
      <c r="AV245" s="7"/>
      <c r="AW245" s="7"/>
      <c r="AX245" s="7"/>
      <c r="AY245" s="7"/>
      <c r="AZ245" s="7"/>
      <c r="BA245" s="7"/>
      <c r="BB245" s="7"/>
      <c r="BC245" s="7"/>
      <c r="BD245" s="7"/>
      <c r="BE245" s="3"/>
      <c r="BF245" s="3"/>
      <c r="BG245" s="3"/>
      <c r="BH245" s="3"/>
      <c r="BI245" s="3"/>
      <c r="BJ245" s="3"/>
      <c r="BK245" s="3"/>
      <c r="BL245" s="3"/>
      <c r="BM245" s="3"/>
      <c r="BN245" s="3"/>
      <c r="BO245" s="3"/>
      <c r="BP245" s="3"/>
      <c r="BQ245" s="3"/>
      <c r="BR245" s="3"/>
      <c r="BS245" s="3"/>
      <c r="BT245" s="3"/>
      <c r="BU245" s="3"/>
      <c r="BV245" s="3"/>
      <c r="BW245" s="3"/>
      <c r="BX245" s="3"/>
      <c r="BY245" s="3"/>
      <c r="BZ245" s="3"/>
      <c r="CA245" s="3"/>
    </row>
    <row r="246" spans="2:79" ht="15" hidden="1" customHeight="1">
      <c r="B246" s="10"/>
      <c r="C246" s="4425" t="s">
        <v>222</v>
      </c>
      <c r="D246" s="4425"/>
      <c r="E246" s="4425"/>
      <c r="F246" s="4425"/>
      <c r="G246" s="4425"/>
      <c r="H246" s="4425"/>
      <c r="I246" s="4425"/>
      <c r="J246" s="4425"/>
      <c r="K246" s="4425"/>
      <c r="L246" s="4425"/>
      <c r="M246" s="4425"/>
      <c r="N246" s="4425"/>
      <c r="O246" s="4425"/>
      <c r="P246" s="4425"/>
      <c r="Q246" s="4425"/>
      <c r="R246" s="322"/>
      <c r="S246" s="322"/>
      <c r="T246" s="322"/>
      <c r="U246" s="322"/>
      <c r="V246" s="322"/>
      <c r="W246" s="322"/>
      <c r="X246" s="322"/>
      <c r="Y246" s="322"/>
      <c r="Z246" s="322"/>
      <c r="AA246" s="322"/>
      <c r="AB246" s="331"/>
      <c r="AC246" s="338"/>
      <c r="AD246" s="4504"/>
      <c r="AE246" s="4504"/>
      <c r="AF246" s="4504"/>
      <c r="AG246" s="10"/>
      <c r="AH246" s="7"/>
      <c r="AI246" s="7"/>
      <c r="AJ246" s="7"/>
      <c r="AK246" s="7"/>
      <c r="AL246" s="7"/>
      <c r="AM246" s="7"/>
      <c r="AO246" s="7"/>
      <c r="AP246" s="7"/>
      <c r="AQ246" s="7"/>
      <c r="AR246" s="7"/>
      <c r="AS246" s="7"/>
      <c r="AU246" s="7"/>
      <c r="AV246" s="7"/>
      <c r="AW246" s="7"/>
      <c r="AX246" s="7"/>
      <c r="AY246" s="7"/>
      <c r="AZ246" s="7"/>
      <c r="BA246" s="7"/>
      <c r="BB246" s="7"/>
      <c r="BC246" s="7"/>
      <c r="BD246" s="7"/>
      <c r="BE246" s="3"/>
      <c r="BF246" s="3"/>
      <c r="BG246" s="3"/>
      <c r="BH246" s="3"/>
      <c r="BI246" s="3"/>
      <c r="BJ246" s="3"/>
      <c r="BK246" s="3"/>
      <c r="BL246" s="3"/>
      <c r="BM246" s="3"/>
      <c r="BN246" s="3"/>
      <c r="BO246" s="3"/>
      <c r="BP246" s="3"/>
      <c r="BQ246" s="3"/>
      <c r="BR246" s="3"/>
      <c r="BS246" s="3"/>
      <c r="BT246" s="3"/>
      <c r="BU246" s="3"/>
      <c r="BV246" s="3"/>
      <c r="BW246" s="3"/>
      <c r="BX246" s="3"/>
      <c r="BY246" s="3"/>
      <c r="BZ246" s="3"/>
      <c r="CA246" s="3"/>
    </row>
    <row r="247" spans="2:79" ht="15.75" hidden="1">
      <c r="B247" s="10"/>
      <c r="C247" s="320"/>
      <c r="D247" s="320"/>
      <c r="E247" s="332"/>
      <c r="F247" s="322"/>
      <c r="G247" s="322"/>
      <c r="H247" s="322"/>
      <c r="I247" s="322"/>
      <c r="J247" s="322"/>
      <c r="K247" s="322"/>
      <c r="L247" s="322"/>
      <c r="M247" s="322"/>
      <c r="N247" s="322"/>
      <c r="O247" s="322"/>
      <c r="P247" s="322"/>
      <c r="Q247" s="322"/>
      <c r="R247" s="322"/>
      <c r="S247" s="322"/>
      <c r="T247" s="322"/>
      <c r="U247" s="322"/>
      <c r="V247" s="322"/>
      <c r="W247" s="322"/>
      <c r="X247" s="322"/>
      <c r="Y247" s="322"/>
      <c r="Z247" s="322"/>
      <c r="AA247" s="322"/>
      <c r="AB247" s="331"/>
      <c r="AC247" s="338"/>
      <c r="AD247" s="4504"/>
      <c r="AE247" s="4504"/>
      <c r="AF247" s="4504"/>
      <c r="AG247" s="10"/>
      <c r="AH247" s="7"/>
      <c r="AI247" s="7"/>
      <c r="AJ247" s="7"/>
      <c r="AK247" s="7"/>
      <c r="AL247" s="7"/>
      <c r="AM247" s="7"/>
      <c r="AO247" s="7"/>
      <c r="AP247" s="7"/>
      <c r="AQ247" s="7"/>
      <c r="AR247" s="7"/>
      <c r="AS247" s="7"/>
      <c r="AU247" s="7"/>
      <c r="AV247" s="7"/>
      <c r="AW247" s="7"/>
      <c r="AX247" s="7"/>
      <c r="AY247" s="7"/>
      <c r="AZ247" s="7"/>
      <c r="BA247" s="7"/>
      <c r="BB247" s="7"/>
      <c r="BC247" s="7"/>
      <c r="BD247" s="7"/>
      <c r="BE247" s="3"/>
      <c r="BF247" s="3"/>
      <c r="BG247" s="3"/>
      <c r="BH247" s="3"/>
      <c r="BI247" s="3"/>
      <c r="BJ247" s="3"/>
      <c r="BK247" s="3"/>
      <c r="BL247" s="3"/>
      <c r="BM247" s="3"/>
      <c r="BN247" s="3"/>
      <c r="BO247" s="3"/>
      <c r="BP247" s="3"/>
      <c r="BQ247" s="3"/>
      <c r="BR247" s="3"/>
      <c r="BS247" s="3"/>
      <c r="BT247" s="3"/>
      <c r="BU247" s="3"/>
      <c r="BV247" s="3"/>
      <c r="BW247" s="3"/>
      <c r="BX247" s="3"/>
      <c r="BY247" s="3"/>
      <c r="BZ247" s="3"/>
      <c r="CA247" s="3"/>
    </row>
    <row r="248" spans="2:79" ht="15" hidden="1" customHeight="1">
      <c r="B248" s="10"/>
      <c r="C248" s="343" t="s">
        <v>223</v>
      </c>
      <c r="D248" s="343"/>
      <c r="E248" s="343"/>
      <c r="F248" s="343"/>
      <c r="G248" s="343"/>
      <c r="H248" s="343"/>
      <c r="I248" s="343"/>
      <c r="J248" s="343"/>
      <c r="K248" s="343"/>
      <c r="L248" s="343"/>
      <c r="M248" s="343"/>
      <c r="N248" s="343"/>
      <c r="O248" s="343"/>
      <c r="P248" s="343"/>
      <c r="Q248" s="343"/>
      <c r="R248" s="343"/>
      <c r="S248" s="343"/>
      <c r="T248" s="322"/>
      <c r="U248" s="322"/>
      <c r="V248" s="322"/>
      <c r="W248" s="322"/>
      <c r="X248" s="322"/>
      <c r="Y248" s="322"/>
      <c r="Z248" s="322"/>
      <c r="AA248" s="322"/>
      <c r="AB248" s="331"/>
      <c r="AC248" s="338"/>
      <c r="AD248" s="1"/>
      <c r="AE248" s="1"/>
      <c r="AF248" s="1"/>
      <c r="AG248" s="10"/>
      <c r="AH248" s="7"/>
      <c r="AI248" s="7"/>
      <c r="AJ248" s="7"/>
      <c r="AK248" s="7"/>
      <c r="AL248" s="7"/>
      <c r="AM248" s="7"/>
      <c r="AO248" s="7"/>
      <c r="AP248" s="7"/>
      <c r="AQ248" s="7"/>
      <c r="AR248" s="7"/>
      <c r="AS248" s="7"/>
      <c r="AU248" s="7"/>
      <c r="AV248" s="7"/>
      <c r="AW248" s="7"/>
      <c r="AX248" s="7"/>
      <c r="AY248" s="7"/>
      <c r="AZ248" s="7"/>
      <c r="BA248" s="7"/>
      <c r="BB248" s="7"/>
      <c r="BC248" s="7"/>
      <c r="BD248" s="7"/>
      <c r="BE248" s="3"/>
      <c r="BF248" s="3"/>
      <c r="BG248" s="3"/>
      <c r="BH248" s="3"/>
      <c r="BI248" s="3"/>
      <c r="BJ248" s="3"/>
      <c r="BK248" s="3"/>
      <c r="BL248" s="3"/>
      <c r="BM248" s="3"/>
      <c r="BN248" s="3"/>
      <c r="BO248" s="3"/>
      <c r="BP248" s="3"/>
      <c r="BQ248" s="3"/>
      <c r="BR248" s="3"/>
      <c r="BS248" s="3"/>
      <c r="BT248" s="3"/>
      <c r="BU248" s="3"/>
      <c r="BV248" s="3"/>
      <c r="BW248" s="3"/>
      <c r="BX248" s="3"/>
      <c r="BY248" s="3"/>
      <c r="BZ248" s="3"/>
      <c r="CA248" s="3"/>
    </row>
    <row r="249" spans="2:79" ht="15" hidden="1" customHeight="1">
      <c r="B249" s="10"/>
      <c r="C249" s="4498" t="s">
        <v>224</v>
      </c>
      <c r="D249" s="4498"/>
      <c r="E249" s="4498"/>
      <c r="F249" s="4498"/>
      <c r="G249" s="4498"/>
      <c r="H249" s="4498"/>
      <c r="I249" s="4498"/>
      <c r="J249" s="4498"/>
      <c r="K249" s="4498"/>
      <c r="L249" s="4498"/>
      <c r="M249" s="4498"/>
      <c r="N249" s="4498"/>
      <c r="O249" s="4498"/>
      <c r="P249" s="4498"/>
      <c r="Q249" s="4498"/>
      <c r="R249" s="4498"/>
      <c r="S249" s="4498"/>
      <c r="T249" s="4498"/>
      <c r="U249" s="4498"/>
      <c r="V249" s="4498"/>
      <c r="W249" s="4498"/>
      <c r="X249" s="4498"/>
      <c r="Y249" s="4498"/>
      <c r="Z249" s="4498"/>
      <c r="AA249" s="966"/>
      <c r="AB249" s="331"/>
      <c r="AC249" s="338"/>
      <c r="AD249" s="1"/>
      <c r="AE249" s="1"/>
      <c r="AF249" s="1"/>
      <c r="AG249" s="10"/>
      <c r="AH249" s="7"/>
      <c r="AI249" s="7"/>
      <c r="AJ249" s="7"/>
      <c r="AK249" s="7"/>
      <c r="AL249" s="7"/>
      <c r="AM249" s="7"/>
      <c r="AO249" s="7"/>
      <c r="AP249" s="7"/>
      <c r="AQ249" s="7"/>
      <c r="AR249" s="7"/>
      <c r="AS249" s="7"/>
      <c r="AU249" s="7"/>
      <c r="AV249" s="7"/>
      <c r="AW249" s="7"/>
      <c r="AX249" s="7"/>
      <c r="AY249" s="7"/>
      <c r="AZ249" s="7"/>
      <c r="BA249" s="7"/>
      <c r="BB249" s="7"/>
      <c r="BC249" s="7"/>
      <c r="BD249" s="7"/>
      <c r="BE249" s="3"/>
      <c r="BF249" s="3"/>
      <c r="BG249" s="3"/>
      <c r="BH249" s="3"/>
      <c r="BI249" s="3"/>
      <c r="BJ249" s="3"/>
      <c r="BK249" s="3"/>
      <c r="BL249" s="3"/>
      <c r="BM249" s="3"/>
      <c r="BN249" s="3"/>
      <c r="BO249" s="3"/>
      <c r="BP249" s="3"/>
      <c r="BQ249" s="3"/>
      <c r="BR249" s="3"/>
      <c r="BS249" s="3"/>
      <c r="BT249" s="3"/>
      <c r="BU249" s="3"/>
      <c r="BV249" s="3"/>
      <c r="BW249" s="3"/>
      <c r="BX249" s="3"/>
      <c r="BY249" s="3"/>
      <c r="BZ249" s="3"/>
      <c r="CA249" s="3"/>
    </row>
    <row r="250" spans="2:79" ht="15" hidden="1">
      <c r="B250" s="10"/>
      <c r="C250" s="4498"/>
      <c r="D250" s="4498"/>
      <c r="E250" s="4498"/>
      <c r="F250" s="4498"/>
      <c r="G250" s="4498"/>
      <c r="H250" s="4498"/>
      <c r="I250" s="4498"/>
      <c r="J250" s="4498"/>
      <c r="K250" s="4498"/>
      <c r="L250" s="4498"/>
      <c r="M250" s="4498"/>
      <c r="N250" s="4498"/>
      <c r="O250" s="4498"/>
      <c r="P250" s="4498"/>
      <c r="Q250" s="4498"/>
      <c r="R250" s="4498"/>
      <c r="S250" s="4498"/>
      <c r="T250" s="4498"/>
      <c r="U250" s="4498"/>
      <c r="V250" s="4498"/>
      <c r="W250" s="4498"/>
      <c r="X250" s="4498"/>
      <c r="Y250" s="4498"/>
      <c r="Z250" s="4498"/>
      <c r="AA250" s="966"/>
      <c r="AB250" s="331"/>
      <c r="AC250" s="338"/>
      <c r="AD250" s="1"/>
      <c r="AE250" s="1"/>
      <c r="AF250" s="1"/>
      <c r="AG250" s="10"/>
      <c r="AH250" s="7"/>
      <c r="AI250" s="7"/>
      <c r="AJ250" s="7"/>
      <c r="AK250" s="7"/>
      <c r="AL250" s="7"/>
      <c r="AM250" s="7"/>
      <c r="AO250" s="7"/>
      <c r="AP250" s="7"/>
      <c r="AQ250" s="7"/>
      <c r="AR250" s="7"/>
      <c r="AS250" s="7"/>
      <c r="AU250" s="7"/>
      <c r="AV250" s="7"/>
      <c r="AW250" s="7"/>
      <c r="AX250" s="7"/>
      <c r="AY250" s="7"/>
      <c r="AZ250" s="7"/>
      <c r="BA250" s="7"/>
      <c r="BB250" s="7"/>
      <c r="BC250" s="7"/>
      <c r="BD250" s="7"/>
      <c r="BE250" s="3"/>
      <c r="BF250" s="3"/>
      <c r="BG250" s="3"/>
      <c r="BH250" s="3"/>
      <c r="BI250" s="3"/>
      <c r="BJ250" s="3"/>
      <c r="BK250" s="3"/>
      <c r="BL250" s="3"/>
      <c r="BM250" s="3"/>
      <c r="BN250" s="3"/>
      <c r="BO250" s="3"/>
      <c r="BP250" s="3"/>
      <c r="BQ250" s="3"/>
      <c r="BR250" s="3"/>
      <c r="BS250" s="3"/>
      <c r="BT250" s="3"/>
      <c r="BU250" s="3"/>
      <c r="BV250" s="3"/>
      <c r="BW250" s="3"/>
      <c r="BX250" s="3"/>
      <c r="BY250" s="3"/>
      <c r="BZ250" s="3"/>
      <c r="CA250" s="3"/>
    </row>
    <row r="251" spans="2:79" ht="15" hidden="1">
      <c r="B251" s="10"/>
      <c r="C251" s="4498"/>
      <c r="D251" s="4498"/>
      <c r="E251" s="4498"/>
      <c r="F251" s="4498"/>
      <c r="G251" s="4498"/>
      <c r="H251" s="4498"/>
      <c r="I251" s="4498"/>
      <c r="J251" s="4498"/>
      <c r="K251" s="4498"/>
      <c r="L251" s="4498"/>
      <c r="M251" s="4498"/>
      <c r="N251" s="4498"/>
      <c r="O251" s="4498"/>
      <c r="P251" s="4498"/>
      <c r="Q251" s="4498"/>
      <c r="R251" s="4498"/>
      <c r="S251" s="4498"/>
      <c r="T251" s="4498"/>
      <c r="U251" s="4498"/>
      <c r="V251" s="4498"/>
      <c r="W251" s="4498"/>
      <c r="X251" s="4498"/>
      <c r="Y251" s="4498"/>
      <c r="Z251" s="4498"/>
      <c r="AA251" s="966"/>
      <c r="AB251" s="333"/>
      <c r="AC251" s="338"/>
      <c r="AD251" s="1"/>
      <c r="AE251" s="1"/>
      <c r="AF251" s="1"/>
      <c r="AG251" s="10"/>
      <c r="AH251" s="7"/>
      <c r="AI251" s="7"/>
      <c r="AJ251" s="7"/>
      <c r="AK251" s="7"/>
      <c r="AL251" s="7"/>
      <c r="AM251" s="7"/>
      <c r="AO251" s="7"/>
      <c r="AP251" s="7"/>
      <c r="AQ251" s="7"/>
      <c r="AR251" s="7"/>
      <c r="AS251" s="7"/>
      <c r="AU251" s="7"/>
      <c r="AV251" s="7"/>
      <c r="AW251" s="7"/>
      <c r="AX251" s="7"/>
      <c r="AY251" s="7"/>
      <c r="AZ251" s="7"/>
      <c r="BA251" s="7"/>
      <c r="BB251" s="7"/>
      <c r="BC251" s="7"/>
      <c r="BD251" s="7"/>
      <c r="BE251" s="3"/>
      <c r="BF251" s="3"/>
      <c r="BG251" s="3"/>
      <c r="BH251" s="3"/>
      <c r="BI251" s="3"/>
      <c r="BJ251" s="3"/>
      <c r="BK251" s="3"/>
      <c r="BL251" s="3"/>
      <c r="BM251" s="3"/>
      <c r="BN251" s="3"/>
      <c r="BO251" s="3"/>
      <c r="BP251" s="3"/>
      <c r="BQ251" s="3"/>
      <c r="BR251" s="3"/>
      <c r="BS251" s="3"/>
      <c r="BT251" s="3"/>
      <c r="BU251" s="3"/>
      <c r="BV251" s="3"/>
      <c r="BW251" s="3"/>
      <c r="BX251" s="3"/>
      <c r="BY251" s="3"/>
      <c r="BZ251" s="3"/>
      <c r="CA251" s="3"/>
    </row>
    <row r="252" spans="2:79" ht="15" hidden="1">
      <c r="B252" s="10"/>
      <c r="C252" s="4498"/>
      <c r="D252" s="4498"/>
      <c r="E252" s="4498"/>
      <c r="F252" s="4498"/>
      <c r="G252" s="4498"/>
      <c r="H252" s="4498"/>
      <c r="I252" s="4498"/>
      <c r="J252" s="4498"/>
      <c r="K252" s="4498"/>
      <c r="L252" s="4498"/>
      <c r="M252" s="4498"/>
      <c r="N252" s="4498"/>
      <c r="O252" s="4498"/>
      <c r="P252" s="4498"/>
      <c r="Q252" s="4498"/>
      <c r="R252" s="4498"/>
      <c r="S252" s="4498"/>
      <c r="T252" s="4498"/>
      <c r="U252" s="4498"/>
      <c r="V252" s="4498"/>
      <c r="W252" s="4498"/>
      <c r="X252" s="4498"/>
      <c r="Y252" s="4498"/>
      <c r="Z252" s="4498"/>
      <c r="AA252" s="966"/>
      <c r="AB252" s="333"/>
      <c r="AC252" s="338"/>
      <c r="AD252" s="1"/>
      <c r="AE252" s="1"/>
      <c r="AF252" s="1"/>
      <c r="AG252" s="10"/>
      <c r="AH252" s="7"/>
      <c r="AI252" s="7"/>
      <c r="AJ252" s="7"/>
      <c r="AK252" s="7"/>
      <c r="AL252" s="7"/>
      <c r="AM252" s="7"/>
      <c r="AO252" s="7"/>
      <c r="AP252" s="7"/>
      <c r="AQ252" s="7"/>
      <c r="AR252" s="7"/>
      <c r="AS252" s="7"/>
      <c r="AU252" s="7"/>
      <c r="AV252" s="7"/>
      <c r="AW252" s="7"/>
      <c r="AX252" s="7"/>
      <c r="AY252" s="7"/>
      <c r="AZ252" s="7"/>
      <c r="BA252" s="7"/>
      <c r="BB252" s="7"/>
      <c r="BC252" s="7"/>
      <c r="BD252" s="7"/>
      <c r="BE252" s="3"/>
      <c r="BF252" s="3"/>
      <c r="BG252" s="3"/>
      <c r="BH252" s="3"/>
      <c r="BI252" s="3"/>
      <c r="BJ252" s="3"/>
      <c r="BK252" s="3"/>
      <c r="BL252" s="3"/>
      <c r="BM252" s="3"/>
      <c r="BN252" s="3"/>
      <c r="BO252" s="3"/>
      <c r="BP252" s="3"/>
      <c r="BQ252" s="3"/>
      <c r="BR252" s="3"/>
      <c r="BS252" s="3"/>
      <c r="BT252" s="3"/>
      <c r="BU252" s="3"/>
      <c r="BV252" s="3"/>
      <c r="BW252" s="3"/>
      <c r="BX252" s="3"/>
      <c r="BY252" s="3"/>
      <c r="BZ252" s="3"/>
      <c r="CA252" s="3"/>
    </row>
    <row r="253" spans="2:79" ht="15" hidden="1">
      <c r="B253" s="10"/>
      <c r="C253" s="4498"/>
      <c r="D253" s="4498"/>
      <c r="E253" s="4498"/>
      <c r="F253" s="4498"/>
      <c r="G253" s="4498"/>
      <c r="H253" s="4498"/>
      <c r="I253" s="4498"/>
      <c r="J253" s="4498"/>
      <c r="K253" s="4498"/>
      <c r="L253" s="4498"/>
      <c r="M253" s="4498"/>
      <c r="N253" s="4498"/>
      <c r="O253" s="4498"/>
      <c r="P253" s="4498"/>
      <c r="Q253" s="4498"/>
      <c r="R253" s="4498"/>
      <c r="S253" s="4498"/>
      <c r="T253" s="4498"/>
      <c r="U253" s="4498"/>
      <c r="V253" s="4498"/>
      <c r="W253" s="4498"/>
      <c r="X253" s="4498"/>
      <c r="Y253" s="4498"/>
      <c r="Z253" s="4498"/>
      <c r="AA253" s="966"/>
      <c r="AB253" s="333"/>
      <c r="AC253" s="338"/>
      <c r="AD253" s="1"/>
      <c r="AE253" s="1"/>
      <c r="AF253" s="1"/>
      <c r="AG253" s="10"/>
      <c r="AH253" s="7"/>
      <c r="AI253" s="7"/>
      <c r="AJ253" s="7"/>
      <c r="AK253" s="7"/>
      <c r="AL253" s="7"/>
      <c r="AM253" s="7"/>
      <c r="AO253" s="7"/>
      <c r="AP253" s="7"/>
      <c r="AQ253" s="7"/>
      <c r="AR253" s="7"/>
      <c r="AS253" s="7"/>
      <c r="AU253" s="7"/>
      <c r="AV253" s="7"/>
      <c r="AW253" s="7"/>
      <c r="AX253" s="7"/>
      <c r="AY253" s="7"/>
      <c r="AZ253" s="7"/>
      <c r="BA253" s="7"/>
      <c r="BB253" s="7"/>
      <c r="BC253" s="7"/>
      <c r="BD253" s="7"/>
      <c r="BE253" s="3"/>
      <c r="BF253" s="3"/>
      <c r="BG253" s="3"/>
      <c r="BH253" s="3"/>
      <c r="BI253" s="3"/>
      <c r="BJ253" s="3"/>
      <c r="BK253" s="3"/>
      <c r="BL253" s="3"/>
      <c r="BM253" s="3"/>
      <c r="BN253" s="3"/>
      <c r="BO253" s="3"/>
      <c r="BP253" s="3"/>
      <c r="BQ253" s="3"/>
      <c r="BR253" s="3"/>
      <c r="BS253" s="3"/>
      <c r="BT253" s="3"/>
      <c r="BU253" s="3"/>
      <c r="BV253" s="3"/>
      <c r="BW253" s="3"/>
      <c r="BX253" s="3"/>
      <c r="BY253" s="3"/>
      <c r="BZ253" s="3"/>
      <c r="CA253" s="3"/>
    </row>
    <row r="254" spans="2:79" ht="6.75" hidden="1" customHeight="1">
      <c r="B254" s="10"/>
      <c r="C254" s="4498"/>
      <c r="D254" s="4498"/>
      <c r="E254" s="4498"/>
      <c r="F254" s="4498"/>
      <c r="G254" s="4498"/>
      <c r="H254" s="4498"/>
      <c r="I254" s="4498"/>
      <c r="J254" s="4498"/>
      <c r="K254" s="4498"/>
      <c r="L254" s="4498"/>
      <c r="M254" s="4498"/>
      <c r="N254" s="4498"/>
      <c r="O254" s="4498"/>
      <c r="P254" s="4498"/>
      <c r="Q254" s="4498"/>
      <c r="R254" s="4498"/>
      <c r="S254" s="4498"/>
      <c r="T254" s="4498"/>
      <c r="U254" s="4498"/>
      <c r="V254" s="4498"/>
      <c r="W254" s="4498"/>
      <c r="X254" s="4498"/>
      <c r="Y254" s="4498"/>
      <c r="Z254" s="4498"/>
      <c r="AA254" s="966"/>
      <c r="AB254" s="320"/>
      <c r="AC254" s="338"/>
      <c r="AD254" s="1"/>
      <c r="AE254" s="1"/>
      <c r="AF254" s="1"/>
      <c r="AG254" s="10"/>
      <c r="AH254" s="7"/>
      <c r="AI254" s="7"/>
      <c r="AJ254" s="7"/>
      <c r="AK254" s="7"/>
      <c r="AL254" s="7"/>
      <c r="AM254" s="7"/>
      <c r="AO254" s="7"/>
      <c r="AP254" s="7"/>
      <c r="AQ254" s="7"/>
      <c r="AR254" s="7"/>
      <c r="AS254" s="7"/>
      <c r="AU254" s="7"/>
      <c r="AV254" s="7"/>
      <c r="AW254" s="7"/>
      <c r="AX254" s="7"/>
      <c r="AY254" s="7"/>
      <c r="AZ254" s="7"/>
      <c r="BA254" s="7"/>
      <c r="BB254" s="7"/>
      <c r="BC254" s="7"/>
      <c r="BD254" s="7"/>
      <c r="BE254" s="3"/>
      <c r="BF254" s="3"/>
      <c r="BG254" s="3"/>
      <c r="BH254" s="3"/>
      <c r="BI254" s="3"/>
      <c r="BJ254" s="3"/>
      <c r="BK254" s="3"/>
      <c r="BL254" s="3"/>
      <c r="BM254" s="3"/>
      <c r="BN254" s="3"/>
      <c r="BO254" s="3"/>
      <c r="BP254" s="3"/>
      <c r="BQ254" s="3"/>
      <c r="BR254" s="3"/>
      <c r="BS254" s="3"/>
      <c r="BT254" s="3"/>
      <c r="BU254" s="3"/>
      <c r="BV254" s="3"/>
      <c r="BW254" s="3"/>
      <c r="BX254" s="3"/>
      <c r="BY254" s="3"/>
      <c r="BZ254" s="3"/>
      <c r="CA254" s="3"/>
    </row>
    <row r="255" spans="2:79" ht="15" hidden="1">
      <c r="B255" s="10"/>
      <c r="C255" s="4498"/>
      <c r="D255" s="4498"/>
      <c r="E255" s="4498"/>
      <c r="F255" s="4498"/>
      <c r="G255" s="4498"/>
      <c r="H255" s="4498"/>
      <c r="I255" s="4498"/>
      <c r="J255" s="4498"/>
      <c r="K255" s="4498"/>
      <c r="L255" s="4498"/>
      <c r="M255" s="4498"/>
      <c r="N255" s="4498"/>
      <c r="O255" s="4498"/>
      <c r="P255" s="4498"/>
      <c r="Q255" s="4498"/>
      <c r="R255" s="4498"/>
      <c r="S255" s="4498"/>
      <c r="T255" s="4498"/>
      <c r="U255" s="4498"/>
      <c r="V255" s="4498"/>
      <c r="W255" s="4498"/>
      <c r="X255" s="4498"/>
      <c r="Y255" s="4498"/>
      <c r="Z255" s="4498"/>
      <c r="AA255" s="966"/>
      <c r="AB255" s="320"/>
      <c r="AC255" s="338"/>
      <c r="AD255" s="1"/>
      <c r="AE255" s="1"/>
      <c r="AF255" s="1"/>
      <c r="AG255" s="10"/>
      <c r="AH255" s="7"/>
      <c r="AI255" s="7"/>
      <c r="AJ255" s="7"/>
      <c r="AK255" s="7"/>
      <c r="AL255" s="7"/>
      <c r="AM255" s="7"/>
      <c r="AO255" s="7"/>
      <c r="AP255" s="7"/>
      <c r="AQ255" s="7"/>
      <c r="AR255" s="7"/>
      <c r="AS255" s="7"/>
      <c r="AU255" s="7"/>
      <c r="AV255" s="7"/>
      <c r="AW255" s="7"/>
      <c r="AX255" s="7"/>
      <c r="AY255" s="7"/>
      <c r="AZ255" s="7"/>
      <c r="BA255" s="7"/>
      <c r="BB255" s="7"/>
      <c r="BC255" s="7"/>
      <c r="BD255" s="7"/>
      <c r="BE255" s="3"/>
      <c r="BF255" s="3"/>
      <c r="BG255" s="3"/>
      <c r="BH255" s="3"/>
      <c r="BI255" s="3"/>
      <c r="BJ255" s="3"/>
      <c r="BK255" s="3"/>
      <c r="BL255" s="3"/>
      <c r="BM255" s="3"/>
      <c r="BN255" s="3"/>
      <c r="BO255" s="3"/>
      <c r="BP255" s="3"/>
      <c r="BQ255" s="3"/>
      <c r="BR255" s="3"/>
      <c r="BS255" s="3"/>
      <c r="BT255" s="3"/>
      <c r="BU255" s="3"/>
      <c r="BV255" s="3"/>
      <c r="BW255" s="3"/>
      <c r="BX255" s="3"/>
      <c r="BY255" s="3"/>
      <c r="BZ255" s="3"/>
      <c r="CA255" s="3"/>
    </row>
    <row r="256" spans="2:79" ht="15" hidden="1">
      <c r="B256" s="10"/>
      <c r="C256" s="4498"/>
      <c r="D256" s="4498"/>
      <c r="E256" s="4498"/>
      <c r="F256" s="4498"/>
      <c r="G256" s="4498"/>
      <c r="H256" s="4498"/>
      <c r="I256" s="4498"/>
      <c r="J256" s="4498"/>
      <c r="K256" s="4498"/>
      <c r="L256" s="4498"/>
      <c r="M256" s="4498"/>
      <c r="N256" s="4498"/>
      <c r="O256" s="4498"/>
      <c r="P256" s="4498"/>
      <c r="Q256" s="4498"/>
      <c r="R256" s="4498"/>
      <c r="S256" s="4498"/>
      <c r="T256" s="4498"/>
      <c r="U256" s="4498"/>
      <c r="V256" s="4498"/>
      <c r="W256" s="4498"/>
      <c r="X256" s="4498"/>
      <c r="Y256" s="4498"/>
      <c r="Z256" s="4498"/>
      <c r="AA256" s="966"/>
      <c r="AB256" s="320"/>
      <c r="AC256" s="338"/>
      <c r="AD256" s="1"/>
      <c r="AE256" s="1"/>
      <c r="AF256" s="1"/>
      <c r="AG256" s="10"/>
      <c r="AH256" s="7"/>
      <c r="AI256" s="7"/>
      <c r="AJ256" s="7"/>
      <c r="AK256" s="7"/>
      <c r="AL256" s="7"/>
      <c r="AM256" s="7"/>
      <c r="AO256" s="7"/>
      <c r="AP256" s="7"/>
      <c r="AQ256" s="7"/>
      <c r="AR256" s="7"/>
      <c r="AS256" s="7"/>
      <c r="AU256" s="7"/>
      <c r="AV256" s="7"/>
      <c r="AW256" s="7"/>
      <c r="AX256" s="7"/>
      <c r="AY256" s="7"/>
      <c r="AZ256" s="7"/>
      <c r="BA256" s="7"/>
      <c r="BB256" s="7"/>
      <c r="BC256" s="7"/>
      <c r="BD256" s="7"/>
      <c r="BE256" s="3"/>
      <c r="BF256" s="3"/>
      <c r="BG256" s="3"/>
      <c r="BH256" s="3"/>
      <c r="BI256" s="3"/>
      <c r="BJ256" s="3"/>
      <c r="BK256" s="3"/>
      <c r="BL256" s="3"/>
      <c r="BM256" s="3"/>
      <c r="BN256" s="3"/>
      <c r="BO256" s="3"/>
      <c r="BP256" s="3"/>
      <c r="BQ256" s="3"/>
      <c r="BR256" s="3"/>
      <c r="BS256" s="3"/>
      <c r="BT256" s="3"/>
      <c r="BU256" s="3"/>
      <c r="BV256" s="3"/>
      <c r="BW256" s="3"/>
      <c r="BX256" s="3"/>
      <c r="BY256" s="3"/>
      <c r="BZ256" s="3"/>
      <c r="CA256" s="3"/>
    </row>
    <row r="257" spans="2:79" ht="7.5" hidden="1" customHeight="1">
      <c r="B257" s="10"/>
      <c r="C257" s="339"/>
      <c r="D257" s="339"/>
      <c r="E257" s="4506"/>
      <c r="F257" s="4506"/>
      <c r="G257" s="4506"/>
      <c r="H257" s="4506"/>
      <c r="I257" s="4506"/>
      <c r="J257" s="4506"/>
      <c r="K257" s="4506"/>
      <c r="L257" s="4506"/>
      <c r="M257" s="340"/>
      <c r="N257" s="341"/>
      <c r="O257" s="339"/>
      <c r="P257" s="342"/>
      <c r="Q257" s="342"/>
      <c r="R257" s="342"/>
      <c r="S257" s="342"/>
      <c r="T257" s="339"/>
      <c r="U257" s="339"/>
      <c r="V257" s="339"/>
      <c r="W257" s="339"/>
      <c r="X257" s="339"/>
      <c r="Y257" s="338"/>
      <c r="Z257" s="339"/>
      <c r="AA257" s="339"/>
      <c r="AB257" s="339"/>
      <c r="AC257" s="338"/>
      <c r="AD257" s="10"/>
      <c r="AE257" s="10"/>
      <c r="AF257" s="10"/>
      <c r="AG257" s="10"/>
      <c r="AH257" s="7"/>
      <c r="AI257" s="7"/>
      <c r="AJ257" s="7"/>
      <c r="AK257" s="7"/>
      <c r="AL257" s="7"/>
      <c r="AM257" s="7"/>
      <c r="AO257" s="7"/>
      <c r="AP257" s="7"/>
      <c r="AQ257" s="7"/>
      <c r="AR257" s="7"/>
      <c r="AS257" s="7"/>
      <c r="AU257" s="7"/>
      <c r="AV257" s="7"/>
      <c r="AW257" s="7"/>
      <c r="AX257" s="7"/>
      <c r="AY257" s="7"/>
      <c r="AZ257" s="7"/>
      <c r="BA257" s="7"/>
      <c r="BB257" s="7"/>
      <c r="BC257" s="7"/>
      <c r="BD257" s="7"/>
      <c r="BE257" s="3"/>
      <c r="BF257" s="3"/>
      <c r="BG257" s="3"/>
      <c r="BH257" s="3"/>
      <c r="BI257" s="3"/>
      <c r="BJ257" s="3"/>
      <c r="BK257" s="3"/>
      <c r="BL257" s="3"/>
      <c r="BM257" s="3"/>
      <c r="BN257" s="3"/>
      <c r="BO257" s="3"/>
      <c r="BP257" s="3"/>
      <c r="BQ257" s="3"/>
      <c r="BR257" s="3"/>
      <c r="BS257" s="3"/>
      <c r="BT257" s="3"/>
      <c r="BU257" s="3"/>
      <c r="BV257" s="3"/>
      <c r="BW257" s="3"/>
      <c r="BX257" s="3"/>
      <c r="BY257" s="3"/>
      <c r="BZ257" s="3"/>
      <c r="CA257" s="3"/>
    </row>
    <row r="258" spans="2:79" ht="15" hidden="1">
      <c r="B258" s="7"/>
      <c r="C258" s="281"/>
      <c r="D258" s="281"/>
      <c r="E258" s="4507"/>
      <c r="F258" s="4507"/>
      <c r="G258" s="4507"/>
      <c r="H258" s="4507"/>
      <c r="I258" s="4507"/>
      <c r="J258" s="4507"/>
      <c r="K258" s="4507"/>
      <c r="L258" s="4507"/>
      <c r="M258" s="4507"/>
      <c r="N258" s="4507"/>
      <c r="O258" s="4507"/>
      <c r="P258" s="4507"/>
      <c r="Q258" s="4507"/>
      <c r="R258" s="4507"/>
      <c r="S258" s="4507"/>
      <c r="T258" s="4507"/>
      <c r="U258" s="4507"/>
      <c r="V258" s="4507"/>
      <c r="W258" s="4507"/>
      <c r="X258" s="4507"/>
      <c r="Y258" s="4507"/>
      <c r="Z258" s="4507"/>
      <c r="AA258" s="4507"/>
      <c r="AB258" s="4507"/>
      <c r="AC258" s="281"/>
      <c r="AD258" s="7"/>
      <c r="AE258" s="7"/>
      <c r="AF258" s="7"/>
      <c r="AG258" s="7"/>
      <c r="AH258" s="7"/>
      <c r="AI258" s="7"/>
      <c r="AJ258" s="7"/>
      <c r="AK258" s="7"/>
      <c r="AL258" s="7"/>
      <c r="AM258" s="7"/>
      <c r="AO258" s="7"/>
      <c r="AP258" s="7"/>
      <c r="AQ258" s="7"/>
      <c r="AR258" s="7"/>
      <c r="AS258" s="7"/>
      <c r="AU258" s="7"/>
      <c r="AV258" s="7"/>
      <c r="AW258" s="7"/>
      <c r="AX258" s="7"/>
      <c r="AY258" s="7"/>
      <c r="AZ258" s="7"/>
      <c r="BA258" s="7"/>
      <c r="BB258" s="7"/>
      <c r="BC258" s="7"/>
      <c r="BD258" s="7"/>
      <c r="BE258" s="3"/>
      <c r="BF258" s="3"/>
      <c r="BG258" s="3"/>
      <c r="BH258" s="3"/>
      <c r="BI258" s="3"/>
      <c r="BJ258" s="3"/>
      <c r="BK258" s="3"/>
      <c r="BL258" s="3"/>
      <c r="BM258" s="3"/>
      <c r="BN258" s="3"/>
      <c r="BO258" s="3"/>
      <c r="BP258" s="3"/>
      <c r="BQ258" s="3"/>
      <c r="BR258" s="3"/>
      <c r="BS258" s="3"/>
      <c r="BT258" s="3"/>
      <c r="BU258" s="3"/>
      <c r="BV258" s="3"/>
      <c r="BW258" s="3"/>
      <c r="BX258" s="3"/>
      <c r="BY258" s="3"/>
      <c r="BZ258" s="3"/>
      <c r="CA258" s="3"/>
    </row>
    <row r="259" spans="2:79" ht="15" hidden="1">
      <c r="B259" s="7"/>
      <c r="C259" s="281"/>
      <c r="D259" s="281"/>
      <c r="E259" s="282"/>
      <c r="F259" s="282"/>
      <c r="G259" s="282"/>
      <c r="H259" s="282"/>
      <c r="I259" s="282"/>
      <c r="J259" s="282"/>
      <c r="K259" s="282"/>
      <c r="L259" s="282"/>
      <c r="M259" s="282"/>
      <c r="N259" s="282"/>
      <c r="O259" s="281"/>
      <c r="P259" s="282"/>
      <c r="Q259" s="282"/>
      <c r="R259" s="282"/>
      <c r="S259" s="282"/>
      <c r="T259" s="282"/>
      <c r="U259" s="282"/>
      <c r="V259" s="282"/>
      <c r="W259" s="282"/>
      <c r="X259" s="282"/>
      <c r="Y259" s="282"/>
      <c r="Z259" s="282"/>
      <c r="AA259" s="282"/>
      <c r="AB259" s="282"/>
      <c r="AC259" s="282"/>
      <c r="AD259" s="7"/>
      <c r="AE259" s="7"/>
      <c r="AF259" s="7"/>
      <c r="AG259" s="7"/>
      <c r="AH259" s="7"/>
      <c r="AI259" s="7"/>
      <c r="AJ259" s="7"/>
      <c r="AK259" s="7"/>
      <c r="AL259" s="7"/>
      <c r="AM259" s="7"/>
      <c r="AO259" s="7"/>
      <c r="AP259" s="7"/>
      <c r="AQ259" s="7"/>
      <c r="AR259" s="7"/>
      <c r="AS259" s="7"/>
      <c r="AU259" s="7"/>
      <c r="AV259" s="7"/>
      <c r="AW259" s="7"/>
      <c r="AX259" s="7"/>
      <c r="AY259" s="7"/>
      <c r="AZ259" s="7"/>
      <c r="BA259" s="7"/>
      <c r="BB259" s="7"/>
      <c r="BC259" s="7"/>
      <c r="BD259" s="7"/>
      <c r="BE259" s="3"/>
      <c r="BF259" s="3"/>
      <c r="BG259" s="3"/>
      <c r="BH259" s="3"/>
      <c r="BI259" s="3"/>
      <c r="BJ259" s="3"/>
      <c r="BK259" s="3"/>
      <c r="BL259" s="3"/>
      <c r="BM259" s="3"/>
      <c r="BN259" s="3"/>
      <c r="BO259" s="3"/>
      <c r="BP259" s="3"/>
      <c r="BQ259" s="3"/>
      <c r="BR259" s="3"/>
      <c r="BS259" s="3"/>
      <c r="BT259" s="3"/>
      <c r="BU259" s="3"/>
      <c r="BV259" s="3"/>
      <c r="BW259" s="3"/>
      <c r="BX259" s="3"/>
      <c r="BY259" s="3"/>
      <c r="BZ259" s="3"/>
      <c r="CA259" s="3"/>
    </row>
    <row r="260" spans="2:79" ht="15" hidden="1">
      <c r="B260" s="7"/>
      <c r="C260" s="281"/>
      <c r="D260" s="281"/>
      <c r="E260" s="282"/>
      <c r="F260" s="282"/>
      <c r="G260" s="282"/>
      <c r="H260" s="282"/>
      <c r="I260" s="282"/>
      <c r="J260" s="282"/>
      <c r="K260" s="282"/>
      <c r="L260" s="282"/>
      <c r="M260" s="282"/>
      <c r="N260" s="282"/>
      <c r="O260" s="281"/>
      <c r="P260" s="281"/>
      <c r="Q260" s="281"/>
      <c r="R260" s="281"/>
      <c r="S260" s="281"/>
      <c r="T260" s="281"/>
      <c r="U260" s="281"/>
      <c r="V260" s="281"/>
      <c r="W260" s="281"/>
      <c r="X260" s="282"/>
      <c r="Y260" s="282"/>
      <c r="Z260" s="282"/>
      <c r="AA260" s="282"/>
      <c r="AB260" s="282"/>
      <c r="AC260" s="282"/>
      <c r="AD260" s="7"/>
      <c r="AE260" s="7"/>
      <c r="AF260" s="7"/>
      <c r="AG260" s="7"/>
      <c r="AH260" s="7"/>
      <c r="AI260" s="7"/>
      <c r="AJ260" s="7"/>
      <c r="AK260" s="7"/>
      <c r="AL260" s="7"/>
      <c r="AM260" s="7"/>
      <c r="AO260" s="7"/>
      <c r="AP260" s="7"/>
      <c r="AQ260" s="7"/>
      <c r="AR260" s="7"/>
      <c r="AS260" s="7"/>
      <c r="AU260" s="7"/>
      <c r="AV260" s="7"/>
      <c r="AW260" s="7"/>
      <c r="AX260" s="7"/>
      <c r="AY260" s="7"/>
      <c r="AZ260" s="7"/>
      <c r="BA260" s="7"/>
      <c r="BB260" s="7"/>
      <c r="BC260" s="7"/>
      <c r="BD260" s="7"/>
      <c r="BE260" s="3"/>
      <c r="BF260" s="3"/>
      <c r="BG260" s="3"/>
      <c r="BH260" s="3"/>
      <c r="BI260" s="3"/>
      <c r="BJ260" s="3"/>
      <c r="BK260" s="3"/>
      <c r="BL260" s="3"/>
      <c r="BM260" s="3"/>
      <c r="BN260" s="3"/>
      <c r="BO260" s="3"/>
      <c r="BP260" s="3"/>
      <c r="BQ260" s="3"/>
      <c r="BR260" s="3"/>
      <c r="BS260" s="3"/>
      <c r="BT260" s="3"/>
      <c r="BU260" s="3"/>
      <c r="BV260" s="3"/>
      <c r="BW260" s="3"/>
      <c r="BX260" s="3"/>
      <c r="BY260" s="3"/>
      <c r="BZ260" s="3"/>
      <c r="CA260" s="3"/>
    </row>
    <row r="261" spans="2:79" ht="15" hidden="1">
      <c r="B261" s="7"/>
      <c r="C261" s="281"/>
      <c r="D261" s="281"/>
      <c r="E261" s="282"/>
      <c r="F261" s="282"/>
      <c r="G261" s="282"/>
      <c r="H261" s="282"/>
      <c r="I261" s="282"/>
      <c r="J261" s="282"/>
      <c r="K261" s="282"/>
      <c r="L261" s="282"/>
      <c r="M261" s="282"/>
      <c r="N261" s="282"/>
      <c r="O261" s="282"/>
      <c r="P261" s="282"/>
      <c r="Q261" s="282"/>
      <c r="R261" s="282"/>
      <c r="S261" s="282"/>
      <c r="T261" s="282"/>
      <c r="U261" s="282"/>
      <c r="V261" s="282"/>
      <c r="W261" s="282"/>
      <c r="X261" s="282"/>
      <c r="Y261" s="282"/>
      <c r="Z261" s="282"/>
      <c r="AA261" s="282"/>
      <c r="AB261" s="282"/>
      <c r="AC261" s="282"/>
      <c r="AD261" s="7"/>
      <c r="AE261" s="7"/>
      <c r="AF261" s="7"/>
      <c r="AG261" s="7"/>
      <c r="AH261" s="7"/>
      <c r="AI261" s="7"/>
      <c r="AJ261" s="7"/>
      <c r="AK261" s="7"/>
      <c r="AL261" s="7"/>
      <c r="AM261" s="7"/>
      <c r="AO261" s="7"/>
      <c r="AP261" s="7"/>
      <c r="AQ261" s="7"/>
      <c r="AR261" s="7"/>
      <c r="AS261" s="7"/>
      <c r="AU261" s="7"/>
      <c r="AV261" s="7"/>
      <c r="AW261" s="7"/>
      <c r="AX261" s="7"/>
      <c r="AY261" s="7"/>
      <c r="AZ261" s="7"/>
      <c r="BA261" s="7"/>
      <c r="BB261" s="7"/>
      <c r="BC261" s="7"/>
      <c r="BD261" s="7"/>
      <c r="BE261" s="3"/>
      <c r="BF261" s="3"/>
      <c r="BG261" s="3"/>
      <c r="BH261" s="3"/>
      <c r="BI261" s="3"/>
      <c r="BJ261" s="3"/>
      <c r="BK261" s="3"/>
      <c r="BL261" s="3"/>
      <c r="BM261" s="3"/>
      <c r="BN261" s="3"/>
      <c r="BO261" s="3"/>
      <c r="BP261" s="3"/>
      <c r="BQ261" s="3"/>
      <c r="BR261" s="3"/>
      <c r="BS261" s="3"/>
      <c r="BT261" s="3"/>
      <c r="BU261" s="3"/>
      <c r="BV261" s="3"/>
      <c r="BW261" s="3"/>
      <c r="BX261" s="3"/>
      <c r="BY261" s="3"/>
      <c r="BZ261" s="3"/>
      <c r="CA261" s="3"/>
    </row>
    <row r="262" spans="2:79" ht="15.75" hidden="1" thickBot="1">
      <c r="B262" s="7"/>
      <c r="C262" s="281"/>
      <c r="D262" s="281"/>
      <c r="E262" s="282"/>
      <c r="F262" s="282"/>
      <c r="G262" s="282"/>
      <c r="H262" s="282"/>
      <c r="I262" s="282"/>
      <c r="J262" s="282"/>
      <c r="K262" s="282"/>
      <c r="L262" s="282"/>
      <c r="M262" s="282"/>
      <c r="N262" s="282"/>
      <c r="O262" s="282"/>
      <c r="P262" s="282"/>
      <c r="Q262" s="282"/>
      <c r="R262" s="282"/>
      <c r="S262" s="282"/>
      <c r="T262" s="282"/>
      <c r="U262" s="282"/>
      <c r="V262" s="282"/>
      <c r="W262" s="282"/>
      <c r="X262" s="282"/>
      <c r="Y262" s="282"/>
      <c r="Z262" s="282"/>
      <c r="AA262" s="282"/>
      <c r="AB262" s="282"/>
      <c r="AC262" s="282"/>
      <c r="AD262" s="7"/>
      <c r="AE262" s="7"/>
      <c r="AF262" s="7"/>
      <c r="AG262" s="7"/>
      <c r="AH262" s="7"/>
      <c r="AI262" s="7"/>
      <c r="AJ262" s="7"/>
      <c r="AK262" s="7"/>
      <c r="AL262" s="7"/>
      <c r="AM262" s="7"/>
      <c r="AO262" s="7"/>
      <c r="AP262" s="7"/>
      <c r="AQ262" s="7"/>
      <c r="AR262" s="7"/>
      <c r="AS262" s="7"/>
      <c r="AU262" s="7"/>
      <c r="AV262" s="7"/>
      <c r="AW262" s="7"/>
      <c r="AX262" s="7"/>
      <c r="AY262" s="7"/>
      <c r="AZ262" s="7"/>
      <c r="BA262" s="7"/>
      <c r="BB262" s="7"/>
      <c r="BC262" s="7"/>
      <c r="BD262" s="7"/>
      <c r="BE262" s="3"/>
      <c r="BF262" s="3"/>
      <c r="BG262" s="3"/>
      <c r="BH262" s="3"/>
      <c r="BI262" s="3"/>
      <c r="BJ262" s="3"/>
      <c r="BK262" s="3"/>
      <c r="BL262" s="3"/>
      <c r="BM262" s="3"/>
      <c r="BN262" s="3"/>
      <c r="BO262" s="3"/>
      <c r="BP262" s="3"/>
      <c r="BQ262" s="3"/>
      <c r="BR262" s="3"/>
      <c r="BS262" s="3"/>
      <c r="BT262" s="3"/>
      <c r="BU262" s="3"/>
      <c r="BV262" s="3"/>
      <c r="BW262" s="3"/>
      <c r="BX262" s="3"/>
      <c r="BY262" s="3"/>
      <c r="BZ262" s="3"/>
      <c r="CA262" s="3"/>
    </row>
    <row r="263" spans="2:79" ht="24.95" hidden="1" customHeight="1" thickTop="1">
      <c r="B263" s="7"/>
      <c r="C263" s="281"/>
      <c r="D263" s="281"/>
      <c r="E263" s="282"/>
      <c r="F263" s="282"/>
      <c r="G263" s="282"/>
      <c r="H263" s="282"/>
      <c r="I263" s="282"/>
      <c r="J263" s="282"/>
      <c r="K263" s="282"/>
      <c r="L263" s="282"/>
      <c r="M263" s="282"/>
      <c r="N263" s="282"/>
      <c r="O263" s="282"/>
      <c r="P263" s="282"/>
      <c r="Q263" s="282"/>
      <c r="R263" s="282"/>
      <c r="S263" s="282"/>
      <c r="T263" s="282"/>
      <c r="U263" s="282"/>
      <c r="V263" s="282"/>
      <c r="W263" s="282"/>
      <c r="X263" s="282"/>
      <c r="Y263" s="282"/>
      <c r="Z263" s="282"/>
      <c r="AA263" s="282"/>
      <c r="AB263" s="282"/>
      <c r="AC263" s="282"/>
      <c r="AD263" s="7"/>
      <c r="AE263" s="7"/>
      <c r="AF263" s="7"/>
      <c r="AG263" s="7"/>
      <c r="AH263" s="7"/>
      <c r="AI263" s="7"/>
      <c r="AJ263" s="7"/>
      <c r="AK263" s="7"/>
      <c r="AL263" s="7"/>
      <c r="AM263" s="7"/>
      <c r="AO263" s="7"/>
      <c r="AP263" s="7"/>
      <c r="AQ263" s="7"/>
      <c r="AR263" s="7"/>
      <c r="AS263" s="7"/>
      <c r="AU263" s="7"/>
      <c r="AV263" s="7"/>
      <c r="AW263" s="7"/>
      <c r="AX263" s="7"/>
      <c r="AY263" s="7"/>
      <c r="AZ263" s="7"/>
      <c r="BA263" s="7"/>
      <c r="BB263" s="7"/>
      <c r="BC263" s="7"/>
      <c r="BD263" s="7"/>
      <c r="BE263" s="3"/>
      <c r="BF263" s="3"/>
      <c r="BG263" s="3"/>
      <c r="BH263" s="3"/>
      <c r="BI263" s="3"/>
      <c r="BJ263" s="3"/>
      <c r="BK263" s="3"/>
      <c r="BL263" s="3"/>
      <c r="BM263" s="4509" t="s">
        <v>573</v>
      </c>
      <c r="BN263" s="4510"/>
      <c r="BO263" s="4510"/>
      <c r="BP263" s="4510"/>
      <c r="BQ263" s="405">
        <f>'New Tax Regime'!K57</f>
        <v>0</v>
      </c>
      <c r="BR263" s="3"/>
      <c r="BS263" s="3"/>
      <c r="BT263" s="3"/>
      <c r="BU263" s="3"/>
      <c r="BV263" s="3"/>
      <c r="BW263" s="3"/>
      <c r="BX263" s="3"/>
      <c r="BY263" s="3"/>
      <c r="BZ263" s="3"/>
      <c r="CA263" s="3"/>
    </row>
    <row r="264" spans="2:79" ht="24.95" hidden="1" customHeight="1">
      <c r="B264" s="7"/>
      <c r="C264" s="281"/>
      <c r="D264" s="281"/>
      <c r="E264" s="282"/>
      <c r="F264" s="282"/>
      <c r="G264" s="282"/>
      <c r="H264" s="282"/>
      <c r="I264" s="282"/>
      <c r="J264" s="282"/>
      <c r="K264" s="282"/>
      <c r="L264" s="282"/>
      <c r="M264" s="282"/>
      <c r="N264" s="282"/>
      <c r="O264" s="282"/>
      <c r="P264" s="282"/>
      <c r="Q264" s="282"/>
      <c r="R264" s="282"/>
      <c r="S264" s="282"/>
      <c r="T264" s="282"/>
      <c r="U264" s="282"/>
      <c r="V264" s="282"/>
      <c r="W264" s="282"/>
      <c r="X264" s="282"/>
      <c r="Y264" s="282"/>
      <c r="Z264" s="282"/>
      <c r="AA264" s="282"/>
      <c r="AB264" s="282"/>
      <c r="AC264" s="282"/>
      <c r="AD264" s="7"/>
      <c r="AE264" s="7"/>
      <c r="AF264" s="7"/>
      <c r="AG264" s="7"/>
      <c r="AH264" s="7"/>
      <c r="AI264" s="7"/>
      <c r="AJ264" s="7"/>
      <c r="AK264" s="7"/>
      <c r="AL264" s="7"/>
      <c r="AM264" s="7"/>
      <c r="AO264" s="7"/>
      <c r="AP264" s="7"/>
      <c r="AQ264" s="7"/>
      <c r="AR264" s="7"/>
      <c r="AS264" s="7"/>
      <c r="AU264" s="7"/>
      <c r="AV264" s="7"/>
      <c r="AW264" s="7"/>
      <c r="AX264" s="7"/>
      <c r="AY264" s="7"/>
      <c r="AZ264" s="7"/>
      <c r="BA264" s="7"/>
      <c r="BB264" s="7"/>
      <c r="BC264" s="7"/>
      <c r="BD264" s="7"/>
      <c r="BE264" s="3"/>
      <c r="BF264" s="3"/>
      <c r="BG264" s="3"/>
      <c r="BH264" s="3"/>
      <c r="BI264" s="3"/>
      <c r="BJ264" s="3"/>
      <c r="BK264" s="3"/>
      <c r="BL264" s="3"/>
      <c r="BM264" s="4499" t="s">
        <v>574</v>
      </c>
      <c r="BN264" s="4500"/>
      <c r="BO264" s="4500"/>
      <c r="BP264" s="4500"/>
      <c r="BQ264" s="406" t="str">
        <f>'New Tax Regime'!L42</f>
        <v>Rs</v>
      </c>
      <c r="BR264" s="3"/>
      <c r="BS264" s="3"/>
      <c r="BT264" s="3"/>
      <c r="BU264" s="3"/>
      <c r="BV264" s="3"/>
      <c r="BW264" s="3"/>
      <c r="BX264" s="3"/>
      <c r="BY264" s="3"/>
      <c r="BZ264" s="3"/>
      <c r="CA264" s="3"/>
    </row>
    <row r="265" spans="2:79" ht="24.95" hidden="1" customHeight="1">
      <c r="B265" s="7"/>
      <c r="C265" s="281"/>
      <c r="D265" s="281"/>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7"/>
      <c r="AE265" s="7"/>
      <c r="AF265" s="7"/>
      <c r="AG265" s="7"/>
      <c r="AH265" s="7"/>
      <c r="AI265" s="7"/>
      <c r="AJ265" s="7"/>
      <c r="AK265" s="7"/>
      <c r="AL265" s="7"/>
      <c r="AM265" s="7"/>
      <c r="AO265" s="7"/>
      <c r="AP265" s="7"/>
      <c r="AQ265" s="7"/>
      <c r="AR265" s="7"/>
      <c r="AS265" s="7"/>
      <c r="AU265" s="7"/>
      <c r="AV265" s="7"/>
      <c r="AW265" s="7"/>
      <c r="AX265" s="7"/>
      <c r="AY265" s="7"/>
      <c r="AZ265" s="7"/>
      <c r="BA265" s="7"/>
      <c r="BB265" s="7"/>
      <c r="BC265" s="7"/>
      <c r="BD265" s="7"/>
      <c r="BE265" s="3"/>
      <c r="BF265" s="3"/>
      <c r="BG265" s="3"/>
      <c r="BH265" s="3"/>
      <c r="BI265" s="3"/>
      <c r="BJ265" s="3"/>
      <c r="BK265" s="3"/>
      <c r="BL265" s="3"/>
      <c r="BM265" s="4511" t="s">
        <v>584</v>
      </c>
      <c r="BN265" s="4512"/>
      <c r="BO265" s="4512"/>
      <c r="BP265" s="4512"/>
      <c r="BQ265" s="407">
        <f>'New Tax Regime'!M76</f>
        <v>0</v>
      </c>
      <c r="BR265" s="292" t="s">
        <v>583</v>
      </c>
      <c r="BS265" s="3"/>
      <c r="BT265" s="3"/>
      <c r="BU265" s="3"/>
      <c r="BV265" s="3"/>
      <c r="BW265" s="3"/>
      <c r="BX265" s="3"/>
      <c r="BY265" s="3"/>
      <c r="BZ265" s="3"/>
      <c r="CA265" s="3"/>
    </row>
    <row r="266" spans="2:79" ht="24.95" hidden="1" customHeight="1">
      <c r="B266" s="7"/>
      <c r="C266" s="281"/>
      <c r="D266" s="281"/>
      <c r="E266" s="282"/>
      <c r="F266" s="282"/>
      <c r="G266" s="282"/>
      <c r="H266" s="282"/>
      <c r="I266" s="282"/>
      <c r="J266" s="282"/>
      <c r="K266" s="282"/>
      <c r="L266" s="282"/>
      <c r="M266" s="282"/>
      <c r="N266" s="282"/>
      <c r="O266" s="282"/>
      <c r="P266" s="282"/>
      <c r="Q266" s="282"/>
      <c r="R266" s="282"/>
      <c r="S266" s="282"/>
      <c r="T266" s="282"/>
      <c r="U266" s="282"/>
      <c r="V266" s="282"/>
      <c r="W266" s="282"/>
      <c r="X266" s="282"/>
      <c r="Y266" s="282"/>
      <c r="Z266" s="282"/>
      <c r="AA266" s="282"/>
      <c r="AB266" s="282"/>
      <c r="AC266" s="282"/>
      <c r="AD266" s="7"/>
      <c r="AE266" s="7"/>
      <c r="AF266" s="7"/>
      <c r="AG266" s="7"/>
      <c r="AH266" s="7"/>
      <c r="AI266" s="7"/>
      <c r="AJ266" s="7"/>
      <c r="AK266" s="7"/>
      <c r="AL266" s="7"/>
      <c r="AM266" s="7"/>
      <c r="AO266" s="7"/>
      <c r="AP266" s="7"/>
      <c r="AQ266" s="7"/>
      <c r="AR266" s="7"/>
      <c r="AS266" s="7"/>
      <c r="AU266" s="7"/>
      <c r="AV266" s="7"/>
      <c r="AW266" s="7"/>
      <c r="AX266" s="7"/>
      <c r="AY266" s="7"/>
      <c r="AZ266" s="7"/>
      <c r="BA266" s="7"/>
      <c r="BB266" s="7"/>
      <c r="BC266" s="7"/>
      <c r="BD266" s="7"/>
      <c r="BE266" s="3"/>
      <c r="BF266" s="3"/>
      <c r="BG266" s="3"/>
      <c r="BH266" s="3"/>
      <c r="BI266" s="3"/>
      <c r="BJ266" s="3"/>
      <c r="BK266" s="3"/>
      <c r="BL266" s="3"/>
      <c r="BM266" s="4499" t="s">
        <v>575</v>
      </c>
      <c r="BN266" s="4500"/>
      <c r="BO266" s="4500"/>
      <c r="BP266" s="4500"/>
      <c r="BQ266" s="406">
        <f>'New Tax Regime'!M83</f>
        <v>0</v>
      </c>
      <c r="BR266" s="3"/>
      <c r="BS266" s="3"/>
      <c r="BT266" s="3"/>
      <c r="BU266" s="3"/>
      <c r="BV266" s="3"/>
      <c r="BW266" s="3"/>
      <c r="BX266" s="3"/>
      <c r="BY266" s="3"/>
      <c r="BZ266" s="3"/>
      <c r="CA266" s="3"/>
    </row>
    <row r="267" spans="2:79" ht="24.95" hidden="1" customHeight="1">
      <c r="B267" s="7"/>
      <c r="C267" s="281"/>
      <c r="D267" s="281"/>
      <c r="E267" s="282"/>
      <c r="F267" s="282"/>
      <c r="G267" s="282"/>
      <c r="H267" s="282"/>
      <c r="I267" s="282"/>
      <c r="J267" s="282"/>
      <c r="K267" s="282"/>
      <c r="L267" s="282"/>
      <c r="M267" s="282"/>
      <c r="N267" s="282"/>
      <c r="O267" s="282"/>
      <c r="P267" s="282"/>
      <c r="Q267" s="282"/>
      <c r="R267" s="282"/>
      <c r="S267" s="282"/>
      <c r="T267" s="282"/>
      <c r="U267" s="282"/>
      <c r="V267" s="282"/>
      <c r="W267" s="282"/>
      <c r="X267" s="282"/>
      <c r="Y267" s="282"/>
      <c r="Z267" s="282"/>
      <c r="AA267" s="282"/>
      <c r="AB267" s="282"/>
      <c r="AC267" s="282"/>
      <c r="AD267" s="7"/>
      <c r="AE267" s="7"/>
      <c r="AF267" s="7"/>
      <c r="AG267" s="7"/>
      <c r="AH267" s="7"/>
      <c r="AI267" s="7"/>
      <c r="AJ267" s="7"/>
      <c r="AK267" s="7"/>
      <c r="AL267" s="7"/>
      <c r="AM267" s="7"/>
      <c r="AO267" s="7"/>
      <c r="AP267" s="7"/>
      <c r="AQ267" s="7"/>
      <c r="AR267" s="7"/>
      <c r="AS267" s="7"/>
      <c r="AU267" s="7"/>
      <c r="AV267" s="7"/>
      <c r="AW267" s="7"/>
      <c r="AX267" s="7"/>
      <c r="AY267" s="7"/>
      <c r="AZ267" s="7"/>
      <c r="BA267" s="7"/>
      <c r="BB267" s="7"/>
      <c r="BC267" s="7"/>
      <c r="BD267" s="7"/>
      <c r="BE267" s="3"/>
      <c r="BF267" s="3"/>
      <c r="BG267" s="3"/>
      <c r="BH267" s="3"/>
      <c r="BI267" s="3"/>
      <c r="BJ267" s="3"/>
      <c r="BK267" s="3"/>
      <c r="BL267" s="3"/>
      <c r="BM267" s="4499" t="s">
        <v>197</v>
      </c>
      <c r="BN267" s="4500"/>
      <c r="BO267" s="4500"/>
      <c r="BP267" s="4500"/>
      <c r="BQ267" s="408" t="str">
        <f>'New Tax Regime'!L7</f>
        <v>Rs</v>
      </c>
      <c r="BR267" s="3"/>
      <c r="BS267" s="3"/>
      <c r="BT267" s="3"/>
      <c r="BU267" s="3"/>
      <c r="BV267" s="3"/>
      <c r="BW267" s="3"/>
      <c r="BX267" s="3"/>
      <c r="BY267" s="3"/>
      <c r="BZ267" s="3"/>
      <c r="CA267" s="3"/>
    </row>
    <row r="268" spans="2:79" ht="24.95" hidden="1" customHeight="1">
      <c r="B268" s="7"/>
      <c r="C268" s="281"/>
      <c r="D268" s="281"/>
      <c r="E268" s="282"/>
      <c r="F268" s="282"/>
      <c r="G268" s="282"/>
      <c r="H268" s="282"/>
      <c r="I268" s="282"/>
      <c r="J268" s="282"/>
      <c r="K268" s="282"/>
      <c r="L268" s="282"/>
      <c r="M268" s="282"/>
      <c r="N268" s="282"/>
      <c r="O268" s="282"/>
      <c r="P268" s="282"/>
      <c r="Q268" s="282"/>
      <c r="R268" s="282"/>
      <c r="S268" s="282"/>
      <c r="T268" s="282"/>
      <c r="U268" s="282"/>
      <c r="V268" s="282"/>
      <c r="W268" s="282"/>
      <c r="X268" s="282"/>
      <c r="Y268" s="282"/>
      <c r="Z268" s="282"/>
      <c r="AA268" s="282"/>
      <c r="AB268" s="282"/>
      <c r="AC268" s="282"/>
      <c r="AD268" s="7"/>
      <c r="AE268" s="7"/>
      <c r="AF268" s="7"/>
      <c r="AG268" s="7"/>
      <c r="AH268" s="7"/>
      <c r="AI268" s="7"/>
      <c r="AJ268" s="7"/>
      <c r="AK268" s="7"/>
      <c r="AL268" s="7"/>
      <c r="AM268" s="7"/>
      <c r="AO268" s="7"/>
      <c r="AP268" s="7"/>
      <c r="AQ268" s="7"/>
      <c r="AR268" s="7"/>
      <c r="AS268" s="7"/>
      <c r="AU268" s="7"/>
      <c r="AV268" s="7"/>
      <c r="AW268" s="7"/>
      <c r="AX268" s="7"/>
      <c r="AY268" s="7"/>
      <c r="AZ268" s="7"/>
      <c r="BA268" s="7"/>
      <c r="BB268" s="7"/>
      <c r="BC268" s="7"/>
      <c r="BD268" s="7"/>
      <c r="BE268" s="3"/>
      <c r="BF268" s="3"/>
      <c r="BG268" s="3"/>
      <c r="BH268" s="3"/>
      <c r="BI268" s="3"/>
      <c r="BJ268" s="3"/>
      <c r="BK268" s="3"/>
      <c r="BL268" s="3"/>
      <c r="BM268" s="4499" t="s">
        <v>198</v>
      </c>
      <c r="BN268" s="4500"/>
      <c r="BO268" s="4500"/>
      <c r="BP268" s="4500"/>
      <c r="BQ268" s="407">
        <f>'New Tax Regime'!M77</f>
        <v>0</v>
      </c>
      <c r="BR268" s="3"/>
      <c r="BS268" s="3"/>
      <c r="BT268" s="3"/>
      <c r="BU268" s="3"/>
      <c r="BV268" s="3"/>
      <c r="BW268" s="3"/>
      <c r="BX268" s="3"/>
      <c r="BY268" s="3"/>
      <c r="BZ268" s="3"/>
      <c r="CA268" s="3"/>
    </row>
    <row r="269" spans="2:79" ht="24.95" hidden="1" customHeight="1">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O269" s="7"/>
      <c r="AP269" s="7"/>
      <c r="AQ269" s="7"/>
      <c r="AR269" s="7"/>
      <c r="AS269" s="7"/>
      <c r="AU269" s="7"/>
      <c r="AV269" s="7"/>
      <c r="AW269" s="7"/>
      <c r="AX269" s="7"/>
      <c r="AY269" s="7"/>
      <c r="AZ269" s="7"/>
      <c r="BA269" s="7"/>
      <c r="BB269" s="7"/>
      <c r="BC269" s="7"/>
      <c r="BD269" s="7"/>
      <c r="BE269" s="3"/>
      <c r="BF269" s="3"/>
      <c r="BG269" s="3"/>
      <c r="BH269" s="3"/>
      <c r="BI269" s="3"/>
      <c r="BJ269" s="3"/>
      <c r="BK269" s="3"/>
      <c r="BL269" s="3"/>
      <c r="BM269" s="4499" t="s">
        <v>576</v>
      </c>
      <c r="BN269" s="4500"/>
      <c r="BO269" s="4500"/>
      <c r="BP269" s="4500"/>
      <c r="BQ269" s="406">
        <f>'New Tax Regime'!M64</f>
        <v>0</v>
      </c>
      <c r="BR269" s="3"/>
      <c r="BS269" s="3"/>
      <c r="BT269" s="3"/>
      <c r="BU269" s="3"/>
      <c r="BV269" s="3"/>
      <c r="BW269" s="3"/>
      <c r="BX269" s="3"/>
      <c r="BY269" s="3"/>
      <c r="BZ269" s="3"/>
      <c r="CA269" s="3"/>
    </row>
    <row r="270" spans="2:79" ht="24.95" hidden="1" customHeight="1">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O270" s="7"/>
      <c r="AP270" s="7"/>
      <c r="AQ270" s="7"/>
      <c r="AR270" s="7"/>
      <c r="AS270" s="7"/>
      <c r="AU270" s="7"/>
      <c r="AV270" s="7"/>
      <c r="AW270" s="7"/>
      <c r="AX270" s="7"/>
      <c r="AY270" s="7"/>
      <c r="AZ270" s="7"/>
      <c r="BA270" s="7"/>
      <c r="BB270" s="7"/>
      <c r="BC270" s="7"/>
      <c r="BD270" s="7"/>
      <c r="BE270" s="3"/>
      <c r="BF270" s="3"/>
      <c r="BG270" s="3"/>
      <c r="BH270" s="3"/>
      <c r="BI270" s="3"/>
      <c r="BJ270" s="3"/>
      <c r="BK270" s="3"/>
      <c r="BL270" s="3"/>
      <c r="BM270" s="4499" t="s">
        <v>499</v>
      </c>
      <c r="BN270" s="4500"/>
      <c r="BO270" s="4500"/>
      <c r="BP270" s="4500"/>
      <c r="BQ270" s="408">
        <f>ABS(BQ266)</f>
        <v>0</v>
      </c>
      <c r="BR270" s="3"/>
      <c r="BS270" s="3"/>
      <c r="BT270" s="3"/>
      <c r="BU270" s="3"/>
      <c r="BV270" s="3"/>
      <c r="BW270" s="3"/>
      <c r="BX270" s="3"/>
      <c r="BY270" s="3"/>
      <c r="BZ270" s="3"/>
      <c r="CA270" s="3"/>
    </row>
    <row r="271" spans="2:79" ht="24.95" hidden="1" customHeight="1">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O271" s="7"/>
      <c r="AP271" s="7"/>
      <c r="AQ271" s="7"/>
      <c r="AR271" s="7"/>
      <c r="AS271" s="7"/>
      <c r="AU271" s="7"/>
      <c r="AV271" s="7"/>
      <c r="AW271" s="7"/>
      <c r="AX271" s="7"/>
      <c r="AY271" s="7"/>
      <c r="AZ271" s="7"/>
      <c r="BA271" s="7"/>
      <c r="BB271" s="7"/>
      <c r="BC271" s="7"/>
      <c r="BD271" s="7"/>
      <c r="BE271" s="3"/>
      <c r="BF271" s="3"/>
      <c r="BG271" s="3"/>
      <c r="BH271" s="3"/>
      <c r="BI271" s="3"/>
      <c r="BJ271" s="3"/>
      <c r="BK271" s="3"/>
      <c r="BL271" s="3"/>
      <c r="BM271" s="4499" t="s">
        <v>577</v>
      </c>
      <c r="BN271" s="4500"/>
      <c r="BO271" s="4500"/>
      <c r="BP271" s="4500"/>
      <c r="BQ271" s="409">
        <f>'New Tax Regime'!K11</f>
        <v>0</v>
      </c>
      <c r="BR271" s="3"/>
      <c r="BS271" s="3"/>
      <c r="BT271" s="3"/>
      <c r="BU271" s="3"/>
      <c r="BV271" s="3"/>
      <c r="BW271" s="3"/>
      <c r="BX271" s="3"/>
      <c r="BY271" s="3"/>
      <c r="BZ271" s="3"/>
      <c r="CA271" s="3"/>
    </row>
    <row r="272" spans="2:79" ht="24.95" hidden="1" customHeight="1">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O272" s="7"/>
      <c r="AP272" s="7"/>
      <c r="AQ272" s="7"/>
      <c r="AR272" s="7"/>
      <c r="AS272" s="7"/>
      <c r="AU272" s="7"/>
      <c r="AV272" s="7"/>
      <c r="AW272" s="7"/>
      <c r="AX272" s="7"/>
      <c r="AY272" s="7"/>
      <c r="AZ272" s="7"/>
      <c r="BA272" s="7"/>
      <c r="BB272" s="7"/>
      <c r="BC272" s="7"/>
      <c r="BD272" s="7"/>
      <c r="BE272" s="3"/>
      <c r="BF272" s="3"/>
      <c r="BG272" s="3"/>
      <c r="BH272" s="3"/>
      <c r="BI272" s="3"/>
      <c r="BJ272" s="3"/>
      <c r="BK272" s="3"/>
      <c r="BL272" s="3"/>
      <c r="BM272" s="4523" t="s">
        <v>578</v>
      </c>
      <c r="BN272" s="4524"/>
      <c r="BO272" s="4524"/>
      <c r="BP272" s="4524"/>
      <c r="BQ272" s="591" t="e">
        <f>IF('New Tax Regime'!S14&gt;0,'New Tax Regime'!S14,'New Tax Regime'!AL12)</f>
        <v>#REF!</v>
      </c>
      <c r="BR272" s="3"/>
      <c r="BS272" s="3"/>
      <c r="BT272" s="3"/>
      <c r="BU272" s="3"/>
      <c r="BV272" s="3"/>
      <c r="BW272" s="3"/>
      <c r="BX272" s="3"/>
      <c r="BY272" s="3"/>
      <c r="BZ272" s="3"/>
      <c r="CA272" s="3"/>
    </row>
    <row r="273" spans="2:79" ht="24.95" hidden="1" customHeight="1" thickBot="1">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O273" s="7"/>
      <c r="AP273" s="7"/>
      <c r="AQ273" s="7"/>
      <c r="AR273" s="7"/>
      <c r="AS273" s="7"/>
      <c r="AU273" s="7"/>
      <c r="AV273" s="7"/>
      <c r="AW273" s="7"/>
      <c r="AX273" s="7"/>
      <c r="AY273" s="7"/>
      <c r="AZ273" s="7"/>
      <c r="BA273" s="7"/>
      <c r="BB273" s="7"/>
      <c r="BC273" s="7"/>
      <c r="BD273" s="7"/>
      <c r="BE273" s="3"/>
      <c r="BF273" s="3"/>
      <c r="BG273" s="3"/>
      <c r="BH273" s="3"/>
      <c r="BI273" s="3"/>
      <c r="BJ273" s="3"/>
      <c r="BK273" s="3"/>
      <c r="BL273" s="3"/>
      <c r="BM273" s="4525" t="s">
        <v>579</v>
      </c>
      <c r="BN273" s="4526"/>
      <c r="BO273" s="4526"/>
      <c r="BP273" s="4526"/>
      <c r="BQ273" s="410" t="e">
        <f>SUM(BQ272*12)</f>
        <v>#REF!</v>
      </c>
      <c r="BR273" s="3"/>
      <c r="BS273" s="3"/>
      <c r="BT273" s="3"/>
      <c r="BU273" s="3"/>
      <c r="BV273" s="3"/>
      <c r="BW273" s="3"/>
      <c r="BX273" s="3"/>
      <c r="BY273" s="3"/>
      <c r="BZ273" s="3"/>
      <c r="CA273" s="3"/>
    </row>
    <row r="274" spans="2:79" ht="15.75" hidden="1" thickTop="1">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O274" s="7"/>
      <c r="AP274" s="7"/>
      <c r="AQ274" s="7"/>
      <c r="AR274" s="7"/>
      <c r="AS274" s="7"/>
      <c r="AU274" s="7"/>
      <c r="AV274" s="7"/>
      <c r="AW274" s="7"/>
      <c r="AX274" s="7"/>
      <c r="AY274" s="7"/>
      <c r="AZ274" s="7"/>
      <c r="BA274" s="7"/>
      <c r="BB274" s="7"/>
      <c r="BC274" s="7"/>
      <c r="BD274" s="7"/>
      <c r="BE274" s="3"/>
      <c r="BF274" s="3"/>
      <c r="BG274" s="3"/>
      <c r="BH274" s="3"/>
      <c r="BI274" s="3"/>
      <c r="BJ274" s="3"/>
      <c r="BK274" s="3"/>
      <c r="BL274" s="3"/>
      <c r="BM274" s="3"/>
      <c r="BN274" s="3"/>
      <c r="BO274" s="3"/>
      <c r="BP274" s="3"/>
      <c r="BQ274" s="3"/>
      <c r="BR274" s="3"/>
      <c r="BS274" s="3"/>
      <c r="BT274" s="3"/>
      <c r="BU274" s="3"/>
      <c r="BV274" s="3"/>
      <c r="BW274" s="3"/>
      <c r="BX274" s="3"/>
      <c r="BY274" s="3"/>
      <c r="BZ274" s="3"/>
      <c r="CA274" s="3"/>
    </row>
    <row r="275" spans="2:79" ht="15" hidden="1">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O275" s="7"/>
      <c r="AP275" s="7"/>
      <c r="AQ275" s="7"/>
      <c r="AR275" s="7"/>
      <c r="AS275" s="7"/>
      <c r="AU275" s="7"/>
      <c r="AV275" s="7"/>
      <c r="AW275" s="7"/>
      <c r="AX275" s="7"/>
      <c r="AY275" s="7"/>
      <c r="AZ275" s="7"/>
      <c r="BA275" s="7"/>
      <c r="BB275" s="7"/>
      <c r="BC275" s="7"/>
      <c r="BD275" s="7"/>
      <c r="BE275" s="3"/>
      <c r="BF275" s="3"/>
      <c r="BG275" s="3"/>
      <c r="BH275" s="3"/>
      <c r="BI275" s="3"/>
      <c r="BJ275" s="3"/>
      <c r="BK275" s="3"/>
      <c r="BL275" s="3"/>
      <c r="BM275" s="3"/>
      <c r="BN275" s="3"/>
      <c r="BO275" s="3"/>
      <c r="BP275" s="3"/>
      <c r="BQ275" s="3"/>
      <c r="BR275" s="3"/>
      <c r="BS275" s="3"/>
      <c r="BT275" s="3"/>
      <c r="BU275" s="3"/>
      <c r="BV275" s="3"/>
      <c r="BW275" s="3"/>
      <c r="BX275" s="3"/>
      <c r="BY275" s="3"/>
      <c r="BZ275" s="3"/>
      <c r="CA275" s="3"/>
    </row>
    <row r="276" spans="2:79" ht="15" hidden="1">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O276" s="7"/>
      <c r="AP276" s="7"/>
      <c r="AQ276" s="7"/>
      <c r="AR276" s="7"/>
      <c r="AS276" s="7"/>
      <c r="AU276" s="7"/>
      <c r="AV276" s="7"/>
      <c r="AW276" s="7"/>
      <c r="AX276" s="7"/>
      <c r="AY276" s="7"/>
      <c r="AZ276" s="7"/>
      <c r="BA276" s="7"/>
      <c r="BB276" s="7"/>
      <c r="BC276" s="7"/>
      <c r="BD276" s="7"/>
      <c r="BE276" s="3"/>
      <c r="BF276" s="3"/>
      <c r="BG276" s="3"/>
      <c r="BH276" s="3"/>
      <c r="BI276" s="3"/>
      <c r="BJ276" s="3"/>
      <c r="BK276" s="3"/>
      <c r="BL276" s="3"/>
      <c r="BM276" s="3"/>
      <c r="BN276" s="3"/>
      <c r="BO276" s="3"/>
      <c r="BP276" s="3"/>
      <c r="BQ276" s="3"/>
      <c r="BR276" s="3"/>
      <c r="BS276" s="3"/>
      <c r="BT276" s="3"/>
      <c r="BU276" s="3"/>
      <c r="BV276" s="3"/>
      <c r="BW276" s="3"/>
      <c r="BX276" s="3"/>
      <c r="BY276" s="3"/>
      <c r="BZ276" s="3"/>
      <c r="CA276" s="3"/>
    </row>
    <row r="277" spans="2:79" ht="15" hidden="1">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O277" s="7"/>
      <c r="AP277" s="7"/>
      <c r="AQ277" s="7"/>
      <c r="AR277" s="7"/>
      <c r="AS277" s="7"/>
      <c r="AU277" s="7"/>
      <c r="AV277" s="7"/>
      <c r="AW277" s="7"/>
      <c r="AX277" s="7"/>
      <c r="AY277" s="7"/>
      <c r="AZ277" s="7"/>
      <c r="BA277" s="7"/>
      <c r="BB277" s="7"/>
      <c r="BC277" s="7"/>
      <c r="BD277" s="7"/>
      <c r="BE277" s="3"/>
      <c r="BF277" s="3"/>
      <c r="BG277" s="3"/>
      <c r="BH277" s="3"/>
      <c r="BI277" s="3"/>
      <c r="BJ277" s="3"/>
      <c r="BK277" s="3"/>
      <c r="BL277" s="3"/>
      <c r="BM277" s="3"/>
      <c r="BN277" s="3"/>
      <c r="BO277" s="3"/>
      <c r="BP277" s="3"/>
      <c r="BQ277" s="3"/>
      <c r="BR277" s="3"/>
      <c r="BS277" s="3"/>
      <c r="BT277" s="3"/>
      <c r="BU277" s="3"/>
      <c r="BV277" s="3"/>
      <c r="BW277" s="3"/>
      <c r="BX277" s="3"/>
      <c r="BY277" s="3"/>
      <c r="BZ277" s="3"/>
      <c r="CA277" s="3"/>
    </row>
    <row r="278" spans="2:79" ht="24.95" hidden="1" customHeight="1">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O278" s="7"/>
      <c r="AP278" s="7"/>
      <c r="AQ278" s="7"/>
      <c r="AR278" s="7"/>
      <c r="AS278" s="7"/>
      <c r="AU278" s="7"/>
      <c r="AV278" s="7"/>
      <c r="AW278" s="7"/>
      <c r="AX278" s="7"/>
      <c r="AY278" s="7"/>
      <c r="AZ278" s="7"/>
      <c r="BA278" s="7"/>
      <c r="BB278" s="7"/>
      <c r="BC278" s="7"/>
      <c r="BD278" s="7"/>
      <c r="BE278" s="3"/>
      <c r="BF278" s="3"/>
      <c r="BG278" s="3"/>
      <c r="BH278" s="3"/>
      <c r="BI278" s="3"/>
      <c r="BJ278" s="3"/>
      <c r="BK278" s="3"/>
      <c r="BL278" s="3"/>
      <c r="BM278" s="4527" t="e">
        <f>IF(BQ272&lt;=5000,BN281,IF(AND(BQ272&gt;5000,BQ272&lt;=8333),BN282,IF(BQ272&gt;8333,BN283)))</f>
        <v>#REF!</v>
      </c>
      <c r="BN278" s="4527"/>
      <c r="BO278" s="4527"/>
      <c r="BP278" s="4527"/>
      <c r="BQ278" s="4527"/>
      <c r="BR278" s="4527"/>
      <c r="BS278" s="4527"/>
      <c r="BT278" s="3"/>
      <c r="BU278" s="3"/>
      <c r="BV278" s="3"/>
      <c r="BW278" s="3"/>
      <c r="BX278" s="3"/>
      <c r="BY278" s="3"/>
      <c r="BZ278" s="3"/>
      <c r="CA278" s="3"/>
    </row>
    <row r="279" spans="2:79" ht="15" hidden="1">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O279" s="7"/>
      <c r="AP279" s="7"/>
      <c r="AQ279" s="7"/>
      <c r="AR279" s="7"/>
      <c r="AS279" s="7"/>
      <c r="AU279" s="7"/>
      <c r="AV279" s="7"/>
      <c r="AW279" s="7"/>
      <c r="AX279" s="7"/>
      <c r="AY279" s="7"/>
      <c r="AZ279" s="7"/>
      <c r="BA279" s="7"/>
      <c r="BB279" s="7"/>
      <c r="BC279" s="7"/>
      <c r="BD279" s="7"/>
      <c r="BE279" s="3"/>
      <c r="BF279" s="3"/>
      <c r="BG279" s="3"/>
      <c r="BH279" s="3"/>
      <c r="BI279" s="3"/>
      <c r="BJ279" s="3"/>
      <c r="BK279" s="3"/>
      <c r="BL279" s="3"/>
      <c r="BM279" s="3"/>
      <c r="BN279" s="3"/>
      <c r="BO279" s="3"/>
      <c r="BP279" s="3"/>
      <c r="BQ279" s="3"/>
      <c r="BR279" s="3"/>
      <c r="BS279" s="3"/>
      <c r="BT279" s="3"/>
      <c r="BU279" s="3"/>
      <c r="BV279" s="3"/>
      <c r="BW279" s="3"/>
      <c r="BX279" s="3"/>
      <c r="BY279" s="3"/>
      <c r="BZ279" s="3"/>
      <c r="CA279" s="3"/>
    </row>
    <row r="280" spans="2:79" ht="24.95" hidden="1" customHeight="1" thickBot="1">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O280" s="7"/>
      <c r="AP280" s="7"/>
      <c r="AQ280" s="7"/>
      <c r="AR280" s="7"/>
      <c r="AS280" s="7"/>
      <c r="AU280" s="7"/>
      <c r="AV280" s="7"/>
      <c r="AW280" s="7"/>
      <c r="AX280" s="7"/>
      <c r="AY280" s="7"/>
      <c r="AZ280" s="7"/>
      <c r="BA280" s="7"/>
      <c r="BB280" s="7"/>
      <c r="BC280" s="7"/>
      <c r="BD280" s="7"/>
      <c r="BE280" s="3"/>
      <c r="BF280" s="3"/>
      <c r="BG280" s="3"/>
      <c r="BH280" s="3"/>
      <c r="BI280" s="3"/>
      <c r="BJ280" s="3"/>
      <c r="BK280" s="3"/>
      <c r="BL280" s="3"/>
      <c r="BM280" s="3"/>
      <c r="BN280" s="4528"/>
      <c r="BO280" s="4528"/>
      <c r="BP280" s="4528"/>
      <c r="BQ280" s="4528"/>
      <c r="BR280" s="4528"/>
      <c r="BS280" s="3"/>
      <c r="BT280" s="3"/>
      <c r="BU280" s="3"/>
      <c r="BV280" s="3"/>
      <c r="BW280" s="3"/>
      <c r="BX280" s="3"/>
      <c r="BY280" s="3"/>
      <c r="BZ280" s="3"/>
      <c r="CA280" s="3"/>
    </row>
    <row r="281" spans="2:79" ht="24.95" hidden="1" customHeight="1" thickTop="1">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O281" s="7"/>
      <c r="AP281" s="7"/>
      <c r="AQ281" s="7"/>
      <c r="AR281" s="7"/>
      <c r="AS281" s="7"/>
      <c r="AU281" s="7"/>
      <c r="AV281" s="7"/>
      <c r="AW281" s="7"/>
      <c r="AX281" s="7"/>
      <c r="AY281" s="7"/>
      <c r="AZ281" s="7"/>
      <c r="BA281" s="7"/>
      <c r="BB281" s="7"/>
      <c r="BC281" s="7"/>
      <c r="BD281" s="7"/>
      <c r="BE281" s="3"/>
      <c r="BF281" s="3"/>
      <c r="BG281" s="3"/>
      <c r="BH281" s="3"/>
      <c r="BI281" s="3"/>
      <c r="BJ281" s="3"/>
      <c r="BK281" s="3"/>
      <c r="BL281" s="3"/>
      <c r="BM281" s="411">
        <v>1</v>
      </c>
      <c r="BN281" s="4529" t="s">
        <v>580</v>
      </c>
      <c r="BO281" s="4529"/>
      <c r="BP281" s="4529"/>
      <c r="BQ281" s="4529"/>
      <c r="BR281" s="4529"/>
      <c r="BS281" s="4530"/>
      <c r="BT281" s="3"/>
      <c r="BU281" s="3"/>
      <c r="BV281" s="3"/>
      <c r="BW281" s="3"/>
      <c r="BX281" s="3"/>
      <c r="BY281" s="3"/>
      <c r="BZ281" s="3"/>
      <c r="CA281" s="3"/>
    </row>
    <row r="282" spans="2:79" ht="24.95" hidden="1" customHeight="1">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O282" s="7"/>
      <c r="AP282" s="7"/>
      <c r="AQ282" s="7"/>
      <c r="AR282" s="7"/>
      <c r="AS282" s="7"/>
      <c r="AU282" s="7"/>
      <c r="AV282" s="7"/>
      <c r="AW282" s="7"/>
      <c r="AX282" s="7"/>
      <c r="AY282" s="7"/>
      <c r="AZ282" s="7"/>
      <c r="BA282" s="7"/>
      <c r="BB282" s="7"/>
      <c r="BC282" s="7"/>
      <c r="BD282" s="7"/>
      <c r="BE282" s="3"/>
      <c r="BF282" s="3"/>
      <c r="BG282" s="3"/>
      <c r="BH282" s="3"/>
      <c r="BI282" s="3"/>
      <c r="BJ282" s="3"/>
      <c r="BK282" s="3"/>
      <c r="BL282" s="3"/>
      <c r="BM282" s="412">
        <v>2</v>
      </c>
      <c r="BN282" s="4531" t="s">
        <v>581</v>
      </c>
      <c r="BO282" s="4531"/>
      <c r="BP282" s="4531"/>
      <c r="BQ282" s="4531"/>
      <c r="BR282" s="4531"/>
      <c r="BS282" s="4532"/>
      <c r="BT282" s="3"/>
      <c r="BU282" s="3"/>
      <c r="BV282" s="3"/>
      <c r="BW282" s="3"/>
      <c r="BX282" s="3"/>
      <c r="BY282" s="3"/>
      <c r="BZ282" s="3"/>
      <c r="CA282" s="3"/>
    </row>
    <row r="283" spans="2:79" ht="24.95" hidden="1" customHeight="1" thickBot="1">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O283" s="7"/>
      <c r="AP283" s="7"/>
      <c r="AQ283" s="7"/>
      <c r="AR283" s="7"/>
      <c r="AS283" s="7"/>
      <c r="AU283" s="7"/>
      <c r="AV283" s="7"/>
      <c r="AW283" s="7"/>
      <c r="AX283" s="7"/>
      <c r="AY283" s="7"/>
      <c r="AZ283" s="7"/>
      <c r="BA283" s="7"/>
      <c r="BB283" s="7"/>
      <c r="BC283" s="7"/>
      <c r="BD283" s="7"/>
      <c r="BE283" s="3"/>
      <c r="BF283" s="3"/>
      <c r="BG283" s="3"/>
      <c r="BH283" s="3"/>
      <c r="BI283" s="3"/>
      <c r="BJ283" s="3"/>
      <c r="BK283" s="3"/>
      <c r="BL283" s="3"/>
      <c r="BM283" s="413">
        <v>3</v>
      </c>
      <c r="BN283" s="4518" t="s">
        <v>582</v>
      </c>
      <c r="BO283" s="4518"/>
      <c r="BP283" s="4518"/>
      <c r="BQ283" s="4518"/>
      <c r="BR283" s="4518"/>
      <c r="BS283" s="4519"/>
      <c r="BT283" s="3"/>
      <c r="BU283" s="3"/>
      <c r="BV283" s="3"/>
      <c r="BW283" s="3"/>
      <c r="BX283" s="3"/>
      <c r="BY283" s="3"/>
      <c r="BZ283" s="3"/>
      <c r="CA283" s="3"/>
    </row>
    <row r="284" spans="2:79" ht="24.95" hidden="1" customHeight="1" thickTop="1">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O284" s="7"/>
      <c r="AP284" s="7"/>
      <c r="AQ284" s="7"/>
      <c r="AR284" s="7"/>
      <c r="AS284" s="7"/>
      <c r="AU284" s="7"/>
      <c r="AV284" s="7"/>
      <c r="AW284" s="7"/>
      <c r="AX284" s="7"/>
      <c r="AY284" s="7"/>
      <c r="AZ284" s="7"/>
      <c r="BA284" s="7"/>
      <c r="BB284" s="7"/>
      <c r="BC284" s="7"/>
      <c r="BD284" s="7"/>
      <c r="BE284" s="3"/>
      <c r="BF284" s="3"/>
      <c r="BG284" s="3"/>
      <c r="BH284" s="3"/>
      <c r="BI284" s="3"/>
      <c r="BJ284" s="3"/>
      <c r="BK284" s="3"/>
      <c r="BL284" s="3"/>
      <c r="BM284" s="3"/>
      <c r="BN284" s="3"/>
      <c r="BO284" s="3"/>
      <c r="BP284" s="3"/>
      <c r="BQ284" s="3"/>
      <c r="BR284" s="3"/>
      <c r="BS284" s="3"/>
      <c r="BT284" s="3"/>
      <c r="BU284" s="3"/>
      <c r="BV284" s="3"/>
      <c r="BW284" s="3"/>
      <c r="BX284" s="3"/>
      <c r="BY284" s="3"/>
      <c r="BZ284" s="3"/>
      <c r="CA284" s="3"/>
    </row>
    <row r="285" spans="2:79" ht="24.95" hidden="1" customHeight="1">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O285" s="7"/>
      <c r="AP285" s="7"/>
      <c r="AQ285" s="7"/>
      <c r="AR285" s="7"/>
      <c r="AS285" s="7"/>
      <c r="AU285" s="7"/>
      <c r="AV285" s="7"/>
      <c r="AW285" s="7"/>
      <c r="AX285" s="7"/>
      <c r="AY285" s="7"/>
      <c r="AZ285" s="7"/>
      <c r="BA285" s="7"/>
      <c r="BB285" s="7"/>
      <c r="BC285" s="7"/>
      <c r="BD285" s="7"/>
      <c r="BE285" s="3"/>
      <c r="BF285" s="3"/>
      <c r="BG285" s="3"/>
      <c r="BH285" s="3"/>
      <c r="BI285" s="3"/>
      <c r="BJ285" s="3"/>
      <c r="BK285" s="3"/>
      <c r="BL285" s="3"/>
      <c r="BM285" s="3"/>
      <c r="BN285" s="3"/>
      <c r="BO285" s="3"/>
      <c r="BP285" s="3"/>
      <c r="BQ285" s="3"/>
      <c r="BR285" s="3"/>
      <c r="BS285" s="3"/>
      <c r="BT285" s="3"/>
      <c r="BU285" s="3"/>
      <c r="BV285" s="3"/>
      <c r="BW285" s="3"/>
      <c r="BX285" s="3"/>
      <c r="BY285" s="3"/>
      <c r="BZ285" s="3"/>
      <c r="CA285" s="3"/>
    </row>
    <row r="286" spans="2:79" ht="24.95" hidden="1" customHeight="1">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O286" s="7"/>
      <c r="AP286" s="7"/>
      <c r="AQ286" s="7"/>
      <c r="AR286" s="7"/>
      <c r="AS286" s="7"/>
      <c r="AU286" s="7"/>
      <c r="AV286" s="7"/>
      <c r="AW286" s="7"/>
      <c r="AX286" s="7"/>
      <c r="AY286" s="7"/>
      <c r="AZ286" s="7"/>
      <c r="BA286" s="7"/>
      <c r="BB286" s="7"/>
      <c r="BC286" s="7"/>
      <c r="BD286" s="7"/>
      <c r="BE286" s="3"/>
      <c r="BF286" s="3"/>
      <c r="BG286" s="3"/>
      <c r="BH286" s="3"/>
      <c r="BI286" s="3"/>
      <c r="BJ286" s="3"/>
      <c r="BK286" s="3"/>
      <c r="BL286" s="3"/>
      <c r="BM286" s="3"/>
      <c r="BN286" s="3"/>
      <c r="BO286" s="3"/>
      <c r="BP286" s="3"/>
      <c r="BQ286" s="3"/>
      <c r="BR286" s="3"/>
      <c r="BS286" s="3"/>
      <c r="BT286" s="3"/>
      <c r="BU286" s="3"/>
      <c r="BV286" s="3"/>
      <c r="BW286" s="3"/>
      <c r="BX286" s="3"/>
      <c r="BY286" s="3"/>
      <c r="BZ286" s="3"/>
      <c r="CA286" s="3"/>
    </row>
    <row r="287" spans="2:79" ht="15" hidden="1">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O287" s="7"/>
      <c r="AP287" s="7"/>
      <c r="AQ287" s="7"/>
      <c r="AR287" s="7"/>
      <c r="AS287" s="7"/>
      <c r="AU287" s="7"/>
      <c r="AV287" s="7"/>
      <c r="AW287" s="7"/>
      <c r="AX287" s="7"/>
      <c r="AY287" s="7"/>
      <c r="AZ287" s="7"/>
      <c r="BA287" s="7"/>
      <c r="BB287" s="7"/>
      <c r="BC287" s="7"/>
      <c r="BD287" s="7"/>
      <c r="BE287" s="3"/>
      <c r="BF287" s="3"/>
      <c r="BG287" s="3"/>
      <c r="BH287" s="3"/>
      <c r="BI287" s="3"/>
      <c r="BJ287" s="3"/>
      <c r="BK287" s="3"/>
      <c r="BL287" s="3"/>
      <c r="BM287" s="3"/>
      <c r="BN287" s="3"/>
      <c r="BO287" s="3"/>
      <c r="BP287" s="3"/>
      <c r="BQ287" s="3"/>
      <c r="BR287" s="3"/>
      <c r="BS287" s="3"/>
      <c r="BT287" s="3"/>
      <c r="BU287" s="3"/>
      <c r="BV287" s="3"/>
      <c r="BW287" s="3"/>
      <c r="BX287" s="3"/>
      <c r="BY287" s="3"/>
      <c r="BZ287" s="3"/>
      <c r="CA287" s="3"/>
    </row>
    <row r="288" spans="2:79" ht="15" hidden="1">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O288" s="7"/>
      <c r="AP288" s="7"/>
      <c r="AQ288" s="7"/>
      <c r="AR288" s="7"/>
      <c r="AS288" s="7"/>
      <c r="AU288" s="7"/>
      <c r="AV288" s="7"/>
      <c r="AW288" s="7"/>
      <c r="AX288" s="7"/>
      <c r="AY288" s="7"/>
      <c r="AZ288" s="7"/>
      <c r="BA288" s="7"/>
      <c r="BB288" s="7"/>
      <c r="BC288" s="7"/>
      <c r="BD288" s="7"/>
      <c r="BE288" s="3"/>
      <c r="BF288" s="3"/>
      <c r="BG288" s="3"/>
      <c r="BH288" s="3"/>
      <c r="BI288" s="3"/>
      <c r="BJ288" s="3"/>
      <c r="BK288" s="3"/>
      <c r="BL288" s="3"/>
      <c r="BM288" s="3"/>
      <c r="BN288" s="3"/>
      <c r="BO288" s="3"/>
      <c r="BP288" s="3"/>
      <c r="BQ288" s="3"/>
      <c r="BR288" s="3"/>
      <c r="BS288" s="3"/>
      <c r="BT288" s="3"/>
      <c r="BU288" s="3"/>
      <c r="BV288" s="3"/>
      <c r="BW288" s="3"/>
      <c r="BX288" s="3"/>
      <c r="BY288" s="3"/>
      <c r="BZ288" s="3"/>
      <c r="CA288" s="3"/>
    </row>
    <row r="289" spans="3:79" ht="15" hidden="1">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O289" s="7"/>
      <c r="AP289" s="7"/>
      <c r="AQ289" s="7"/>
      <c r="AR289" s="7"/>
      <c r="AS289" s="7"/>
      <c r="AU289" s="7"/>
      <c r="AV289" s="7"/>
      <c r="AW289" s="7"/>
      <c r="AX289" s="7"/>
      <c r="AY289" s="7"/>
      <c r="AZ289" s="7"/>
      <c r="BA289" s="7"/>
      <c r="BB289" s="7"/>
      <c r="BC289" s="7"/>
      <c r="BD289" s="7"/>
      <c r="BE289" s="3"/>
      <c r="BF289" s="3"/>
      <c r="BG289" s="3"/>
      <c r="BH289" s="3"/>
      <c r="BI289" s="3"/>
      <c r="BJ289" s="3"/>
      <c r="BK289" s="3"/>
      <c r="BL289" s="3"/>
      <c r="BM289" s="3"/>
      <c r="BN289" s="3"/>
      <c r="BO289" s="3"/>
      <c r="BP289" s="3"/>
      <c r="BQ289" s="3"/>
      <c r="BR289" s="3"/>
      <c r="BS289" s="3"/>
      <c r="BT289" s="3"/>
      <c r="BU289" s="3"/>
      <c r="BV289" s="3"/>
      <c r="BW289" s="3"/>
      <c r="BX289" s="3"/>
      <c r="BY289" s="3"/>
      <c r="BZ289" s="3"/>
      <c r="CA289" s="3"/>
    </row>
    <row r="290" spans="3:79" ht="15" hidden="1">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O290" s="7"/>
      <c r="AP290" s="7"/>
      <c r="AQ290" s="7"/>
      <c r="AR290" s="7"/>
      <c r="AS290" s="7"/>
      <c r="AU290" s="7"/>
      <c r="AV290" s="7"/>
      <c r="AW290" s="7"/>
      <c r="AX290" s="7"/>
      <c r="AY290" s="7"/>
      <c r="AZ290" s="7"/>
      <c r="BA290" s="7"/>
      <c r="BB290" s="7"/>
      <c r="BC290" s="7"/>
      <c r="BD290" s="7"/>
      <c r="BE290" s="3"/>
      <c r="BF290" s="3"/>
      <c r="BG290" s="3"/>
      <c r="BH290" s="3"/>
      <c r="BI290" s="3"/>
      <c r="BJ290" s="3"/>
      <c r="BK290" s="3"/>
      <c r="BL290" s="3"/>
      <c r="BM290" s="3"/>
      <c r="BN290" s="3"/>
      <c r="BO290" s="3"/>
      <c r="BP290" s="3"/>
      <c r="BQ290" s="3"/>
      <c r="BR290" s="3"/>
      <c r="BS290" s="3"/>
      <c r="BT290" s="3"/>
      <c r="BU290" s="3"/>
      <c r="BV290" s="3"/>
      <c r="BW290" s="3"/>
      <c r="BX290" s="3"/>
      <c r="BY290" s="3"/>
      <c r="BZ290" s="3"/>
      <c r="CA290" s="3"/>
    </row>
    <row r="291" spans="3:79" ht="15" hidden="1">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O291" s="7"/>
      <c r="AP291" s="7"/>
      <c r="AQ291" s="7"/>
      <c r="AR291" s="7"/>
      <c r="AS291" s="7"/>
      <c r="AU291" s="7"/>
      <c r="AV291" s="7"/>
      <c r="AW291" s="7"/>
      <c r="AX291" s="7"/>
      <c r="AY291" s="7"/>
      <c r="AZ291" s="7"/>
      <c r="BA291" s="7"/>
      <c r="BB291" s="7"/>
      <c r="BC291" s="7"/>
      <c r="BD291" s="7"/>
      <c r="BE291" s="3"/>
      <c r="BF291" s="3"/>
      <c r="BG291" s="3"/>
      <c r="BH291" s="3"/>
      <c r="BI291" s="3"/>
      <c r="BJ291" s="3"/>
      <c r="BK291" s="3"/>
      <c r="BL291" s="3"/>
      <c r="BM291" s="3"/>
      <c r="BN291" s="3"/>
      <c r="BO291" s="3"/>
      <c r="BP291" s="3"/>
      <c r="BQ291" s="3"/>
      <c r="BR291" s="3"/>
      <c r="BS291" s="3"/>
      <c r="BT291" s="3"/>
      <c r="BU291" s="3"/>
      <c r="BV291" s="3"/>
      <c r="BW291" s="3"/>
      <c r="BX291" s="3"/>
      <c r="BY291" s="3"/>
      <c r="BZ291" s="3"/>
      <c r="CA291" s="3"/>
    </row>
    <row r="292" spans="3:79" ht="15" hidden="1">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O292" s="7"/>
      <c r="AP292" s="7"/>
      <c r="AQ292" s="7"/>
      <c r="AR292" s="7"/>
      <c r="AS292" s="7"/>
      <c r="AU292" s="7"/>
      <c r="AV292" s="7"/>
      <c r="AW292" s="7"/>
      <c r="AX292" s="7"/>
      <c r="AY292" s="7"/>
      <c r="AZ292" s="7"/>
      <c r="BA292" s="7"/>
      <c r="BB292" s="7"/>
      <c r="BC292" s="7"/>
      <c r="BD292" s="7"/>
      <c r="BE292" s="3"/>
      <c r="BF292" s="3"/>
      <c r="BG292" s="3"/>
      <c r="BH292" s="3"/>
      <c r="BI292" s="3"/>
      <c r="BJ292" s="3"/>
      <c r="BK292" s="3"/>
      <c r="BL292" s="3"/>
      <c r="BM292" s="3"/>
      <c r="BN292" s="3"/>
      <c r="BO292" s="3"/>
      <c r="BP292" s="3"/>
      <c r="BQ292" s="3"/>
      <c r="BR292" s="3"/>
      <c r="BS292" s="3"/>
      <c r="BT292" s="3"/>
      <c r="BU292" s="3"/>
      <c r="BV292" s="3"/>
      <c r="BW292" s="3"/>
      <c r="BX292" s="3"/>
      <c r="BY292" s="3"/>
      <c r="BZ292" s="3"/>
      <c r="CA292" s="3"/>
    </row>
    <row r="293" spans="3:79" ht="15" hidden="1">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O293" s="7"/>
      <c r="AP293" s="7"/>
      <c r="AQ293" s="7"/>
      <c r="AR293" s="7"/>
      <c r="AS293" s="7"/>
      <c r="AU293" s="7"/>
      <c r="AV293" s="7"/>
      <c r="AW293" s="7"/>
      <c r="AX293" s="7"/>
      <c r="AY293" s="7"/>
      <c r="AZ293" s="7"/>
      <c r="BA293" s="7"/>
      <c r="BB293" s="7"/>
      <c r="BC293" s="7"/>
      <c r="BD293" s="7"/>
      <c r="BE293" s="3"/>
      <c r="BF293" s="3"/>
      <c r="BG293" s="3"/>
      <c r="BH293" s="3"/>
      <c r="BI293" s="3"/>
      <c r="BJ293" s="3"/>
      <c r="BK293" s="3"/>
      <c r="BL293" s="3"/>
      <c r="BM293" s="3"/>
      <c r="BN293" s="3"/>
      <c r="BO293" s="3"/>
      <c r="BP293" s="3"/>
      <c r="BQ293" s="3"/>
      <c r="BR293" s="3"/>
      <c r="BS293" s="3"/>
      <c r="BT293" s="3"/>
      <c r="BU293" s="3"/>
      <c r="BV293" s="3"/>
      <c r="BW293" s="3"/>
      <c r="BX293" s="3"/>
      <c r="BY293" s="3"/>
      <c r="BZ293" s="3"/>
      <c r="CA293" s="3"/>
    </row>
    <row r="294" spans="3:79" ht="15" hidden="1">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O294" s="7"/>
      <c r="AP294" s="7"/>
      <c r="AQ294" s="7"/>
      <c r="AR294" s="7"/>
      <c r="AS294" s="7"/>
      <c r="AU294" s="7"/>
      <c r="AV294" s="7"/>
      <c r="AW294" s="7"/>
      <c r="AX294" s="7"/>
      <c r="AY294" s="7"/>
      <c r="AZ294" s="7"/>
      <c r="BA294" s="7"/>
      <c r="BB294" s="7"/>
      <c r="BC294" s="7"/>
      <c r="BD294" s="7"/>
      <c r="BE294" s="3"/>
      <c r="BF294" s="3"/>
      <c r="BG294" s="3"/>
      <c r="BH294" s="3"/>
      <c r="BI294" s="3"/>
      <c r="BJ294" s="3"/>
      <c r="BK294" s="3"/>
      <c r="BL294" s="3"/>
      <c r="BM294" s="3"/>
      <c r="BN294" s="3"/>
      <c r="BO294" s="3"/>
      <c r="BP294" s="3"/>
      <c r="BQ294" s="3"/>
      <c r="BR294" s="3"/>
      <c r="BS294" s="3"/>
      <c r="BT294" s="3"/>
      <c r="BU294" s="3"/>
      <c r="BV294" s="3"/>
      <c r="BW294" s="3"/>
      <c r="BX294" s="3"/>
      <c r="BY294" s="3"/>
      <c r="BZ294" s="3"/>
      <c r="CA294" s="3"/>
    </row>
    <row r="295" spans="3:79" ht="15" hidden="1">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O295" s="7"/>
      <c r="AP295" s="7"/>
      <c r="AQ295" s="7"/>
      <c r="AR295" s="7"/>
      <c r="AS295" s="7"/>
      <c r="AU295" s="7"/>
      <c r="AV295" s="7"/>
      <c r="AW295" s="7"/>
      <c r="AX295" s="7"/>
      <c r="AY295" s="7"/>
      <c r="AZ295" s="7"/>
      <c r="BA295" s="7"/>
      <c r="BB295" s="7"/>
      <c r="BC295" s="7"/>
      <c r="BD295" s="7"/>
      <c r="BE295" s="3"/>
      <c r="BF295" s="3"/>
      <c r="BG295" s="3"/>
      <c r="BH295" s="3"/>
      <c r="BI295" s="3"/>
      <c r="BJ295" s="3"/>
      <c r="BK295" s="3"/>
      <c r="BL295" s="3"/>
      <c r="BM295" s="3"/>
      <c r="BN295" s="3"/>
      <c r="BO295" s="3"/>
      <c r="BP295" s="3"/>
      <c r="BQ295" s="3"/>
      <c r="BR295" s="3"/>
      <c r="BS295" s="3"/>
      <c r="BT295" s="3"/>
      <c r="BU295" s="3"/>
      <c r="BV295" s="3"/>
      <c r="BW295" s="3"/>
      <c r="BX295" s="3"/>
      <c r="BY295" s="3"/>
      <c r="BZ295" s="3"/>
      <c r="CA295" s="3"/>
    </row>
    <row r="296" spans="3:79" ht="15" hidden="1">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O296" s="7"/>
      <c r="AP296" s="7"/>
      <c r="AQ296" s="7"/>
      <c r="AR296" s="7"/>
      <c r="AS296" s="7"/>
      <c r="AU296" s="7"/>
      <c r="AV296" s="7"/>
      <c r="AW296" s="7"/>
      <c r="AX296" s="7"/>
      <c r="AY296" s="7"/>
      <c r="AZ296" s="7"/>
      <c r="BA296" s="7"/>
      <c r="BB296" s="7"/>
      <c r="BC296" s="7"/>
      <c r="BD296" s="7"/>
      <c r="BE296" s="3"/>
      <c r="BF296" s="3"/>
      <c r="BG296" s="3"/>
      <c r="BH296" s="3"/>
      <c r="BI296" s="3"/>
      <c r="BJ296" s="3"/>
      <c r="BK296" s="3"/>
      <c r="BL296" s="3"/>
      <c r="BM296" s="3"/>
      <c r="BN296" s="3"/>
      <c r="BO296" s="3"/>
      <c r="BP296" s="3"/>
      <c r="BQ296" s="3"/>
      <c r="BR296" s="3"/>
      <c r="BS296" s="3"/>
      <c r="BT296" s="3"/>
      <c r="BU296" s="3"/>
      <c r="BV296" s="3"/>
      <c r="BW296" s="3"/>
      <c r="BX296" s="3"/>
      <c r="BY296" s="3"/>
      <c r="BZ296" s="3"/>
      <c r="CA296" s="3"/>
    </row>
    <row r="297" spans="3:79" ht="15" hidden="1">
      <c r="BE297" s="3"/>
      <c r="BF297" s="3"/>
      <c r="BG297" s="3"/>
      <c r="BH297" s="3"/>
      <c r="BI297" s="3"/>
      <c r="BJ297" s="3"/>
      <c r="BK297" s="3"/>
      <c r="BL297" s="3"/>
      <c r="BM297" s="3"/>
      <c r="BN297" s="3"/>
      <c r="BO297" s="3"/>
      <c r="BP297" s="3"/>
      <c r="BQ297" s="3"/>
      <c r="BR297" s="3"/>
    </row>
    <row r="298" spans="3:79" ht="15" hidden="1">
      <c r="BE298" s="3"/>
      <c r="BF298" s="634"/>
      <c r="BG298" s="634"/>
      <c r="BH298" s="634"/>
      <c r="BI298" s="634"/>
      <c r="BJ298" s="634"/>
      <c r="BK298" s="634"/>
      <c r="BL298" s="634"/>
      <c r="BM298" s="634"/>
      <c r="BN298" s="634"/>
      <c r="BO298" s="634"/>
      <c r="BP298" s="634"/>
      <c r="BQ298" s="3"/>
      <c r="BR298" s="3"/>
    </row>
    <row r="299" spans="3:79" ht="15" hidden="1">
      <c r="BE299" s="3"/>
      <c r="BF299" s="634"/>
      <c r="BG299" s="634"/>
      <c r="BH299" s="634"/>
      <c r="BI299" s="634"/>
      <c r="BJ299" s="634"/>
      <c r="BK299" s="634"/>
      <c r="BL299" s="634"/>
      <c r="BM299" s="634"/>
      <c r="BN299" s="634"/>
      <c r="BO299" s="634"/>
      <c r="BP299" s="634"/>
      <c r="BQ299" s="3"/>
      <c r="BR299" s="3"/>
    </row>
    <row r="300" spans="3:79" ht="15" hidden="1">
      <c r="BE300" s="3"/>
      <c r="BF300" s="634"/>
      <c r="BG300" s="634"/>
      <c r="BH300" s="634"/>
      <c r="BI300" s="634"/>
      <c r="BJ300" s="634"/>
      <c r="BK300" s="634"/>
      <c r="BL300" s="634"/>
      <c r="BM300" s="634"/>
      <c r="BN300" s="634"/>
      <c r="BO300" s="634"/>
      <c r="BP300" s="634"/>
      <c r="BQ300" s="3"/>
      <c r="BR300" s="3"/>
    </row>
    <row r="301" spans="3:79" ht="15" hidden="1">
      <c r="BE301" s="3"/>
      <c r="BF301" s="634"/>
      <c r="BG301" s="634"/>
      <c r="BH301" s="634"/>
      <c r="BI301" s="634"/>
      <c r="BJ301" s="634"/>
      <c r="BK301" s="634"/>
      <c r="BL301" s="634"/>
      <c r="BM301" s="634"/>
      <c r="BN301" s="634"/>
      <c r="BO301" s="634"/>
      <c r="BP301" s="634"/>
      <c r="BQ301" s="3"/>
      <c r="BR301" s="3"/>
    </row>
    <row r="302" spans="3:79" ht="15" hidden="1">
      <c r="BE302" s="3"/>
      <c r="BF302" s="634"/>
      <c r="BG302" s="634"/>
      <c r="BH302" s="634"/>
      <c r="BI302" s="634"/>
      <c r="BJ302" s="634"/>
      <c r="BK302" s="634"/>
      <c r="BL302" s="634"/>
      <c r="BM302" s="634"/>
      <c r="BN302" s="634"/>
      <c r="BO302" s="634"/>
      <c r="BP302" s="634"/>
      <c r="BQ302" s="3"/>
      <c r="BR302" s="3"/>
    </row>
    <row r="303" spans="3:79" ht="15" hidden="1">
      <c r="BE303" s="3"/>
      <c r="BF303" s="634"/>
      <c r="BG303" s="634"/>
      <c r="BH303" s="634"/>
      <c r="BI303" s="634"/>
      <c r="BJ303" s="634"/>
      <c r="BK303" s="634"/>
      <c r="BL303" s="634"/>
      <c r="BM303" s="634"/>
      <c r="BN303" s="634"/>
      <c r="BO303" s="634"/>
      <c r="BP303" s="634"/>
      <c r="BQ303" s="3"/>
      <c r="BR303" s="3"/>
    </row>
    <row r="304" spans="3:79" ht="15" hidden="1">
      <c r="BE304" s="3"/>
      <c r="BF304" s="634"/>
      <c r="BG304" s="634"/>
      <c r="BH304" s="634"/>
      <c r="BI304" s="634"/>
      <c r="BJ304" s="634"/>
      <c r="BK304" s="634"/>
      <c r="BL304" s="634"/>
      <c r="BM304" s="634"/>
      <c r="BN304" s="634"/>
      <c r="BO304" s="634"/>
      <c r="BP304" s="634"/>
      <c r="BQ304" s="3"/>
      <c r="BR304" s="3"/>
    </row>
    <row r="305" spans="57:70" ht="15" hidden="1">
      <c r="BE305" s="3"/>
      <c r="BF305" s="634"/>
      <c r="BG305" s="634"/>
      <c r="BH305" s="634"/>
      <c r="BI305" s="634"/>
      <c r="BJ305" s="634"/>
      <c r="BK305" s="634"/>
      <c r="BL305" s="634"/>
      <c r="BM305" s="634"/>
      <c r="BN305" s="634"/>
      <c r="BO305" s="634"/>
      <c r="BP305" s="634"/>
      <c r="BQ305" s="3"/>
      <c r="BR305" s="3"/>
    </row>
    <row r="306" spans="57:70" ht="24.95" hidden="1" customHeight="1">
      <c r="BE306" s="3"/>
      <c r="BF306" s="4513" t="s">
        <v>197</v>
      </c>
      <c r="BG306" s="4514"/>
      <c r="BH306" s="4514"/>
      <c r="BI306" s="4514"/>
      <c r="BJ306" s="4514"/>
      <c r="BK306" s="4514"/>
      <c r="BL306" s="4514"/>
      <c r="BM306" s="4514"/>
      <c r="BN306" s="4515"/>
      <c r="BO306" s="4520" t="str">
        <f>'New Tax Regime'!L7</f>
        <v>Rs</v>
      </c>
      <c r="BP306" s="4520"/>
      <c r="BQ306" s="3"/>
      <c r="BR306" s="3"/>
    </row>
    <row r="307" spans="57:70" ht="24.95" hidden="1" customHeight="1">
      <c r="BE307" s="3"/>
      <c r="BF307" s="4513" t="s">
        <v>789</v>
      </c>
      <c r="BG307" s="4514"/>
      <c r="BH307" s="4514"/>
      <c r="BI307" s="4514"/>
      <c r="BJ307" s="4514"/>
      <c r="BK307" s="4514"/>
      <c r="BL307" s="4514"/>
      <c r="BM307" s="4514"/>
      <c r="BN307" s="4515"/>
      <c r="BO307" s="4520">
        <v>50000</v>
      </c>
      <c r="BP307" s="4520"/>
      <c r="BQ307" s="3"/>
      <c r="BR307" s="3"/>
    </row>
    <row r="308" spans="57:70" ht="24.95" hidden="1" customHeight="1">
      <c r="BE308" s="3"/>
      <c r="BF308" s="4516" t="s">
        <v>673</v>
      </c>
      <c r="BG308" s="4521"/>
      <c r="BH308" s="4521"/>
      <c r="BI308" s="4521"/>
      <c r="BJ308" s="4521"/>
      <c r="BK308" s="4521"/>
      <c r="BL308" s="4521"/>
      <c r="BM308" s="4521"/>
      <c r="BN308" s="4517"/>
      <c r="BO308" s="4522">
        <f>'New Tax Regime'!K11</f>
        <v>0</v>
      </c>
      <c r="BP308" s="4520"/>
      <c r="BQ308" s="3"/>
      <c r="BR308" s="3"/>
    </row>
    <row r="309" spans="57:70" ht="24.95" hidden="1" customHeight="1">
      <c r="BE309" s="3"/>
      <c r="BF309" s="4513" t="s">
        <v>790</v>
      </c>
      <c r="BG309" s="4514"/>
      <c r="BH309" s="4514"/>
      <c r="BI309" s="4514"/>
      <c r="BJ309" s="4514"/>
      <c r="BK309" s="4514"/>
      <c r="BL309" s="4514"/>
      <c r="BM309" s="4514"/>
      <c r="BN309" s="4515"/>
      <c r="BO309" s="4520" t="e">
        <f>#REF!</f>
        <v>#REF!</v>
      </c>
      <c r="BP309" s="4520"/>
      <c r="BQ309" s="3"/>
      <c r="BR309" s="3"/>
    </row>
    <row r="310" spans="57:70" ht="24.95" hidden="1" customHeight="1">
      <c r="BE310" s="3"/>
      <c r="BF310" s="4513" t="s">
        <v>791</v>
      </c>
      <c r="BG310" s="4514"/>
      <c r="BH310" s="4514"/>
      <c r="BI310" s="4514"/>
      <c r="BJ310" s="4514"/>
      <c r="BK310" s="4514"/>
      <c r="BL310" s="4514"/>
      <c r="BM310" s="4514"/>
      <c r="BN310" s="4515"/>
      <c r="BO310" s="4522">
        <f>'New Tax Regime'!M13</f>
        <v>0</v>
      </c>
      <c r="BP310" s="4520"/>
      <c r="BQ310" s="3"/>
      <c r="BR310" s="3"/>
    </row>
    <row r="311" spans="57:70" ht="24.95" hidden="1" customHeight="1">
      <c r="BE311" s="3"/>
      <c r="BF311" s="4513" t="e">
        <f>IF(#REF!=1,"Total Savings U/S 80C","Total Savings U/S 80C+U/S 80 CCD(1B)")</f>
        <v>#REF!</v>
      </c>
      <c r="BG311" s="4514"/>
      <c r="BH311" s="4514"/>
      <c r="BI311" s="4514"/>
      <c r="BJ311" s="4514"/>
      <c r="BK311" s="4514"/>
      <c r="BL311" s="4514"/>
      <c r="BM311" s="4514"/>
      <c r="BN311" s="4515"/>
      <c r="BO311" s="4516">
        <f>'New Tax Regime'!M60</f>
        <v>0</v>
      </c>
      <c r="BP311" s="4517"/>
      <c r="BQ311" s="3"/>
      <c r="BR311" s="3"/>
    </row>
    <row r="312" spans="57:70" ht="24.95" hidden="1" customHeight="1">
      <c r="BE312" s="3"/>
      <c r="BF312" s="4513" t="s">
        <v>200</v>
      </c>
      <c r="BG312" s="4514"/>
      <c r="BH312" s="4514"/>
      <c r="BI312" s="4514"/>
      <c r="BJ312" s="4514"/>
      <c r="BK312" s="4514"/>
      <c r="BL312" s="4514"/>
      <c r="BM312" s="4514"/>
      <c r="BN312" s="4515"/>
      <c r="BO312" s="4516" t="str">
        <f>'New Tax Regime'!L42</f>
        <v>Rs</v>
      </c>
      <c r="BP312" s="4517"/>
      <c r="BQ312" s="3"/>
      <c r="BR312" s="3"/>
    </row>
    <row r="313" spans="57:70" ht="24.95" hidden="1" customHeight="1">
      <c r="BE313" s="3"/>
      <c r="BF313" s="4513" t="s">
        <v>792</v>
      </c>
      <c r="BG313" s="4514"/>
      <c r="BH313" s="4514"/>
      <c r="BI313" s="4514"/>
      <c r="BJ313" s="4514"/>
      <c r="BK313" s="4514"/>
      <c r="BL313" s="4514"/>
      <c r="BM313" s="4514"/>
      <c r="BN313" s="4515"/>
      <c r="BO313" s="4520">
        <f>'New Tax Regime'!K64</f>
        <v>0</v>
      </c>
      <c r="BP313" s="4520"/>
      <c r="BQ313" s="3"/>
      <c r="BR313" s="3"/>
    </row>
    <row r="314" spans="57:70" ht="24.95" hidden="1" customHeight="1">
      <c r="BE314" s="3"/>
      <c r="BF314" s="4513" t="s">
        <v>804</v>
      </c>
      <c r="BG314" s="4514"/>
      <c r="BH314" s="4514"/>
      <c r="BI314" s="4514"/>
      <c r="BJ314" s="4514"/>
      <c r="BK314" s="4514"/>
      <c r="BL314" s="4514"/>
      <c r="BM314" s="4514"/>
      <c r="BN314" s="4515"/>
      <c r="BO314" s="4520">
        <f>'New Tax Regime'!M64</f>
        <v>0</v>
      </c>
      <c r="BP314" s="4520"/>
      <c r="BQ314" s="3"/>
      <c r="BR314" s="3"/>
    </row>
    <row r="315" spans="57:70" ht="24.95" hidden="1" customHeight="1">
      <c r="BE315" s="3"/>
      <c r="BF315" s="4516" t="s">
        <v>793</v>
      </c>
      <c r="BG315" s="4521"/>
      <c r="BH315" s="4521"/>
      <c r="BI315" s="4521"/>
      <c r="BJ315" s="4521"/>
      <c r="BK315" s="4521"/>
      <c r="BL315" s="4521"/>
      <c r="BM315" s="4521"/>
      <c r="BN315" s="4517"/>
      <c r="BO315" s="4522">
        <f>'New Tax Regime'!M76</f>
        <v>0</v>
      </c>
      <c r="BP315" s="4520"/>
      <c r="BQ315" s="3"/>
      <c r="BR315" s="3"/>
    </row>
    <row r="316" spans="57:70" ht="24.95" hidden="1" customHeight="1">
      <c r="BE316" s="3"/>
      <c r="BF316" s="4513" t="s">
        <v>794</v>
      </c>
      <c r="BG316" s="4514"/>
      <c r="BH316" s="4514"/>
      <c r="BI316" s="4514"/>
      <c r="BJ316" s="4514"/>
      <c r="BK316" s="4514"/>
      <c r="BL316" s="4514"/>
      <c r="BM316" s="4514"/>
      <c r="BN316" s="4515"/>
      <c r="BO316" s="4520">
        <f>'New Tax Regime'!M77</f>
        <v>0</v>
      </c>
      <c r="BP316" s="4520"/>
      <c r="BQ316" s="3"/>
      <c r="BR316" s="3"/>
    </row>
    <row r="317" spans="57:70" ht="24" hidden="1" customHeight="1">
      <c r="BE317" s="3"/>
      <c r="BF317" s="4513">
        <f>'New Tax Regime'!J83</f>
        <v>0</v>
      </c>
      <c r="BG317" s="4514"/>
      <c r="BH317" s="4514"/>
      <c r="BI317" s="4514"/>
      <c r="BJ317" s="4514"/>
      <c r="BK317" s="4514"/>
      <c r="BL317" s="4514"/>
      <c r="BM317" s="4514"/>
      <c r="BN317" s="4515"/>
      <c r="BO317" s="4513">
        <f>'New Tax Regime'!M83</f>
        <v>0</v>
      </c>
      <c r="BP317" s="4515"/>
      <c r="BQ317" s="3"/>
      <c r="BR317" s="3"/>
    </row>
    <row r="318" spans="57:70" ht="24.95" hidden="1" customHeight="1">
      <c r="BE318" s="3"/>
      <c r="BF318" s="4520" t="s">
        <v>795</v>
      </c>
      <c r="BG318" s="4520"/>
      <c r="BH318" s="4520"/>
      <c r="BI318" s="4520"/>
      <c r="BJ318" s="4520"/>
      <c r="BK318" s="4520"/>
      <c r="BL318" s="4520"/>
      <c r="BM318" s="4520"/>
      <c r="BN318" s="4520"/>
      <c r="BO318" s="4513" t="e">
        <f>IF('New Tax Regime'!S14&gt;0,'New Tax Regime'!S14,'New Tax Regime'!AL12)</f>
        <v>#REF!</v>
      </c>
      <c r="BP318" s="4515"/>
      <c r="BQ318" s="3"/>
      <c r="BR318" s="3"/>
    </row>
    <row r="319" spans="57:70" ht="24.95" hidden="1" customHeight="1">
      <c r="BE319" s="3"/>
      <c r="BF319" s="4533" t="s">
        <v>796</v>
      </c>
      <c r="BG319" s="4533"/>
      <c r="BH319" s="4533"/>
      <c r="BI319" s="4533"/>
      <c r="BJ319" s="4533"/>
      <c r="BK319" s="4533"/>
      <c r="BL319" s="4533"/>
      <c r="BM319" s="4533"/>
      <c r="BN319" s="4533"/>
      <c r="BO319" s="4533" t="e">
        <f>SUM(BO318*12)</f>
        <v>#REF!</v>
      </c>
      <c r="BP319" s="4533"/>
      <c r="BQ319" s="3"/>
      <c r="BR319" s="3"/>
    </row>
    <row r="320" spans="57:70" ht="24.95" hidden="1" customHeight="1">
      <c r="BE320" s="3"/>
      <c r="BF320" s="4533"/>
      <c r="BG320" s="4533"/>
      <c r="BH320" s="4533"/>
      <c r="BI320" s="4533"/>
      <c r="BJ320" s="4533"/>
      <c r="BK320" s="4533"/>
      <c r="BL320" s="4533"/>
      <c r="BM320" s="4533"/>
      <c r="BN320" s="4533"/>
      <c r="BO320" s="4533"/>
      <c r="BP320" s="4533"/>
      <c r="BQ320" s="3"/>
      <c r="BR320" s="3"/>
    </row>
    <row r="321" spans="57:70" ht="15" hidden="1">
      <c r="BE321" s="3"/>
      <c r="BF321" s="3"/>
      <c r="BG321" s="3"/>
      <c r="BH321" s="3"/>
      <c r="BI321" s="3"/>
      <c r="BJ321" s="3"/>
      <c r="BK321" s="3"/>
      <c r="BL321" s="3"/>
      <c r="BM321" s="3"/>
      <c r="BN321" s="3"/>
      <c r="BO321" s="3"/>
      <c r="BP321" s="3"/>
      <c r="BQ321" s="3"/>
      <c r="BR321" s="3"/>
    </row>
  </sheetData>
  <sheetProtection algorithmName="SHA-512" hashValue="IgklWMZO2aq0QpqBM0fJWk9mdn3C6m1Zpm6NmV6RR9G+fVODuIcXHK73Edcra1hsRwygy64sy5rKHFFxnmm1Ng==" saltValue="eHpGG55NiJ+p+qbFjffreA==" spinCount="100000" sheet="1" selectLockedCells="1"/>
  <customSheetViews>
    <customSheetView guid="{DDA22D69-94B5-45BC-9EE2-6055A845129B}" hiddenRows="1" hiddenColumns="1">
      <selection activeCell="X133" sqref="X133"/>
      <pageMargins left="0.7" right="0.7" top="0.75" bottom="0.75" header="0.3" footer="0.3"/>
      <pageSetup orientation="portrait" r:id="rId1"/>
    </customSheetView>
    <customSheetView guid="{1B7577DB-E3C4-4E68-B7CF-8F86FF7C5A82}" hiddenRows="1" hiddenColumns="1" topLeftCell="A67">
      <selection activeCell="M74" sqref="M74:N74"/>
      <pageMargins left="0.7" right="0.7" top="0.75" bottom="0.75" header="0.3" footer="0.3"/>
      <pageSetup orientation="portrait" r:id="rId2"/>
    </customSheetView>
    <customSheetView guid="{E7B1C62B-1F1D-4A62-BD87-EE62D3A36B6C}" hiddenRows="1" hiddenColumns="1">
      <selection activeCell="X133" sqref="X133"/>
      <pageMargins left="0.7" right="0.7" top="0.75" bottom="0.75" header="0.3" footer="0.3"/>
      <pageSetup orientation="portrait" r:id="rId3"/>
    </customSheetView>
  </customSheetViews>
  <mergeCells count="452">
    <mergeCell ref="Z126:AA126"/>
    <mergeCell ref="Q62:V62"/>
    <mergeCell ref="Q61:V61"/>
    <mergeCell ref="Q59:V59"/>
    <mergeCell ref="AD64:AF68"/>
    <mergeCell ref="Y57:Z57"/>
    <mergeCell ref="Q58:V58"/>
    <mergeCell ref="Q63:AB63"/>
    <mergeCell ref="Y64:Z64"/>
    <mergeCell ref="Y65:Z65"/>
    <mergeCell ref="Q65:V65"/>
    <mergeCell ref="Q64:V64"/>
    <mergeCell ref="Q76:V76"/>
    <mergeCell ref="Q77:V77"/>
    <mergeCell ref="Q94:V94"/>
    <mergeCell ref="X85:AB85"/>
    <mergeCell ref="Q87:V87"/>
    <mergeCell ref="Q117:AB118"/>
    <mergeCell ref="Q120:V120"/>
    <mergeCell ref="X120:AB120"/>
    <mergeCell ref="Y121:Z121"/>
    <mergeCell ref="AB121:AB122"/>
    <mergeCell ref="Q122:V122"/>
    <mergeCell ref="Y122:Z122"/>
    <mergeCell ref="AP72:AQ72"/>
    <mergeCell ref="AD22:AE22"/>
    <mergeCell ref="Q22:V22"/>
    <mergeCell ref="AD24:AE24"/>
    <mergeCell ref="X113:AB113"/>
    <mergeCell ref="Y114:Z114"/>
    <mergeCell ref="AB114:AB115"/>
    <mergeCell ref="Q115:V115"/>
    <mergeCell ref="Y115:Z115"/>
    <mergeCell ref="Q110:AB111"/>
    <mergeCell ref="Q113:V113"/>
    <mergeCell ref="Y86:Z86"/>
    <mergeCell ref="AB86:AB87"/>
    <mergeCell ref="Q89:AB90"/>
    <mergeCell ref="Y74:Z74"/>
    <mergeCell ref="AD21:AE21"/>
    <mergeCell ref="AD23:AE23"/>
    <mergeCell ref="Y23:Z23"/>
    <mergeCell ref="Q16:V16"/>
    <mergeCell ref="AD16:AE16"/>
    <mergeCell ref="AD17:AE17"/>
    <mergeCell ref="Y67:Z67"/>
    <mergeCell ref="Q36:V36"/>
    <mergeCell ref="Y36:Z36"/>
    <mergeCell ref="Q39:V39"/>
    <mergeCell ref="Q56:V56"/>
    <mergeCell ref="AD29:AE29"/>
    <mergeCell ref="AD34:AE34"/>
    <mergeCell ref="AD33:AE33"/>
    <mergeCell ref="Q30:V30"/>
    <mergeCell ref="AD37:AF37"/>
    <mergeCell ref="Q31:AB31"/>
    <mergeCell ref="Q37:V37"/>
    <mergeCell ref="AD32:AE32"/>
    <mergeCell ref="Y24:Z24"/>
    <mergeCell ref="BQ94:CA94"/>
    <mergeCell ref="BQ95:CA95"/>
    <mergeCell ref="BQ93:CA93"/>
    <mergeCell ref="BK90:BM90"/>
    <mergeCell ref="BQ85:CA85"/>
    <mergeCell ref="BQ86:CA86"/>
    <mergeCell ref="BQ87:CA87"/>
    <mergeCell ref="BQ88:CA88"/>
    <mergeCell ref="BQ89:CA89"/>
    <mergeCell ref="BQ90:CA90"/>
    <mergeCell ref="BQ91:CA91"/>
    <mergeCell ref="BQ92:CA92"/>
    <mergeCell ref="BK89:BM89"/>
    <mergeCell ref="BK88:BM88"/>
    <mergeCell ref="BK40:BM40"/>
    <mergeCell ref="Q26:V26"/>
    <mergeCell ref="Y26:Z26"/>
    <mergeCell ref="AD28:AE28"/>
    <mergeCell ref="Q28:V28"/>
    <mergeCell ref="Q25:V25"/>
    <mergeCell ref="Y25:Z25"/>
    <mergeCell ref="AD25:AE25"/>
    <mergeCell ref="AD31:AF31"/>
    <mergeCell ref="Q27:V27"/>
    <mergeCell ref="AN28:AT28"/>
    <mergeCell ref="AO27:AS27"/>
    <mergeCell ref="AS38:AT38"/>
    <mergeCell ref="AS39:AT39"/>
    <mergeCell ref="C23:G23"/>
    <mergeCell ref="L23:O23"/>
    <mergeCell ref="L16:O16"/>
    <mergeCell ref="L17:O17"/>
    <mergeCell ref="C16:G16"/>
    <mergeCell ref="C17:G17"/>
    <mergeCell ref="Q20:V20"/>
    <mergeCell ref="Q24:V24"/>
    <mergeCell ref="C21:O21"/>
    <mergeCell ref="C22:G22"/>
    <mergeCell ref="L22:O22"/>
    <mergeCell ref="L24:O24"/>
    <mergeCell ref="C24:G24"/>
    <mergeCell ref="Q21:V21"/>
    <mergeCell ref="Q23:V23"/>
    <mergeCell ref="AD2:AF4"/>
    <mergeCell ref="C7:O7"/>
    <mergeCell ref="Q7:AB7"/>
    <mergeCell ref="C8:G8"/>
    <mergeCell ref="L8:O8"/>
    <mergeCell ref="Q10:V10"/>
    <mergeCell ref="Q11:V11"/>
    <mergeCell ref="C10:G10"/>
    <mergeCell ref="L10:O10"/>
    <mergeCell ref="Y10:Z10"/>
    <mergeCell ref="C11:G11"/>
    <mergeCell ref="L11:O11"/>
    <mergeCell ref="Y11:Z11"/>
    <mergeCell ref="C2:AB5"/>
    <mergeCell ref="AD7:AF7"/>
    <mergeCell ref="C9:G9"/>
    <mergeCell ref="L9:O9"/>
    <mergeCell ref="Y9:Z9"/>
    <mergeCell ref="Q8:V8"/>
    <mergeCell ref="Q9:V9"/>
    <mergeCell ref="AD10:AF10"/>
    <mergeCell ref="C15:G15"/>
    <mergeCell ref="L15:O15"/>
    <mergeCell ref="AI12:AI13"/>
    <mergeCell ref="AK11:AL13"/>
    <mergeCell ref="C14:G14"/>
    <mergeCell ref="L14:O14"/>
    <mergeCell ref="AD14:AE14"/>
    <mergeCell ref="C12:O13"/>
    <mergeCell ref="AD12:AE13"/>
    <mergeCell ref="AJ11:AJ13"/>
    <mergeCell ref="Q14:V14"/>
    <mergeCell ref="AD15:AE15"/>
    <mergeCell ref="AF12:AF13"/>
    <mergeCell ref="Q12:V13"/>
    <mergeCell ref="BK186:BM186"/>
    <mergeCell ref="D77:E77"/>
    <mergeCell ref="Q92:V92"/>
    <mergeCell ref="X92:AB92"/>
    <mergeCell ref="Y93:Z93"/>
    <mergeCell ref="AB93:AB94"/>
    <mergeCell ref="C68:O68"/>
    <mergeCell ref="D78:E78"/>
    <mergeCell ref="D79:E79"/>
    <mergeCell ref="Q85:V85"/>
    <mergeCell ref="Q68:V68"/>
    <mergeCell ref="Q69:V69"/>
    <mergeCell ref="M70:N70"/>
    <mergeCell ref="R160:AA160"/>
    <mergeCell ref="Q161:Q162"/>
    <mergeCell ref="R161:AA162"/>
    <mergeCell ref="Q163:Q164"/>
    <mergeCell ref="D80:E80"/>
    <mergeCell ref="C82:G82"/>
    <mergeCell ref="M82:N82"/>
    <mergeCell ref="M78:N78"/>
    <mergeCell ref="M80:N80"/>
    <mergeCell ref="M79:N79"/>
    <mergeCell ref="D70:E70"/>
    <mergeCell ref="BK187:BM187"/>
    <mergeCell ref="C214:G214"/>
    <mergeCell ref="M214:N214"/>
    <mergeCell ref="BK185:BM185"/>
    <mergeCell ref="Q135:AB135"/>
    <mergeCell ref="Y130:Z130"/>
    <mergeCell ref="Q130:V130"/>
    <mergeCell ref="Q148:V148"/>
    <mergeCell ref="Q136:V136"/>
    <mergeCell ref="Q137:V137"/>
    <mergeCell ref="Z137:AA137"/>
    <mergeCell ref="Q140:V140"/>
    <mergeCell ref="Q141:AB141"/>
    <mergeCell ref="Q142:AB142"/>
    <mergeCell ref="Q143:V143"/>
    <mergeCell ref="Q147:V147"/>
    <mergeCell ref="Q167:AB167"/>
    <mergeCell ref="R168:AA168"/>
    <mergeCell ref="R169:AA169"/>
    <mergeCell ref="Q170:Q171"/>
    <mergeCell ref="R170:AA171"/>
    <mergeCell ref="Q172:Q173"/>
    <mergeCell ref="X131:Y131"/>
    <mergeCell ref="Q132:V132"/>
    <mergeCell ref="BF318:BN318"/>
    <mergeCell ref="BO318:BP318"/>
    <mergeCell ref="BF319:BN319"/>
    <mergeCell ref="BO319:BP319"/>
    <mergeCell ref="BF320:BN320"/>
    <mergeCell ref="BO320:BP320"/>
    <mergeCell ref="BF315:BN315"/>
    <mergeCell ref="BO315:BP315"/>
    <mergeCell ref="BF316:BN316"/>
    <mergeCell ref="BO316:BP316"/>
    <mergeCell ref="BF317:BN317"/>
    <mergeCell ref="BO317:BP317"/>
    <mergeCell ref="BF313:BN313"/>
    <mergeCell ref="BO313:BP313"/>
    <mergeCell ref="BF314:BN314"/>
    <mergeCell ref="BO314:BP314"/>
    <mergeCell ref="BF309:BN309"/>
    <mergeCell ref="BO309:BP309"/>
    <mergeCell ref="BF310:BN310"/>
    <mergeCell ref="BO310:BP310"/>
    <mergeCell ref="BF311:BN311"/>
    <mergeCell ref="BO311:BP311"/>
    <mergeCell ref="BM270:BP270"/>
    <mergeCell ref="BM271:BP271"/>
    <mergeCell ref="BM263:BP263"/>
    <mergeCell ref="BM264:BP264"/>
    <mergeCell ref="BM265:BP265"/>
    <mergeCell ref="BF312:BN312"/>
    <mergeCell ref="BO312:BP312"/>
    <mergeCell ref="BN283:BS283"/>
    <mergeCell ref="BF306:BN306"/>
    <mergeCell ref="BO306:BP306"/>
    <mergeCell ref="BF307:BN307"/>
    <mergeCell ref="BO307:BP307"/>
    <mergeCell ref="BF308:BN308"/>
    <mergeCell ref="BO308:BP308"/>
    <mergeCell ref="BM272:BP272"/>
    <mergeCell ref="BM273:BP273"/>
    <mergeCell ref="BM278:BS278"/>
    <mergeCell ref="BN280:BR280"/>
    <mergeCell ref="BN281:BS281"/>
    <mergeCell ref="BN282:BS282"/>
    <mergeCell ref="BM268:BP268"/>
    <mergeCell ref="BM269:BP269"/>
    <mergeCell ref="AD220:AE220"/>
    <mergeCell ref="C249:Z256"/>
    <mergeCell ref="BM266:BP266"/>
    <mergeCell ref="BM267:BP267"/>
    <mergeCell ref="AD233:AF239"/>
    <mergeCell ref="C236:H236"/>
    <mergeCell ref="C237:Z237"/>
    <mergeCell ref="C239:Z239"/>
    <mergeCell ref="AD241:AF247"/>
    <mergeCell ref="O221:AB221"/>
    <mergeCell ref="AD221:AE221"/>
    <mergeCell ref="AD222:AE222"/>
    <mergeCell ref="E257:L257"/>
    <mergeCell ref="O223:AB223"/>
    <mergeCell ref="O224:AB224"/>
    <mergeCell ref="E258:AB258"/>
    <mergeCell ref="C218:M224"/>
    <mergeCell ref="O218:AB218"/>
    <mergeCell ref="C243:Z243"/>
    <mergeCell ref="C246:Q246"/>
    <mergeCell ref="C228:M232"/>
    <mergeCell ref="C240:N240"/>
    <mergeCell ref="C241:Z241"/>
    <mergeCell ref="C244:N244"/>
    <mergeCell ref="AD217:AE217"/>
    <mergeCell ref="C37:G37"/>
    <mergeCell ref="M37:N37"/>
    <mergeCell ref="Y128:Z128"/>
    <mergeCell ref="Y129:Z129"/>
    <mergeCell ref="Q125:V125"/>
    <mergeCell ref="Q126:V126"/>
    <mergeCell ref="Y87:Z87"/>
    <mergeCell ref="Y94:Z94"/>
    <mergeCell ref="Q127:V127"/>
    <mergeCell ref="Q128:V128"/>
    <mergeCell ref="Q129:V129"/>
    <mergeCell ref="Q124:AB124"/>
    <mergeCell ref="Z131:AA131"/>
    <mergeCell ref="Q144:V144"/>
    <mergeCell ref="Z144:AA144"/>
    <mergeCell ref="R172:AA173"/>
    <mergeCell ref="Q174:AB174"/>
    <mergeCell ref="Q38:V38"/>
    <mergeCell ref="Q158:AB158"/>
    <mergeCell ref="R159:AA159"/>
    <mergeCell ref="Q52:V52"/>
    <mergeCell ref="Q53:V53"/>
    <mergeCell ref="C39:O39"/>
    <mergeCell ref="X132:Y132"/>
    <mergeCell ref="Z132:AA132"/>
    <mergeCell ref="Q134:V134"/>
    <mergeCell ref="Q150:AB150"/>
    <mergeCell ref="Q151:V151"/>
    <mergeCell ref="Q153:V153"/>
    <mergeCell ref="X151:AA151"/>
    <mergeCell ref="AB151:AB155"/>
    <mergeCell ref="AD216:AE216"/>
    <mergeCell ref="C245:R245"/>
    <mergeCell ref="R163:AA164"/>
    <mergeCell ref="Q165:AB165"/>
    <mergeCell ref="C225:M227"/>
    <mergeCell ref="O225:AB227"/>
    <mergeCell ref="Y215:AB215"/>
    <mergeCell ref="O219:AB219"/>
    <mergeCell ref="O228:AB228"/>
    <mergeCell ref="O229:AB229"/>
    <mergeCell ref="O230:AB232"/>
    <mergeCell ref="O233:AB234"/>
    <mergeCell ref="O220:AB220"/>
    <mergeCell ref="C217:M217"/>
    <mergeCell ref="O217:AB217"/>
    <mergeCell ref="D71:E71"/>
    <mergeCell ref="D72:E72"/>
    <mergeCell ref="D73:E73"/>
    <mergeCell ref="D74:E74"/>
    <mergeCell ref="D75:E75"/>
    <mergeCell ref="D76:E76"/>
    <mergeCell ref="M77:N77"/>
    <mergeCell ref="M72:N72"/>
    <mergeCell ref="AN12:AT13"/>
    <mergeCell ref="AO17:AS17"/>
    <mergeCell ref="AO18:AS18"/>
    <mergeCell ref="AO19:AS19"/>
    <mergeCell ref="AO20:AS20"/>
    <mergeCell ref="Y19:Z19"/>
    <mergeCell ref="AD19:AE19"/>
    <mergeCell ref="Q18:AB18"/>
    <mergeCell ref="Q19:V19"/>
    <mergeCell ref="AD18:AE18"/>
    <mergeCell ref="Q15:V15"/>
    <mergeCell ref="AM11:AM13"/>
    <mergeCell ref="AD20:AE20"/>
    <mergeCell ref="Y69:Z69"/>
    <mergeCell ref="Y70:Z70"/>
    <mergeCell ref="Y55:Z55"/>
    <mergeCell ref="M69:N69"/>
    <mergeCell ref="AO14:AS14"/>
    <mergeCell ref="AO15:AS15"/>
    <mergeCell ref="AO16:AS16"/>
    <mergeCell ref="AO21:AS21"/>
    <mergeCell ref="AO22:AS22"/>
    <mergeCell ref="AO23:AS23"/>
    <mergeCell ref="AO24:AS24"/>
    <mergeCell ref="AO25:AS25"/>
    <mergeCell ref="AO26:AS26"/>
    <mergeCell ref="Y53:Z53"/>
    <mergeCell ref="M50:N50"/>
    <mergeCell ref="Q49:AB49"/>
    <mergeCell ref="Q48:V48"/>
    <mergeCell ref="Y43:Z43"/>
    <mergeCell ref="AD49:AF49"/>
    <mergeCell ref="Y37:Z37"/>
    <mergeCell ref="L31:O31"/>
    <mergeCell ref="L33:O33"/>
    <mergeCell ref="Q33:V33"/>
    <mergeCell ref="C30:O30"/>
    <mergeCell ref="C25:G25"/>
    <mergeCell ref="L25:O25"/>
    <mergeCell ref="C32:G32"/>
    <mergeCell ref="M71:N71"/>
    <mergeCell ref="M66:N66"/>
    <mergeCell ref="M57:N57"/>
    <mergeCell ref="C63:O63"/>
    <mergeCell ref="AS37:AT37"/>
    <mergeCell ref="Y39:Z39"/>
    <mergeCell ref="C40:G40"/>
    <mergeCell ref="AS40:AT40"/>
    <mergeCell ref="M40:N40"/>
    <mergeCell ref="AS41:AT41"/>
    <mergeCell ref="AP41:AQ41"/>
    <mergeCell ref="Q41:V41"/>
    <mergeCell ref="Y41:Z41"/>
    <mergeCell ref="AL41:AM41"/>
    <mergeCell ref="AD52:AF52"/>
    <mergeCell ref="M51:N51"/>
    <mergeCell ref="M52:N52"/>
    <mergeCell ref="M53:N53"/>
    <mergeCell ref="M48:N48"/>
    <mergeCell ref="C49:O49"/>
    <mergeCell ref="Y44:Z44"/>
    <mergeCell ref="Y45:Z45"/>
    <mergeCell ref="Q42:V42"/>
    <mergeCell ref="AA42:AB42"/>
    <mergeCell ref="C33:G33"/>
    <mergeCell ref="C35:O35"/>
    <mergeCell ref="Q35:V35"/>
    <mergeCell ref="C36:G36"/>
    <mergeCell ref="M36:N36"/>
    <mergeCell ref="Y40:Z40"/>
    <mergeCell ref="Y42:Z42"/>
    <mergeCell ref="Q44:V44"/>
    <mergeCell ref="Q43:V43"/>
    <mergeCell ref="C38:G38"/>
    <mergeCell ref="Y34:Z34"/>
    <mergeCell ref="C34:G34"/>
    <mergeCell ref="L34:O34"/>
    <mergeCell ref="Q34:V34"/>
    <mergeCell ref="M76:N76"/>
    <mergeCell ref="Q82:AB83"/>
    <mergeCell ref="D69:E69"/>
    <mergeCell ref="M64:N64"/>
    <mergeCell ref="M65:N65"/>
    <mergeCell ref="Q55:V55"/>
    <mergeCell ref="C50:G50"/>
    <mergeCell ref="C42:G42"/>
    <mergeCell ref="C48:G48"/>
    <mergeCell ref="C55:G55"/>
    <mergeCell ref="C54:G54"/>
    <mergeCell ref="Y66:Z66"/>
    <mergeCell ref="Q72:V72"/>
    <mergeCell ref="Q73:V73"/>
    <mergeCell ref="Q57:V57"/>
    <mergeCell ref="Y71:Z71"/>
    <mergeCell ref="Y72:Z72"/>
    <mergeCell ref="Y73:Z73"/>
    <mergeCell ref="Q71:V71"/>
    <mergeCell ref="Q54:V54"/>
    <mergeCell ref="Y54:Z54"/>
    <mergeCell ref="Q70:V70"/>
    <mergeCell ref="Y68:Z68"/>
    <mergeCell ref="C52:G52"/>
    <mergeCell ref="C56:G56"/>
    <mergeCell ref="C57:G57"/>
    <mergeCell ref="C64:G64"/>
    <mergeCell ref="C65:G65"/>
    <mergeCell ref="C66:G66"/>
    <mergeCell ref="Q40:V40"/>
    <mergeCell ref="Q66:V66"/>
    <mergeCell ref="Q67:V67"/>
    <mergeCell ref="M56:N56"/>
    <mergeCell ref="C43:G43"/>
    <mergeCell ref="C53:G53"/>
    <mergeCell ref="C51:G51"/>
    <mergeCell ref="Q46:V46"/>
    <mergeCell ref="M54:N54"/>
    <mergeCell ref="M55:N55"/>
    <mergeCell ref="Q45:V45"/>
    <mergeCell ref="Q50:V50"/>
    <mergeCell ref="Q51:V51"/>
    <mergeCell ref="C31:G31"/>
    <mergeCell ref="Q103:AB104"/>
    <mergeCell ref="Q106:V106"/>
    <mergeCell ref="X106:AB106"/>
    <mergeCell ref="Y107:Z107"/>
    <mergeCell ref="AB107:AB108"/>
    <mergeCell ref="Q108:V108"/>
    <mergeCell ref="Y108:Z108"/>
    <mergeCell ref="Q96:AB97"/>
    <mergeCell ref="Q99:V99"/>
    <mergeCell ref="X99:AB99"/>
    <mergeCell ref="Y100:Z100"/>
    <mergeCell ref="AB100:AB101"/>
    <mergeCell ref="Q101:V101"/>
    <mergeCell ref="Y101:Z101"/>
    <mergeCell ref="L32:O32"/>
    <mergeCell ref="Q32:V32"/>
    <mergeCell ref="M73:N73"/>
    <mergeCell ref="M74:N74"/>
    <mergeCell ref="M75:N75"/>
    <mergeCell ref="Q74:V74"/>
    <mergeCell ref="C41:G41"/>
    <mergeCell ref="M41:N41"/>
    <mergeCell ref="C59:G59"/>
  </mergeCells>
  <pageMargins left="0.7" right="0.7" top="0.75" bottom="0.75" header="0.3" footer="0.3"/>
  <pageSetup orientation="portrait" r:id="rId4"/>
  <ignoredErrors>
    <ignoredError sqref="L10" numberStoredAsText="1"/>
    <ignoredError sqref="AA42 X17:Z17 AB17 X29:Z29 AB29 Y60:Z60 X60 AB60" unlockedFormula="1"/>
    <ignoredError sqref="AA60" formula="1"/>
  </ignoredErrors>
  <drawing r:id="rId5"/>
  <legacyDrawing r:id="rId6"/>
  <mc:AlternateContent xmlns:mc="http://schemas.openxmlformats.org/markup-compatibility/2006">
    <mc:Choice Requires="x14">
      <controls>
        <mc:AlternateContent xmlns:mc="http://schemas.openxmlformats.org/markup-compatibility/2006">
          <mc:Choice Requires="x14">
            <control shapeId="100354" r:id="rId7" name="Drop Down 2">
              <controlPr defaultSize="0" autoLine="0" autoPict="0">
                <anchor moveWithCells="1">
                  <from>
                    <xdr:col>24</xdr:col>
                    <xdr:colOff>0</xdr:colOff>
                    <xdr:row>6</xdr:row>
                    <xdr:rowOff>304800</xdr:rowOff>
                  </from>
                  <to>
                    <xdr:col>26</xdr:col>
                    <xdr:colOff>0</xdr:colOff>
                    <xdr:row>7</xdr:row>
                    <xdr:rowOff>304800</xdr:rowOff>
                  </to>
                </anchor>
              </controlPr>
            </control>
          </mc:Choice>
        </mc:AlternateContent>
        <mc:AlternateContent xmlns:mc="http://schemas.openxmlformats.org/markup-compatibility/2006">
          <mc:Choice Requires="x14">
            <control shapeId="100356" r:id="rId8" name="Drop Down 4">
              <controlPr defaultSize="0" autoLine="0" autoPict="0">
                <anchor moveWithCells="1">
                  <from>
                    <xdr:col>24</xdr:col>
                    <xdr:colOff>9525</xdr:colOff>
                    <xdr:row>8</xdr:row>
                    <xdr:rowOff>304800</xdr:rowOff>
                  </from>
                  <to>
                    <xdr:col>25</xdr:col>
                    <xdr:colOff>581025</xdr:colOff>
                    <xdr:row>9</xdr:row>
                    <xdr:rowOff>333375</xdr:rowOff>
                  </to>
                </anchor>
              </controlPr>
            </control>
          </mc:Choice>
        </mc:AlternateContent>
        <mc:AlternateContent xmlns:mc="http://schemas.openxmlformats.org/markup-compatibility/2006">
          <mc:Choice Requires="x14">
            <control shapeId="100366" r:id="rId9" name="Drop Down 14">
              <controlPr defaultSize="0" autoLine="0" autoPict="0">
                <anchor moveWithCells="1">
                  <from>
                    <xdr:col>23</xdr:col>
                    <xdr:colOff>9525</xdr:colOff>
                    <xdr:row>20</xdr:row>
                    <xdr:rowOff>9525</xdr:rowOff>
                  </from>
                  <to>
                    <xdr:col>23</xdr:col>
                    <xdr:colOff>847725</xdr:colOff>
                    <xdr:row>20</xdr:row>
                    <xdr:rowOff>352425</xdr:rowOff>
                  </to>
                </anchor>
              </controlPr>
            </control>
          </mc:Choice>
        </mc:AlternateContent>
        <mc:AlternateContent xmlns:mc="http://schemas.openxmlformats.org/markup-compatibility/2006">
          <mc:Choice Requires="x14">
            <control shapeId="100375" r:id="rId10" name="Drop Down 23">
              <controlPr defaultSize="0" autoLine="0" autoPict="0">
                <anchor moveWithCells="1">
                  <from>
                    <xdr:col>24</xdr:col>
                    <xdr:colOff>19050</xdr:colOff>
                    <xdr:row>11</xdr:row>
                    <xdr:rowOff>38100</xdr:rowOff>
                  </from>
                  <to>
                    <xdr:col>25</xdr:col>
                    <xdr:colOff>581025</xdr:colOff>
                    <xdr:row>12</xdr:row>
                    <xdr:rowOff>114300</xdr:rowOff>
                  </to>
                </anchor>
              </controlPr>
            </control>
          </mc:Choice>
        </mc:AlternateContent>
        <mc:AlternateContent xmlns:mc="http://schemas.openxmlformats.org/markup-compatibility/2006">
          <mc:Choice Requires="x14">
            <control shapeId="100377" r:id="rId11" name="Drop Down 25">
              <controlPr defaultSize="0" autoLine="0" autoPict="0">
                <anchor moveWithCells="1">
                  <from>
                    <xdr:col>11</xdr:col>
                    <xdr:colOff>809625</xdr:colOff>
                    <xdr:row>35</xdr:row>
                    <xdr:rowOff>371475</xdr:rowOff>
                  </from>
                  <to>
                    <xdr:col>14</xdr:col>
                    <xdr:colOff>9525</xdr:colOff>
                    <xdr:row>36</xdr:row>
                    <xdr:rowOff>352425</xdr:rowOff>
                  </to>
                </anchor>
              </controlPr>
            </control>
          </mc:Choice>
        </mc:AlternateContent>
        <mc:AlternateContent xmlns:mc="http://schemas.openxmlformats.org/markup-compatibility/2006">
          <mc:Choice Requires="x14">
            <control shapeId="100378" r:id="rId12" name="Drop Down 26">
              <controlPr defaultSize="0" autoLine="0" autoPict="0">
                <anchor moveWithCells="1">
                  <from>
                    <xdr:col>11</xdr:col>
                    <xdr:colOff>809625</xdr:colOff>
                    <xdr:row>34</xdr:row>
                    <xdr:rowOff>295275</xdr:rowOff>
                  </from>
                  <to>
                    <xdr:col>14</xdr:col>
                    <xdr:colOff>9525</xdr:colOff>
                    <xdr:row>35</xdr:row>
                    <xdr:rowOff>371475</xdr:rowOff>
                  </to>
                </anchor>
              </controlPr>
            </control>
          </mc:Choice>
        </mc:AlternateContent>
        <mc:AlternateContent xmlns:mc="http://schemas.openxmlformats.org/markup-compatibility/2006">
          <mc:Choice Requires="x14">
            <control shapeId="100384" r:id="rId13" name="Drop Down 32">
              <controlPr defaultSize="0" autoLine="0" autoPict="0">
                <anchor moveWithCells="1">
                  <from>
                    <xdr:col>12</xdr:col>
                    <xdr:colOff>0</xdr:colOff>
                    <xdr:row>38</xdr:row>
                    <xdr:rowOff>381000</xdr:rowOff>
                  </from>
                  <to>
                    <xdr:col>14</xdr:col>
                    <xdr:colOff>28575</xdr:colOff>
                    <xdr:row>39</xdr:row>
                    <xdr:rowOff>342900</xdr:rowOff>
                  </to>
                </anchor>
              </controlPr>
            </control>
          </mc:Choice>
        </mc:AlternateContent>
        <mc:AlternateContent xmlns:mc="http://schemas.openxmlformats.org/markup-compatibility/2006">
          <mc:Choice Requires="x14">
            <control shapeId="100385" r:id="rId14" name="Drop Down 33">
              <controlPr defaultSize="0" autoLine="0" autoPict="0">
                <anchor moveWithCells="1">
                  <from>
                    <xdr:col>12</xdr:col>
                    <xdr:colOff>0</xdr:colOff>
                    <xdr:row>41</xdr:row>
                    <xdr:rowOff>28575</xdr:rowOff>
                  </from>
                  <to>
                    <xdr:col>14</xdr:col>
                    <xdr:colOff>38100</xdr:colOff>
                    <xdr:row>41</xdr:row>
                    <xdr:rowOff>409575</xdr:rowOff>
                  </to>
                </anchor>
              </controlPr>
            </control>
          </mc:Choice>
        </mc:AlternateContent>
        <mc:AlternateContent xmlns:mc="http://schemas.openxmlformats.org/markup-compatibility/2006">
          <mc:Choice Requires="x14">
            <control shapeId="100386" r:id="rId15" name="Drop Down 34">
              <controlPr defaultSize="0" autoLine="0" autoPict="0">
                <anchor moveWithCells="1">
                  <from>
                    <xdr:col>24</xdr:col>
                    <xdr:colOff>9525</xdr:colOff>
                    <xdr:row>10</xdr:row>
                    <xdr:rowOff>0</xdr:rowOff>
                  </from>
                  <to>
                    <xdr:col>25</xdr:col>
                    <xdr:colOff>581025</xdr:colOff>
                    <xdr:row>11</xdr:row>
                    <xdr:rowOff>28575</xdr:rowOff>
                  </to>
                </anchor>
              </controlPr>
            </control>
          </mc:Choice>
        </mc:AlternateContent>
        <mc:AlternateContent xmlns:mc="http://schemas.openxmlformats.org/markup-compatibility/2006">
          <mc:Choice Requires="x14">
            <control shapeId="100401" r:id="rId16" name="Drop Down 49">
              <controlPr defaultSize="0" autoLine="0" autoPict="0">
                <anchor moveWithCells="1">
                  <from>
                    <xdr:col>6</xdr:col>
                    <xdr:colOff>9525</xdr:colOff>
                    <xdr:row>7</xdr:row>
                    <xdr:rowOff>9525</xdr:rowOff>
                  </from>
                  <to>
                    <xdr:col>6</xdr:col>
                    <xdr:colOff>590550</xdr:colOff>
                    <xdr:row>7</xdr:row>
                    <xdr:rowOff>285750</xdr:rowOff>
                  </to>
                </anchor>
              </controlPr>
            </control>
          </mc:Choice>
        </mc:AlternateContent>
        <mc:AlternateContent xmlns:mc="http://schemas.openxmlformats.org/markup-compatibility/2006">
          <mc:Choice Requires="x14">
            <control shapeId="100410" r:id="rId17" name="Drop Down 58">
              <controlPr defaultSize="0" autoLine="0" autoPict="0">
                <anchor moveWithCells="1">
                  <from>
                    <xdr:col>3</xdr:col>
                    <xdr:colOff>104775</xdr:colOff>
                    <xdr:row>63</xdr:row>
                    <xdr:rowOff>19050</xdr:rowOff>
                  </from>
                  <to>
                    <xdr:col>6</xdr:col>
                    <xdr:colOff>342900</xdr:colOff>
                    <xdr:row>63</xdr:row>
                    <xdr:rowOff>390525</xdr:rowOff>
                  </to>
                </anchor>
              </controlPr>
            </control>
          </mc:Choice>
        </mc:AlternateContent>
        <mc:AlternateContent xmlns:mc="http://schemas.openxmlformats.org/markup-compatibility/2006">
          <mc:Choice Requires="x14">
            <control shapeId="100411" r:id="rId18" name="Drop Down 59">
              <controlPr defaultSize="0" autoLine="0" autoPict="0">
                <anchor moveWithCells="1">
                  <from>
                    <xdr:col>3</xdr:col>
                    <xdr:colOff>123825</xdr:colOff>
                    <xdr:row>64</xdr:row>
                    <xdr:rowOff>9525</xdr:rowOff>
                  </from>
                  <to>
                    <xdr:col>6</xdr:col>
                    <xdr:colOff>352425</xdr:colOff>
                    <xdr:row>64</xdr:row>
                    <xdr:rowOff>371475</xdr:rowOff>
                  </to>
                </anchor>
              </controlPr>
            </control>
          </mc:Choice>
        </mc:AlternateContent>
        <mc:AlternateContent xmlns:mc="http://schemas.openxmlformats.org/markup-compatibility/2006">
          <mc:Choice Requires="x14">
            <control shapeId="100438" r:id="rId19" name="Drop Down 86">
              <controlPr defaultSize="0" autoLine="0" autoPict="0">
                <anchor moveWithCells="1">
                  <from>
                    <xdr:col>24</xdr:col>
                    <xdr:colOff>9525</xdr:colOff>
                    <xdr:row>13</xdr:row>
                    <xdr:rowOff>0</xdr:rowOff>
                  </from>
                  <to>
                    <xdr:col>25</xdr:col>
                    <xdr:colOff>581025</xdr:colOff>
                    <xdr:row>14</xdr:row>
                    <xdr:rowOff>0</xdr:rowOff>
                  </to>
                </anchor>
              </controlPr>
            </control>
          </mc:Choice>
        </mc:AlternateContent>
        <mc:AlternateContent xmlns:mc="http://schemas.openxmlformats.org/markup-compatibility/2006">
          <mc:Choice Requires="x14">
            <control shapeId="100440" r:id="rId20" name="Drop Down 88">
              <controlPr defaultSize="0" autoLine="0" autoPict="0">
                <anchor moveWithCells="1">
                  <from>
                    <xdr:col>24</xdr:col>
                    <xdr:colOff>19050</xdr:colOff>
                    <xdr:row>14</xdr:row>
                    <xdr:rowOff>0</xdr:rowOff>
                  </from>
                  <to>
                    <xdr:col>25</xdr:col>
                    <xdr:colOff>581025</xdr:colOff>
                    <xdr:row>14</xdr:row>
                    <xdr:rowOff>371475</xdr:rowOff>
                  </to>
                </anchor>
              </controlPr>
            </control>
          </mc:Choice>
        </mc:AlternateContent>
        <mc:AlternateContent xmlns:mc="http://schemas.openxmlformats.org/markup-compatibility/2006">
          <mc:Choice Requires="x14">
            <control shapeId="100442" r:id="rId21" name="Drop Down 90">
              <controlPr defaultSize="0" autoLine="0" autoPict="0">
                <anchor moveWithCells="1">
                  <from>
                    <xdr:col>24</xdr:col>
                    <xdr:colOff>9525</xdr:colOff>
                    <xdr:row>18</xdr:row>
                    <xdr:rowOff>0</xdr:rowOff>
                  </from>
                  <to>
                    <xdr:col>25</xdr:col>
                    <xdr:colOff>581025</xdr:colOff>
                    <xdr:row>19</xdr:row>
                    <xdr:rowOff>38100</xdr:rowOff>
                  </to>
                </anchor>
              </controlPr>
            </control>
          </mc:Choice>
        </mc:AlternateContent>
        <mc:AlternateContent xmlns:mc="http://schemas.openxmlformats.org/markup-compatibility/2006">
          <mc:Choice Requires="x14">
            <control shapeId="100444" r:id="rId22" name="Drop Down 92">
              <controlPr defaultSize="0" autoLine="0" autoPict="0">
                <anchor moveWithCells="1">
                  <from>
                    <xdr:col>24</xdr:col>
                    <xdr:colOff>9525</xdr:colOff>
                    <xdr:row>19</xdr:row>
                    <xdr:rowOff>0</xdr:rowOff>
                  </from>
                  <to>
                    <xdr:col>26</xdr:col>
                    <xdr:colOff>0</xdr:colOff>
                    <xdr:row>19</xdr:row>
                    <xdr:rowOff>381000</xdr:rowOff>
                  </to>
                </anchor>
              </controlPr>
            </control>
          </mc:Choice>
        </mc:AlternateContent>
        <mc:AlternateContent xmlns:mc="http://schemas.openxmlformats.org/markup-compatibility/2006">
          <mc:Choice Requires="x14">
            <control shapeId="100446" r:id="rId23" name="Drop Down 94">
              <controlPr defaultSize="0" autoLine="0" autoPict="0">
                <anchor moveWithCells="1">
                  <from>
                    <xdr:col>24</xdr:col>
                    <xdr:colOff>9525</xdr:colOff>
                    <xdr:row>19</xdr:row>
                    <xdr:rowOff>390525</xdr:rowOff>
                  </from>
                  <to>
                    <xdr:col>25</xdr:col>
                    <xdr:colOff>581025</xdr:colOff>
                    <xdr:row>20</xdr:row>
                    <xdr:rowOff>352425</xdr:rowOff>
                  </to>
                </anchor>
              </controlPr>
            </control>
          </mc:Choice>
        </mc:AlternateContent>
        <mc:AlternateContent xmlns:mc="http://schemas.openxmlformats.org/markup-compatibility/2006">
          <mc:Choice Requires="x14">
            <control shapeId="100448" r:id="rId24" name="Drop Down 96">
              <controlPr defaultSize="0" autoLine="0" autoPict="0">
                <anchor moveWithCells="1">
                  <from>
                    <xdr:col>24</xdr:col>
                    <xdr:colOff>9525</xdr:colOff>
                    <xdr:row>20</xdr:row>
                    <xdr:rowOff>371475</xdr:rowOff>
                  </from>
                  <to>
                    <xdr:col>25</xdr:col>
                    <xdr:colOff>571500</xdr:colOff>
                    <xdr:row>22</xdr:row>
                    <xdr:rowOff>0</xdr:rowOff>
                  </to>
                </anchor>
              </controlPr>
            </control>
          </mc:Choice>
        </mc:AlternateContent>
        <mc:AlternateContent xmlns:mc="http://schemas.openxmlformats.org/markup-compatibility/2006">
          <mc:Choice Requires="x14">
            <control shapeId="100455" r:id="rId25" name="Drop Down 103">
              <controlPr defaultSize="0" autoLine="0" autoPict="0">
                <anchor moveWithCells="1">
                  <from>
                    <xdr:col>24</xdr:col>
                    <xdr:colOff>9525</xdr:colOff>
                    <xdr:row>31</xdr:row>
                    <xdr:rowOff>0</xdr:rowOff>
                  </from>
                  <to>
                    <xdr:col>25</xdr:col>
                    <xdr:colOff>581025</xdr:colOff>
                    <xdr:row>31</xdr:row>
                    <xdr:rowOff>342900</xdr:rowOff>
                  </to>
                </anchor>
              </controlPr>
            </control>
          </mc:Choice>
        </mc:AlternateContent>
        <mc:AlternateContent xmlns:mc="http://schemas.openxmlformats.org/markup-compatibility/2006">
          <mc:Choice Requires="x14">
            <control shapeId="100457" r:id="rId26" name="Drop Down 105">
              <controlPr defaultSize="0" autoLine="0" autoPict="0">
                <anchor moveWithCells="1">
                  <from>
                    <xdr:col>24</xdr:col>
                    <xdr:colOff>9525</xdr:colOff>
                    <xdr:row>31</xdr:row>
                    <xdr:rowOff>361950</xdr:rowOff>
                  </from>
                  <to>
                    <xdr:col>26</xdr:col>
                    <xdr:colOff>9525</xdr:colOff>
                    <xdr:row>32</xdr:row>
                    <xdr:rowOff>304800</xdr:rowOff>
                  </to>
                </anchor>
              </controlPr>
            </control>
          </mc:Choice>
        </mc:AlternateContent>
        <mc:AlternateContent xmlns:mc="http://schemas.openxmlformats.org/markup-compatibility/2006">
          <mc:Choice Requires="x14">
            <control shapeId="100459" r:id="rId27" name="Drop Down 107">
              <controlPr defaultSize="0" autoLine="0" autoPict="0">
                <anchor moveWithCells="1">
                  <from>
                    <xdr:col>24</xdr:col>
                    <xdr:colOff>0</xdr:colOff>
                    <xdr:row>37</xdr:row>
                    <xdr:rowOff>0</xdr:rowOff>
                  </from>
                  <to>
                    <xdr:col>26</xdr:col>
                    <xdr:colOff>0</xdr:colOff>
                    <xdr:row>37</xdr:row>
                    <xdr:rowOff>352425</xdr:rowOff>
                  </to>
                </anchor>
              </controlPr>
            </control>
          </mc:Choice>
        </mc:AlternateContent>
        <mc:AlternateContent xmlns:mc="http://schemas.openxmlformats.org/markup-compatibility/2006">
          <mc:Choice Requires="x14">
            <control shapeId="100461" r:id="rId28" name="Drop Down 109">
              <controlPr defaultSize="0" autoLine="0" autoPict="0">
                <anchor moveWithCells="1">
                  <from>
                    <xdr:col>24</xdr:col>
                    <xdr:colOff>0</xdr:colOff>
                    <xdr:row>33</xdr:row>
                    <xdr:rowOff>323850</xdr:rowOff>
                  </from>
                  <to>
                    <xdr:col>26</xdr:col>
                    <xdr:colOff>19050</xdr:colOff>
                    <xdr:row>35</xdr:row>
                    <xdr:rowOff>47625</xdr:rowOff>
                  </to>
                </anchor>
              </controlPr>
            </control>
          </mc:Choice>
        </mc:AlternateContent>
        <mc:AlternateContent xmlns:mc="http://schemas.openxmlformats.org/markup-compatibility/2006">
          <mc:Choice Requires="x14">
            <control shapeId="100463" r:id="rId29" name="Drop Down 111">
              <controlPr defaultSize="0" autoLine="0" autoPict="0">
                <anchor moveWithCells="1">
                  <from>
                    <xdr:col>23</xdr:col>
                    <xdr:colOff>9525</xdr:colOff>
                    <xdr:row>33</xdr:row>
                    <xdr:rowOff>323850</xdr:rowOff>
                  </from>
                  <to>
                    <xdr:col>24</xdr:col>
                    <xdr:colOff>0</xdr:colOff>
                    <xdr:row>35</xdr:row>
                    <xdr:rowOff>19050</xdr:rowOff>
                  </to>
                </anchor>
              </controlPr>
            </control>
          </mc:Choice>
        </mc:AlternateContent>
        <mc:AlternateContent xmlns:mc="http://schemas.openxmlformats.org/markup-compatibility/2006">
          <mc:Choice Requires="x14">
            <control shapeId="100467" r:id="rId30" name="Drop Down 115">
              <controlPr defaultSize="0" autoLine="0" autoPict="0">
                <anchor moveWithCells="1">
                  <from>
                    <xdr:col>24</xdr:col>
                    <xdr:colOff>9525</xdr:colOff>
                    <xdr:row>49</xdr:row>
                    <xdr:rowOff>0</xdr:rowOff>
                  </from>
                  <to>
                    <xdr:col>25</xdr:col>
                    <xdr:colOff>581025</xdr:colOff>
                    <xdr:row>50</xdr:row>
                    <xdr:rowOff>38100</xdr:rowOff>
                  </to>
                </anchor>
              </controlPr>
            </control>
          </mc:Choice>
        </mc:AlternateContent>
        <mc:AlternateContent xmlns:mc="http://schemas.openxmlformats.org/markup-compatibility/2006">
          <mc:Choice Requires="x14">
            <control shapeId="100469" r:id="rId31" name="Drop Down 117">
              <controlPr defaultSize="0" autoLine="0" autoPict="0">
                <anchor moveWithCells="1">
                  <from>
                    <xdr:col>24</xdr:col>
                    <xdr:colOff>9525</xdr:colOff>
                    <xdr:row>50</xdr:row>
                    <xdr:rowOff>0</xdr:rowOff>
                  </from>
                  <to>
                    <xdr:col>26</xdr:col>
                    <xdr:colOff>0</xdr:colOff>
                    <xdr:row>50</xdr:row>
                    <xdr:rowOff>381000</xdr:rowOff>
                  </to>
                </anchor>
              </controlPr>
            </control>
          </mc:Choice>
        </mc:AlternateContent>
        <mc:AlternateContent xmlns:mc="http://schemas.openxmlformats.org/markup-compatibility/2006">
          <mc:Choice Requires="x14">
            <control shapeId="100471" r:id="rId32" name="Drop Down 119">
              <controlPr defaultSize="0" autoLine="0" autoPict="0">
                <anchor moveWithCells="1">
                  <from>
                    <xdr:col>23</xdr:col>
                    <xdr:colOff>9525</xdr:colOff>
                    <xdr:row>51</xdr:row>
                    <xdr:rowOff>19050</xdr:rowOff>
                  </from>
                  <to>
                    <xdr:col>24</xdr:col>
                    <xdr:colOff>0</xdr:colOff>
                    <xdr:row>51</xdr:row>
                    <xdr:rowOff>361950</xdr:rowOff>
                  </to>
                </anchor>
              </controlPr>
            </control>
          </mc:Choice>
        </mc:AlternateContent>
        <mc:AlternateContent xmlns:mc="http://schemas.openxmlformats.org/markup-compatibility/2006">
          <mc:Choice Requires="x14">
            <control shapeId="100473" r:id="rId33" name="Drop Down 121">
              <controlPr defaultSize="0" autoLine="0" autoPict="0">
                <anchor moveWithCells="1">
                  <from>
                    <xdr:col>23</xdr:col>
                    <xdr:colOff>857250</xdr:colOff>
                    <xdr:row>50</xdr:row>
                    <xdr:rowOff>381000</xdr:rowOff>
                  </from>
                  <to>
                    <xdr:col>26</xdr:col>
                    <xdr:colOff>0</xdr:colOff>
                    <xdr:row>51</xdr:row>
                    <xdr:rowOff>361950</xdr:rowOff>
                  </to>
                </anchor>
              </controlPr>
            </control>
          </mc:Choice>
        </mc:AlternateContent>
        <mc:AlternateContent xmlns:mc="http://schemas.openxmlformats.org/markup-compatibility/2006">
          <mc:Choice Requires="x14">
            <control shapeId="100477" r:id="rId34" name="Drop Down 125">
              <controlPr defaultSize="0" autoLine="0" autoPict="0">
                <anchor moveWithCells="1">
                  <from>
                    <xdr:col>24</xdr:col>
                    <xdr:colOff>19050</xdr:colOff>
                    <xdr:row>56</xdr:row>
                    <xdr:rowOff>438150</xdr:rowOff>
                  </from>
                  <to>
                    <xdr:col>26</xdr:col>
                    <xdr:colOff>0</xdr:colOff>
                    <xdr:row>57</xdr:row>
                    <xdr:rowOff>428625</xdr:rowOff>
                  </to>
                </anchor>
              </controlPr>
            </control>
          </mc:Choice>
        </mc:AlternateContent>
        <mc:AlternateContent xmlns:mc="http://schemas.openxmlformats.org/markup-compatibility/2006">
          <mc:Choice Requires="x14">
            <control shapeId="100504" r:id="rId35" name="Drop Down 152">
              <controlPr defaultSize="0" autoLine="0" autoPict="0">
                <anchor moveWithCells="1">
                  <from>
                    <xdr:col>24</xdr:col>
                    <xdr:colOff>19050</xdr:colOff>
                    <xdr:row>62</xdr:row>
                    <xdr:rowOff>428625</xdr:rowOff>
                  </from>
                  <to>
                    <xdr:col>26</xdr:col>
                    <xdr:colOff>0</xdr:colOff>
                    <xdr:row>63</xdr:row>
                    <xdr:rowOff>381000</xdr:rowOff>
                  </to>
                </anchor>
              </controlPr>
            </control>
          </mc:Choice>
        </mc:AlternateContent>
        <mc:AlternateContent xmlns:mc="http://schemas.openxmlformats.org/markup-compatibility/2006">
          <mc:Choice Requires="x14">
            <control shapeId="100506" r:id="rId36" name="Drop Down 154">
              <controlPr defaultSize="0" autoLine="0" autoPict="0">
                <anchor moveWithCells="1">
                  <from>
                    <xdr:col>24</xdr:col>
                    <xdr:colOff>19050</xdr:colOff>
                    <xdr:row>64</xdr:row>
                    <xdr:rowOff>0</xdr:rowOff>
                  </from>
                  <to>
                    <xdr:col>26</xdr:col>
                    <xdr:colOff>0</xdr:colOff>
                    <xdr:row>64</xdr:row>
                    <xdr:rowOff>361950</xdr:rowOff>
                  </to>
                </anchor>
              </controlPr>
            </control>
          </mc:Choice>
        </mc:AlternateContent>
        <mc:AlternateContent xmlns:mc="http://schemas.openxmlformats.org/markup-compatibility/2006">
          <mc:Choice Requires="x14">
            <control shapeId="100508" r:id="rId37" name="Drop Down 156">
              <controlPr defaultSize="0" autoLine="0" autoPict="0">
                <anchor moveWithCells="1">
                  <from>
                    <xdr:col>24</xdr:col>
                    <xdr:colOff>9525</xdr:colOff>
                    <xdr:row>65</xdr:row>
                    <xdr:rowOff>0</xdr:rowOff>
                  </from>
                  <to>
                    <xdr:col>25</xdr:col>
                    <xdr:colOff>581025</xdr:colOff>
                    <xdr:row>66</xdr:row>
                    <xdr:rowOff>0</xdr:rowOff>
                  </to>
                </anchor>
              </controlPr>
            </control>
          </mc:Choice>
        </mc:AlternateContent>
        <mc:AlternateContent xmlns:mc="http://schemas.openxmlformats.org/markup-compatibility/2006">
          <mc:Choice Requires="x14">
            <control shapeId="100510" r:id="rId38" name="Drop Down 158">
              <controlPr defaultSize="0" autoLine="0" autoPict="0">
                <anchor moveWithCells="1">
                  <from>
                    <xdr:col>23</xdr:col>
                    <xdr:colOff>9525</xdr:colOff>
                    <xdr:row>66</xdr:row>
                    <xdr:rowOff>57150</xdr:rowOff>
                  </from>
                  <to>
                    <xdr:col>24</xdr:col>
                    <xdr:colOff>0</xdr:colOff>
                    <xdr:row>67</xdr:row>
                    <xdr:rowOff>9525</xdr:rowOff>
                  </to>
                </anchor>
              </controlPr>
            </control>
          </mc:Choice>
        </mc:AlternateContent>
        <mc:AlternateContent xmlns:mc="http://schemas.openxmlformats.org/markup-compatibility/2006">
          <mc:Choice Requires="x14">
            <control shapeId="100512" r:id="rId39" name="Drop Down 160">
              <controlPr defaultSize="0" autoLine="0" autoPict="0">
                <anchor moveWithCells="1">
                  <from>
                    <xdr:col>24</xdr:col>
                    <xdr:colOff>19050</xdr:colOff>
                    <xdr:row>66</xdr:row>
                    <xdr:rowOff>38100</xdr:rowOff>
                  </from>
                  <to>
                    <xdr:col>25</xdr:col>
                    <xdr:colOff>581025</xdr:colOff>
                    <xdr:row>67</xdr:row>
                    <xdr:rowOff>19050</xdr:rowOff>
                  </to>
                </anchor>
              </controlPr>
            </control>
          </mc:Choice>
        </mc:AlternateContent>
        <mc:AlternateContent xmlns:mc="http://schemas.openxmlformats.org/markup-compatibility/2006">
          <mc:Choice Requires="x14">
            <control shapeId="100514" r:id="rId40" name="Drop Down 162">
              <controlPr defaultSize="0" autoLine="0" autoPict="0">
                <anchor moveWithCells="1">
                  <from>
                    <xdr:col>24</xdr:col>
                    <xdr:colOff>19050</xdr:colOff>
                    <xdr:row>67</xdr:row>
                    <xdr:rowOff>28575</xdr:rowOff>
                  </from>
                  <to>
                    <xdr:col>25</xdr:col>
                    <xdr:colOff>581025</xdr:colOff>
                    <xdr:row>67</xdr:row>
                    <xdr:rowOff>390525</xdr:rowOff>
                  </to>
                </anchor>
              </controlPr>
            </control>
          </mc:Choice>
        </mc:AlternateContent>
        <mc:AlternateContent xmlns:mc="http://schemas.openxmlformats.org/markup-compatibility/2006">
          <mc:Choice Requires="x14">
            <control shapeId="100516" r:id="rId41" name="Drop Down 164">
              <controlPr defaultSize="0" autoLine="0" autoPict="0">
                <anchor moveWithCells="1">
                  <from>
                    <xdr:col>11</xdr:col>
                    <xdr:colOff>9525</xdr:colOff>
                    <xdr:row>50</xdr:row>
                    <xdr:rowOff>19050</xdr:rowOff>
                  </from>
                  <to>
                    <xdr:col>12</xdr:col>
                    <xdr:colOff>0</xdr:colOff>
                    <xdr:row>51</xdr:row>
                    <xdr:rowOff>9525</xdr:rowOff>
                  </to>
                </anchor>
              </controlPr>
            </control>
          </mc:Choice>
        </mc:AlternateContent>
        <mc:AlternateContent xmlns:mc="http://schemas.openxmlformats.org/markup-compatibility/2006">
          <mc:Choice Requires="x14">
            <control shapeId="100518" r:id="rId42" name="Drop Down 166">
              <controlPr defaultSize="0" autoLine="0" autoPict="0">
                <anchor moveWithCells="1">
                  <from>
                    <xdr:col>14</xdr:col>
                    <xdr:colOff>9525</xdr:colOff>
                    <xdr:row>50</xdr:row>
                    <xdr:rowOff>0</xdr:rowOff>
                  </from>
                  <to>
                    <xdr:col>15</xdr:col>
                    <xdr:colOff>9525</xdr:colOff>
                    <xdr:row>50</xdr:row>
                    <xdr:rowOff>371475</xdr:rowOff>
                  </to>
                </anchor>
              </controlPr>
            </control>
          </mc:Choice>
        </mc:AlternateContent>
        <mc:AlternateContent xmlns:mc="http://schemas.openxmlformats.org/markup-compatibility/2006">
          <mc:Choice Requires="x14">
            <control shapeId="100519" r:id="rId43" name="Drop Down 167">
              <controlPr defaultSize="0" autoLine="0" autoPict="0">
                <anchor moveWithCells="1">
                  <from>
                    <xdr:col>8</xdr:col>
                    <xdr:colOff>0</xdr:colOff>
                    <xdr:row>52</xdr:row>
                    <xdr:rowOff>28575</xdr:rowOff>
                  </from>
                  <to>
                    <xdr:col>12</xdr:col>
                    <xdr:colOff>0</xdr:colOff>
                    <xdr:row>53</xdr:row>
                    <xdr:rowOff>19050</xdr:rowOff>
                  </to>
                </anchor>
              </controlPr>
            </control>
          </mc:Choice>
        </mc:AlternateContent>
        <mc:AlternateContent xmlns:mc="http://schemas.openxmlformats.org/markup-compatibility/2006">
          <mc:Choice Requires="x14">
            <control shapeId="100521" r:id="rId44" name="Drop Down 169">
              <controlPr defaultSize="0" autoLine="0" autoPict="0">
                <anchor moveWithCells="1">
                  <from>
                    <xdr:col>13</xdr:col>
                    <xdr:colOff>485775</xdr:colOff>
                    <xdr:row>52</xdr:row>
                    <xdr:rowOff>9525</xdr:rowOff>
                  </from>
                  <to>
                    <xdr:col>14</xdr:col>
                    <xdr:colOff>857250</xdr:colOff>
                    <xdr:row>52</xdr:row>
                    <xdr:rowOff>381000</xdr:rowOff>
                  </to>
                </anchor>
              </controlPr>
            </control>
          </mc:Choice>
        </mc:AlternateContent>
        <mc:AlternateContent xmlns:mc="http://schemas.openxmlformats.org/markup-compatibility/2006">
          <mc:Choice Requires="x14">
            <control shapeId="100523" r:id="rId45" name="Drop Down 171">
              <controlPr defaultSize="0" autoLine="0" autoPict="0">
                <anchor moveWithCells="1">
                  <from>
                    <xdr:col>9</xdr:col>
                    <xdr:colOff>0</xdr:colOff>
                    <xdr:row>53</xdr:row>
                    <xdr:rowOff>371475</xdr:rowOff>
                  </from>
                  <to>
                    <xdr:col>12</xdr:col>
                    <xdr:colOff>0</xdr:colOff>
                    <xdr:row>54</xdr:row>
                    <xdr:rowOff>361950</xdr:rowOff>
                  </to>
                </anchor>
              </controlPr>
            </control>
          </mc:Choice>
        </mc:AlternateContent>
        <mc:AlternateContent xmlns:mc="http://schemas.openxmlformats.org/markup-compatibility/2006">
          <mc:Choice Requires="x14">
            <control shapeId="100525" r:id="rId46" name="Drop Down 173">
              <controlPr defaultSize="0" autoLine="0" autoPict="0">
                <anchor moveWithCells="1">
                  <from>
                    <xdr:col>14</xdr:col>
                    <xdr:colOff>9525</xdr:colOff>
                    <xdr:row>53</xdr:row>
                    <xdr:rowOff>381000</xdr:rowOff>
                  </from>
                  <to>
                    <xdr:col>14</xdr:col>
                    <xdr:colOff>857250</xdr:colOff>
                    <xdr:row>54</xdr:row>
                    <xdr:rowOff>361950</xdr:rowOff>
                  </to>
                </anchor>
              </controlPr>
            </control>
          </mc:Choice>
        </mc:AlternateContent>
        <mc:AlternateContent xmlns:mc="http://schemas.openxmlformats.org/markup-compatibility/2006">
          <mc:Choice Requires="x14">
            <control shapeId="100526" r:id="rId47" name="Drop Down 174">
              <controlPr defaultSize="0" autoLine="0" autoPict="0">
                <anchor moveWithCells="1">
                  <from>
                    <xdr:col>9</xdr:col>
                    <xdr:colOff>0</xdr:colOff>
                    <xdr:row>56</xdr:row>
                    <xdr:rowOff>19050</xdr:rowOff>
                  </from>
                  <to>
                    <xdr:col>11</xdr:col>
                    <xdr:colOff>819150</xdr:colOff>
                    <xdr:row>56</xdr:row>
                    <xdr:rowOff>400050</xdr:rowOff>
                  </to>
                </anchor>
              </controlPr>
            </control>
          </mc:Choice>
        </mc:AlternateContent>
        <mc:AlternateContent xmlns:mc="http://schemas.openxmlformats.org/markup-compatibility/2006">
          <mc:Choice Requires="x14">
            <control shapeId="100528" r:id="rId48" name="Drop Down 176">
              <controlPr defaultSize="0" autoLine="0" autoPict="0">
                <anchor moveWithCells="1">
                  <from>
                    <xdr:col>14</xdr:col>
                    <xdr:colOff>9525</xdr:colOff>
                    <xdr:row>56</xdr:row>
                    <xdr:rowOff>19050</xdr:rowOff>
                  </from>
                  <to>
                    <xdr:col>15</xdr:col>
                    <xdr:colOff>9525</xdr:colOff>
                    <xdr:row>56</xdr:row>
                    <xdr:rowOff>390525</xdr:rowOff>
                  </to>
                </anchor>
              </controlPr>
            </control>
          </mc:Choice>
        </mc:AlternateContent>
        <mc:AlternateContent xmlns:mc="http://schemas.openxmlformats.org/markup-compatibility/2006">
          <mc:Choice Requires="x14">
            <control shapeId="100532" r:id="rId49" name="Drop Down 180">
              <controlPr defaultSize="0" autoLine="0" autoPict="0">
                <anchor moveWithCells="1">
                  <from>
                    <xdr:col>12</xdr:col>
                    <xdr:colOff>0</xdr:colOff>
                    <xdr:row>39</xdr:row>
                    <xdr:rowOff>342900</xdr:rowOff>
                  </from>
                  <to>
                    <xdr:col>14</xdr:col>
                    <xdr:colOff>28575</xdr:colOff>
                    <xdr:row>41</xdr:row>
                    <xdr:rowOff>19050</xdr:rowOff>
                  </to>
                </anchor>
              </controlPr>
            </control>
          </mc:Choice>
        </mc:AlternateContent>
        <mc:AlternateContent xmlns:mc="http://schemas.openxmlformats.org/markup-compatibility/2006">
          <mc:Choice Requires="x14">
            <control shapeId="100535" r:id="rId50" name="Drop Down 183">
              <controlPr defaultSize="0" autoLine="0" autoPict="0">
                <anchor moveWithCells="1">
                  <from>
                    <xdr:col>5</xdr:col>
                    <xdr:colOff>581025</xdr:colOff>
                    <xdr:row>21</xdr:row>
                    <xdr:rowOff>19050</xdr:rowOff>
                  </from>
                  <to>
                    <xdr:col>6</xdr:col>
                    <xdr:colOff>600075</xdr:colOff>
                    <xdr:row>21</xdr:row>
                    <xdr:rowOff>323850</xdr:rowOff>
                  </to>
                </anchor>
              </controlPr>
            </control>
          </mc:Choice>
        </mc:AlternateContent>
        <mc:AlternateContent xmlns:mc="http://schemas.openxmlformats.org/markup-compatibility/2006">
          <mc:Choice Requires="x14">
            <control shapeId="100619" r:id="rId51" name="Drop Down 267">
              <controlPr defaultSize="0" autoLine="0" autoPict="0">
                <anchor moveWithCells="1">
                  <from>
                    <xdr:col>11</xdr:col>
                    <xdr:colOff>819150</xdr:colOff>
                    <xdr:row>41</xdr:row>
                    <xdr:rowOff>409575</xdr:rowOff>
                  </from>
                  <to>
                    <xdr:col>14</xdr:col>
                    <xdr:colOff>28575</xdr:colOff>
                    <xdr:row>42</xdr:row>
                    <xdr:rowOff>400050</xdr:rowOff>
                  </to>
                </anchor>
              </controlPr>
            </control>
          </mc:Choice>
        </mc:AlternateContent>
        <mc:AlternateContent xmlns:mc="http://schemas.openxmlformats.org/markup-compatibility/2006">
          <mc:Choice Requires="x14">
            <control shapeId="100628" r:id="rId52" name="Drop Down 276">
              <controlPr defaultSize="0" autoLine="0" autoPict="0">
                <anchor moveWithCells="1">
                  <from>
                    <xdr:col>24</xdr:col>
                    <xdr:colOff>9525</xdr:colOff>
                    <xdr:row>35</xdr:row>
                    <xdr:rowOff>66675</xdr:rowOff>
                  </from>
                  <to>
                    <xdr:col>26</xdr:col>
                    <xdr:colOff>9525</xdr:colOff>
                    <xdr:row>36</xdr:row>
                    <xdr:rowOff>28575</xdr:rowOff>
                  </to>
                </anchor>
              </controlPr>
            </control>
          </mc:Choice>
        </mc:AlternateContent>
        <mc:AlternateContent xmlns:mc="http://schemas.openxmlformats.org/markup-compatibility/2006">
          <mc:Choice Requires="x14">
            <control shapeId="100629" r:id="rId53" name="Drop Down 277">
              <controlPr defaultSize="0" autoLine="0" autoPict="0">
                <anchor moveWithCells="1">
                  <from>
                    <xdr:col>24</xdr:col>
                    <xdr:colOff>28575</xdr:colOff>
                    <xdr:row>36</xdr:row>
                    <xdr:rowOff>28575</xdr:rowOff>
                  </from>
                  <to>
                    <xdr:col>26</xdr:col>
                    <xdr:colOff>28575</xdr:colOff>
                    <xdr:row>36</xdr:row>
                    <xdr:rowOff>381000</xdr:rowOff>
                  </to>
                </anchor>
              </controlPr>
            </control>
          </mc:Choice>
        </mc:AlternateContent>
        <mc:AlternateContent xmlns:mc="http://schemas.openxmlformats.org/markup-compatibility/2006">
          <mc:Choice Requires="x14">
            <control shapeId="100631" r:id="rId54" name="Drop Down 279">
              <controlPr defaultSize="0" autoLine="0" autoPict="0">
                <anchor moveWithCells="1">
                  <from>
                    <xdr:col>24</xdr:col>
                    <xdr:colOff>9525</xdr:colOff>
                    <xdr:row>42</xdr:row>
                    <xdr:rowOff>381000</xdr:rowOff>
                  </from>
                  <to>
                    <xdr:col>25</xdr:col>
                    <xdr:colOff>571500</xdr:colOff>
                    <xdr:row>43</xdr:row>
                    <xdr:rowOff>304800</xdr:rowOff>
                  </to>
                </anchor>
              </controlPr>
            </control>
          </mc:Choice>
        </mc:AlternateContent>
        <mc:AlternateContent xmlns:mc="http://schemas.openxmlformats.org/markup-compatibility/2006">
          <mc:Choice Requires="x14">
            <control shapeId="100632" r:id="rId55" name="Drop Down 280">
              <controlPr defaultSize="0" autoLine="0" autoPict="0">
                <anchor moveWithCells="1">
                  <from>
                    <xdr:col>24</xdr:col>
                    <xdr:colOff>28575</xdr:colOff>
                    <xdr:row>43</xdr:row>
                    <xdr:rowOff>323850</xdr:rowOff>
                  </from>
                  <to>
                    <xdr:col>26</xdr:col>
                    <xdr:colOff>0</xdr:colOff>
                    <xdr:row>44</xdr:row>
                    <xdr:rowOff>323850</xdr:rowOff>
                  </to>
                </anchor>
              </controlPr>
            </control>
          </mc:Choice>
        </mc:AlternateContent>
        <mc:AlternateContent xmlns:mc="http://schemas.openxmlformats.org/markup-compatibility/2006">
          <mc:Choice Requires="x14">
            <control shapeId="100667" r:id="rId56" name="Drop Down 315">
              <controlPr defaultSize="0" autoLine="0" autoPict="0">
                <anchor moveWithCells="1">
                  <from>
                    <xdr:col>3</xdr:col>
                    <xdr:colOff>123825</xdr:colOff>
                    <xdr:row>64</xdr:row>
                    <xdr:rowOff>381000</xdr:rowOff>
                  </from>
                  <to>
                    <xdr:col>6</xdr:col>
                    <xdr:colOff>352425</xdr:colOff>
                    <xdr:row>65</xdr:row>
                    <xdr:rowOff>352425</xdr:rowOff>
                  </to>
                </anchor>
              </controlPr>
            </control>
          </mc:Choice>
        </mc:AlternateContent>
        <mc:AlternateContent xmlns:mc="http://schemas.openxmlformats.org/markup-compatibility/2006">
          <mc:Choice Requires="x14">
            <control shapeId="100674" r:id="rId57" name="Drop Down 322">
              <controlPr defaultSize="0" autoLine="0" autoPict="0">
                <anchor moveWithCells="1">
                  <from>
                    <xdr:col>23</xdr:col>
                    <xdr:colOff>9525</xdr:colOff>
                    <xdr:row>61</xdr:row>
                    <xdr:rowOff>0</xdr:rowOff>
                  </from>
                  <to>
                    <xdr:col>23</xdr:col>
                    <xdr:colOff>847725</xdr:colOff>
                    <xdr:row>61</xdr:row>
                    <xdr:rowOff>409575</xdr:rowOff>
                  </to>
                </anchor>
              </controlPr>
            </control>
          </mc:Choice>
        </mc:AlternateContent>
        <mc:AlternateContent xmlns:mc="http://schemas.openxmlformats.org/markup-compatibility/2006">
          <mc:Choice Requires="x14">
            <control shapeId="100675" r:id="rId58" name="Drop Down 323">
              <controlPr defaultSize="0" autoLine="0" autoPict="0">
                <anchor moveWithCells="1">
                  <from>
                    <xdr:col>24</xdr:col>
                    <xdr:colOff>9525</xdr:colOff>
                    <xdr:row>23</xdr:row>
                    <xdr:rowOff>0</xdr:rowOff>
                  </from>
                  <to>
                    <xdr:col>25</xdr:col>
                    <xdr:colOff>581025</xdr:colOff>
                    <xdr:row>23</xdr:row>
                    <xdr:rowOff>447675</xdr:rowOff>
                  </to>
                </anchor>
              </controlPr>
            </control>
          </mc:Choice>
        </mc:AlternateContent>
        <mc:AlternateContent xmlns:mc="http://schemas.openxmlformats.org/markup-compatibility/2006">
          <mc:Choice Requires="x14">
            <control shapeId="100676" r:id="rId59" name="Drop Down 324">
              <controlPr defaultSize="0" autoLine="0" autoPict="0">
                <anchor moveWithCells="1">
                  <from>
                    <xdr:col>24</xdr:col>
                    <xdr:colOff>19050</xdr:colOff>
                    <xdr:row>23</xdr:row>
                    <xdr:rowOff>457200</xdr:rowOff>
                  </from>
                  <to>
                    <xdr:col>26</xdr:col>
                    <xdr:colOff>19050</xdr:colOff>
                    <xdr:row>25</xdr:row>
                    <xdr:rowOff>0</xdr:rowOff>
                  </to>
                </anchor>
              </controlPr>
            </control>
          </mc:Choice>
        </mc:AlternateContent>
        <mc:AlternateContent xmlns:mc="http://schemas.openxmlformats.org/markup-compatibility/2006">
          <mc:Choice Requires="x14">
            <control shapeId="100679" r:id="rId60" name="Drop Down 327">
              <controlPr defaultSize="0" autoLine="0" autoPict="0">
                <anchor moveWithCells="1">
                  <from>
                    <xdr:col>23</xdr:col>
                    <xdr:colOff>866775</xdr:colOff>
                    <xdr:row>25</xdr:row>
                    <xdr:rowOff>409575</xdr:rowOff>
                  </from>
                  <to>
                    <xdr:col>26</xdr:col>
                    <xdr:colOff>9525</xdr:colOff>
                    <xdr:row>26</xdr:row>
                    <xdr:rowOff>361950</xdr:rowOff>
                  </to>
                </anchor>
              </controlPr>
            </control>
          </mc:Choice>
        </mc:AlternateContent>
        <mc:AlternateContent xmlns:mc="http://schemas.openxmlformats.org/markup-compatibility/2006">
          <mc:Choice Requires="x14">
            <control shapeId="100682" r:id="rId61" name="Drop Down 330">
              <controlPr defaultSize="0" autoLine="0" autoPict="0">
                <anchor moveWithCells="1">
                  <from>
                    <xdr:col>24</xdr:col>
                    <xdr:colOff>9525</xdr:colOff>
                    <xdr:row>53</xdr:row>
                    <xdr:rowOff>371475</xdr:rowOff>
                  </from>
                  <to>
                    <xdr:col>25</xdr:col>
                    <xdr:colOff>581025</xdr:colOff>
                    <xdr:row>55</xdr:row>
                    <xdr:rowOff>38100</xdr:rowOff>
                  </to>
                </anchor>
              </controlPr>
            </control>
          </mc:Choice>
        </mc:AlternateContent>
        <mc:AlternateContent xmlns:mc="http://schemas.openxmlformats.org/markup-compatibility/2006">
          <mc:Choice Requires="x14">
            <control shapeId="100684" r:id="rId62" name="Drop Down 332">
              <controlPr defaultSize="0" autoLine="0" autoPict="0">
                <anchor moveWithCells="1">
                  <from>
                    <xdr:col>23</xdr:col>
                    <xdr:colOff>866775</xdr:colOff>
                    <xdr:row>55</xdr:row>
                    <xdr:rowOff>28575</xdr:rowOff>
                  </from>
                  <to>
                    <xdr:col>25</xdr:col>
                    <xdr:colOff>581025</xdr:colOff>
                    <xdr:row>55</xdr:row>
                    <xdr:rowOff>428625</xdr:rowOff>
                  </to>
                </anchor>
              </controlPr>
            </control>
          </mc:Choice>
        </mc:AlternateContent>
        <mc:AlternateContent xmlns:mc="http://schemas.openxmlformats.org/markup-compatibility/2006">
          <mc:Choice Requires="x14">
            <control shapeId="100690" r:id="rId63" name="Drop Down 338">
              <controlPr defaultSize="0" autoLine="0" autoPict="0">
                <anchor moveWithCells="1">
                  <from>
                    <xdr:col>24</xdr:col>
                    <xdr:colOff>104775</xdr:colOff>
                    <xdr:row>83</xdr:row>
                    <xdr:rowOff>333375</xdr:rowOff>
                  </from>
                  <to>
                    <xdr:col>25</xdr:col>
                    <xdr:colOff>476250</xdr:colOff>
                    <xdr:row>84</xdr:row>
                    <xdr:rowOff>381000</xdr:rowOff>
                  </to>
                </anchor>
              </controlPr>
            </control>
          </mc:Choice>
        </mc:AlternateContent>
        <mc:AlternateContent xmlns:mc="http://schemas.openxmlformats.org/markup-compatibility/2006">
          <mc:Choice Requires="x14">
            <control shapeId="100757" r:id="rId64" name="Drop Down 405">
              <controlPr defaultSize="0" autoLine="0" autoPict="0">
                <anchor moveWithCells="1">
                  <from>
                    <xdr:col>24</xdr:col>
                    <xdr:colOff>0</xdr:colOff>
                    <xdr:row>125</xdr:row>
                    <xdr:rowOff>9525</xdr:rowOff>
                  </from>
                  <to>
                    <xdr:col>25</xdr:col>
                    <xdr:colOff>409575</xdr:colOff>
                    <xdr:row>125</xdr:row>
                    <xdr:rowOff>457200</xdr:rowOff>
                  </to>
                </anchor>
              </controlPr>
            </control>
          </mc:Choice>
        </mc:AlternateContent>
        <mc:AlternateContent xmlns:mc="http://schemas.openxmlformats.org/markup-compatibility/2006">
          <mc:Choice Requires="x14">
            <control shapeId="100759" r:id="rId65" name="Drop Down 407">
              <controlPr defaultSize="0" autoLine="0" autoPict="0">
                <anchor moveWithCells="1">
                  <from>
                    <xdr:col>26</xdr:col>
                    <xdr:colOff>552450</xdr:colOff>
                    <xdr:row>125</xdr:row>
                    <xdr:rowOff>0</xdr:rowOff>
                  </from>
                  <to>
                    <xdr:col>27</xdr:col>
                    <xdr:colOff>714375</xdr:colOff>
                    <xdr:row>125</xdr:row>
                    <xdr:rowOff>447675</xdr:rowOff>
                  </to>
                </anchor>
              </controlPr>
            </control>
          </mc:Choice>
        </mc:AlternateContent>
        <mc:AlternateContent xmlns:mc="http://schemas.openxmlformats.org/markup-compatibility/2006">
          <mc:Choice Requires="x14">
            <control shapeId="100760" r:id="rId66" name="Drop Down 408">
              <controlPr defaultSize="0" autoLine="0" autoPict="0">
                <anchor moveWithCells="1">
                  <from>
                    <xdr:col>25</xdr:col>
                    <xdr:colOff>409575</xdr:colOff>
                    <xdr:row>124</xdr:row>
                    <xdr:rowOff>19050</xdr:rowOff>
                  </from>
                  <to>
                    <xdr:col>26</xdr:col>
                    <xdr:colOff>533400</xdr:colOff>
                    <xdr:row>124</xdr:row>
                    <xdr:rowOff>400050</xdr:rowOff>
                  </to>
                </anchor>
              </controlPr>
            </control>
          </mc:Choice>
        </mc:AlternateContent>
        <mc:AlternateContent xmlns:mc="http://schemas.openxmlformats.org/markup-compatibility/2006">
          <mc:Choice Requires="x14">
            <control shapeId="100761" r:id="rId67" name="Drop Down 409">
              <controlPr defaultSize="0" autoLine="0" autoPict="0">
                <anchor moveWithCells="1">
                  <from>
                    <xdr:col>24</xdr:col>
                    <xdr:colOff>9525</xdr:colOff>
                    <xdr:row>126</xdr:row>
                    <xdr:rowOff>19050</xdr:rowOff>
                  </from>
                  <to>
                    <xdr:col>25</xdr:col>
                    <xdr:colOff>428625</xdr:colOff>
                    <xdr:row>126</xdr:row>
                    <xdr:rowOff>400050</xdr:rowOff>
                  </to>
                </anchor>
              </controlPr>
            </control>
          </mc:Choice>
        </mc:AlternateContent>
        <mc:AlternateContent xmlns:mc="http://schemas.openxmlformats.org/markup-compatibility/2006">
          <mc:Choice Requires="x14">
            <control shapeId="100763" r:id="rId68" name="Drop Down 411">
              <controlPr defaultSize="0" autoLine="0" autoPict="0">
                <anchor moveWithCells="1">
                  <from>
                    <xdr:col>24</xdr:col>
                    <xdr:colOff>9525</xdr:colOff>
                    <xdr:row>128</xdr:row>
                    <xdr:rowOff>19050</xdr:rowOff>
                  </from>
                  <to>
                    <xdr:col>25</xdr:col>
                    <xdr:colOff>428625</xdr:colOff>
                    <xdr:row>128</xdr:row>
                    <xdr:rowOff>400050</xdr:rowOff>
                  </to>
                </anchor>
              </controlPr>
            </control>
          </mc:Choice>
        </mc:AlternateContent>
        <mc:AlternateContent xmlns:mc="http://schemas.openxmlformats.org/markup-compatibility/2006">
          <mc:Choice Requires="x14">
            <control shapeId="100764" r:id="rId69" name="Drop Down 412">
              <controlPr defaultSize="0" autoLine="0" autoPict="0">
                <anchor moveWithCells="1">
                  <from>
                    <xdr:col>24</xdr:col>
                    <xdr:colOff>9525</xdr:colOff>
                    <xdr:row>129</xdr:row>
                    <xdr:rowOff>19050</xdr:rowOff>
                  </from>
                  <to>
                    <xdr:col>25</xdr:col>
                    <xdr:colOff>428625</xdr:colOff>
                    <xdr:row>129</xdr:row>
                    <xdr:rowOff>400050</xdr:rowOff>
                  </to>
                </anchor>
              </controlPr>
            </control>
          </mc:Choice>
        </mc:AlternateContent>
        <mc:AlternateContent xmlns:mc="http://schemas.openxmlformats.org/markup-compatibility/2006">
          <mc:Choice Requires="x14">
            <control shapeId="100765" r:id="rId70" name="Drop Down 413">
              <controlPr defaultSize="0" autoLine="0" autoPict="0">
                <anchor moveWithCells="1">
                  <from>
                    <xdr:col>24</xdr:col>
                    <xdr:colOff>0</xdr:colOff>
                    <xdr:row>136</xdr:row>
                    <xdr:rowOff>9525</xdr:rowOff>
                  </from>
                  <to>
                    <xdr:col>25</xdr:col>
                    <xdr:colOff>409575</xdr:colOff>
                    <xdr:row>136</xdr:row>
                    <xdr:rowOff>419100</xdr:rowOff>
                  </to>
                </anchor>
              </controlPr>
            </control>
          </mc:Choice>
        </mc:AlternateContent>
        <mc:AlternateContent xmlns:mc="http://schemas.openxmlformats.org/markup-compatibility/2006">
          <mc:Choice Requires="x14">
            <control shapeId="100766" r:id="rId71" name="Drop Down 414">
              <controlPr defaultSize="0" autoLine="0" autoPict="0">
                <anchor moveWithCells="1">
                  <from>
                    <xdr:col>26</xdr:col>
                    <xdr:colOff>552450</xdr:colOff>
                    <xdr:row>136</xdr:row>
                    <xdr:rowOff>0</xdr:rowOff>
                  </from>
                  <to>
                    <xdr:col>27</xdr:col>
                    <xdr:colOff>714375</xdr:colOff>
                    <xdr:row>136</xdr:row>
                    <xdr:rowOff>400050</xdr:rowOff>
                  </to>
                </anchor>
              </controlPr>
            </control>
          </mc:Choice>
        </mc:AlternateContent>
        <mc:AlternateContent xmlns:mc="http://schemas.openxmlformats.org/markup-compatibility/2006">
          <mc:Choice Requires="x14">
            <control shapeId="100767" r:id="rId72" name="Drop Down 415">
              <controlPr defaultSize="0" autoLine="0" autoPict="0">
                <anchor moveWithCells="1">
                  <from>
                    <xdr:col>25</xdr:col>
                    <xdr:colOff>419100</xdr:colOff>
                    <xdr:row>135</xdr:row>
                    <xdr:rowOff>104775</xdr:rowOff>
                  </from>
                  <to>
                    <xdr:col>26</xdr:col>
                    <xdr:colOff>542925</xdr:colOff>
                    <xdr:row>135</xdr:row>
                    <xdr:rowOff>466725</xdr:rowOff>
                  </to>
                </anchor>
              </controlPr>
            </control>
          </mc:Choice>
        </mc:AlternateContent>
        <mc:AlternateContent xmlns:mc="http://schemas.openxmlformats.org/markup-compatibility/2006">
          <mc:Choice Requires="x14">
            <control shapeId="100768" r:id="rId73" name="Drop Down 416">
              <controlPr defaultSize="0" autoLine="0" autoPict="0">
                <anchor moveWithCells="1">
                  <from>
                    <xdr:col>24</xdr:col>
                    <xdr:colOff>9525</xdr:colOff>
                    <xdr:row>143</xdr:row>
                    <xdr:rowOff>9525</xdr:rowOff>
                  </from>
                  <to>
                    <xdr:col>25</xdr:col>
                    <xdr:colOff>419100</xdr:colOff>
                    <xdr:row>143</xdr:row>
                    <xdr:rowOff>447675</xdr:rowOff>
                  </to>
                </anchor>
              </controlPr>
            </control>
          </mc:Choice>
        </mc:AlternateContent>
        <mc:AlternateContent xmlns:mc="http://schemas.openxmlformats.org/markup-compatibility/2006">
          <mc:Choice Requires="x14">
            <control shapeId="100769" r:id="rId74" name="Drop Down 417">
              <controlPr defaultSize="0" autoLine="0" autoPict="0">
                <anchor moveWithCells="1">
                  <from>
                    <xdr:col>26</xdr:col>
                    <xdr:colOff>590550</xdr:colOff>
                    <xdr:row>143</xdr:row>
                    <xdr:rowOff>0</xdr:rowOff>
                  </from>
                  <to>
                    <xdr:col>27</xdr:col>
                    <xdr:colOff>714375</xdr:colOff>
                    <xdr:row>143</xdr:row>
                    <xdr:rowOff>438150</xdr:rowOff>
                  </to>
                </anchor>
              </controlPr>
            </control>
          </mc:Choice>
        </mc:AlternateContent>
        <mc:AlternateContent xmlns:mc="http://schemas.openxmlformats.org/markup-compatibility/2006">
          <mc:Choice Requires="x14">
            <control shapeId="100770" r:id="rId75" name="Drop Down 418">
              <controlPr defaultSize="0" autoLine="0" autoPict="0">
                <anchor moveWithCells="1">
                  <from>
                    <xdr:col>25</xdr:col>
                    <xdr:colOff>419100</xdr:colOff>
                    <xdr:row>142</xdr:row>
                    <xdr:rowOff>104775</xdr:rowOff>
                  </from>
                  <to>
                    <xdr:col>26</xdr:col>
                    <xdr:colOff>542925</xdr:colOff>
                    <xdr:row>143</xdr:row>
                    <xdr:rowOff>0</xdr:rowOff>
                  </to>
                </anchor>
              </controlPr>
            </control>
          </mc:Choice>
        </mc:AlternateContent>
        <mc:AlternateContent xmlns:mc="http://schemas.openxmlformats.org/markup-compatibility/2006">
          <mc:Choice Requires="x14">
            <control shapeId="100771" r:id="rId76" name="Drop Down 419">
              <controlPr defaultSize="0" autoLine="0" autoPict="0">
                <anchor moveWithCells="1">
                  <from>
                    <xdr:col>24</xdr:col>
                    <xdr:colOff>85725</xdr:colOff>
                    <xdr:row>91</xdr:row>
                    <xdr:rowOff>0</xdr:rowOff>
                  </from>
                  <to>
                    <xdr:col>25</xdr:col>
                    <xdr:colOff>457200</xdr:colOff>
                    <xdr:row>91</xdr:row>
                    <xdr:rowOff>400050</xdr:rowOff>
                  </to>
                </anchor>
              </controlPr>
            </control>
          </mc:Choice>
        </mc:AlternateContent>
        <mc:AlternateContent xmlns:mc="http://schemas.openxmlformats.org/markup-compatibility/2006">
          <mc:Choice Requires="x14">
            <control shapeId="100772" r:id="rId77" name="Drop Down 420">
              <controlPr defaultSize="0" autoLine="0" autoPict="0">
                <anchor moveWithCells="1">
                  <from>
                    <xdr:col>24</xdr:col>
                    <xdr:colOff>85725</xdr:colOff>
                    <xdr:row>98</xdr:row>
                    <xdr:rowOff>0</xdr:rowOff>
                  </from>
                  <to>
                    <xdr:col>25</xdr:col>
                    <xdr:colOff>457200</xdr:colOff>
                    <xdr:row>98</xdr:row>
                    <xdr:rowOff>400050</xdr:rowOff>
                  </to>
                </anchor>
              </controlPr>
            </control>
          </mc:Choice>
        </mc:AlternateContent>
        <mc:AlternateContent xmlns:mc="http://schemas.openxmlformats.org/markup-compatibility/2006">
          <mc:Choice Requires="x14">
            <control shapeId="100773" r:id="rId78" name="Drop Down 421">
              <controlPr defaultSize="0" autoLine="0" autoPict="0">
                <anchor moveWithCells="1">
                  <from>
                    <xdr:col>24</xdr:col>
                    <xdr:colOff>257175</xdr:colOff>
                    <xdr:row>150</xdr:row>
                    <xdr:rowOff>76200</xdr:rowOff>
                  </from>
                  <to>
                    <xdr:col>25</xdr:col>
                    <xdr:colOff>457200</xdr:colOff>
                    <xdr:row>150</xdr:row>
                    <xdr:rowOff>466725</xdr:rowOff>
                  </to>
                </anchor>
              </controlPr>
            </control>
          </mc:Choice>
        </mc:AlternateContent>
        <mc:AlternateContent xmlns:mc="http://schemas.openxmlformats.org/markup-compatibility/2006">
          <mc:Choice Requires="x14">
            <control shapeId="100774" r:id="rId79" name="Drop Down 422">
              <controlPr defaultSize="0" autoLine="0" autoPict="0">
                <anchor moveWithCells="1">
                  <from>
                    <xdr:col>24</xdr:col>
                    <xdr:colOff>85725</xdr:colOff>
                    <xdr:row>105</xdr:row>
                    <xdr:rowOff>0</xdr:rowOff>
                  </from>
                  <to>
                    <xdr:col>25</xdr:col>
                    <xdr:colOff>457200</xdr:colOff>
                    <xdr:row>105</xdr:row>
                    <xdr:rowOff>438150</xdr:rowOff>
                  </to>
                </anchor>
              </controlPr>
            </control>
          </mc:Choice>
        </mc:AlternateContent>
        <mc:AlternateContent xmlns:mc="http://schemas.openxmlformats.org/markup-compatibility/2006">
          <mc:Choice Requires="x14">
            <control shapeId="100775" r:id="rId80" name="Drop Down 423">
              <controlPr defaultSize="0" autoLine="0" autoPict="0">
                <anchor moveWithCells="1">
                  <from>
                    <xdr:col>26</xdr:col>
                    <xdr:colOff>9525</xdr:colOff>
                    <xdr:row>73</xdr:row>
                    <xdr:rowOff>0</xdr:rowOff>
                  </from>
                  <to>
                    <xdr:col>27</xdr:col>
                    <xdr:colOff>161925</xdr:colOff>
                    <xdr:row>73</xdr:row>
                    <xdr:rowOff>390525</xdr:rowOff>
                  </to>
                </anchor>
              </controlPr>
            </control>
          </mc:Choice>
        </mc:AlternateContent>
        <mc:AlternateContent xmlns:mc="http://schemas.openxmlformats.org/markup-compatibility/2006">
          <mc:Choice Requires="x14">
            <control shapeId="100776" r:id="rId81" name="Drop Down 424">
              <controlPr defaultSize="0" autoLine="0" autoPict="0">
                <anchor moveWithCells="1">
                  <from>
                    <xdr:col>23</xdr:col>
                    <xdr:colOff>0</xdr:colOff>
                    <xdr:row>72</xdr:row>
                    <xdr:rowOff>381000</xdr:rowOff>
                  </from>
                  <to>
                    <xdr:col>23</xdr:col>
                    <xdr:colOff>866775</xdr:colOff>
                    <xdr:row>73</xdr:row>
                    <xdr:rowOff>371475</xdr:rowOff>
                  </to>
                </anchor>
              </controlPr>
            </control>
          </mc:Choice>
        </mc:AlternateContent>
        <mc:AlternateContent xmlns:mc="http://schemas.openxmlformats.org/markup-compatibility/2006">
          <mc:Choice Requires="x14">
            <control shapeId="100777" r:id="rId82" name="Drop Down 425">
              <controlPr defaultSize="0" autoLine="0" autoPict="0">
                <anchor moveWithCells="1">
                  <from>
                    <xdr:col>11</xdr:col>
                    <xdr:colOff>819150</xdr:colOff>
                    <xdr:row>36</xdr:row>
                    <xdr:rowOff>352425</xdr:rowOff>
                  </from>
                  <to>
                    <xdr:col>14</xdr:col>
                    <xdr:colOff>19050</xdr:colOff>
                    <xdr:row>37</xdr:row>
                    <xdr:rowOff>333375</xdr:rowOff>
                  </to>
                </anchor>
              </controlPr>
            </control>
          </mc:Choice>
        </mc:AlternateContent>
        <mc:AlternateContent xmlns:mc="http://schemas.openxmlformats.org/markup-compatibility/2006">
          <mc:Choice Requires="x14">
            <control shapeId="100778" r:id="rId83" name="Drop Down 426">
              <controlPr defaultSize="0" autoLine="0" autoPict="0">
                <anchor moveWithCells="1">
                  <from>
                    <xdr:col>24</xdr:col>
                    <xdr:colOff>85725</xdr:colOff>
                    <xdr:row>112</xdr:row>
                    <xdr:rowOff>0</xdr:rowOff>
                  </from>
                  <to>
                    <xdr:col>25</xdr:col>
                    <xdr:colOff>457200</xdr:colOff>
                    <xdr:row>112</xdr:row>
                    <xdr:rowOff>438150</xdr:rowOff>
                  </to>
                </anchor>
              </controlPr>
            </control>
          </mc:Choice>
        </mc:AlternateContent>
        <mc:AlternateContent xmlns:mc="http://schemas.openxmlformats.org/markup-compatibility/2006">
          <mc:Choice Requires="x14">
            <control shapeId="100779" r:id="rId84" name="Drop Down 427">
              <controlPr defaultSize="0" autoLine="0" autoPict="0">
                <anchor moveWithCells="1">
                  <from>
                    <xdr:col>24</xdr:col>
                    <xdr:colOff>85725</xdr:colOff>
                    <xdr:row>119</xdr:row>
                    <xdr:rowOff>0</xdr:rowOff>
                  </from>
                  <to>
                    <xdr:col>25</xdr:col>
                    <xdr:colOff>457200</xdr:colOff>
                    <xdr:row>119</xdr:row>
                    <xdr:rowOff>438150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6" id="{031E079E-AE48-471A-BF11-459038D5890D}">
            <xm:f>IF(Formula!$L$403=2,$X$87,"")</xm:f>
            <x14:dxf>
              <font>
                <color theme="0"/>
              </font>
              <fill>
                <patternFill>
                  <bgColor rgb="FF002060"/>
                </patternFill>
              </fill>
              <border>
                <left style="dashed">
                  <color rgb="FF002060"/>
                </left>
                <right style="dashed">
                  <color rgb="FF002060"/>
                </right>
                <top style="dashed">
                  <color rgb="FF002060"/>
                </top>
                <bottom style="dashed">
                  <color rgb="FF002060"/>
                </bottom>
                <vertical/>
                <horizontal/>
              </border>
            </x14:dxf>
          </x14:cfRule>
          <xm:sqref>X87</xm:sqref>
        </x14:conditionalFormatting>
        <x14:conditionalFormatting xmlns:xm="http://schemas.microsoft.com/office/excel/2006/main">
          <x14:cfRule type="expression" priority="28" id="{0E1BC65B-E4DF-4F68-9CDC-D4F60B1B723B}">
            <xm:f>IF(Formula!$L$429=2,$X94,"")</xm:f>
            <x14:dxf>
              <fill>
                <patternFill>
                  <bgColor rgb="FF92D050"/>
                </patternFill>
              </fill>
              <border>
                <left style="dashed">
                  <color rgb="FF002060"/>
                </left>
                <right style="dashed">
                  <color rgb="FF002060"/>
                </right>
                <top style="dashed">
                  <color rgb="FF002060"/>
                </top>
                <bottom style="dashed">
                  <color rgb="FF002060"/>
                </bottom>
                <vertical/>
                <horizontal/>
              </border>
            </x14:dxf>
          </x14:cfRule>
          <xm:sqref>X94</xm:sqref>
        </x14:conditionalFormatting>
        <x14:conditionalFormatting xmlns:xm="http://schemas.microsoft.com/office/excel/2006/main">
          <x14:cfRule type="expression" priority="14" id="{38BD19E7-C15B-4FD4-9756-C2F082C3842D}">
            <xm:f>IF(Formula!$L$453=2,$X101,"")</xm:f>
            <x14:dxf>
              <fill>
                <patternFill>
                  <bgColor rgb="FF92D050"/>
                </patternFill>
              </fill>
              <border>
                <left style="dashed">
                  <color rgb="FF002060"/>
                </left>
                <right style="dashed">
                  <color rgb="FF002060"/>
                </right>
                <top style="dashed">
                  <color rgb="FF002060"/>
                </top>
                <bottom style="dashed">
                  <color rgb="FF002060"/>
                </bottom>
                <vertical/>
                <horizontal/>
              </border>
            </x14:dxf>
          </x14:cfRule>
          <xm:sqref>X101</xm:sqref>
        </x14:conditionalFormatting>
        <x14:conditionalFormatting xmlns:xm="http://schemas.microsoft.com/office/excel/2006/main">
          <x14:cfRule type="expression" priority="11" id="{B612E50A-51FF-49FA-8E78-43403F7835F2}">
            <xm:f>IF(Formula!$L$478=2,$X$108,"")</xm:f>
            <x14:dxf>
              <font>
                <color theme="0"/>
              </font>
              <fill>
                <patternFill>
                  <bgColor rgb="FF0070C0"/>
                </patternFill>
              </fill>
              <border>
                <left style="dotted">
                  <color rgb="FF0070C0"/>
                </left>
                <right style="dotted">
                  <color rgb="FF0070C0"/>
                </right>
                <top style="dotted">
                  <color rgb="FF0070C0"/>
                </top>
                <bottom style="dotted">
                  <color rgb="FF0070C0"/>
                </bottom>
                <vertical/>
                <horizontal/>
              </border>
            </x14:dxf>
          </x14:cfRule>
          <xm:sqref>X108</xm:sqref>
        </x14:conditionalFormatting>
        <x14:conditionalFormatting xmlns:xm="http://schemas.microsoft.com/office/excel/2006/main">
          <x14:cfRule type="expression" priority="10" id="{345FE155-B0E7-4072-A897-282D27DDF389}">
            <xm:f>IF(Formula!$L$504=2,$X$115,"")</xm:f>
            <x14:dxf>
              <font>
                <color theme="0"/>
              </font>
              <fill>
                <patternFill>
                  <bgColor theme="1"/>
                </patternFill>
              </fill>
              <border>
                <left style="dashed">
                  <color rgb="FFC00000"/>
                </left>
                <right style="dashed">
                  <color rgb="FFC00000"/>
                </right>
                <top style="dashed">
                  <color rgb="FFC00000"/>
                </top>
                <bottom style="dashed">
                  <color rgb="FFC00000"/>
                </bottom>
                <vertical/>
                <horizontal/>
              </border>
            </x14:dxf>
          </x14:cfRule>
          <xm:sqref>X115</xm:sqref>
        </x14:conditionalFormatting>
        <x14:conditionalFormatting xmlns:xm="http://schemas.microsoft.com/office/excel/2006/main">
          <x14:cfRule type="expression" priority="2" id="{515337EF-23D5-4044-B4EE-AB9BD626DDD6}">
            <xm:f>IF(Formula!$L$530=2,$X$115,"")</xm:f>
            <x14:dxf>
              <font>
                <color auto="1"/>
              </font>
              <fill>
                <patternFill>
                  <bgColor rgb="FFFFFF00"/>
                </patternFill>
              </fill>
              <border>
                <left style="dashed">
                  <color rgb="FFC00000"/>
                </left>
                <right style="dashed">
                  <color rgb="FFC00000"/>
                </right>
                <top style="dashed">
                  <color rgb="FFC00000"/>
                </top>
                <bottom style="dashed">
                  <color rgb="FFC00000"/>
                </bottom>
                <vertical/>
                <horizontal/>
              </border>
            </x14:dxf>
          </x14:cfRule>
          <xm:sqref>X122</xm:sqref>
        </x14:conditionalFormatting>
        <x14:conditionalFormatting xmlns:xm="http://schemas.microsoft.com/office/excel/2006/main">
          <x14:cfRule type="expression" priority="45" id="{A5ACA68F-6048-4A55-B18C-9B162EA821D0}">
            <xm:f>IF(AND(Formula!$L$403=2,Formula!$GE$3=2),$Y$87,"")</xm:f>
            <x14:dxf>
              <fill>
                <patternFill>
                  <bgColor rgb="FFFFC000"/>
                </patternFill>
              </fill>
              <border>
                <left style="dashed">
                  <color rgb="FF002060"/>
                </left>
                <right style="dashed">
                  <color rgb="FF002060"/>
                </right>
                <top style="dashed">
                  <color rgb="FF002060"/>
                </top>
                <bottom style="dashed">
                  <color rgb="FF002060"/>
                </bottom>
                <vertical/>
                <horizontal/>
              </border>
            </x14:dxf>
          </x14:cfRule>
          <xm:sqref>Y87:Z87</xm:sqref>
        </x14:conditionalFormatting>
        <x14:conditionalFormatting xmlns:xm="http://schemas.microsoft.com/office/excel/2006/main">
          <x14:cfRule type="expression" priority="15" id="{4225345C-41F2-4255-A87C-51462EEEE642}">
            <xm:f>IF(AND(Formula!$L$429=2,Formula!$GE$3=2),$Y$94,"")</xm:f>
            <x14:dxf>
              <fill>
                <patternFill>
                  <bgColor rgb="FF00B0F0"/>
                </patternFill>
              </fill>
              <border>
                <left style="dashed">
                  <color rgb="FF002060"/>
                </left>
                <right style="dashed">
                  <color rgb="FF002060"/>
                </right>
                <top style="dashed">
                  <color rgb="FF002060"/>
                </top>
                <bottom style="dashed">
                  <color rgb="FF002060"/>
                </bottom>
                <vertical/>
                <horizontal/>
              </border>
            </x14:dxf>
          </x14:cfRule>
          <xm:sqref>Y94:Z94</xm:sqref>
        </x14:conditionalFormatting>
        <x14:conditionalFormatting xmlns:xm="http://schemas.microsoft.com/office/excel/2006/main">
          <x14:cfRule type="expression" priority="56" id="{5C27B276-29FE-4565-86C5-A40361B2D9C4}">
            <xm:f>IF(AND(Formula!$GE$3=2,Formula!$L$453=2),$Y$101,"")</xm:f>
            <x14:dxf>
              <font>
                <color theme="0"/>
              </font>
              <fill>
                <patternFill>
                  <bgColor rgb="FF0070C0"/>
                </patternFill>
              </fill>
              <border>
                <left style="dashed">
                  <color rgb="FFFF0000"/>
                </left>
                <right style="dashed">
                  <color rgb="FFFF0000"/>
                </right>
                <top style="dashed">
                  <color rgb="FFFF0000"/>
                </top>
                <bottom style="dashed">
                  <color rgb="FFFF0000"/>
                </bottom>
                <vertical/>
                <horizontal/>
              </border>
            </x14:dxf>
          </x14:cfRule>
          <xm:sqref>Y101:Z101</xm:sqref>
        </x14:conditionalFormatting>
        <x14:conditionalFormatting xmlns:xm="http://schemas.microsoft.com/office/excel/2006/main">
          <x14:cfRule type="expression" priority="13" id="{FB5C85AE-2D7A-4D12-826A-7183DE209880}">
            <xm:f>IF(AND(Formula!$GE$3=2,Formula!$L$478=2),$Y$108,"")</xm:f>
            <x14:dxf>
              <font>
                <color theme="0"/>
              </font>
              <fill>
                <patternFill>
                  <bgColor theme="4"/>
                </patternFill>
              </fill>
              <border>
                <left style="dashed">
                  <color rgb="FFFF0000"/>
                </left>
                <right style="dashed">
                  <color rgb="FFFF0000"/>
                </right>
                <top style="dashed">
                  <color rgb="FFFF0000"/>
                </top>
                <bottom style="dashed">
                  <color rgb="FFFF0000"/>
                </bottom>
                <vertical/>
                <horizontal/>
              </border>
            </x14:dxf>
          </x14:cfRule>
          <xm:sqref>Y108:Z108</xm:sqref>
        </x14:conditionalFormatting>
        <x14:conditionalFormatting xmlns:xm="http://schemas.microsoft.com/office/excel/2006/main">
          <x14:cfRule type="expression" priority="3" id="{88F1522D-7383-48F9-9398-131FE01F3E2C}">
            <xm:f>IF(AND(Formula!$L$504=2,Formula!$GE$3=2),$X$115,"")</xm:f>
            <x14:dxf>
              <font>
                <color rgb="FFFF0000"/>
              </font>
              <fill>
                <patternFill>
                  <bgColor rgb="FFFFC000"/>
                </patternFill>
              </fill>
              <border>
                <left style="dashed">
                  <color rgb="FFFF0000"/>
                </left>
                <right style="dashed">
                  <color rgb="FFFF0000"/>
                </right>
                <top style="dashed">
                  <color rgb="FFFF0000"/>
                </top>
                <bottom style="dashed">
                  <color rgb="FFFF0000"/>
                </bottom>
                <vertical/>
                <horizontal/>
              </border>
            </x14:dxf>
          </x14:cfRule>
          <xm:sqref>Y115:Z115</xm:sqref>
        </x14:conditionalFormatting>
        <x14:conditionalFormatting xmlns:xm="http://schemas.microsoft.com/office/excel/2006/main">
          <x14:cfRule type="expression" priority="1" id="{2962ECA2-9780-4507-A0BE-6788C81F22BA}">
            <xm:f>IF(AND(Formula!$L$530=2,Formula!$GE$3=2),$X$115,"")</xm:f>
            <x14:dxf>
              <font>
                <color rgb="FFFF0000"/>
              </font>
              <fill>
                <patternFill>
                  <bgColor theme="4"/>
                </patternFill>
              </fill>
              <border>
                <left style="dashed">
                  <color rgb="FFFF0000"/>
                </left>
                <right style="dashed">
                  <color rgb="FFFF0000"/>
                </right>
                <top style="dashed">
                  <color rgb="FFFF0000"/>
                </top>
                <bottom style="dashed">
                  <color rgb="FFFF0000"/>
                </bottom>
                <vertical/>
                <horizontal/>
              </border>
            </x14:dxf>
          </x14:cfRule>
          <xm:sqref>Y122:Z122</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00FF"/>
  </sheetPr>
  <dimension ref="A1:CR205"/>
  <sheetViews>
    <sheetView topLeftCell="A63" workbookViewId="0">
      <selection activeCell="S46" sqref="S46"/>
    </sheetView>
  </sheetViews>
  <sheetFormatPr defaultColWidth="0" defaultRowHeight="0" customHeight="1" zeroHeight="1"/>
  <cols>
    <col min="1" max="1" width="0.5703125" customWidth="1"/>
    <col min="2" max="2" width="1.140625" customWidth="1"/>
    <col min="3" max="3" width="8.28515625" customWidth="1"/>
    <col min="4" max="4" width="11.28515625" customWidth="1"/>
    <col min="5" max="5" width="9.140625" customWidth="1"/>
    <col min="6" max="6" width="11" customWidth="1"/>
    <col min="7" max="7" width="8.140625" customWidth="1"/>
    <col min="8" max="8" width="22.28515625" customWidth="1"/>
    <col min="9" max="9" width="0.28515625" customWidth="1"/>
    <col min="10" max="10" width="0.140625" customWidth="1"/>
    <col min="11" max="11" width="0.28515625" customWidth="1"/>
    <col min="12" max="12" width="0.140625" customWidth="1"/>
    <col min="13" max="13" width="12.42578125" customWidth="1"/>
    <col min="14" max="14" width="5.140625" customWidth="1"/>
    <col min="15" max="15" width="7.42578125" customWidth="1"/>
    <col min="16" max="16" width="12.42578125" customWidth="1"/>
    <col min="17" max="17" width="1" customWidth="1"/>
    <col min="18" max="18" width="9.42578125" customWidth="1"/>
    <col min="19" max="19" width="11.85546875" customWidth="1"/>
    <col min="20" max="20" width="12.28515625" customWidth="1"/>
    <col min="21" max="21" width="9.85546875" customWidth="1"/>
    <col min="22" max="22" width="13.7109375" customWidth="1"/>
    <col min="23" max="23" width="14.7109375" customWidth="1"/>
    <col min="24" max="24" width="8.28515625" customWidth="1"/>
    <col min="25" max="25" width="10.140625" customWidth="1"/>
    <col min="26" max="26" width="0.28515625" customWidth="1"/>
    <col min="27" max="27" width="12.42578125" customWidth="1"/>
    <col min="28" max="28" width="12.85546875" customWidth="1"/>
    <col min="29" max="29" width="22" customWidth="1"/>
    <col min="30" max="30" width="1.42578125" customWidth="1"/>
    <col min="31" max="34" width="9.5703125" style="942" customWidth="1"/>
    <col min="35" max="35" width="9.85546875" style="942" customWidth="1"/>
    <col min="36" max="36" width="7.140625" style="942" customWidth="1"/>
    <col min="37" max="44" width="17" hidden="1" customWidth="1"/>
    <col min="45" max="46" width="9.140625" hidden="1" customWidth="1"/>
    <col min="47" max="49" width="9.140625" style="942" hidden="1" customWidth="1"/>
    <col min="50" max="50" width="14.5703125" style="942" hidden="1" customWidth="1"/>
    <col min="51" max="55" width="9.140625" style="942" hidden="1" customWidth="1"/>
    <col min="56" max="63" width="9.140625" style="831" hidden="1" customWidth="1"/>
    <col min="64" max="64" width="10.28515625" style="831" hidden="1" customWidth="1"/>
    <col min="65" max="65" width="10.7109375" style="831" hidden="1" customWidth="1"/>
    <col min="66" max="66" width="9.140625" style="831" hidden="1" customWidth="1"/>
    <col min="67" max="67" width="13.140625" style="831" hidden="1" customWidth="1"/>
    <col min="68" max="68" width="20.5703125" style="831" hidden="1" customWidth="1"/>
    <col min="69" max="69" width="16" style="831" hidden="1" customWidth="1"/>
    <col min="70" max="78" width="9.140625" style="831" hidden="1" customWidth="1"/>
    <col min="79" max="79" width="24.28515625" style="831" hidden="1" customWidth="1"/>
    <col min="80" max="96" width="0" style="831" hidden="1" customWidth="1"/>
    <col min="97" max="16384" width="9.140625" hidden="1"/>
  </cols>
  <sheetData>
    <row r="1" spans="2:69" ht="8.25" customHeight="1" thickBot="1">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218"/>
      <c r="AK1" s="942"/>
      <c r="AL1" s="942"/>
      <c r="AM1" s="942"/>
      <c r="AN1" s="942"/>
      <c r="AO1" s="942"/>
      <c r="AP1" s="942"/>
      <c r="AQ1" s="942"/>
      <c r="AR1" s="942"/>
      <c r="AS1" s="942"/>
      <c r="AT1" s="942"/>
      <c r="BD1" s="2048"/>
      <c r="BE1" s="2048"/>
      <c r="BF1" s="2048"/>
      <c r="BG1" s="2048"/>
      <c r="BH1" s="2048"/>
      <c r="BI1" s="2048"/>
      <c r="BJ1" s="2048"/>
      <c r="BK1" s="2048"/>
      <c r="BL1" s="2048"/>
      <c r="BM1" s="2048"/>
      <c r="BN1" s="2048"/>
      <c r="BO1" s="2048"/>
      <c r="BP1" s="2048"/>
      <c r="BQ1" s="2048"/>
    </row>
    <row r="2" spans="2:69" ht="22.5" customHeight="1">
      <c r="B2" s="10"/>
      <c r="C2" s="2106"/>
      <c r="D2" s="2107"/>
      <c r="E2" s="2107"/>
      <c r="F2" s="2107"/>
      <c r="G2" s="2107"/>
      <c r="H2" s="2107"/>
      <c r="I2" s="2107"/>
      <c r="J2" s="2107"/>
      <c r="K2" s="2107"/>
      <c r="L2" s="2107"/>
      <c r="M2" s="2107"/>
      <c r="N2" s="2107"/>
      <c r="O2" s="2107"/>
      <c r="P2" s="2107"/>
      <c r="Q2" s="2107"/>
      <c r="R2" s="2107"/>
      <c r="S2" s="2107"/>
      <c r="T2" s="2107"/>
      <c r="U2" s="2107"/>
      <c r="V2" s="2107"/>
      <c r="W2" s="2107"/>
      <c r="X2" s="2107"/>
      <c r="Y2" s="2108"/>
      <c r="Z2" s="1926"/>
      <c r="AA2" s="4626"/>
      <c r="AB2" s="4627"/>
      <c r="AC2" s="4628"/>
      <c r="AD2" s="1980"/>
      <c r="AE2" s="2026"/>
      <c r="AF2" s="2026"/>
      <c r="AG2" s="2026"/>
      <c r="AH2" s="2026"/>
      <c r="AI2" s="2026"/>
      <c r="AK2" s="942"/>
      <c r="AL2" s="942"/>
      <c r="AM2" s="942"/>
      <c r="AN2" s="942"/>
      <c r="AO2" s="942"/>
      <c r="AP2" s="942"/>
      <c r="AQ2" s="942"/>
      <c r="AR2" s="942"/>
      <c r="AS2" s="942"/>
      <c r="AT2" s="942"/>
      <c r="BD2" s="2048"/>
      <c r="BE2" s="2048"/>
      <c r="BF2" s="2048"/>
      <c r="BG2" s="2048"/>
      <c r="BH2" s="2048"/>
      <c r="BI2" s="2048"/>
      <c r="BJ2" s="2048"/>
      <c r="BK2" s="2048"/>
      <c r="BL2" s="2048"/>
      <c r="BM2" s="2048"/>
      <c r="BN2" s="2048"/>
      <c r="BO2" s="2048"/>
      <c r="BP2" s="2048"/>
      <c r="BQ2" s="2048"/>
    </row>
    <row r="3" spans="2:69" ht="21.75" customHeight="1" thickBot="1">
      <c r="B3" s="10"/>
      <c r="C3" s="2109"/>
      <c r="D3" s="2110"/>
      <c r="E3" s="2110"/>
      <c r="F3" s="2110"/>
      <c r="G3" s="2110"/>
      <c r="H3" s="2110"/>
      <c r="I3" s="2110"/>
      <c r="J3" s="2110"/>
      <c r="K3" s="2110"/>
      <c r="L3" s="2110"/>
      <c r="M3" s="2110"/>
      <c r="N3" s="2110"/>
      <c r="O3" s="2110"/>
      <c r="P3" s="2110"/>
      <c r="Q3" s="2110"/>
      <c r="R3" s="2110"/>
      <c r="S3" s="2110"/>
      <c r="T3" s="2110"/>
      <c r="U3" s="2110"/>
      <c r="V3" s="2110"/>
      <c r="W3" s="2110"/>
      <c r="X3" s="2110"/>
      <c r="Y3" s="2111"/>
      <c r="Z3" s="1926"/>
      <c r="AA3" s="5054"/>
      <c r="AB3" s="5055"/>
      <c r="AC3" s="5056"/>
      <c r="AD3" s="1980"/>
      <c r="AE3" s="2026"/>
      <c r="AF3" s="2026"/>
      <c r="AG3" s="2026"/>
      <c r="AH3" s="2026"/>
      <c r="AI3" s="2026"/>
      <c r="AK3" s="942"/>
      <c r="AL3" s="942"/>
      <c r="AM3" s="942"/>
      <c r="AN3" s="942"/>
      <c r="AO3" s="942"/>
      <c r="AP3" s="942"/>
      <c r="AQ3" s="942"/>
      <c r="AR3" s="942"/>
      <c r="AS3" s="942"/>
      <c r="AT3" s="942"/>
      <c r="BD3" s="2048"/>
      <c r="BE3" s="2048"/>
      <c r="BF3" s="2048"/>
      <c r="BG3" s="2048"/>
      <c r="BH3" s="2048"/>
      <c r="BI3" s="2048"/>
      <c r="BJ3" s="2048"/>
      <c r="BK3" s="2048"/>
      <c r="BL3" s="2048"/>
      <c r="BM3" s="2048"/>
      <c r="BN3" s="2048"/>
      <c r="BO3" s="2048"/>
      <c r="BP3" s="2048"/>
      <c r="BQ3" s="2048"/>
    </row>
    <row r="4" spans="2:69" ht="15" customHeight="1">
      <c r="B4" s="10"/>
      <c r="C4" s="5013" t="s">
        <v>1394</v>
      </c>
      <c r="D4" s="5013"/>
      <c r="E4" s="5015" t="s">
        <v>1395</v>
      </c>
      <c r="F4" s="5015"/>
      <c r="G4" s="5015"/>
      <c r="H4" s="5015"/>
      <c r="I4" s="5015"/>
      <c r="J4" s="5015"/>
      <c r="K4" s="5015"/>
      <c r="L4" s="5015"/>
      <c r="M4" s="5015"/>
      <c r="N4" s="5015"/>
      <c r="O4" s="5015"/>
      <c r="P4" s="5015"/>
      <c r="Q4" s="1926"/>
      <c r="R4" s="4982"/>
      <c r="S4" s="4983"/>
      <c r="T4" s="4983"/>
      <c r="U4" s="4983"/>
      <c r="V4" s="4983"/>
      <c r="W4" s="4983"/>
      <c r="X4" s="4983"/>
      <c r="Y4" s="4984"/>
      <c r="Z4" s="1926"/>
      <c r="AA4" s="5017"/>
      <c r="AB4" s="5018"/>
      <c r="AC4" s="5019"/>
      <c r="AD4" s="1980"/>
      <c r="AE4" s="2026"/>
      <c r="AF4" s="2026"/>
      <c r="AG4" s="2026"/>
      <c r="AH4" s="2026"/>
      <c r="AI4" s="2026"/>
      <c r="AK4" s="942"/>
      <c r="AL4" s="942"/>
      <c r="AM4" s="942"/>
      <c r="AN4" s="942"/>
      <c r="AO4" s="942"/>
      <c r="AP4" s="942"/>
      <c r="AQ4" s="942"/>
      <c r="AR4" s="942"/>
      <c r="AS4" s="942"/>
      <c r="AT4" s="942"/>
      <c r="BD4" s="2048"/>
      <c r="BE4" s="2048"/>
      <c r="BF4" s="2048"/>
      <c r="BG4" s="2048"/>
      <c r="BH4" s="2048"/>
      <c r="BI4" s="2048"/>
      <c r="BJ4" s="2048"/>
      <c r="BK4" s="2048"/>
      <c r="BL4" s="2048"/>
      <c r="BM4" s="2048"/>
      <c r="BN4" s="2048"/>
      <c r="BO4" s="2048"/>
      <c r="BP4" s="2048"/>
      <c r="BQ4" s="2048"/>
    </row>
    <row r="5" spans="2:69" ht="9" customHeight="1" thickBot="1">
      <c r="B5" s="10"/>
      <c r="C5" s="5014"/>
      <c r="D5" s="5014"/>
      <c r="E5" s="5016"/>
      <c r="F5" s="5016"/>
      <c r="G5" s="5016"/>
      <c r="H5" s="5016"/>
      <c r="I5" s="5016"/>
      <c r="J5" s="5016"/>
      <c r="K5" s="5016"/>
      <c r="L5" s="5016"/>
      <c r="M5" s="5016"/>
      <c r="N5" s="5016"/>
      <c r="O5" s="5016"/>
      <c r="P5" s="5016"/>
      <c r="Q5" s="10"/>
      <c r="R5" s="4985"/>
      <c r="S5" s="4986"/>
      <c r="T5" s="4986"/>
      <c r="U5" s="4986"/>
      <c r="V5" s="4986"/>
      <c r="W5" s="4986"/>
      <c r="X5" s="4986"/>
      <c r="Y5" s="4987"/>
      <c r="Z5" s="10"/>
      <c r="AA5" s="5020"/>
      <c r="AB5" s="5021"/>
      <c r="AC5" s="5022"/>
      <c r="AD5" s="1218"/>
      <c r="AK5" s="942"/>
      <c r="AL5" s="942"/>
      <c r="AM5" s="942"/>
      <c r="AN5" s="942"/>
      <c r="AO5" s="942"/>
      <c r="AP5" s="942"/>
      <c r="AQ5" s="942"/>
      <c r="AR5" s="942"/>
      <c r="AS5" s="942"/>
      <c r="AT5" s="942"/>
      <c r="BD5" s="2048"/>
      <c r="BE5" s="2048"/>
      <c r="BF5" s="2048"/>
      <c r="BG5" s="2048"/>
      <c r="BH5" s="2048"/>
      <c r="BI5" s="2048"/>
      <c r="BJ5" s="2048"/>
      <c r="BK5" s="2048"/>
      <c r="BL5" s="2048"/>
      <c r="BM5" s="2048"/>
      <c r="BN5" s="2048"/>
      <c r="BO5" s="2048"/>
      <c r="BP5" s="2048"/>
      <c r="BQ5" s="2048"/>
    </row>
    <row r="6" spans="2:69" ht="27.75" customHeight="1" thickBot="1">
      <c r="B6" s="10"/>
      <c r="C6" s="1929" t="s">
        <v>176</v>
      </c>
      <c r="D6" s="1931" t="s">
        <v>1351</v>
      </c>
      <c r="E6" s="1933"/>
      <c r="F6" s="1933"/>
      <c r="G6" s="1933"/>
      <c r="H6" s="1933"/>
      <c r="I6" s="1933"/>
      <c r="J6" s="1933"/>
      <c r="K6" s="1933"/>
      <c r="L6" s="1933"/>
      <c r="M6" s="1933"/>
      <c r="N6" s="1933"/>
      <c r="O6" s="1927"/>
      <c r="P6" s="1928"/>
      <c r="Q6" s="10"/>
      <c r="R6" s="1929" t="s">
        <v>176</v>
      </c>
      <c r="S6" s="1931" t="s">
        <v>1351</v>
      </c>
      <c r="T6" s="4636"/>
      <c r="U6" s="4636"/>
      <c r="V6" s="4636"/>
      <c r="W6" s="4636"/>
      <c r="X6" s="4636"/>
      <c r="Y6" s="4638"/>
      <c r="Z6" s="1973"/>
      <c r="AA6" s="5023" t="s">
        <v>171</v>
      </c>
      <c r="AB6" s="5024"/>
      <c r="AC6" s="5025"/>
      <c r="AD6" s="1981"/>
      <c r="AE6" s="2027"/>
      <c r="AF6" s="2027"/>
      <c r="AG6" s="2027"/>
      <c r="AH6" s="2027"/>
      <c r="AI6" s="2027"/>
      <c r="AK6" s="942"/>
      <c r="AL6" s="942"/>
      <c r="AM6" s="942"/>
      <c r="AN6" s="942"/>
      <c r="AO6" s="942"/>
      <c r="AP6" s="942"/>
      <c r="AQ6" s="942"/>
      <c r="AR6" s="942"/>
      <c r="AS6" s="942"/>
      <c r="AT6" s="942"/>
      <c r="BD6" s="2048"/>
      <c r="BE6" s="2048"/>
      <c r="BF6" s="2048"/>
      <c r="BG6" s="2048"/>
      <c r="BH6" s="2048"/>
      <c r="BI6" s="2048"/>
      <c r="BJ6" s="2048"/>
      <c r="BK6" s="2048"/>
      <c r="BL6" s="2048"/>
      <c r="BM6" s="2048"/>
      <c r="BN6" s="2048"/>
      <c r="BO6" s="2048"/>
      <c r="BP6" s="2048"/>
      <c r="BQ6" s="2048"/>
    </row>
    <row r="7" spans="2:69" ht="27.95" customHeight="1" thickBot="1">
      <c r="B7" s="10"/>
      <c r="C7" s="5001" t="s">
        <v>1352</v>
      </c>
      <c r="D7" s="5010" t="s">
        <v>319</v>
      </c>
      <c r="E7" s="2549"/>
      <c r="F7" s="2550"/>
      <c r="G7" s="2550"/>
      <c r="H7" s="2550"/>
      <c r="I7" s="2550"/>
      <c r="J7" s="2550"/>
      <c r="K7" s="2550"/>
      <c r="L7" s="2550"/>
      <c r="M7" s="2550"/>
      <c r="N7" s="2551"/>
      <c r="O7" s="4893"/>
      <c r="P7" s="4894"/>
      <c r="Q7" s="11"/>
      <c r="R7" s="1964" t="s">
        <v>1354</v>
      </c>
      <c r="S7" s="1965">
        <v>24</v>
      </c>
      <c r="T7" s="5004" t="s">
        <v>1384</v>
      </c>
      <c r="U7" s="5004"/>
      <c r="V7" s="5004"/>
      <c r="W7" s="5004"/>
      <c r="X7" s="5004"/>
      <c r="Y7" s="5005"/>
      <c r="Z7" s="1972"/>
      <c r="AA7" s="1987"/>
      <c r="AB7" s="1988"/>
      <c r="AC7" s="1989"/>
      <c r="AD7" s="1218"/>
      <c r="AK7" s="942"/>
      <c r="AL7" s="942"/>
      <c r="AM7" s="942"/>
      <c r="AN7" s="942"/>
      <c r="AO7" s="942"/>
      <c r="AP7" s="942"/>
      <c r="AQ7" s="942"/>
      <c r="AR7" s="942"/>
      <c r="AS7" s="942"/>
      <c r="AT7" s="942"/>
      <c r="BD7" s="2048"/>
      <c r="BE7" s="2048"/>
      <c r="BF7" s="2048"/>
      <c r="BG7" s="2048"/>
      <c r="BH7" s="2048"/>
      <c r="BI7" s="2048"/>
      <c r="BJ7" s="2048"/>
      <c r="BK7" s="2048"/>
      <c r="BL7" s="2048"/>
      <c r="BM7" s="2048"/>
      <c r="BN7" s="2048"/>
      <c r="BO7" s="2048"/>
      <c r="BP7" s="2048"/>
      <c r="BQ7" s="2048"/>
    </row>
    <row r="8" spans="2:69" ht="27.95" customHeight="1">
      <c r="B8" s="10"/>
      <c r="C8" s="5002"/>
      <c r="D8" s="5011"/>
      <c r="E8" s="2552"/>
      <c r="F8" s="2553"/>
      <c r="G8" s="2553"/>
      <c r="H8" s="2553"/>
      <c r="I8" s="2553"/>
      <c r="J8" s="2553"/>
      <c r="K8" s="2553"/>
      <c r="L8" s="2553"/>
      <c r="M8" s="2553"/>
      <c r="N8" s="2554"/>
      <c r="O8" s="4882"/>
      <c r="P8" s="4883"/>
      <c r="Q8" s="11"/>
      <c r="R8" s="4887" t="s">
        <v>1393</v>
      </c>
      <c r="S8" s="4897" t="s">
        <v>1536</v>
      </c>
      <c r="T8" s="4898"/>
      <c r="U8" s="4898"/>
      <c r="V8" s="4898"/>
      <c r="W8" s="4898"/>
      <c r="X8" s="5031"/>
      <c r="Y8" s="5032"/>
      <c r="Z8" s="1972"/>
      <c r="AA8" s="1990"/>
      <c r="AB8" s="1991"/>
      <c r="AC8" s="1992"/>
      <c r="AD8" s="1218"/>
      <c r="AK8" s="942"/>
      <c r="AL8" s="942"/>
      <c r="AM8" s="942"/>
      <c r="AN8" s="942"/>
      <c r="AO8" s="942"/>
      <c r="AP8" s="942"/>
      <c r="AQ8" s="942"/>
      <c r="AR8" s="942"/>
      <c r="AS8" s="942"/>
      <c r="AT8" s="942"/>
      <c r="BD8" s="2048"/>
      <c r="BE8" s="2048"/>
      <c r="BF8" s="2048"/>
      <c r="BG8" s="2048"/>
      <c r="BH8" s="2048"/>
      <c r="BI8" s="2048"/>
      <c r="BJ8" s="2048"/>
      <c r="BK8" s="2048"/>
      <c r="BL8" s="2048"/>
      <c r="BM8" s="2048"/>
      <c r="BN8" s="2048"/>
      <c r="BO8" s="2048"/>
      <c r="BP8" s="2048"/>
      <c r="BQ8" s="2048"/>
    </row>
    <row r="9" spans="2:69" ht="28.5" customHeight="1">
      <c r="B9" s="10"/>
      <c r="C9" s="5002"/>
      <c r="D9" s="5011"/>
      <c r="E9" s="2555"/>
      <c r="F9" s="2556"/>
      <c r="G9" s="2556"/>
      <c r="H9" s="2556"/>
      <c r="I9" s="2556"/>
      <c r="J9" s="2556"/>
      <c r="K9" s="2556"/>
      <c r="L9" s="2556"/>
      <c r="M9" s="2556"/>
      <c r="N9" s="2557"/>
      <c r="O9" s="4895"/>
      <c r="P9" s="4896"/>
      <c r="Q9" s="11"/>
      <c r="R9" s="4888"/>
      <c r="S9" s="1966">
        <v>1</v>
      </c>
      <c r="T9" s="4919" t="s">
        <v>1385</v>
      </c>
      <c r="U9" s="4920"/>
      <c r="V9" s="4920"/>
      <c r="W9" s="4920"/>
      <c r="X9" s="5006"/>
      <c r="Y9" s="5007"/>
      <c r="Z9" s="1972"/>
      <c r="AA9" s="1990"/>
      <c r="AB9" s="1991"/>
      <c r="AC9" s="1992"/>
      <c r="AD9" s="1982"/>
      <c r="AE9" s="2028"/>
      <c r="AF9" s="2028"/>
      <c r="AG9" s="2028"/>
      <c r="AH9" s="2028"/>
      <c r="AK9" s="942"/>
      <c r="AL9" s="942"/>
      <c r="AM9" s="942"/>
      <c r="AN9" s="942"/>
      <c r="AO9" s="942"/>
      <c r="AP9" s="942"/>
      <c r="AQ9" s="942"/>
      <c r="AR9" s="942"/>
      <c r="AS9" s="942"/>
      <c r="AT9" s="942"/>
      <c r="BD9" s="2048"/>
      <c r="BE9" s="2048"/>
      <c r="BF9" s="2048"/>
      <c r="BG9" s="2048"/>
      <c r="BH9" s="2048"/>
      <c r="BI9" s="2048"/>
      <c r="BJ9" s="2048"/>
      <c r="BK9" s="2048"/>
      <c r="BL9" s="2048"/>
      <c r="BM9" s="2048"/>
      <c r="BN9" s="2048"/>
      <c r="BO9" s="2048"/>
      <c r="BP9" s="2048"/>
      <c r="BQ9" s="2048"/>
    </row>
    <row r="10" spans="2:69" ht="27.95" customHeight="1">
      <c r="B10" s="10"/>
      <c r="C10" s="5002"/>
      <c r="D10" s="5011"/>
      <c r="E10" s="2555"/>
      <c r="F10" s="2556"/>
      <c r="G10" s="2556"/>
      <c r="H10" s="2556"/>
      <c r="I10" s="2556"/>
      <c r="J10" s="2556"/>
      <c r="K10" s="2556"/>
      <c r="L10" s="2556"/>
      <c r="M10" s="2556"/>
      <c r="N10" s="2557"/>
      <c r="O10" s="4895"/>
      <c r="P10" s="4896"/>
      <c r="Q10" s="11"/>
      <c r="R10" s="4888"/>
      <c r="S10" s="1961">
        <v>2</v>
      </c>
      <c r="T10" s="4921" t="s">
        <v>1386</v>
      </c>
      <c r="U10" s="4922"/>
      <c r="V10" s="4922"/>
      <c r="W10" s="4923"/>
      <c r="X10" s="5008"/>
      <c r="Y10" s="5009"/>
      <c r="Z10" s="1972"/>
      <c r="AA10" s="1990"/>
      <c r="AB10" s="1991"/>
      <c r="AC10" s="1992"/>
      <c r="AD10" s="1982"/>
      <c r="AE10" s="2028"/>
      <c r="AF10" s="2028"/>
      <c r="AG10" s="2028"/>
      <c r="AH10" s="2028"/>
      <c r="AK10" s="942"/>
      <c r="AL10" s="942"/>
      <c r="AM10" s="942"/>
      <c r="AN10" s="942"/>
      <c r="AO10" s="942"/>
      <c r="AP10" s="942"/>
      <c r="AQ10" s="942"/>
      <c r="AR10" s="942"/>
      <c r="AS10" s="942"/>
      <c r="AT10" s="942"/>
      <c r="BD10" s="2048"/>
      <c r="BE10" s="2048"/>
      <c r="BF10" s="2048"/>
      <c r="BG10" s="2048"/>
      <c r="BH10" s="2048"/>
      <c r="BI10" s="2048"/>
      <c r="BJ10" s="2048"/>
      <c r="BK10" s="2048"/>
      <c r="BL10" s="2048"/>
      <c r="BM10" s="2048"/>
      <c r="BN10" s="2048"/>
      <c r="BO10" s="2048"/>
      <c r="BP10" s="2048"/>
      <c r="BQ10" s="2048"/>
    </row>
    <row r="11" spans="2:69" ht="27.95" customHeight="1">
      <c r="B11" s="10"/>
      <c r="C11" s="5002"/>
      <c r="D11" s="5011"/>
      <c r="E11" s="2555"/>
      <c r="F11" s="2556"/>
      <c r="G11" s="2556"/>
      <c r="H11" s="2556"/>
      <c r="I11" s="2556"/>
      <c r="J11" s="2556"/>
      <c r="K11" s="2556"/>
      <c r="L11" s="2556"/>
      <c r="M11" s="2556"/>
      <c r="N11" s="2557"/>
      <c r="O11" s="4895"/>
      <c r="P11" s="4896"/>
      <c r="Q11" s="11"/>
      <c r="R11" s="4888"/>
      <c r="S11" s="1961">
        <v>3</v>
      </c>
      <c r="T11" s="4924" t="s">
        <v>1387</v>
      </c>
      <c r="U11" s="4925"/>
      <c r="V11" s="4925"/>
      <c r="W11" s="4926"/>
      <c r="X11" s="5008"/>
      <c r="Y11" s="5009"/>
      <c r="Z11" s="1972"/>
      <c r="AA11" s="1993"/>
      <c r="AB11" s="1994"/>
      <c r="AC11" s="1995"/>
      <c r="AD11" s="1982"/>
      <c r="AE11" s="2028"/>
      <c r="AF11" s="2028"/>
      <c r="AG11" s="2028"/>
      <c r="AH11" s="2028"/>
      <c r="AK11" s="942"/>
      <c r="AL11" s="942"/>
      <c r="AM11" s="942"/>
      <c r="AN11" s="942"/>
      <c r="AO11" s="942"/>
      <c r="AP11" s="942"/>
      <c r="AQ11" s="942"/>
      <c r="AR11" s="942"/>
      <c r="AS11" s="942"/>
      <c r="AT11" s="942"/>
      <c r="BD11" s="2048"/>
      <c r="BE11" s="2048"/>
      <c r="BF11" s="2048"/>
      <c r="BG11" s="2048"/>
      <c r="BH11" s="2048"/>
      <c r="BI11" s="2048"/>
      <c r="BJ11" s="2048"/>
      <c r="BK11" s="2048"/>
      <c r="BL11" s="2048"/>
      <c r="BM11" s="2048"/>
      <c r="BN11" s="2048"/>
      <c r="BO11" s="2048"/>
      <c r="BP11" s="2048"/>
      <c r="BQ11" s="2048"/>
    </row>
    <row r="12" spans="2:69" ht="27.95" customHeight="1">
      <c r="B12" s="10"/>
      <c r="C12" s="5002"/>
      <c r="D12" s="5011"/>
      <c r="E12" s="2555"/>
      <c r="F12" s="2556"/>
      <c r="G12" s="2556"/>
      <c r="H12" s="2556"/>
      <c r="I12" s="2556"/>
      <c r="J12" s="2556"/>
      <c r="K12" s="2556"/>
      <c r="L12" s="2556"/>
      <c r="M12" s="2556"/>
      <c r="N12" s="2557"/>
      <c r="O12" s="4895"/>
      <c r="P12" s="4896"/>
      <c r="Q12" s="11"/>
      <c r="R12" s="4888"/>
      <c r="S12" s="1962">
        <v>4</v>
      </c>
      <c r="T12" s="4927" t="s">
        <v>684</v>
      </c>
      <c r="U12" s="4928"/>
      <c r="V12" s="4928"/>
      <c r="W12" s="4928"/>
      <c r="X12" s="4929" t="str">
        <f>IF(Formula!OA27&gt;0,Formula!OA27,"")</f>
        <v/>
      </c>
      <c r="Y12" s="4930"/>
      <c r="Z12" s="1972"/>
      <c r="AA12" s="1993"/>
      <c r="AB12" s="1994"/>
      <c r="AC12" s="1995"/>
      <c r="AD12" s="1982"/>
      <c r="AE12" s="2028"/>
      <c r="AF12" s="2028"/>
      <c r="AG12" s="2028"/>
      <c r="AH12" s="2028"/>
      <c r="AK12" s="942"/>
      <c r="AL12" s="942"/>
      <c r="AM12" s="942"/>
      <c r="AN12" s="942"/>
      <c r="AO12" s="942"/>
      <c r="AP12" s="942"/>
      <c r="AQ12" s="942"/>
      <c r="AR12" s="942"/>
      <c r="AS12" s="942"/>
      <c r="AT12" s="942"/>
      <c r="BD12" s="2048"/>
      <c r="BE12" s="2048"/>
      <c r="BF12" s="2048"/>
      <c r="BG12" s="2048"/>
      <c r="BH12" s="2048"/>
      <c r="BI12" s="2048"/>
      <c r="BJ12" s="2048"/>
      <c r="BK12" s="2048"/>
      <c r="BL12" s="2048"/>
      <c r="BM12" s="2048"/>
      <c r="BN12" s="2048"/>
      <c r="BO12" s="2048"/>
      <c r="BP12" s="2048"/>
      <c r="BQ12" s="2048"/>
    </row>
    <row r="13" spans="2:69" ht="27.95" customHeight="1" thickBot="1">
      <c r="B13" s="10"/>
      <c r="C13" s="5002"/>
      <c r="D13" s="5011"/>
      <c r="E13" s="2555"/>
      <c r="F13" s="2556"/>
      <c r="G13" s="2556"/>
      <c r="H13" s="2556"/>
      <c r="I13" s="2556"/>
      <c r="J13" s="2556"/>
      <c r="K13" s="2556"/>
      <c r="L13" s="2556"/>
      <c r="M13" s="2556"/>
      <c r="N13" s="2557"/>
      <c r="O13" s="4895"/>
      <c r="P13" s="4896"/>
      <c r="Q13" s="11"/>
      <c r="R13" s="4888"/>
      <c r="S13" s="4931" t="s">
        <v>1388</v>
      </c>
      <c r="T13" s="4932"/>
      <c r="U13" s="4932"/>
      <c r="V13" s="4932"/>
      <c r="W13" s="4932"/>
      <c r="X13" s="4933"/>
      <c r="Y13" s="4934"/>
      <c r="Z13" s="1972"/>
      <c r="AA13" s="1996"/>
      <c r="AB13" s="1997"/>
      <c r="AC13" s="1998"/>
      <c r="AD13" s="1982"/>
      <c r="AE13" s="2028"/>
      <c r="AF13" s="2028"/>
      <c r="AG13" s="2028"/>
      <c r="AH13" s="2028"/>
      <c r="AK13" s="942"/>
      <c r="AL13" s="942"/>
      <c r="AM13" s="942"/>
      <c r="AN13" s="942"/>
      <c r="AO13" s="942"/>
      <c r="AP13" s="942"/>
      <c r="AQ13" s="942"/>
      <c r="AR13" s="942"/>
      <c r="AS13" s="942"/>
      <c r="AT13" s="942"/>
      <c r="BD13" s="2048"/>
      <c r="BE13" s="2048"/>
      <c r="BF13" s="2048"/>
      <c r="BG13" s="2048"/>
      <c r="BH13" s="2048"/>
      <c r="BI13" s="2048"/>
      <c r="BJ13" s="2048"/>
      <c r="BK13" s="2048"/>
      <c r="BL13" s="2048"/>
      <c r="BM13" s="2048"/>
      <c r="BN13" s="2048"/>
      <c r="BO13" s="2048"/>
      <c r="BP13" s="2048"/>
      <c r="BQ13" s="2048"/>
    </row>
    <row r="14" spans="2:69" ht="27.95" customHeight="1">
      <c r="B14" s="10"/>
      <c r="C14" s="5002"/>
      <c r="D14" s="5011"/>
      <c r="E14" s="2558"/>
      <c r="F14" s="2559"/>
      <c r="G14" s="2559"/>
      <c r="H14" s="2559"/>
      <c r="I14" s="2559"/>
      <c r="J14" s="2559"/>
      <c r="K14" s="2559"/>
      <c r="L14" s="2559"/>
      <c r="M14" s="2559"/>
      <c r="N14" s="2560"/>
      <c r="O14" s="4895"/>
      <c r="P14" s="4896"/>
      <c r="Q14" s="11"/>
      <c r="R14" s="4888"/>
      <c r="S14" s="1963">
        <v>5</v>
      </c>
      <c r="T14" s="4935" t="s">
        <v>1389</v>
      </c>
      <c r="U14" s="4935"/>
      <c r="V14" s="4935"/>
      <c r="W14" s="4935"/>
      <c r="X14" s="4936" t="str">
        <f>IF(Formula!OA29&gt;0,Formula!OA29,"")</f>
        <v/>
      </c>
      <c r="Y14" s="4936"/>
      <c r="Z14" s="1972"/>
      <c r="AA14" s="1999"/>
      <c r="AB14" s="1814"/>
      <c r="AC14" s="2000"/>
      <c r="AD14" s="1982"/>
      <c r="AE14" s="2028"/>
      <c r="AF14" s="2028"/>
      <c r="AG14" s="2028"/>
      <c r="AH14" s="2028"/>
      <c r="AK14" s="942"/>
      <c r="AL14" s="942"/>
      <c r="AM14" s="942"/>
      <c r="AN14" s="942"/>
      <c r="AO14" s="942"/>
      <c r="AP14" s="942"/>
      <c r="AQ14" s="942"/>
      <c r="AR14" s="942"/>
      <c r="AS14" s="942"/>
      <c r="AT14" s="942"/>
      <c r="BD14" s="2048"/>
      <c r="BE14" s="2048"/>
      <c r="BF14" s="2048"/>
      <c r="BG14" s="2048"/>
      <c r="BH14" s="2048"/>
      <c r="BI14" s="2048"/>
      <c r="BJ14" s="2048"/>
      <c r="BK14" s="2048"/>
      <c r="BL14" s="2048"/>
      <c r="BM14" s="2048"/>
      <c r="BN14" s="2048"/>
      <c r="BO14" s="2048"/>
      <c r="BP14" s="2048"/>
      <c r="BQ14" s="2048"/>
    </row>
    <row r="15" spans="2:69" ht="27.95" customHeight="1" thickBot="1">
      <c r="B15" s="10"/>
      <c r="C15" s="5003"/>
      <c r="D15" s="5012"/>
      <c r="E15" s="4913" t="s">
        <v>22</v>
      </c>
      <c r="F15" s="4914"/>
      <c r="G15" s="4914"/>
      <c r="H15" s="4914"/>
      <c r="I15" s="4914"/>
      <c r="J15" s="4914"/>
      <c r="K15" s="4914"/>
      <c r="L15" s="4914"/>
      <c r="M15" s="4914"/>
      <c r="N15" s="4915"/>
      <c r="O15" s="4992">
        <f>SUM(O7:P14)</f>
        <v>0</v>
      </c>
      <c r="P15" s="4993"/>
      <c r="Q15" s="11"/>
      <c r="R15" s="4888"/>
      <c r="S15" s="1963">
        <v>6</v>
      </c>
      <c r="T15" s="4890" t="s">
        <v>1537</v>
      </c>
      <c r="U15" s="4891"/>
      <c r="V15" s="4891"/>
      <c r="W15" s="4892"/>
      <c r="X15" s="5026"/>
      <c r="Y15" s="5026"/>
      <c r="Z15" s="1972"/>
      <c r="AA15" s="1999"/>
      <c r="AB15" s="1814"/>
      <c r="AC15" s="2000"/>
      <c r="AD15" s="1982"/>
      <c r="AE15" s="2028"/>
      <c r="AF15" s="2028"/>
      <c r="AG15" s="2028"/>
      <c r="AH15" s="2028"/>
      <c r="AK15" s="942"/>
      <c r="AL15" s="942"/>
      <c r="AM15" s="942"/>
      <c r="AN15" s="942"/>
      <c r="AO15" s="942"/>
      <c r="AP15" s="942"/>
      <c r="AQ15" s="942"/>
      <c r="AR15" s="942"/>
      <c r="AS15" s="942"/>
      <c r="AT15" s="942"/>
      <c r="BD15" s="2048"/>
      <c r="BE15" s="2048"/>
      <c r="BF15" s="2048"/>
      <c r="BG15" s="2048"/>
      <c r="BH15" s="2048"/>
      <c r="BI15" s="2048"/>
      <c r="BJ15" s="2048"/>
      <c r="BK15" s="2048"/>
      <c r="BL15" s="2048"/>
      <c r="BM15" s="2048"/>
      <c r="BN15" s="2048"/>
      <c r="BO15" s="2048"/>
      <c r="BP15" s="2048"/>
      <c r="BQ15" s="2048"/>
    </row>
    <row r="16" spans="2:69" ht="30" customHeight="1" thickBot="1">
      <c r="B16" s="10"/>
      <c r="C16" s="4916"/>
      <c r="D16" s="4917"/>
      <c r="E16" s="4917"/>
      <c r="F16" s="4917"/>
      <c r="G16" s="4917"/>
      <c r="H16" s="4917"/>
      <c r="I16" s="4917"/>
      <c r="J16" s="4917"/>
      <c r="K16" s="4917"/>
      <c r="L16" s="4917"/>
      <c r="M16" s="4917"/>
      <c r="N16" s="4917"/>
      <c r="O16" s="4917"/>
      <c r="P16" s="4918"/>
      <c r="Q16" s="11"/>
      <c r="R16" s="4889"/>
      <c r="S16" s="1967">
        <v>7</v>
      </c>
      <c r="T16" s="5027" t="s">
        <v>1400</v>
      </c>
      <c r="U16" s="5028"/>
      <c r="V16" s="5028"/>
      <c r="W16" s="5029"/>
      <c r="X16" s="5030">
        <f>Formula!OA16</f>
        <v>0</v>
      </c>
      <c r="Y16" s="5030"/>
      <c r="Z16" s="1974"/>
      <c r="AA16" s="2001"/>
      <c r="AB16" s="4988"/>
      <c r="AC16" s="4989"/>
      <c r="AD16" s="1983"/>
      <c r="AE16" s="2029"/>
      <c r="AF16" s="2029"/>
      <c r="AG16" s="2029"/>
      <c r="AH16" s="2029"/>
      <c r="AI16" s="2030"/>
      <c r="AK16" s="942"/>
      <c r="AL16" s="942"/>
      <c r="AM16" s="942"/>
      <c r="AN16" s="942"/>
      <c r="AO16" s="942"/>
      <c r="AP16" s="942"/>
      <c r="AQ16" s="942"/>
      <c r="AR16" s="942"/>
      <c r="AS16" s="942"/>
      <c r="AT16" s="942"/>
      <c r="BD16" s="2048"/>
      <c r="BE16" s="2048"/>
      <c r="BF16" s="2048"/>
      <c r="BG16" s="2048"/>
      <c r="BH16" s="2048"/>
      <c r="BI16" s="2048"/>
      <c r="BJ16" s="2048"/>
      <c r="BK16" s="2048"/>
      <c r="BL16" s="2048"/>
      <c r="BM16" s="2048"/>
      <c r="BN16" s="2048"/>
      <c r="BO16" s="2048"/>
      <c r="BP16" s="2048"/>
      <c r="BQ16" s="2048"/>
    </row>
    <row r="17" spans="2:69" ht="23.25" customHeight="1">
      <c r="B17" s="10"/>
      <c r="C17" s="4990"/>
      <c r="D17" s="4994" t="s">
        <v>432</v>
      </c>
      <c r="E17" s="4996" t="s">
        <v>1285</v>
      </c>
      <c r="F17" s="4997"/>
      <c r="G17" s="4997"/>
      <c r="H17" s="4997"/>
      <c r="I17" s="4997"/>
      <c r="J17" s="4997"/>
      <c r="K17" s="4997"/>
      <c r="L17" s="4997"/>
      <c r="M17" s="4997"/>
      <c r="N17" s="4997"/>
      <c r="O17" s="4997"/>
      <c r="P17" s="4998"/>
      <c r="Q17" s="11"/>
      <c r="R17" s="4899" t="s">
        <v>1390</v>
      </c>
      <c r="S17" s="4900"/>
      <c r="T17" s="4900"/>
      <c r="U17" s="4900"/>
      <c r="V17" s="4900"/>
      <c r="W17" s="4900"/>
      <c r="X17" s="4900"/>
      <c r="Y17" s="4901"/>
      <c r="Z17" s="1975"/>
      <c r="AA17" s="2002"/>
      <c r="AB17" s="2003"/>
      <c r="AC17" s="2004"/>
      <c r="AD17" s="1984"/>
      <c r="AE17" s="2031"/>
      <c r="AF17" s="2031"/>
      <c r="AG17" s="2031"/>
      <c r="AH17" s="2031"/>
      <c r="AI17" s="2031"/>
      <c r="AK17" s="2015"/>
      <c r="AL17" s="2015"/>
      <c r="AM17" s="2015"/>
      <c r="AN17" s="2015"/>
      <c r="AO17" s="2015"/>
      <c r="AP17" s="2015"/>
      <c r="AQ17" s="2015"/>
      <c r="AR17" s="2015"/>
      <c r="AS17" s="942"/>
      <c r="AT17" s="942"/>
      <c r="BD17" s="2048"/>
      <c r="BE17" s="2048"/>
      <c r="BF17" s="2048"/>
      <c r="BG17" s="2048"/>
      <c r="BH17" s="2048"/>
      <c r="BI17" s="2048"/>
      <c r="BJ17" s="2048"/>
      <c r="BK17" s="2048"/>
      <c r="BL17" s="2048"/>
      <c r="BM17" s="2048"/>
      <c r="BN17" s="2048"/>
      <c r="BO17" s="2048"/>
      <c r="BP17" s="2048"/>
      <c r="BQ17" s="2048"/>
    </row>
    <row r="18" spans="2:69" ht="10.5" customHeight="1" thickBot="1">
      <c r="B18" s="10"/>
      <c r="C18" s="4991"/>
      <c r="D18" s="4995"/>
      <c r="E18" s="4996"/>
      <c r="F18" s="4997"/>
      <c r="G18" s="4997"/>
      <c r="H18" s="4997"/>
      <c r="I18" s="4997"/>
      <c r="J18" s="4997"/>
      <c r="K18" s="4997"/>
      <c r="L18" s="4997"/>
      <c r="M18" s="4997"/>
      <c r="N18" s="4997"/>
      <c r="O18" s="4999"/>
      <c r="P18" s="5000"/>
      <c r="Q18" s="11"/>
      <c r="R18" s="4902"/>
      <c r="S18" s="4903"/>
      <c r="T18" s="4903"/>
      <c r="U18" s="4903"/>
      <c r="V18" s="4903"/>
      <c r="W18" s="4903"/>
      <c r="X18" s="4903"/>
      <c r="Y18" s="4904"/>
      <c r="Z18" s="1975"/>
      <c r="AA18" s="2002"/>
      <c r="AB18" s="2003"/>
      <c r="AC18" s="2004"/>
      <c r="AD18" s="1984"/>
      <c r="AE18" s="2031"/>
      <c r="AF18" s="2031"/>
      <c r="AG18" s="2031"/>
      <c r="AH18" s="2031"/>
      <c r="AI18" s="2031"/>
      <c r="AK18" s="2015"/>
      <c r="AL18" s="2015"/>
      <c r="AM18" s="2015"/>
      <c r="AN18" s="2015"/>
      <c r="AO18" s="2015"/>
      <c r="AP18" s="2015"/>
      <c r="AQ18" s="2015"/>
      <c r="AR18" s="2015"/>
      <c r="AS18" s="942"/>
      <c r="AT18" s="942"/>
      <c r="BD18" s="2048"/>
      <c r="BE18" s="2048"/>
      <c r="BF18" s="2048"/>
      <c r="BG18" s="2048"/>
      <c r="BH18" s="2048"/>
      <c r="BI18" s="2048"/>
      <c r="BJ18" s="2048"/>
      <c r="BK18" s="2048"/>
      <c r="BL18" s="2048"/>
      <c r="BM18" s="2048"/>
      <c r="BN18" s="2048"/>
      <c r="BO18" s="2048"/>
      <c r="BP18" s="2048"/>
      <c r="BQ18" s="2048"/>
    </row>
    <row r="19" spans="2:69" ht="34.5" customHeight="1" thickBot="1">
      <c r="B19" s="10"/>
      <c r="C19" s="5092" t="s">
        <v>1353</v>
      </c>
      <c r="D19" s="5094"/>
      <c r="E19" s="1940">
        <v>1</v>
      </c>
      <c r="F19" s="5039" t="s">
        <v>1263</v>
      </c>
      <c r="G19" s="5040"/>
      <c r="H19" s="5040"/>
      <c r="I19" s="5040"/>
      <c r="J19" s="5040"/>
      <c r="K19" s="5040"/>
      <c r="L19" s="5040"/>
      <c r="M19" s="5040"/>
      <c r="N19" s="5041"/>
      <c r="O19" s="1934"/>
      <c r="P19" s="1935"/>
      <c r="Q19" s="11"/>
      <c r="R19" s="4905"/>
      <c r="S19" s="4906"/>
      <c r="T19" s="4906"/>
      <c r="U19" s="4906"/>
      <c r="V19" s="4906"/>
      <c r="W19" s="4906"/>
      <c r="X19" s="4906"/>
      <c r="Y19" s="4907"/>
      <c r="Z19" s="1957"/>
      <c r="AA19" s="1999"/>
      <c r="AB19" s="842"/>
      <c r="AC19" s="2005"/>
      <c r="AD19" s="1218"/>
      <c r="AK19" s="1956"/>
      <c r="AL19" s="1956"/>
      <c r="AM19" s="1956"/>
      <c r="AN19" s="1956"/>
      <c r="AO19" s="1956"/>
      <c r="AP19" s="1956"/>
      <c r="AQ19" s="1956"/>
      <c r="AR19" s="1956"/>
      <c r="AS19" s="942"/>
      <c r="AT19" s="942"/>
      <c r="BD19" s="2048"/>
      <c r="BE19" s="2048"/>
      <c r="BF19" s="2048"/>
      <c r="BG19" s="2048"/>
      <c r="BH19" s="2048"/>
      <c r="BI19" s="2048"/>
      <c r="BJ19" s="2048"/>
      <c r="BK19" s="2048"/>
      <c r="BL19" s="2048"/>
      <c r="BM19" s="2048"/>
      <c r="BN19" s="2048"/>
      <c r="BO19" s="2048"/>
      <c r="BP19" s="2048"/>
      <c r="BQ19" s="2048"/>
    </row>
    <row r="20" spans="2:69" ht="30" customHeight="1" thickBot="1">
      <c r="B20" s="10"/>
      <c r="C20" s="5093"/>
      <c r="D20" s="5095"/>
      <c r="E20" s="1941" t="s">
        <v>957</v>
      </c>
      <c r="F20" s="5042" t="str">
        <f>Formula!$NG$4</f>
        <v/>
      </c>
      <c r="G20" s="5042"/>
      <c r="H20" s="5042"/>
      <c r="I20" s="5042"/>
      <c r="J20" s="5042"/>
      <c r="K20" s="5042"/>
      <c r="L20" s="5042"/>
      <c r="M20" s="5042"/>
      <c r="N20" s="5043"/>
      <c r="O20" s="5047">
        <f>Formula!$NP$4</f>
        <v>0</v>
      </c>
      <c r="P20" s="5048"/>
      <c r="Q20" s="11"/>
      <c r="R20" s="1968" t="s">
        <v>1355</v>
      </c>
      <c r="S20" s="1969" t="s">
        <v>674</v>
      </c>
      <c r="T20" s="4910" t="s">
        <v>1391</v>
      </c>
      <c r="U20" s="4911"/>
      <c r="V20" s="4911"/>
      <c r="W20" s="4912"/>
      <c r="X20" s="4908"/>
      <c r="Y20" s="4909"/>
      <c r="Z20" s="1957"/>
      <c r="AA20" s="1999"/>
      <c r="AB20" s="842"/>
      <c r="AC20" s="2005"/>
      <c r="AD20" s="1218"/>
      <c r="AK20" s="1956"/>
      <c r="AL20" s="1956"/>
      <c r="AM20" s="1956"/>
      <c r="AN20" s="1956"/>
      <c r="AO20" s="1956"/>
      <c r="AP20" s="1956"/>
      <c r="AQ20" s="1956"/>
      <c r="AR20" s="1956"/>
      <c r="AS20" s="942"/>
      <c r="AT20" s="942"/>
      <c r="BD20" s="2048"/>
      <c r="BE20" s="2048"/>
      <c r="BF20" s="2048"/>
      <c r="BG20" s="2048"/>
      <c r="BH20" s="2049"/>
      <c r="BI20" s="2049"/>
      <c r="BJ20" s="2049"/>
      <c r="BK20" s="2049"/>
      <c r="BL20" s="2049"/>
      <c r="BM20" s="2048"/>
      <c r="BN20" s="2048"/>
      <c r="BO20" s="2048"/>
      <c r="BP20" s="2048"/>
      <c r="BQ20" s="2048"/>
    </row>
    <row r="21" spans="2:69" ht="30" customHeight="1" thickTop="1" thickBot="1">
      <c r="B21" s="10"/>
      <c r="C21" s="5093"/>
      <c r="D21" s="5095"/>
      <c r="E21" s="1942"/>
      <c r="F21" s="1938" t="s">
        <v>1354</v>
      </c>
      <c r="G21" s="5033" t="str">
        <f>Formula!$NG$5</f>
        <v/>
      </c>
      <c r="H21" s="5034"/>
      <c r="I21" s="5034"/>
      <c r="J21" s="5034"/>
      <c r="K21" s="5034"/>
      <c r="L21" s="5034"/>
      <c r="M21" s="5034"/>
      <c r="N21" s="5035"/>
      <c r="O21" s="5049"/>
      <c r="P21" s="5050"/>
      <c r="Q21" s="11"/>
      <c r="R21" s="1970" t="s">
        <v>1356</v>
      </c>
      <c r="S21" s="1971" t="s">
        <v>800</v>
      </c>
      <c r="T21" s="4877" t="s">
        <v>1392</v>
      </c>
      <c r="U21" s="4878"/>
      <c r="V21" s="4878"/>
      <c r="W21" s="4879"/>
      <c r="X21" s="4880"/>
      <c r="Y21" s="4881"/>
      <c r="Z21" s="1958"/>
      <c r="AA21" s="3438"/>
      <c r="AB21" s="3439"/>
      <c r="AC21" s="3440"/>
      <c r="AD21" s="1985"/>
      <c r="AE21" s="2032"/>
      <c r="AF21" s="2032"/>
      <c r="AG21" s="2032"/>
      <c r="AH21" s="2032"/>
      <c r="AI21" s="2032"/>
      <c r="AK21" s="1956"/>
      <c r="AL21" s="1956"/>
      <c r="AM21" s="1956"/>
      <c r="AN21" s="1956"/>
      <c r="AO21" s="1956"/>
      <c r="AP21" s="1956"/>
      <c r="AQ21" s="1956"/>
      <c r="AR21" s="1956"/>
      <c r="AS21" s="942"/>
      <c r="AT21" s="942"/>
      <c r="BD21" s="2048"/>
      <c r="BE21" s="2048"/>
      <c r="BF21" s="2048"/>
      <c r="BG21" s="2048"/>
      <c r="BH21" s="2049"/>
      <c r="BI21" s="2049"/>
      <c r="BJ21" s="2049"/>
      <c r="BK21" s="2049"/>
      <c r="BL21" s="2049"/>
      <c r="BM21" s="2048"/>
      <c r="BN21" s="2048"/>
      <c r="BO21" s="2048"/>
      <c r="BP21" s="2048"/>
      <c r="BQ21" s="2048"/>
    </row>
    <row r="22" spans="2:69" ht="30" customHeight="1" thickBot="1">
      <c r="B22" s="10"/>
      <c r="C22" s="5093"/>
      <c r="D22" s="5095"/>
      <c r="E22" s="1943"/>
      <c r="F22" s="1939" t="s">
        <v>1355</v>
      </c>
      <c r="G22" s="5033" t="str">
        <f>Formula!$NG$6</f>
        <v/>
      </c>
      <c r="H22" s="5034"/>
      <c r="I22" s="5034"/>
      <c r="J22" s="5034"/>
      <c r="K22" s="5034"/>
      <c r="L22" s="5034"/>
      <c r="M22" s="5034"/>
      <c r="N22" s="5035"/>
      <c r="O22" s="5051"/>
      <c r="P22" s="5050"/>
      <c r="Q22" s="11"/>
      <c r="R22" s="4884" t="s">
        <v>1399</v>
      </c>
      <c r="S22" s="4885"/>
      <c r="T22" s="4885"/>
      <c r="U22" s="4885"/>
      <c r="V22" s="4885"/>
      <c r="W22" s="4885"/>
      <c r="X22" s="4885"/>
      <c r="Y22" s="4886"/>
      <c r="Z22" s="1959"/>
      <c r="AA22" s="3441"/>
      <c r="AB22" s="3437"/>
      <c r="AC22" s="3442"/>
      <c r="AD22" s="1985"/>
      <c r="AE22" s="2032"/>
      <c r="AF22" s="2032"/>
      <c r="AG22" s="2032"/>
      <c r="AH22" s="2032"/>
      <c r="AI22" s="2032"/>
      <c r="AK22" s="1956"/>
      <c r="AL22" s="1956"/>
      <c r="AM22" s="1956"/>
      <c r="AN22" s="1956"/>
      <c r="AO22" s="1956"/>
      <c r="AP22" s="1956"/>
      <c r="AQ22" s="1956"/>
      <c r="AR22" s="1956"/>
      <c r="AS22" s="942"/>
      <c r="AT22" s="942"/>
      <c r="BD22" s="2048"/>
      <c r="BE22" s="2048"/>
      <c r="BF22" s="2048"/>
      <c r="BG22" s="2048"/>
      <c r="BH22" s="2049"/>
      <c r="BI22" s="2049"/>
      <c r="BJ22" s="2049"/>
      <c r="BK22" s="2049"/>
      <c r="BL22" s="2049"/>
      <c r="BM22" s="2048"/>
      <c r="BN22" s="2048"/>
      <c r="BO22" s="2048"/>
      <c r="BP22" s="2048"/>
      <c r="BQ22" s="2048"/>
    </row>
    <row r="23" spans="2:69" ht="30" customHeight="1" thickTop="1" thickBot="1">
      <c r="B23" s="10"/>
      <c r="C23" s="5093"/>
      <c r="D23" s="5095"/>
      <c r="E23" s="1943"/>
      <c r="F23" s="1939" t="s">
        <v>1356</v>
      </c>
      <c r="G23" s="5036" t="str">
        <f>Formula!$NG$7</f>
        <v/>
      </c>
      <c r="H23" s="5037"/>
      <c r="I23" s="5037"/>
      <c r="J23" s="5037"/>
      <c r="K23" s="5037"/>
      <c r="L23" s="5037"/>
      <c r="M23" s="5037"/>
      <c r="N23" s="5038"/>
      <c r="O23" s="5052"/>
      <c r="P23" s="5053"/>
      <c r="Q23" s="11"/>
      <c r="R23" s="2753" t="s">
        <v>1356</v>
      </c>
      <c r="S23" s="2754" t="s">
        <v>716</v>
      </c>
      <c r="T23" s="5115" t="s">
        <v>1546</v>
      </c>
      <c r="U23" s="5115"/>
      <c r="V23" s="5115"/>
      <c r="W23" s="5115"/>
      <c r="X23" s="5109">
        <f>Formula!ML78</f>
        <v>0</v>
      </c>
      <c r="Y23" s="5110"/>
      <c r="Z23" s="1959"/>
      <c r="AA23" s="3441"/>
      <c r="AB23" s="3437"/>
      <c r="AC23" s="3442"/>
      <c r="AD23" s="1985"/>
      <c r="AE23" s="2032"/>
      <c r="AF23" s="2032"/>
      <c r="AG23" s="2032"/>
      <c r="AH23" s="2032"/>
      <c r="AI23" s="2032"/>
      <c r="AK23" s="1956"/>
      <c r="AL23" s="1956"/>
      <c r="AM23" s="1956"/>
      <c r="AN23" s="1956"/>
      <c r="AO23" s="1956"/>
      <c r="AP23" s="1956"/>
      <c r="AQ23" s="1956"/>
      <c r="AR23" s="1956"/>
      <c r="AS23" s="942"/>
      <c r="AT23" s="942"/>
      <c r="BD23" s="2048"/>
      <c r="BE23" s="2048"/>
      <c r="BF23" s="2048"/>
      <c r="BG23" s="2048"/>
      <c r="BH23" s="2049"/>
      <c r="BI23" s="2049"/>
      <c r="BJ23" s="2049"/>
      <c r="BK23" s="2049"/>
      <c r="BL23" s="2049"/>
      <c r="BM23" s="2048"/>
      <c r="BN23" s="2048"/>
      <c r="BO23" s="2048"/>
      <c r="BP23" s="2048"/>
      <c r="BQ23" s="2048"/>
    </row>
    <row r="24" spans="2:69" ht="30" customHeight="1" thickBot="1">
      <c r="B24" s="10"/>
      <c r="C24" s="5093"/>
      <c r="D24" s="5095"/>
      <c r="E24" s="1944">
        <v>2</v>
      </c>
      <c r="F24" s="5044" t="s">
        <v>1357</v>
      </c>
      <c r="G24" s="5045"/>
      <c r="H24" s="5045"/>
      <c r="I24" s="5045"/>
      <c r="J24" s="5045"/>
      <c r="K24" s="5045"/>
      <c r="L24" s="5045"/>
      <c r="M24" s="5045"/>
      <c r="N24" s="5046"/>
      <c r="O24" s="5085"/>
      <c r="P24" s="5085"/>
      <c r="Q24" s="11"/>
      <c r="R24" s="2755" t="s">
        <v>1397</v>
      </c>
      <c r="S24" s="2756" t="s">
        <v>585</v>
      </c>
      <c r="T24" s="5116" t="s">
        <v>1547</v>
      </c>
      <c r="U24" s="5116"/>
      <c r="V24" s="5116"/>
      <c r="W24" s="5116"/>
      <c r="X24" s="5111">
        <f>Formula!ML79</f>
        <v>0</v>
      </c>
      <c r="Y24" s="5112"/>
      <c r="Z24" s="1959"/>
      <c r="AA24" s="3441"/>
      <c r="AB24" s="3437"/>
      <c r="AC24" s="3442"/>
      <c r="AD24" s="1985"/>
      <c r="AE24" s="2032"/>
      <c r="AF24" s="2032"/>
      <c r="AG24" s="2032"/>
      <c r="AH24" s="2032"/>
      <c r="AI24" s="2032"/>
      <c r="AK24" s="1956"/>
      <c r="AL24" s="1956"/>
      <c r="AM24" s="1956"/>
      <c r="AN24" s="1956"/>
      <c r="AO24" s="1956"/>
      <c r="AP24" s="1956"/>
      <c r="AQ24" s="1956"/>
      <c r="AR24" s="1956"/>
      <c r="AS24" s="942"/>
      <c r="AT24" s="942"/>
      <c r="BD24" s="2048"/>
      <c r="BE24" s="2048"/>
      <c r="BF24" s="2048"/>
      <c r="BG24" s="2048"/>
      <c r="BH24" s="2049"/>
      <c r="BI24" s="2049"/>
      <c r="BJ24" s="2049"/>
      <c r="BK24" s="2049"/>
      <c r="BL24" s="2049"/>
      <c r="BM24" s="2048"/>
      <c r="BN24" s="2048"/>
      <c r="BO24" s="2048"/>
      <c r="BP24" s="2048"/>
      <c r="BQ24" s="2048"/>
    </row>
    <row r="25" spans="2:69" ht="30" customHeight="1" thickBot="1">
      <c r="B25" s="10"/>
      <c r="C25" s="5093"/>
      <c r="D25" s="5095"/>
      <c r="E25" s="1941" t="s">
        <v>957</v>
      </c>
      <c r="F25" s="5097" t="str">
        <f>Formula!$NG$9</f>
        <v>Parents</v>
      </c>
      <c r="G25" s="5098"/>
      <c r="H25" s="5098"/>
      <c r="I25" s="5098"/>
      <c r="J25" s="5098"/>
      <c r="K25" s="5098"/>
      <c r="L25" s="5098"/>
      <c r="M25" s="5098"/>
      <c r="N25" s="5099"/>
      <c r="O25" s="5086">
        <f>Formula!$NP$9</f>
        <v>0</v>
      </c>
      <c r="P25" s="5087"/>
      <c r="Q25" s="11"/>
      <c r="R25" s="2757" t="s">
        <v>1398</v>
      </c>
      <c r="S25" s="2758" t="s">
        <v>720</v>
      </c>
      <c r="T25" s="5116" t="s">
        <v>1550</v>
      </c>
      <c r="U25" s="5116"/>
      <c r="V25" s="5116"/>
      <c r="W25" s="5116"/>
      <c r="X25" s="5113"/>
      <c r="Y25" s="5114"/>
      <c r="Z25" s="1959"/>
      <c r="AA25" s="3441"/>
      <c r="AB25" s="3437"/>
      <c r="AC25" s="3442"/>
      <c r="AD25" s="1985"/>
      <c r="AE25" s="2032"/>
      <c r="AF25" s="2032"/>
      <c r="AG25" s="2032"/>
      <c r="AH25" s="2032"/>
      <c r="AI25" s="2032"/>
      <c r="AK25" s="1956"/>
      <c r="AL25" s="1956"/>
      <c r="AM25" s="1956"/>
      <c r="AN25" s="1956"/>
      <c r="AO25" s="1956"/>
      <c r="AP25" s="1956"/>
      <c r="AQ25" s="1956"/>
      <c r="AR25" s="1956"/>
      <c r="AS25" s="942"/>
      <c r="AT25" s="942"/>
      <c r="BD25" s="2048"/>
      <c r="BE25" s="2048"/>
      <c r="BF25" s="2048"/>
      <c r="BG25" s="2048"/>
      <c r="BH25" s="2049"/>
      <c r="BI25" s="2049"/>
      <c r="BJ25" s="2049"/>
      <c r="BK25" s="2049"/>
      <c r="BL25" s="2049"/>
      <c r="BM25" s="2048"/>
      <c r="BN25" s="2048"/>
      <c r="BO25" s="2048"/>
      <c r="BP25" s="2048"/>
      <c r="BQ25" s="2048"/>
    </row>
    <row r="26" spans="2:69" ht="30" customHeight="1" thickBot="1">
      <c r="B26" s="10"/>
      <c r="C26" s="5093"/>
      <c r="D26" s="5095"/>
      <c r="E26" s="1943"/>
      <c r="F26" s="2799" t="s">
        <v>1354</v>
      </c>
      <c r="G26" s="5033" t="str">
        <f>Formula!$NG$10</f>
        <v>Health Insurance</v>
      </c>
      <c r="H26" s="5034"/>
      <c r="I26" s="5034"/>
      <c r="J26" s="5034"/>
      <c r="K26" s="5034"/>
      <c r="L26" s="5034"/>
      <c r="M26" s="5034"/>
      <c r="N26" s="5035"/>
      <c r="O26" s="5088"/>
      <c r="P26" s="5089"/>
      <c r="Q26" s="11"/>
      <c r="R26" s="2895"/>
      <c r="S26" s="2895"/>
      <c r="T26" s="2896"/>
      <c r="U26" s="2896"/>
      <c r="V26" s="2896"/>
      <c r="W26" s="2896"/>
      <c r="X26" s="2597"/>
      <c r="Y26" s="2597"/>
      <c r="Z26" s="1959"/>
      <c r="AA26" s="3443"/>
      <c r="AB26" s="3444"/>
      <c r="AC26" s="3445"/>
      <c r="AD26" s="1985"/>
      <c r="AE26" s="2032"/>
      <c r="AF26" s="2032"/>
      <c r="AG26" s="2032"/>
      <c r="AH26" s="2032"/>
      <c r="AI26" s="2032"/>
      <c r="AK26" s="1956"/>
      <c r="AL26" s="1956"/>
      <c r="AM26" s="1956"/>
      <c r="AN26" s="1956"/>
      <c r="AO26" s="1956"/>
      <c r="AP26" s="1956"/>
      <c r="AQ26" s="1956"/>
      <c r="AR26" s="1956"/>
      <c r="AS26" s="942"/>
      <c r="AT26" s="942"/>
      <c r="BD26" s="2048"/>
      <c r="BE26" s="2048"/>
      <c r="BF26" s="2048"/>
      <c r="BG26" s="2048"/>
      <c r="BH26" s="2049"/>
      <c r="BI26" s="2049"/>
      <c r="BJ26" s="2049"/>
      <c r="BK26" s="2049"/>
      <c r="BL26" s="2049"/>
      <c r="BM26" s="2048"/>
      <c r="BN26" s="2048"/>
      <c r="BO26" s="2048"/>
      <c r="BP26" s="2048"/>
      <c r="BQ26" s="2048"/>
    </row>
    <row r="27" spans="2:69" ht="30" customHeight="1" thickTop="1" thickBot="1">
      <c r="B27" s="10"/>
      <c r="C27" s="5093"/>
      <c r="D27" s="5095"/>
      <c r="E27" s="1943"/>
      <c r="F27" s="2800" t="s">
        <v>1355</v>
      </c>
      <c r="G27" s="5036" t="str">
        <f>Formula!$NG$11</f>
        <v>Preventive Health Check Up</v>
      </c>
      <c r="H27" s="5037"/>
      <c r="I27" s="5037"/>
      <c r="J27" s="5037"/>
      <c r="K27" s="5037"/>
      <c r="L27" s="5037"/>
      <c r="M27" s="5037"/>
      <c r="N27" s="5038"/>
      <c r="O27" s="5088"/>
      <c r="P27" s="5089"/>
      <c r="Q27" s="11"/>
      <c r="R27" s="5120" t="s">
        <v>1671</v>
      </c>
      <c r="S27" s="5121"/>
      <c r="T27" s="5121"/>
      <c r="U27" s="5121"/>
      <c r="V27" s="5121"/>
      <c r="W27" s="5121"/>
      <c r="X27" s="5121"/>
      <c r="Y27" s="5122"/>
      <c r="Z27" s="1959"/>
      <c r="AA27" s="4815"/>
      <c r="AB27" s="4816"/>
      <c r="AC27" s="4817"/>
      <c r="AD27" s="1985"/>
      <c r="AE27" s="2032"/>
      <c r="AF27" s="2032"/>
      <c r="AG27" s="2032"/>
      <c r="AH27" s="2032"/>
      <c r="AI27" s="2032"/>
      <c r="AK27" s="1956"/>
      <c r="AL27" s="1956"/>
      <c r="AM27" s="1956"/>
      <c r="AN27" s="1956"/>
      <c r="AO27" s="1956"/>
      <c r="AP27" s="1956"/>
      <c r="AQ27" s="1956"/>
      <c r="AR27" s="1956"/>
      <c r="AS27" s="942"/>
      <c r="AT27" s="942"/>
      <c r="BD27" s="2048"/>
      <c r="BE27" s="2048"/>
      <c r="BF27" s="2048"/>
      <c r="BG27" s="2048"/>
      <c r="BH27" s="2049"/>
      <c r="BI27" s="2049"/>
      <c r="BJ27" s="2049"/>
      <c r="BK27" s="2049"/>
      <c r="BL27" s="2049"/>
      <c r="BM27" s="2048"/>
      <c r="BN27" s="2048"/>
      <c r="BO27" s="2048"/>
      <c r="BP27" s="2048"/>
      <c r="BQ27" s="2048"/>
    </row>
    <row r="28" spans="2:69" ht="30" customHeight="1" thickBot="1">
      <c r="B28" s="10"/>
      <c r="C28" s="5093"/>
      <c r="D28" s="5095"/>
      <c r="E28" s="1945"/>
      <c r="F28" s="2801" t="s">
        <v>1356</v>
      </c>
      <c r="G28" s="5117" t="str">
        <f>Formula!$NG$12</f>
        <v/>
      </c>
      <c r="H28" s="5118"/>
      <c r="I28" s="5118"/>
      <c r="J28" s="5118"/>
      <c r="K28" s="5118"/>
      <c r="L28" s="5118"/>
      <c r="M28" s="5118"/>
      <c r="N28" s="5119"/>
      <c r="O28" s="5088"/>
      <c r="P28" s="5089"/>
      <c r="Q28" s="11"/>
      <c r="R28" s="5123"/>
      <c r="S28" s="5124"/>
      <c r="T28" s="5124"/>
      <c r="U28" s="5124"/>
      <c r="V28" s="5124"/>
      <c r="W28" s="5124"/>
      <c r="X28" s="5124"/>
      <c r="Y28" s="5125"/>
      <c r="Z28" s="1959"/>
      <c r="AA28" s="4818"/>
      <c r="AB28" s="4775"/>
      <c r="AC28" s="4819"/>
      <c r="AD28" s="1985"/>
      <c r="AE28" s="2032"/>
      <c r="AF28" s="2032"/>
      <c r="AG28" s="2032"/>
      <c r="AH28" s="2032"/>
      <c r="AI28" s="2032"/>
      <c r="AK28" s="1956"/>
      <c r="AL28" s="1956"/>
      <c r="AM28" s="1956"/>
      <c r="AN28" s="1956"/>
      <c r="AO28" s="1956"/>
      <c r="AP28" s="1956"/>
      <c r="AQ28" s="1956"/>
      <c r="AR28" s="1956"/>
      <c r="AS28" s="942"/>
      <c r="AT28" s="942"/>
      <c r="BD28" s="2048"/>
      <c r="BE28" s="2048"/>
      <c r="BF28" s="2048"/>
      <c r="BG28" s="2048"/>
      <c r="BH28" s="2049"/>
      <c r="BI28" s="2049"/>
      <c r="BJ28" s="2049"/>
      <c r="BK28" s="2049"/>
      <c r="BL28" s="2049"/>
      <c r="BM28" s="2048"/>
      <c r="BN28" s="2048"/>
      <c r="BO28" s="2048"/>
      <c r="BP28" s="2048"/>
      <c r="BQ28" s="2048"/>
    </row>
    <row r="29" spans="2:69" ht="30" customHeight="1" thickBot="1">
      <c r="B29" s="10"/>
      <c r="C29" s="5093"/>
      <c r="D29" s="5096"/>
      <c r="E29" s="5129" t="s">
        <v>1282</v>
      </c>
      <c r="F29" s="5130"/>
      <c r="G29" s="5130"/>
      <c r="H29" s="5130"/>
      <c r="I29" s="5130"/>
      <c r="J29" s="5130"/>
      <c r="K29" s="5130"/>
      <c r="L29" s="5130"/>
      <c r="M29" s="5130"/>
      <c r="N29" s="5131"/>
      <c r="O29" s="5090">
        <f>Formula!$NP$13</f>
        <v>0</v>
      </c>
      <c r="P29" s="5091"/>
      <c r="Q29" s="11"/>
      <c r="R29" s="5123"/>
      <c r="S29" s="5124"/>
      <c r="T29" s="5124"/>
      <c r="U29" s="5124"/>
      <c r="V29" s="5124"/>
      <c r="W29" s="5124"/>
      <c r="X29" s="5124"/>
      <c r="Y29" s="5125"/>
      <c r="Z29" s="1959"/>
      <c r="AA29" s="4818"/>
      <c r="AB29" s="4775"/>
      <c r="AC29" s="4819"/>
      <c r="AD29" s="1985"/>
      <c r="AE29" s="2032"/>
      <c r="AF29" s="2032"/>
      <c r="AG29" s="2032"/>
      <c r="AH29" s="2032"/>
      <c r="AI29" s="2032"/>
      <c r="AK29" s="1956"/>
      <c r="AL29" s="1956"/>
      <c r="AM29" s="1956"/>
      <c r="AN29" s="1956"/>
      <c r="AO29" s="1956"/>
      <c r="AP29" s="1956"/>
      <c r="AQ29" s="1956"/>
      <c r="AR29" s="1956"/>
      <c r="AS29" s="942"/>
      <c r="AT29" s="942"/>
      <c r="BD29" s="2048"/>
      <c r="BE29" s="2048"/>
      <c r="BF29" s="2048"/>
      <c r="BG29" s="2048"/>
      <c r="BH29" s="2049"/>
      <c r="BI29" s="2049"/>
      <c r="BJ29" s="2049"/>
      <c r="BK29" s="2049"/>
      <c r="BL29" s="2049"/>
      <c r="BM29" s="2048"/>
      <c r="BN29" s="2048"/>
      <c r="BO29" s="2048"/>
      <c r="BP29" s="2048"/>
      <c r="BQ29" s="2048"/>
    </row>
    <row r="30" spans="2:69" ht="32.25" customHeight="1" thickBot="1">
      <c r="B30" s="10"/>
      <c r="C30" s="1932"/>
      <c r="D30" s="1953" t="s">
        <v>426</v>
      </c>
      <c r="E30" s="5057" t="s">
        <v>1286</v>
      </c>
      <c r="F30" s="5058"/>
      <c r="G30" s="5058"/>
      <c r="H30" s="5058"/>
      <c r="I30" s="5058"/>
      <c r="J30" s="5058"/>
      <c r="K30" s="5058"/>
      <c r="L30" s="5058"/>
      <c r="M30" s="5058"/>
      <c r="N30" s="5058"/>
      <c r="O30" s="5058"/>
      <c r="P30" s="5059"/>
      <c r="Q30" s="11"/>
      <c r="R30" s="5126"/>
      <c r="S30" s="5127"/>
      <c r="T30" s="5127"/>
      <c r="U30" s="5127"/>
      <c r="V30" s="5127"/>
      <c r="W30" s="5127"/>
      <c r="X30" s="5127"/>
      <c r="Y30" s="5128"/>
      <c r="Z30" s="1960"/>
      <c r="AA30" s="4818"/>
      <c r="AB30" s="4775"/>
      <c r="AC30" s="4819"/>
      <c r="AD30" s="1986"/>
      <c r="AE30" s="2033"/>
      <c r="AF30" s="2033"/>
      <c r="AG30" s="2033"/>
      <c r="AH30" s="2033"/>
      <c r="AI30" s="2033"/>
      <c r="AK30" s="1956"/>
      <c r="AL30" s="1956"/>
      <c r="AM30" s="1956"/>
      <c r="AN30" s="1956"/>
      <c r="AO30" s="1956"/>
      <c r="AP30" s="1956"/>
      <c r="AQ30" s="1956"/>
      <c r="AR30" s="1956"/>
      <c r="AS30" s="942"/>
      <c r="AT30" s="942"/>
      <c r="AU30" s="1548"/>
      <c r="AV30" s="1548"/>
      <c r="AW30" s="1548"/>
      <c r="AX30" s="1548"/>
      <c r="BD30" s="2048"/>
      <c r="BE30" s="2048"/>
      <c r="BF30" s="2048"/>
      <c r="BG30" s="2048"/>
      <c r="BH30" s="2048"/>
      <c r="BI30" s="2048"/>
      <c r="BJ30" s="2048"/>
      <c r="BK30" s="2048"/>
      <c r="BL30" s="2048"/>
      <c r="BM30" s="2048"/>
      <c r="BN30" s="2048"/>
      <c r="BO30" s="2048"/>
      <c r="BP30" s="2048"/>
      <c r="BQ30" s="2048"/>
    </row>
    <row r="31" spans="2:69" ht="29.25" customHeight="1" thickBot="1">
      <c r="B31" s="10"/>
      <c r="C31" s="5161" t="s">
        <v>1359</v>
      </c>
      <c r="D31" s="1936"/>
      <c r="E31" s="5175" t="s">
        <v>1273</v>
      </c>
      <c r="F31" s="5176"/>
      <c r="G31" s="5176"/>
      <c r="H31" s="5176"/>
      <c r="I31" s="5176"/>
      <c r="J31" s="5176"/>
      <c r="K31" s="5176"/>
      <c r="L31" s="5176"/>
      <c r="M31" s="5176"/>
      <c r="N31" s="5176"/>
      <c r="O31" s="5168"/>
      <c r="P31" s="5169"/>
      <c r="Q31" s="10"/>
      <c r="R31" s="2897"/>
      <c r="S31" s="2898"/>
      <c r="T31" s="2898"/>
      <c r="U31" s="2898"/>
      <c r="V31" s="2898"/>
      <c r="W31" s="2898"/>
      <c r="X31" s="2898"/>
      <c r="Y31" s="2899"/>
      <c r="Z31" s="1976"/>
      <c r="AA31" s="4820"/>
      <c r="AB31" s="4821"/>
      <c r="AC31" s="4822"/>
      <c r="AD31" s="1979"/>
      <c r="AE31" s="2019"/>
      <c r="AF31" s="2019"/>
      <c r="AG31" s="2019"/>
      <c r="AH31" s="2019"/>
      <c r="AI31" s="2019"/>
      <c r="AK31" s="1956"/>
      <c r="AL31" s="1956"/>
      <c r="AM31" s="1956"/>
      <c r="AN31" s="1956"/>
      <c r="AO31" s="1956"/>
      <c r="AP31" s="1956"/>
      <c r="AQ31" s="1956"/>
      <c r="AR31" s="1956"/>
      <c r="AS31" s="942"/>
      <c r="AT31" s="942"/>
      <c r="AU31" s="1548"/>
      <c r="AV31" s="1548"/>
      <c r="AW31" s="1548"/>
      <c r="AX31" s="1548"/>
      <c r="BD31" s="2048"/>
      <c r="BE31" s="2048"/>
      <c r="BF31" s="2048"/>
      <c r="BG31" s="2048"/>
      <c r="BH31" s="2048"/>
      <c r="BI31" s="2048"/>
      <c r="BJ31" s="2048"/>
      <c r="BK31" s="2048"/>
      <c r="BL31" s="2048"/>
      <c r="BM31" s="2048"/>
      <c r="BN31" s="2048"/>
      <c r="BO31" s="2048"/>
      <c r="BP31" s="2048"/>
      <c r="BQ31" s="2048"/>
    </row>
    <row r="32" spans="2:69" ht="27.75" customHeight="1" thickTop="1" thickBot="1">
      <c r="B32" s="10"/>
      <c r="C32" s="5162"/>
      <c r="D32" s="1937"/>
      <c r="E32" s="5166" t="s">
        <v>1358</v>
      </c>
      <c r="F32" s="5167"/>
      <c r="G32" s="5167"/>
      <c r="H32" s="5167"/>
      <c r="I32" s="5167"/>
      <c r="J32" s="5167"/>
      <c r="K32" s="5167"/>
      <c r="L32" s="5167"/>
      <c r="M32" s="5167"/>
      <c r="N32" s="5167"/>
      <c r="O32" s="5177">
        <f>Formula!$OB$2</f>
        <v>0</v>
      </c>
      <c r="P32" s="5178"/>
      <c r="Q32" s="10"/>
      <c r="R32" s="2900"/>
      <c r="S32" s="2901"/>
      <c r="T32" s="2901"/>
      <c r="U32" s="2901"/>
      <c r="V32" s="2901"/>
      <c r="W32" s="2901"/>
      <c r="X32" s="2901"/>
      <c r="Y32" s="2902"/>
      <c r="Z32" s="1977"/>
      <c r="AA32" s="5155"/>
      <c r="AB32" s="5156"/>
      <c r="AC32" s="5157"/>
      <c r="AD32" s="1979"/>
      <c r="AE32" s="2019"/>
      <c r="AF32" s="2019"/>
      <c r="AG32" s="2019"/>
      <c r="AH32" s="2019"/>
      <c r="AI32" s="2019"/>
      <c r="AK32" s="1956"/>
      <c r="AL32" s="1956"/>
      <c r="AM32" s="1956"/>
      <c r="AN32" s="1956"/>
      <c r="AO32" s="1956"/>
      <c r="AP32" s="1956"/>
      <c r="AQ32" s="1956"/>
      <c r="AR32" s="1956"/>
      <c r="AS32" s="942"/>
      <c r="AT32" s="942"/>
      <c r="AU32" s="1548"/>
      <c r="AV32" s="1548"/>
      <c r="AW32" s="1548"/>
      <c r="AX32" s="1548"/>
      <c r="BD32" s="2048"/>
      <c r="BE32" s="2048"/>
      <c r="BF32" s="2048"/>
      <c r="BG32" s="2048"/>
      <c r="BH32" s="2048"/>
      <c r="BI32" s="2048"/>
      <c r="BJ32" s="2048"/>
      <c r="BK32" s="2048"/>
      <c r="BL32" s="2048"/>
      <c r="BM32" s="2048"/>
      <c r="BN32" s="2048"/>
      <c r="BO32" s="2048"/>
      <c r="BP32" s="2048"/>
      <c r="BQ32" s="2048"/>
    </row>
    <row r="33" spans="2:69" ht="31.5" customHeight="1" thickBot="1">
      <c r="B33" s="10"/>
      <c r="C33" s="5146"/>
      <c r="D33" s="5147"/>
      <c r="E33" s="5147"/>
      <c r="F33" s="5147"/>
      <c r="G33" s="5147"/>
      <c r="H33" s="5147"/>
      <c r="I33" s="5147"/>
      <c r="J33" s="5147"/>
      <c r="K33" s="5147"/>
      <c r="L33" s="5147"/>
      <c r="M33" s="5147"/>
      <c r="N33" s="5147"/>
      <c r="O33" s="5147"/>
      <c r="P33" s="5148"/>
      <c r="Q33" s="10"/>
      <c r="R33" s="2903"/>
      <c r="S33" s="2904"/>
      <c r="T33" s="2904"/>
      <c r="U33" s="2904"/>
      <c r="V33" s="2904"/>
      <c r="W33" s="2904"/>
      <c r="X33" s="2904"/>
      <c r="Y33" s="2905"/>
      <c r="Z33" s="1977"/>
      <c r="AA33" s="5158"/>
      <c r="AB33" s="5159"/>
      <c r="AC33" s="5160"/>
      <c r="AD33" s="1979"/>
      <c r="AE33" s="2019"/>
      <c r="AF33" s="2019"/>
      <c r="AG33" s="2019"/>
      <c r="AH33" s="2019"/>
      <c r="AI33" s="2019"/>
      <c r="AK33" s="1956"/>
      <c r="AL33" s="1956"/>
      <c r="AM33" s="1956"/>
      <c r="AN33" s="1956"/>
      <c r="AO33" s="1956"/>
      <c r="AP33" s="1956"/>
      <c r="AQ33" s="1956"/>
      <c r="AR33" s="1956"/>
      <c r="AS33" s="942"/>
      <c r="AT33" s="942"/>
      <c r="AU33" s="1548"/>
      <c r="AV33" s="1548"/>
      <c r="AW33" s="1548"/>
      <c r="AX33" s="1548"/>
      <c r="BD33" s="2048"/>
      <c r="BE33" s="2048"/>
      <c r="BF33" s="2048"/>
      <c r="BG33" s="2048"/>
      <c r="BH33" s="2048"/>
      <c r="BI33" s="2048"/>
      <c r="BJ33" s="2048"/>
      <c r="BK33" s="2048"/>
      <c r="BL33" s="2048"/>
      <c r="BM33" s="2048"/>
      <c r="BN33" s="2048"/>
      <c r="BO33" s="2048"/>
      <c r="BP33" s="2048"/>
      <c r="BQ33" s="2048"/>
    </row>
    <row r="34" spans="2:69" ht="27.75" customHeight="1" thickBot="1">
      <c r="B34" s="10"/>
      <c r="C34" s="1096"/>
      <c r="D34" s="1954" t="s">
        <v>435</v>
      </c>
      <c r="E34" s="5163" t="s">
        <v>1287</v>
      </c>
      <c r="F34" s="5164"/>
      <c r="G34" s="5164"/>
      <c r="H34" s="5164"/>
      <c r="I34" s="5164"/>
      <c r="J34" s="5164"/>
      <c r="K34" s="5164"/>
      <c r="L34" s="5164"/>
      <c r="M34" s="5164"/>
      <c r="N34" s="5164"/>
      <c r="O34" s="5164"/>
      <c r="P34" s="5165"/>
      <c r="Q34" s="10"/>
      <c r="R34" s="2903"/>
      <c r="S34" s="2904"/>
      <c r="T34" s="2904"/>
      <c r="U34" s="2904"/>
      <c r="V34" s="2904"/>
      <c r="W34" s="2904"/>
      <c r="X34" s="2904"/>
      <c r="Y34" s="2905"/>
      <c r="Z34" s="1977"/>
      <c r="AA34" s="2007"/>
      <c r="AB34" s="2006"/>
      <c r="AC34" s="2008"/>
      <c r="AD34" s="1979"/>
      <c r="AE34" s="2019"/>
      <c r="AF34" s="2019"/>
      <c r="AG34" s="2019"/>
      <c r="AH34" s="2019"/>
      <c r="AI34" s="2019"/>
      <c r="AK34" s="1956"/>
      <c r="AL34" s="1956"/>
      <c r="AM34" s="1956"/>
      <c r="AN34" s="1956"/>
      <c r="AO34" s="1956"/>
      <c r="AP34" s="1956"/>
      <c r="AQ34" s="1956"/>
      <c r="AR34" s="1956"/>
      <c r="AS34" s="942"/>
      <c r="AT34" s="942"/>
      <c r="AU34" s="1548"/>
      <c r="AV34" s="1548"/>
      <c r="AW34" s="1548"/>
      <c r="AX34" s="1548"/>
      <c r="BD34" s="2048"/>
      <c r="BE34" s="2048"/>
      <c r="BF34" s="2048"/>
      <c r="BG34" s="2048"/>
      <c r="BH34" s="2048"/>
      <c r="BI34" s="2048"/>
      <c r="BJ34" s="2048"/>
      <c r="BK34" s="2048"/>
      <c r="BL34" s="2048"/>
      <c r="BM34" s="2048"/>
      <c r="BN34" s="2048"/>
      <c r="BO34" s="2048"/>
      <c r="BP34" s="2048"/>
      <c r="BQ34" s="2048"/>
    </row>
    <row r="35" spans="2:69" ht="30.75" customHeight="1" thickBot="1">
      <c r="B35" s="10"/>
      <c r="C35" s="5170" t="s">
        <v>1361</v>
      </c>
      <c r="D35" s="1937"/>
      <c r="E35" s="5132" t="s">
        <v>1275</v>
      </c>
      <c r="F35" s="5133"/>
      <c r="G35" s="5133"/>
      <c r="H35" s="5133"/>
      <c r="I35" s="5133"/>
      <c r="J35" s="5133"/>
      <c r="K35" s="5133"/>
      <c r="L35" s="5133"/>
      <c r="M35" s="5133"/>
      <c r="N35" s="5134"/>
      <c r="O35" s="5168"/>
      <c r="P35" s="5169"/>
      <c r="Q35" s="10"/>
      <c r="R35" s="2903"/>
      <c r="S35" s="2904"/>
      <c r="T35" s="2904"/>
      <c r="U35" s="2904"/>
      <c r="V35" s="2904"/>
      <c r="W35" s="2904"/>
      <c r="X35" s="2904"/>
      <c r="Y35" s="2905"/>
      <c r="Z35" s="1977"/>
      <c r="AA35" s="2009"/>
      <c r="AB35" s="2010"/>
      <c r="AC35" s="2011"/>
      <c r="AD35" s="1979"/>
      <c r="AE35" s="2019"/>
      <c r="AF35" s="2019"/>
      <c r="AG35" s="2019"/>
      <c r="AH35" s="2019"/>
      <c r="AI35" s="2019"/>
      <c r="AK35" s="1956"/>
      <c r="AL35" s="1956"/>
      <c r="AM35" s="1956"/>
      <c r="AN35" s="1956"/>
      <c r="AO35" s="1956"/>
      <c r="AP35" s="1956"/>
      <c r="AQ35" s="1956"/>
      <c r="AR35" s="1956"/>
      <c r="AS35" s="942"/>
      <c r="AT35" s="942"/>
      <c r="AU35" s="1548"/>
      <c r="AV35" s="1548"/>
      <c r="AW35" s="1548"/>
      <c r="AX35" s="1548"/>
      <c r="BD35" s="2048"/>
      <c r="BE35" s="2048"/>
      <c r="BF35" s="2048"/>
      <c r="BG35" s="2048"/>
      <c r="BH35" s="2048"/>
      <c r="BI35" s="2048"/>
      <c r="BJ35" s="2048"/>
      <c r="BK35" s="2048"/>
      <c r="BL35" s="2048"/>
      <c r="BM35" s="2048"/>
      <c r="BN35" s="2048"/>
      <c r="BO35" s="2048"/>
      <c r="BP35" s="2048"/>
      <c r="BQ35" s="2048"/>
    </row>
    <row r="36" spans="2:69" ht="27.75" customHeight="1" thickBot="1">
      <c r="B36" s="10"/>
      <c r="C36" s="5171"/>
      <c r="D36" s="1937"/>
      <c r="E36" s="5166" t="s">
        <v>1360</v>
      </c>
      <c r="F36" s="5167"/>
      <c r="G36" s="5167"/>
      <c r="H36" s="5167"/>
      <c r="I36" s="5167"/>
      <c r="J36" s="5167"/>
      <c r="K36" s="5167"/>
      <c r="L36" s="5167"/>
      <c r="M36" s="5167"/>
      <c r="N36" s="5167"/>
      <c r="O36" s="5103">
        <f>Formula!$OB$5</f>
        <v>0</v>
      </c>
      <c r="P36" s="5104"/>
      <c r="Q36" s="10"/>
      <c r="R36" s="2903"/>
      <c r="S36" s="2904"/>
      <c r="T36" s="2904"/>
      <c r="U36" s="2904"/>
      <c r="V36" s="2904"/>
      <c r="W36" s="2904"/>
      <c r="X36" s="2904"/>
      <c r="Y36" s="2905"/>
      <c r="Z36" s="1977"/>
      <c r="AA36" s="2009"/>
      <c r="AB36" s="2010"/>
      <c r="AC36" s="2011"/>
      <c r="AD36" s="1979"/>
      <c r="AE36" s="2019"/>
      <c r="AF36" s="2019"/>
      <c r="AG36" s="2019"/>
      <c r="AH36" s="2019"/>
      <c r="AI36" s="2019"/>
      <c r="AK36" s="1956"/>
      <c r="AL36" s="1956"/>
      <c r="AM36" s="1956"/>
      <c r="AN36" s="1956"/>
      <c r="AO36" s="1956"/>
      <c r="AP36" s="1956"/>
      <c r="AQ36" s="1956"/>
      <c r="AR36" s="1956"/>
      <c r="AS36" s="942"/>
      <c r="AT36" s="942"/>
      <c r="AU36" s="1548"/>
      <c r="AV36" s="1548"/>
      <c r="AW36" s="1548"/>
      <c r="AX36" s="1548"/>
      <c r="BD36" s="2048"/>
      <c r="BE36" s="2048"/>
      <c r="BF36" s="2048"/>
      <c r="BG36" s="2048"/>
      <c r="BH36" s="2048"/>
      <c r="BI36" s="2048"/>
      <c r="BJ36" s="2048"/>
      <c r="BK36" s="2048"/>
      <c r="BL36" s="2048"/>
      <c r="BM36" s="2048"/>
      <c r="BN36" s="2048"/>
      <c r="BO36" s="2048"/>
      <c r="BP36" s="2048"/>
      <c r="BQ36" s="2048"/>
    </row>
    <row r="37" spans="2:69" ht="26.25" customHeight="1" thickBot="1">
      <c r="B37" s="10"/>
      <c r="C37" s="5146"/>
      <c r="D37" s="5147"/>
      <c r="E37" s="5147"/>
      <c r="F37" s="5147"/>
      <c r="G37" s="5147"/>
      <c r="H37" s="5147"/>
      <c r="I37" s="5147"/>
      <c r="J37" s="5147"/>
      <c r="K37" s="5147"/>
      <c r="L37" s="5147"/>
      <c r="M37" s="5147"/>
      <c r="N37" s="5147"/>
      <c r="O37" s="5147"/>
      <c r="P37" s="5148"/>
      <c r="Q37" s="10"/>
      <c r="R37" s="2906"/>
      <c r="S37" s="2907"/>
      <c r="T37" s="2907"/>
      <c r="U37" s="2907"/>
      <c r="V37" s="2907"/>
      <c r="W37" s="2907"/>
      <c r="X37" s="2907"/>
      <c r="Y37" s="2908"/>
      <c r="Z37" s="1972"/>
      <c r="AA37" s="2012"/>
      <c r="AB37" s="2013"/>
      <c r="AC37" s="2014"/>
      <c r="AD37" s="1979"/>
      <c r="AE37" s="2019"/>
      <c r="AF37" s="2019"/>
      <c r="AG37" s="2019"/>
      <c r="AH37" s="2019"/>
      <c r="AI37" s="2019"/>
      <c r="AK37" s="942"/>
      <c r="AL37" s="942"/>
      <c r="AM37" s="942"/>
      <c r="AN37" s="942"/>
      <c r="AO37" s="942"/>
      <c r="AP37" s="942"/>
      <c r="AQ37" s="942"/>
      <c r="AR37" s="942"/>
      <c r="AS37" s="942"/>
      <c r="AT37" s="942"/>
      <c r="AU37" s="1548"/>
      <c r="AV37" s="1548"/>
      <c r="AW37" s="1548"/>
      <c r="AX37" s="1548"/>
      <c r="BD37" s="2048"/>
      <c r="BE37" s="2048"/>
      <c r="BF37" s="2048"/>
      <c r="BG37" s="2048"/>
      <c r="BH37" s="2048"/>
      <c r="BI37" s="2048"/>
      <c r="BJ37" s="2048"/>
      <c r="BK37" s="2048"/>
      <c r="BL37" s="2048"/>
      <c r="BM37" s="2048"/>
      <c r="BN37" s="2048"/>
      <c r="BO37" s="2048"/>
      <c r="BP37" s="2048"/>
      <c r="BQ37" s="2048"/>
    </row>
    <row r="38" spans="2:69" ht="33" customHeight="1" thickTop="1" thickBot="1">
      <c r="B38" s="10"/>
      <c r="C38" s="1946"/>
      <c r="D38" s="1955" t="s">
        <v>429</v>
      </c>
      <c r="E38" s="5172" t="s">
        <v>1288</v>
      </c>
      <c r="F38" s="5173"/>
      <c r="G38" s="5173"/>
      <c r="H38" s="5173"/>
      <c r="I38" s="5173"/>
      <c r="J38" s="5173"/>
      <c r="K38" s="5173"/>
      <c r="L38" s="5173"/>
      <c r="M38" s="5173"/>
      <c r="N38" s="5173"/>
      <c r="O38" s="5173"/>
      <c r="P38" s="5174"/>
      <c r="Q38" s="10"/>
      <c r="R38" s="2909"/>
      <c r="S38" s="2769"/>
      <c r="T38" s="2769"/>
      <c r="U38" s="2769"/>
      <c r="V38" s="2769"/>
      <c r="W38" s="2769"/>
      <c r="X38" s="2769"/>
      <c r="Y38" s="2910"/>
      <c r="Z38" s="1972"/>
      <c r="AA38" s="3450"/>
      <c r="AB38" s="3451"/>
      <c r="AC38" s="3452"/>
      <c r="AD38" s="1979"/>
      <c r="AE38" s="2019"/>
      <c r="AF38" s="2019"/>
      <c r="AG38" s="2019"/>
      <c r="AH38" s="2019"/>
      <c r="AI38" s="2019"/>
      <c r="AK38" s="942"/>
      <c r="AL38" s="942"/>
      <c r="AM38" s="942"/>
      <c r="AN38" s="942"/>
      <c r="AO38" s="942"/>
      <c r="AP38" s="942"/>
      <c r="AQ38" s="942"/>
      <c r="AR38" s="942"/>
      <c r="AS38" s="942"/>
      <c r="AT38" s="942"/>
      <c r="AU38" s="1548"/>
      <c r="AV38" s="1548"/>
      <c r="AW38" s="1548"/>
      <c r="AX38" s="1548"/>
      <c r="BD38" s="2048"/>
      <c r="BE38" s="2048"/>
      <c r="BF38" s="2048"/>
      <c r="BG38" s="2048"/>
      <c r="BH38" s="2048"/>
      <c r="BI38" s="2048"/>
      <c r="BJ38" s="2048"/>
      <c r="BK38" s="2048"/>
      <c r="BL38" s="2048"/>
      <c r="BM38" s="2048"/>
      <c r="BN38" s="2048"/>
      <c r="BO38" s="2048"/>
      <c r="BP38" s="2048"/>
      <c r="BQ38" s="2048"/>
    </row>
    <row r="39" spans="2:69" ht="33" customHeight="1" thickBot="1">
      <c r="B39" s="10"/>
      <c r="C39" s="5135" t="s">
        <v>1362</v>
      </c>
      <c r="D39" s="5076"/>
      <c r="E39" s="5150" t="s">
        <v>1278</v>
      </c>
      <c r="F39" s="5150"/>
      <c r="G39" s="5150"/>
      <c r="H39" s="5150"/>
      <c r="I39" s="5150"/>
      <c r="J39" s="5150"/>
      <c r="K39" s="5150"/>
      <c r="L39" s="5150"/>
      <c r="M39" s="5150"/>
      <c r="N39" s="5151"/>
      <c r="O39" s="5149"/>
      <c r="P39" s="5149"/>
      <c r="Q39" s="10"/>
      <c r="R39" s="2911"/>
      <c r="S39" s="2912"/>
      <c r="T39" s="2912"/>
      <c r="U39" s="2912"/>
      <c r="V39" s="2912"/>
      <c r="W39" s="2912"/>
      <c r="X39" s="2912"/>
      <c r="Y39" s="2913"/>
      <c r="Z39" s="1972"/>
      <c r="AA39" s="3453"/>
      <c r="AB39" s="3446"/>
      <c r="AC39" s="3454"/>
      <c r="AD39" s="1979"/>
      <c r="AE39" s="2019"/>
      <c r="AF39" s="2019"/>
      <c r="AG39" s="2019"/>
      <c r="AH39" s="2019"/>
      <c r="AI39" s="2019"/>
      <c r="AK39" s="942"/>
      <c r="AL39" s="942"/>
      <c r="AM39" s="942"/>
      <c r="AN39" s="942"/>
      <c r="AO39" s="942"/>
      <c r="AP39" s="942"/>
      <c r="AQ39" s="942"/>
      <c r="AR39" s="942"/>
      <c r="AS39" s="942"/>
      <c r="AT39" s="942"/>
      <c r="AU39" s="1548"/>
      <c r="AV39" s="1548"/>
      <c r="AW39" s="1548"/>
      <c r="AX39" s="1548"/>
      <c r="BD39" s="2048"/>
      <c r="BE39" s="2048"/>
      <c r="BF39" s="2048"/>
      <c r="BG39" s="2048"/>
      <c r="BH39" s="2048"/>
      <c r="BI39" s="2048"/>
      <c r="BJ39" s="2048"/>
      <c r="BK39" s="2048"/>
      <c r="BL39" s="2048"/>
      <c r="BM39" s="2048"/>
      <c r="BN39" s="2048"/>
      <c r="BO39" s="2048"/>
      <c r="BP39" s="2048"/>
      <c r="BQ39" s="2048"/>
    </row>
    <row r="40" spans="2:69" ht="33" customHeight="1" thickBot="1">
      <c r="B40" s="10"/>
      <c r="C40" s="5136"/>
      <c r="D40" s="5141"/>
      <c r="E40" s="5105" t="s">
        <v>1281</v>
      </c>
      <c r="F40" s="5105"/>
      <c r="G40" s="5105"/>
      <c r="H40" s="5105"/>
      <c r="I40" s="5105"/>
      <c r="J40" s="5105"/>
      <c r="K40" s="5105"/>
      <c r="L40" s="5105"/>
      <c r="M40" s="5105"/>
      <c r="N40" s="5106"/>
      <c r="O40" s="5102"/>
      <c r="P40" s="5102"/>
      <c r="Q40" s="10"/>
      <c r="R40" s="2911"/>
      <c r="S40" s="2912"/>
      <c r="T40" s="2912"/>
      <c r="U40" s="2912"/>
      <c r="V40" s="2912"/>
      <c r="W40" s="2912"/>
      <c r="X40" s="2912"/>
      <c r="Y40" s="2913"/>
      <c r="Z40" s="1972"/>
      <c r="AA40" s="3453"/>
      <c r="AB40" s="3446"/>
      <c r="AC40" s="3454"/>
      <c r="AD40" s="1979"/>
      <c r="AE40" s="2019"/>
      <c r="AF40" s="2019"/>
      <c r="AG40" s="2019"/>
      <c r="AH40" s="2019"/>
      <c r="AI40" s="2019"/>
      <c r="AK40" s="942"/>
      <c r="AL40" s="942"/>
      <c r="AM40" s="942"/>
      <c r="AN40" s="942"/>
      <c r="AO40" s="942"/>
      <c r="AP40" s="942"/>
      <c r="AQ40" s="942"/>
      <c r="AR40" s="942"/>
      <c r="AS40" s="942"/>
      <c r="AT40" s="942"/>
      <c r="AU40" s="1548"/>
      <c r="AV40" s="1548"/>
      <c r="AW40" s="1548"/>
      <c r="AX40" s="1548"/>
      <c r="BD40" s="2048"/>
      <c r="BE40" s="2048"/>
      <c r="BF40" s="2048"/>
      <c r="BG40" s="2048"/>
      <c r="BH40" s="2048"/>
      <c r="BI40" s="2048"/>
      <c r="BJ40" s="2048"/>
      <c r="BK40" s="2048"/>
      <c r="BL40" s="2048"/>
      <c r="BM40" s="2048"/>
      <c r="BN40" s="2048"/>
      <c r="BO40" s="2048"/>
      <c r="BP40" s="2048"/>
      <c r="BQ40" s="2048"/>
    </row>
    <row r="41" spans="2:69" ht="33" customHeight="1" thickBot="1">
      <c r="B41" s="10"/>
      <c r="C41" s="5137"/>
      <c r="D41" s="5077"/>
      <c r="E41" s="5142" t="s">
        <v>1363</v>
      </c>
      <c r="F41" s="5143"/>
      <c r="G41" s="5143"/>
      <c r="H41" s="5143"/>
      <c r="I41" s="5143"/>
      <c r="J41" s="5143"/>
      <c r="K41" s="5143"/>
      <c r="L41" s="5143"/>
      <c r="M41" s="5143"/>
      <c r="N41" s="5144"/>
      <c r="O41" s="5103">
        <f>Formula!$OM$2</f>
        <v>0</v>
      </c>
      <c r="P41" s="5104"/>
      <c r="Q41" s="10"/>
      <c r="R41" s="2911"/>
      <c r="S41" s="2912"/>
      <c r="T41" s="2912"/>
      <c r="U41" s="2912"/>
      <c r="V41" s="2912"/>
      <c r="W41" s="2912"/>
      <c r="X41" s="2912"/>
      <c r="Y41" s="2913"/>
      <c r="Z41" s="1972"/>
      <c r="AA41" s="3453"/>
      <c r="AB41" s="3446"/>
      <c r="AC41" s="3454"/>
      <c r="AD41" s="1979"/>
      <c r="AE41" s="2019"/>
      <c r="AF41" s="2019"/>
      <c r="AG41" s="2019"/>
      <c r="AH41" s="2019"/>
      <c r="AI41" s="2019"/>
      <c r="AK41" s="942"/>
      <c r="AL41" s="942"/>
      <c r="AM41" s="942"/>
      <c r="AN41" s="942"/>
      <c r="AO41" s="942"/>
      <c r="AP41" s="942"/>
      <c r="AQ41" s="942"/>
      <c r="AR41" s="942"/>
      <c r="AS41" s="942"/>
      <c r="AT41" s="942"/>
      <c r="AU41" s="1548"/>
      <c r="AV41" s="1548"/>
      <c r="AW41" s="1548"/>
      <c r="AX41" s="1548"/>
      <c r="BD41" s="2048"/>
      <c r="BE41" s="2048"/>
      <c r="BF41" s="2048"/>
      <c r="BG41" s="2048"/>
      <c r="BH41" s="2048"/>
      <c r="BI41" s="2048"/>
      <c r="BJ41" s="2048"/>
      <c r="BK41" s="2048"/>
      <c r="BL41" s="2048"/>
      <c r="BM41" s="2048"/>
      <c r="BN41" s="2048"/>
      <c r="BO41" s="2048"/>
      <c r="BP41" s="2048"/>
      <c r="BQ41" s="2048"/>
    </row>
    <row r="42" spans="2:69" ht="36" customHeight="1" thickBot="1">
      <c r="B42" s="10"/>
      <c r="C42" s="1930"/>
      <c r="D42" s="1948" t="s">
        <v>186</v>
      </c>
      <c r="E42" s="5145" t="s">
        <v>1364</v>
      </c>
      <c r="F42" s="5145"/>
      <c r="G42" s="5145"/>
      <c r="H42" s="5145"/>
      <c r="I42" s="5145"/>
      <c r="J42" s="5145"/>
      <c r="K42" s="5145"/>
      <c r="L42" s="5145"/>
      <c r="M42" s="5145"/>
      <c r="N42" s="5145"/>
      <c r="O42" s="5145"/>
      <c r="P42" s="5145"/>
      <c r="Q42" s="10"/>
      <c r="R42" s="2911"/>
      <c r="S42" s="2912"/>
      <c r="T42" s="2912"/>
      <c r="U42" s="2912"/>
      <c r="V42" s="2912"/>
      <c r="W42" s="2912"/>
      <c r="X42" s="2912"/>
      <c r="Y42" s="2913"/>
      <c r="Z42" s="1972"/>
      <c r="AA42" s="3455"/>
      <c r="AB42" s="3456"/>
      <c r="AC42" s="3457"/>
      <c r="AD42" s="1979"/>
      <c r="AE42" s="2019"/>
      <c r="AF42" s="2019"/>
      <c r="AG42" s="2019"/>
      <c r="AH42" s="2019"/>
      <c r="AI42" s="2019"/>
      <c r="AK42" s="942"/>
      <c r="AL42" s="942"/>
      <c r="AM42" s="942"/>
      <c r="AN42" s="942"/>
      <c r="AO42" s="942"/>
      <c r="AP42" s="942"/>
      <c r="AQ42" s="942"/>
      <c r="AR42" s="942"/>
      <c r="AS42" s="942"/>
      <c r="AT42" s="942"/>
      <c r="AU42" s="1548"/>
      <c r="AV42" s="1548"/>
      <c r="AW42" s="1548"/>
      <c r="AX42" s="1548"/>
      <c r="BD42" s="2048"/>
      <c r="BE42" s="2048"/>
      <c r="BF42" s="2048"/>
      <c r="BG42" s="2048"/>
      <c r="BH42" s="2048"/>
      <c r="BI42" s="2048"/>
      <c r="BJ42" s="2048"/>
      <c r="BK42" s="2048"/>
      <c r="BL42" s="2048"/>
      <c r="BM42" s="2048"/>
      <c r="BN42" s="2048"/>
      <c r="BO42" s="2048"/>
      <c r="BP42" s="2048"/>
      <c r="BQ42" s="2048"/>
    </row>
    <row r="43" spans="2:69" ht="29.25" customHeight="1" thickBot="1">
      <c r="B43" s="10"/>
      <c r="C43" s="5146"/>
      <c r="D43" s="5147"/>
      <c r="E43" s="5147"/>
      <c r="F43" s="5147"/>
      <c r="G43" s="5147"/>
      <c r="H43" s="5147"/>
      <c r="I43" s="5147"/>
      <c r="J43" s="5147"/>
      <c r="K43" s="5147"/>
      <c r="L43" s="5147"/>
      <c r="M43" s="5147"/>
      <c r="N43" s="5147"/>
      <c r="O43" s="5147"/>
      <c r="P43" s="5148"/>
      <c r="Q43" s="10"/>
      <c r="R43" s="2771"/>
      <c r="S43" s="2772"/>
      <c r="T43" s="2772"/>
      <c r="U43" s="2772"/>
      <c r="V43" s="2772"/>
      <c r="W43" s="2772"/>
      <c r="X43" s="2772"/>
      <c r="Y43" s="2772"/>
      <c r="Z43" s="2773"/>
      <c r="AA43" s="3447"/>
      <c r="AB43" s="3448"/>
      <c r="AC43" s="3449"/>
      <c r="AD43" s="1979"/>
      <c r="AE43" s="2019"/>
      <c r="AF43" s="2019"/>
      <c r="AG43" s="2019"/>
      <c r="AH43" s="2019"/>
      <c r="AI43" s="2019"/>
      <c r="AK43" s="942"/>
      <c r="AL43" s="942"/>
      <c r="AM43" s="942"/>
      <c r="AN43" s="942"/>
      <c r="AO43" s="942"/>
      <c r="AP43" s="942"/>
      <c r="AQ43" s="942"/>
      <c r="AR43" s="942"/>
      <c r="AS43" s="942"/>
      <c r="AT43" s="942"/>
      <c r="AU43" s="1548"/>
      <c r="AV43" s="1548"/>
      <c r="AW43" s="1548"/>
      <c r="AX43" s="1548"/>
      <c r="BD43" s="2048"/>
      <c r="BE43" s="2048"/>
      <c r="BF43" s="2048"/>
      <c r="BG43" s="2048"/>
      <c r="BH43" s="2048"/>
      <c r="BI43" s="2048"/>
      <c r="BJ43" s="2048"/>
      <c r="BK43" s="2048"/>
      <c r="BL43" s="2048"/>
      <c r="BM43" s="2048"/>
      <c r="BN43" s="2048"/>
      <c r="BO43" s="2048"/>
      <c r="BP43" s="2048"/>
      <c r="BQ43" s="2048"/>
    </row>
    <row r="44" spans="2:69" ht="33" customHeight="1" thickBot="1">
      <c r="B44" s="10"/>
      <c r="C44" s="1950"/>
      <c r="D44" s="1949" t="s">
        <v>424</v>
      </c>
      <c r="E44" s="5057" t="s">
        <v>1365</v>
      </c>
      <c r="F44" s="5058"/>
      <c r="G44" s="5058"/>
      <c r="H44" s="5058"/>
      <c r="I44" s="5058"/>
      <c r="J44" s="5058"/>
      <c r="K44" s="5058"/>
      <c r="L44" s="5058"/>
      <c r="M44" s="5058"/>
      <c r="N44" s="5058"/>
      <c r="O44" s="5058"/>
      <c r="P44" s="5059"/>
      <c r="Q44" s="10"/>
      <c r="R44" s="2774"/>
      <c r="S44" s="2775"/>
      <c r="T44" s="2775"/>
      <c r="U44" s="2775"/>
      <c r="V44" s="2775"/>
      <c r="W44" s="2775"/>
      <c r="X44" s="2775"/>
      <c r="Y44" s="2775"/>
      <c r="Z44" s="2775"/>
      <c r="AA44" s="2775"/>
      <c r="AB44" s="2775"/>
      <c r="AC44" s="2776"/>
      <c r="AD44" s="1979"/>
      <c r="AE44" s="2019"/>
      <c r="AF44" s="2019"/>
      <c r="AG44" s="2019"/>
      <c r="AH44" s="2019"/>
      <c r="AI44" s="2019"/>
      <c r="AK44" s="942"/>
      <c r="AL44" s="942"/>
      <c r="AM44" s="942"/>
      <c r="AN44" s="942"/>
      <c r="AO44" s="942"/>
      <c r="AP44" s="942"/>
      <c r="AQ44" s="942"/>
      <c r="AR44" s="942"/>
      <c r="AS44" s="942"/>
      <c r="AT44" s="942"/>
      <c r="AU44" s="1548"/>
      <c r="AV44" s="1548"/>
      <c r="AW44" s="1548"/>
      <c r="AX44" s="1548"/>
      <c r="BD44" s="2048"/>
      <c r="BE44" s="2048"/>
      <c r="BF44" s="2048"/>
      <c r="BG44" s="2048"/>
      <c r="BH44" s="2048"/>
      <c r="BI44" s="2048"/>
      <c r="BJ44" s="2048"/>
      <c r="BK44" s="2048"/>
      <c r="BL44" s="2048"/>
      <c r="BM44" s="2048"/>
      <c r="BN44" s="2048"/>
      <c r="BO44" s="2048"/>
      <c r="BP44" s="2048"/>
      <c r="BQ44" s="2048"/>
    </row>
    <row r="45" spans="2:69" ht="30.75" customHeight="1" thickBot="1">
      <c r="B45" s="10"/>
      <c r="C45" s="5136" t="s">
        <v>1367</v>
      </c>
      <c r="D45" s="5076"/>
      <c r="E45" s="5084"/>
      <c r="F45" s="5084"/>
      <c r="G45" s="5084"/>
      <c r="H45" s="5084"/>
      <c r="I45" s="5084"/>
      <c r="J45" s="5084"/>
      <c r="K45" s="5084"/>
      <c r="L45" s="5084"/>
      <c r="M45" s="5084"/>
      <c r="N45" s="5084"/>
      <c r="O45" s="5107"/>
      <c r="P45" s="5108"/>
      <c r="Q45" s="10"/>
      <c r="R45" s="2777"/>
      <c r="S45" s="2769"/>
      <c r="T45" s="2769"/>
      <c r="U45" s="2769"/>
      <c r="V45" s="2769"/>
      <c r="W45" s="2769"/>
      <c r="X45" s="2769"/>
      <c r="Y45" s="2769"/>
      <c r="Z45" s="2769"/>
      <c r="AA45" s="2769"/>
      <c r="AB45" s="2769"/>
      <c r="AC45" s="2770"/>
      <c r="AD45" s="1979"/>
      <c r="AE45" s="2019"/>
      <c r="AF45" s="2019"/>
      <c r="AG45" s="2019"/>
      <c r="AH45" s="2019"/>
      <c r="AI45" s="2019"/>
      <c r="AK45" s="942"/>
      <c r="AL45" s="942"/>
      <c r="AM45" s="942"/>
      <c r="AN45" s="942"/>
      <c r="AO45" s="942"/>
      <c r="AP45" s="942"/>
      <c r="AQ45" s="942"/>
      <c r="AR45" s="942"/>
      <c r="AS45" s="942"/>
      <c r="AT45" s="942"/>
      <c r="AU45" s="1548"/>
      <c r="AV45" s="1548"/>
      <c r="AW45" s="1548"/>
      <c r="AX45" s="1548"/>
      <c r="BD45" s="2048"/>
      <c r="BE45" s="2048"/>
      <c r="BF45" s="2048"/>
      <c r="BG45" s="2048"/>
      <c r="BH45" s="2048"/>
      <c r="BI45" s="2048"/>
      <c r="BJ45" s="2048"/>
      <c r="BK45" s="2048"/>
      <c r="BL45" s="2048"/>
      <c r="BM45" s="2048"/>
      <c r="BN45" s="2048"/>
      <c r="BO45" s="2048"/>
      <c r="BP45" s="2048"/>
      <c r="BQ45" s="2048"/>
    </row>
    <row r="46" spans="2:69" ht="33" customHeight="1" thickBot="1">
      <c r="B46" s="10"/>
      <c r="C46" s="5179"/>
      <c r="D46" s="5077"/>
      <c r="E46" s="5072" t="s">
        <v>1366</v>
      </c>
      <c r="F46" s="5072"/>
      <c r="G46" s="5072"/>
      <c r="H46" s="5072"/>
      <c r="I46" s="5072"/>
      <c r="J46" s="5072"/>
      <c r="K46" s="5072"/>
      <c r="L46" s="5072"/>
      <c r="M46" s="5072"/>
      <c r="N46" s="5073"/>
      <c r="O46" s="5080">
        <f>IF(O45&gt;0,O45,0)</f>
        <v>0</v>
      </c>
      <c r="P46" s="5080"/>
      <c r="Q46" s="10"/>
      <c r="R46" s="2777"/>
      <c r="S46" s="2769"/>
      <c r="T46" s="2769"/>
      <c r="U46" s="2769"/>
      <c r="V46" s="2769"/>
      <c r="W46" s="2769"/>
      <c r="X46" s="2769"/>
      <c r="Y46" s="2769"/>
      <c r="Z46" s="2769"/>
      <c r="AA46" s="2769"/>
      <c r="AB46" s="2769"/>
      <c r="AC46" s="2770"/>
      <c r="AD46" s="1979"/>
      <c r="AE46" s="2019"/>
      <c r="AF46" s="2019"/>
      <c r="AG46" s="2019"/>
      <c r="AH46" s="2019"/>
      <c r="AI46" s="2019"/>
      <c r="AK46" s="942"/>
      <c r="AL46" s="942"/>
      <c r="AM46" s="942"/>
      <c r="AN46" s="942"/>
      <c r="AO46" s="942"/>
      <c r="AP46" s="942"/>
      <c r="AQ46" s="942"/>
      <c r="AR46" s="942"/>
      <c r="AS46" s="942"/>
      <c r="AT46" s="942"/>
      <c r="AU46" s="1548"/>
      <c r="AV46" s="1548"/>
      <c r="AW46" s="1548"/>
      <c r="AX46" s="1548"/>
      <c r="BD46" s="2048"/>
      <c r="BE46" s="2048"/>
      <c r="BF46" s="2048"/>
      <c r="BG46" s="2048"/>
      <c r="BH46" s="2048"/>
      <c r="BI46" s="2048"/>
      <c r="BJ46" s="2048"/>
      <c r="BK46" s="2048"/>
      <c r="BL46" s="2048"/>
      <c r="BM46" s="2048"/>
      <c r="BN46" s="2048"/>
      <c r="BO46" s="2048"/>
      <c r="BP46" s="2048"/>
      <c r="BQ46" s="2048"/>
    </row>
    <row r="47" spans="2:69" ht="33" customHeight="1" thickBot="1">
      <c r="B47" s="10"/>
      <c r="C47" s="1096"/>
      <c r="D47" s="1949" t="s">
        <v>1294</v>
      </c>
      <c r="E47" s="5057" t="s">
        <v>1295</v>
      </c>
      <c r="F47" s="5058"/>
      <c r="G47" s="5058"/>
      <c r="H47" s="5058"/>
      <c r="I47" s="5058"/>
      <c r="J47" s="5058"/>
      <c r="K47" s="5058"/>
      <c r="L47" s="5058"/>
      <c r="M47" s="5058"/>
      <c r="N47" s="5058"/>
      <c r="O47" s="5058"/>
      <c r="P47" s="5059"/>
      <c r="Q47" s="10"/>
      <c r="R47" s="2777"/>
      <c r="S47" s="2769"/>
      <c r="T47" s="2769"/>
      <c r="U47" s="2769"/>
      <c r="V47" s="2769"/>
      <c r="W47" s="2769"/>
      <c r="X47" s="2769"/>
      <c r="Y47" s="2769"/>
      <c r="Z47" s="2769"/>
      <c r="AA47" s="2769"/>
      <c r="AB47" s="2769"/>
      <c r="AC47" s="2770"/>
      <c r="AD47" s="1979"/>
      <c r="AE47" s="2019"/>
      <c r="AF47" s="2019"/>
      <c r="AG47" s="2019"/>
      <c r="AH47" s="2019"/>
      <c r="AI47" s="2019"/>
      <c r="AK47" s="942"/>
      <c r="AL47" s="942"/>
      <c r="AM47" s="942"/>
      <c r="AN47" s="942"/>
      <c r="AO47" s="942"/>
      <c r="AP47" s="942"/>
      <c r="AQ47" s="942"/>
      <c r="AR47" s="942"/>
      <c r="AS47" s="942"/>
      <c r="AT47" s="942"/>
      <c r="AU47" s="1548"/>
      <c r="AV47" s="1548"/>
      <c r="AW47" s="1548"/>
      <c r="AX47" s="1548"/>
      <c r="BD47" s="2048"/>
      <c r="BE47" s="2048"/>
      <c r="BF47" s="2048"/>
      <c r="BG47" s="2048"/>
      <c r="BH47" s="2048"/>
      <c r="BI47" s="2048"/>
      <c r="BJ47" s="2048"/>
      <c r="BK47" s="2048"/>
      <c r="BL47" s="2048"/>
      <c r="BM47" s="2048"/>
      <c r="BN47" s="2048"/>
      <c r="BO47" s="2048"/>
      <c r="BP47" s="2048"/>
      <c r="BQ47" s="2048"/>
    </row>
    <row r="48" spans="2:69" ht="33" customHeight="1" thickBot="1">
      <c r="B48" s="10"/>
      <c r="C48" s="5100" t="s">
        <v>1369</v>
      </c>
      <c r="D48" s="5076"/>
      <c r="E48" s="5084"/>
      <c r="F48" s="5084"/>
      <c r="G48" s="5084"/>
      <c r="H48" s="5084"/>
      <c r="I48" s="5084"/>
      <c r="J48" s="5084"/>
      <c r="K48" s="5084"/>
      <c r="L48" s="5084"/>
      <c r="M48" s="5084"/>
      <c r="N48" s="5084"/>
      <c r="O48" s="5107"/>
      <c r="P48" s="5108"/>
      <c r="Q48" s="10"/>
      <c r="R48" s="2777"/>
      <c r="S48" s="2769"/>
      <c r="T48" s="2769"/>
      <c r="U48" s="2769"/>
      <c r="V48" s="2769"/>
      <c r="W48" s="2769"/>
      <c r="X48" s="2769"/>
      <c r="Y48" s="2769"/>
      <c r="Z48" s="2769"/>
      <c r="AA48" s="2769"/>
      <c r="AB48" s="2769"/>
      <c r="AC48" s="2770"/>
      <c r="AD48" s="1979"/>
      <c r="AE48" s="2019"/>
      <c r="AF48" s="2019"/>
      <c r="AG48" s="2019"/>
      <c r="AH48" s="2019"/>
      <c r="AI48" s="2019"/>
      <c r="AK48" s="942"/>
      <c r="AL48" s="942"/>
      <c r="AM48" s="942"/>
      <c r="AN48" s="942"/>
      <c r="AO48" s="942"/>
      <c r="AP48" s="942"/>
      <c r="AQ48" s="942"/>
      <c r="AR48" s="942"/>
      <c r="AS48" s="942"/>
      <c r="AT48" s="942"/>
      <c r="AU48" s="1548"/>
      <c r="AV48" s="1548"/>
      <c r="AW48" s="1548"/>
      <c r="AX48" s="1548"/>
      <c r="BD48" s="2048"/>
      <c r="BE48" s="2048"/>
      <c r="BF48" s="2048"/>
      <c r="BG48" s="2048"/>
      <c r="BH48" s="2048"/>
      <c r="BI48" s="2048"/>
      <c r="BJ48" s="2048"/>
      <c r="BK48" s="2048"/>
      <c r="BL48" s="2048"/>
      <c r="BM48" s="2048"/>
      <c r="BN48" s="2048"/>
      <c r="BO48" s="2048"/>
      <c r="BP48" s="2048"/>
      <c r="BQ48" s="2048"/>
    </row>
    <row r="49" spans="2:69" ht="33" customHeight="1" thickBot="1">
      <c r="B49" s="10"/>
      <c r="C49" s="5101"/>
      <c r="D49" s="5077"/>
      <c r="E49" s="5072" t="s">
        <v>1368</v>
      </c>
      <c r="F49" s="5072"/>
      <c r="G49" s="5072"/>
      <c r="H49" s="5072"/>
      <c r="I49" s="5072"/>
      <c r="J49" s="5072"/>
      <c r="K49" s="5072"/>
      <c r="L49" s="5072"/>
      <c r="M49" s="5072"/>
      <c r="N49" s="5073"/>
      <c r="O49" s="5080">
        <f>IF(O48&gt;=Formula!MQ52,Formula!MQ52,O48)</f>
        <v>0</v>
      </c>
      <c r="P49" s="5080"/>
      <c r="Q49" s="10"/>
      <c r="R49" s="2777"/>
      <c r="S49" s="2769"/>
      <c r="T49" s="2769"/>
      <c r="U49" s="2769"/>
      <c r="V49" s="2769"/>
      <c r="W49" s="2769"/>
      <c r="X49" s="2769"/>
      <c r="Y49" s="2769"/>
      <c r="Z49" s="2769"/>
      <c r="AA49" s="2769"/>
      <c r="AB49" s="2769"/>
      <c r="AC49" s="2770"/>
      <c r="AD49" s="1979"/>
      <c r="AE49" s="2019"/>
      <c r="AF49" s="2019"/>
      <c r="AG49" s="2019"/>
      <c r="AH49" s="2019"/>
      <c r="AI49" s="2019"/>
      <c r="AK49" s="942"/>
      <c r="AL49" s="942"/>
      <c r="AM49" s="942"/>
      <c r="AN49" s="942"/>
      <c r="AO49" s="942"/>
      <c r="AP49" s="942"/>
      <c r="AQ49" s="942"/>
      <c r="AR49" s="942"/>
      <c r="AS49" s="942"/>
      <c r="AT49" s="942"/>
      <c r="AU49" s="1548"/>
      <c r="AV49" s="1548"/>
      <c r="AW49" s="1548"/>
      <c r="AX49" s="1548"/>
      <c r="BD49" s="2048"/>
      <c r="BE49" s="2048"/>
      <c r="BF49" s="2048"/>
      <c r="BG49" s="2048"/>
      <c r="BH49" s="2048"/>
      <c r="BI49" s="2048"/>
      <c r="BJ49" s="2048"/>
      <c r="BK49" s="2048"/>
      <c r="BL49" s="2048"/>
      <c r="BM49" s="2048"/>
      <c r="BN49" s="2048"/>
      <c r="BO49" s="2048"/>
      <c r="BP49" s="2048"/>
      <c r="BQ49" s="2048"/>
    </row>
    <row r="50" spans="2:69" ht="33" customHeight="1" thickBot="1">
      <c r="B50" s="10"/>
      <c r="C50" s="1096"/>
      <c r="D50" s="1949" t="s">
        <v>323</v>
      </c>
      <c r="E50" s="5057" t="s">
        <v>1370</v>
      </c>
      <c r="F50" s="5058"/>
      <c r="G50" s="5058"/>
      <c r="H50" s="5058"/>
      <c r="I50" s="5058"/>
      <c r="J50" s="5058"/>
      <c r="K50" s="5058"/>
      <c r="L50" s="5058"/>
      <c r="M50" s="5058"/>
      <c r="N50" s="5058"/>
      <c r="O50" s="5058"/>
      <c r="P50" s="5059"/>
      <c r="Q50" s="10"/>
      <c r="R50" s="2777"/>
      <c r="S50" s="2769"/>
      <c r="T50" s="2769"/>
      <c r="U50" s="2769"/>
      <c r="V50" s="2769"/>
      <c r="W50" s="2769"/>
      <c r="X50" s="2769"/>
      <c r="Y50" s="2769"/>
      <c r="Z50" s="2769"/>
      <c r="AA50" s="2769"/>
      <c r="AB50" s="2769"/>
      <c r="AC50" s="2770"/>
      <c r="AD50" s="1979"/>
      <c r="AE50" s="2019"/>
      <c r="AF50" s="2019"/>
      <c r="AG50" s="2019"/>
      <c r="AH50" s="2019"/>
      <c r="AI50" s="2019"/>
      <c r="AK50" s="942"/>
      <c r="AL50" s="942"/>
      <c r="AM50" s="942"/>
      <c r="AN50" s="942"/>
      <c r="AO50" s="942"/>
      <c r="AP50" s="942"/>
      <c r="AQ50" s="942"/>
      <c r="AR50" s="942"/>
      <c r="AS50" s="942"/>
      <c r="AT50" s="942"/>
      <c r="AU50" s="1548"/>
      <c r="AV50" s="1548"/>
      <c r="AW50" s="1548"/>
      <c r="AX50" s="1548"/>
      <c r="BD50" s="2048"/>
      <c r="BE50" s="2048"/>
      <c r="BF50" s="2048"/>
      <c r="BG50" s="2048"/>
      <c r="BH50" s="2048"/>
      <c r="BI50" s="2048"/>
      <c r="BJ50" s="2048"/>
      <c r="BK50" s="2048"/>
      <c r="BL50" s="2048"/>
      <c r="BM50" s="2048"/>
      <c r="BN50" s="2048"/>
      <c r="BO50" s="2048"/>
      <c r="BP50" s="2048"/>
      <c r="BQ50" s="2048"/>
    </row>
    <row r="51" spans="2:69" ht="33" customHeight="1" thickBot="1">
      <c r="B51" s="10"/>
      <c r="C51" s="5060" t="s">
        <v>1376</v>
      </c>
      <c r="D51" s="5076"/>
      <c r="E51" s="5084"/>
      <c r="F51" s="5084"/>
      <c r="G51" s="5084"/>
      <c r="H51" s="5084"/>
      <c r="I51" s="5084"/>
      <c r="J51" s="5084"/>
      <c r="K51" s="5084"/>
      <c r="L51" s="5084"/>
      <c r="M51" s="5084"/>
      <c r="N51" s="5084"/>
      <c r="O51" s="5078"/>
      <c r="P51" s="5079"/>
      <c r="Q51" s="10"/>
      <c r="R51" s="2777"/>
      <c r="S51" s="2769"/>
      <c r="T51" s="2769"/>
      <c r="U51" s="2769"/>
      <c r="V51" s="2769"/>
      <c r="W51" s="2769"/>
      <c r="X51" s="2769"/>
      <c r="Y51" s="2769"/>
      <c r="Z51" s="2769"/>
      <c r="AA51" s="2769"/>
      <c r="AB51" s="2769"/>
      <c r="AC51" s="2770"/>
      <c r="AD51" s="1979"/>
      <c r="AE51" s="2019"/>
      <c r="AF51" s="2019"/>
      <c r="AG51" s="2019"/>
      <c r="AH51" s="2019"/>
      <c r="AI51" s="2019"/>
      <c r="AK51" s="942"/>
      <c r="AL51" s="942"/>
      <c r="AM51" s="942"/>
      <c r="AN51" s="942"/>
      <c r="AO51" s="942"/>
      <c r="AP51" s="942"/>
      <c r="AQ51" s="942"/>
      <c r="AR51" s="942"/>
      <c r="AS51" s="942"/>
      <c r="AT51" s="942"/>
      <c r="AU51" s="1548"/>
      <c r="AV51" s="1548"/>
      <c r="AW51" s="1548"/>
      <c r="AX51" s="1548"/>
      <c r="BD51" s="2048"/>
      <c r="BE51" s="2048"/>
      <c r="BF51" s="2048"/>
      <c r="BG51" s="2048"/>
      <c r="BH51" s="2048"/>
      <c r="BI51" s="2048"/>
      <c r="BJ51" s="2048"/>
      <c r="BK51" s="2048"/>
      <c r="BL51" s="2048"/>
      <c r="BM51" s="2048"/>
      <c r="BN51" s="2048"/>
      <c r="BO51" s="2048"/>
      <c r="BP51" s="2048"/>
      <c r="BQ51" s="2048"/>
    </row>
    <row r="52" spans="2:69" ht="28.5" customHeight="1" thickBot="1">
      <c r="B52" s="10"/>
      <c r="C52" s="5060"/>
      <c r="D52" s="5141"/>
      <c r="E52" s="1951" t="s">
        <v>1354</v>
      </c>
      <c r="F52" s="4977" t="s">
        <v>1375</v>
      </c>
      <c r="G52" s="4977"/>
      <c r="H52" s="4977"/>
      <c r="I52" s="4977"/>
      <c r="J52" s="4977"/>
      <c r="K52" s="4977"/>
      <c r="L52" s="4977"/>
      <c r="M52" s="4977"/>
      <c r="N52" s="4978"/>
      <c r="O52" s="5080">
        <f>Formula!MQ26</f>
        <v>0</v>
      </c>
      <c r="P52" s="5080"/>
      <c r="Q52" s="10"/>
      <c r="R52" s="2777"/>
      <c r="S52" s="2769"/>
      <c r="T52" s="2769"/>
      <c r="U52" s="2769"/>
      <c r="V52" s="2769"/>
      <c r="W52" s="2769"/>
      <c r="X52" s="2769"/>
      <c r="Y52" s="2769"/>
      <c r="Z52" s="2769"/>
      <c r="AA52" s="2769"/>
      <c r="AB52" s="2769"/>
      <c r="AC52" s="2770"/>
      <c r="AD52" s="1979"/>
      <c r="AE52" s="2019"/>
      <c r="AF52" s="2019"/>
      <c r="AG52" s="2019"/>
      <c r="AH52" s="2019"/>
      <c r="AI52" s="2019"/>
      <c r="AK52" s="942"/>
      <c r="AL52" s="942"/>
      <c r="AM52" s="942"/>
      <c r="AN52" s="942"/>
      <c r="AO52" s="942"/>
      <c r="AP52" s="942"/>
      <c r="AQ52" s="942"/>
      <c r="AR52" s="942"/>
      <c r="AS52" s="942"/>
      <c r="AT52" s="942"/>
      <c r="AU52" s="1548"/>
      <c r="AV52" s="1548"/>
      <c r="AW52" s="1548"/>
      <c r="AX52" s="1548"/>
      <c r="BD52" s="2048"/>
      <c r="BE52" s="2048"/>
      <c r="BF52" s="2048"/>
      <c r="BG52" s="2048"/>
      <c r="BH52" s="2048"/>
      <c r="BI52" s="2048"/>
      <c r="BJ52" s="2048"/>
      <c r="BK52" s="2048"/>
      <c r="BL52" s="2048"/>
      <c r="BM52" s="2048"/>
      <c r="BN52" s="2048"/>
      <c r="BO52" s="2048"/>
      <c r="BP52" s="2048"/>
      <c r="BQ52" s="2048"/>
    </row>
    <row r="53" spans="2:69" ht="33" customHeight="1" thickBot="1">
      <c r="B53" s="10"/>
      <c r="C53" s="5060"/>
      <c r="D53" s="5141"/>
      <c r="E53" s="5084"/>
      <c r="F53" s="5084"/>
      <c r="G53" s="5084"/>
      <c r="H53" s="5084"/>
      <c r="I53" s="5084"/>
      <c r="J53" s="5084"/>
      <c r="K53" s="5084"/>
      <c r="L53" s="5084"/>
      <c r="M53" s="5084"/>
      <c r="N53" s="5084"/>
      <c r="O53" s="5139"/>
      <c r="P53" s="5140"/>
      <c r="Q53" s="10"/>
      <c r="R53" s="2777"/>
      <c r="S53" s="2769"/>
      <c r="T53" s="2769"/>
      <c r="U53" s="2769"/>
      <c r="V53" s="2769"/>
      <c r="W53" s="2769"/>
      <c r="X53" s="2769"/>
      <c r="Y53" s="2769"/>
      <c r="Z53" s="2769"/>
      <c r="AA53" s="2769"/>
      <c r="AB53" s="2769"/>
      <c r="AC53" s="2770"/>
      <c r="AD53" s="1979"/>
      <c r="AE53" s="2019"/>
      <c r="AF53" s="2019"/>
      <c r="AG53" s="2019"/>
      <c r="AH53" s="2019"/>
      <c r="AI53" s="2019"/>
      <c r="AK53" s="942"/>
      <c r="AL53" s="942"/>
      <c r="AM53" s="942"/>
      <c r="AN53" s="942"/>
      <c r="AO53" s="942"/>
      <c r="AP53" s="942"/>
      <c r="AQ53" s="942"/>
      <c r="AR53" s="942"/>
      <c r="AS53" s="942"/>
      <c r="AT53" s="942"/>
      <c r="AU53" s="1548"/>
      <c r="AV53" s="1548"/>
      <c r="AW53" s="1548"/>
      <c r="AX53" s="1548"/>
      <c r="BD53" s="2048"/>
      <c r="BE53" s="2048"/>
      <c r="BF53" s="2048"/>
      <c r="BG53" s="2048"/>
      <c r="BH53" s="2048"/>
      <c r="BI53" s="2048"/>
      <c r="BJ53" s="2048"/>
      <c r="BK53" s="2048"/>
      <c r="BL53" s="2048"/>
      <c r="BM53" s="2048"/>
      <c r="BN53" s="2048"/>
      <c r="BO53" s="2048"/>
      <c r="BP53" s="2048"/>
      <c r="BQ53" s="2048"/>
    </row>
    <row r="54" spans="2:69" ht="33" customHeight="1" thickBot="1">
      <c r="B54" s="10"/>
      <c r="C54" s="5060"/>
      <c r="D54" s="5141"/>
      <c r="E54" s="1951" t="s">
        <v>1355</v>
      </c>
      <c r="F54" s="5062" t="s">
        <v>1375</v>
      </c>
      <c r="G54" s="5063"/>
      <c r="H54" s="5063"/>
      <c r="I54" s="5063"/>
      <c r="J54" s="5063"/>
      <c r="K54" s="5063"/>
      <c r="L54" s="5063"/>
      <c r="M54" s="5063"/>
      <c r="N54" s="5064"/>
      <c r="O54" s="5081">
        <f>Formula!MQ41</f>
        <v>0</v>
      </c>
      <c r="P54" s="5082"/>
      <c r="Q54" s="10"/>
      <c r="R54" s="2777"/>
      <c r="S54" s="2769"/>
      <c r="T54" s="2769"/>
      <c r="U54" s="2769"/>
      <c r="V54" s="2769"/>
      <c r="W54" s="2769"/>
      <c r="X54" s="2769"/>
      <c r="Y54" s="2769"/>
      <c r="Z54" s="2769"/>
      <c r="AA54" s="2769"/>
      <c r="AB54" s="2769"/>
      <c r="AC54" s="2770"/>
      <c r="AD54" s="1979"/>
      <c r="AE54" s="2019"/>
      <c r="AF54" s="2019"/>
      <c r="AG54" s="2019"/>
      <c r="AH54" s="2019"/>
      <c r="AI54" s="2019"/>
      <c r="AK54" s="942"/>
      <c r="AL54" s="942"/>
      <c r="AM54" s="942"/>
      <c r="AN54" s="942"/>
      <c r="AO54" s="942"/>
      <c r="AP54" s="942"/>
      <c r="AQ54" s="942"/>
      <c r="AR54" s="942"/>
      <c r="AS54" s="942"/>
      <c r="AT54" s="942"/>
      <c r="AU54" s="1548"/>
      <c r="AV54" s="1548"/>
      <c r="AW54" s="1548"/>
      <c r="AX54" s="1548"/>
      <c r="BD54" s="2048"/>
      <c r="BE54" s="2048"/>
      <c r="BF54" s="2048"/>
      <c r="BG54" s="2048"/>
      <c r="BH54" s="2048"/>
      <c r="BI54" s="2048"/>
      <c r="BJ54" s="2048"/>
      <c r="BK54" s="2048"/>
      <c r="BL54" s="2048"/>
      <c r="BM54" s="2048"/>
      <c r="BN54" s="2048"/>
      <c r="BO54" s="2048"/>
      <c r="BP54" s="2048"/>
      <c r="BQ54" s="2048"/>
    </row>
    <row r="55" spans="2:69" ht="33" customHeight="1" thickBot="1">
      <c r="B55" s="10"/>
      <c r="C55" s="5061"/>
      <c r="D55" s="5077"/>
      <c r="E55" s="1952"/>
      <c r="F55" s="5065" t="s">
        <v>1377</v>
      </c>
      <c r="G55" s="5066"/>
      <c r="H55" s="5066"/>
      <c r="I55" s="5066"/>
      <c r="J55" s="5066"/>
      <c r="K55" s="5066"/>
      <c r="L55" s="5066"/>
      <c r="M55" s="5066"/>
      <c r="N55" s="5066"/>
      <c r="O55" s="5083">
        <f>SUM(O52+O54)</f>
        <v>0</v>
      </c>
      <c r="P55" s="5083"/>
      <c r="Q55" s="10"/>
      <c r="R55" s="2777"/>
      <c r="S55" s="2769"/>
      <c r="T55" s="2769"/>
      <c r="U55" s="2769"/>
      <c r="V55" s="2769"/>
      <c r="W55" s="2769"/>
      <c r="X55" s="2769"/>
      <c r="Y55" s="2769"/>
      <c r="Z55" s="2769"/>
      <c r="AA55" s="2769"/>
      <c r="AB55" s="2769"/>
      <c r="AC55" s="2770"/>
      <c r="AD55" s="1979"/>
      <c r="AE55" s="2019"/>
      <c r="AF55" s="2019"/>
      <c r="AG55" s="2019"/>
      <c r="AH55" s="2019"/>
      <c r="AI55" s="2019"/>
      <c r="AK55" s="942"/>
      <c r="AL55" s="942"/>
      <c r="AM55" s="942"/>
      <c r="AN55" s="942"/>
      <c r="AO55" s="942"/>
      <c r="AP55" s="942"/>
      <c r="AQ55" s="942"/>
      <c r="AR55" s="942"/>
      <c r="AS55" s="942"/>
      <c r="AT55" s="942"/>
      <c r="AU55" s="1548"/>
      <c r="AV55" s="1548"/>
      <c r="AW55" s="1548"/>
      <c r="AX55" s="1548"/>
      <c r="BD55" s="2048"/>
      <c r="BE55" s="2048"/>
      <c r="BF55" s="2048"/>
      <c r="BG55" s="2048"/>
      <c r="BH55" s="2048"/>
      <c r="BI55" s="2048"/>
      <c r="BJ55" s="2048"/>
      <c r="BK55" s="2048"/>
      <c r="BL55" s="2048"/>
      <c r="BM55" s="2048"/>
      <c r="BN55" s="2048"/>
      <c r="BO55" s="2048"/>
      <c r="BP55" s="2048"/>
      <c r="BQ55" s="2048"/>
    </row>
    <row r="56" spans="2:69" ht="33" customHeight="1" thickBot="1">
      <c r="B56" s="10"/>
      <c r="C56" s="1096"/>
      <c r="D56" s="1949" t="s">
        <v>1378</v>
      </c>
      <c r="E56" s="5057" t="s">
        <v>1379</v>
      </c>
      <c r="F56" s="5058"/>
      <c r="G56" s="5058"/>
      <c r="H56" s="5058"/>
      <c r="I56" s="5058"/>
      <c r="J56" s="5058"/>
      <c r="K56" s="5058"/>
      <c r="L56" s="5058"/>
      <c r="M56" s="5058"/>
      <c r="N56" s="5058"/>
      <c r="O56" s="5058"/>
      <c r="P56" s="5059"/>
      <c r="Q56" s="10"/>
      <c r="R56" s="2777"/>
      <c r="S56" s="2769"/>
      <c r="T56" s="2769"/>
      <c r="U56" s="2769"/>
      <c r="V56" s="2769"/>
      <c r="W56" s="2769"/>
      <c r="X56" s="2769"/>
      <c r="Y56" s="2769"/>
      <c r="Z56" s="2769"/>
      <c r="AA56" s="2769"/>
      <c r="AB56" s="2769"/>
      <c r="AC56" s="2770"/>
      <c r="AD56" s="1979"/>
      <c r="AE56" s="2019"/>
      <c r="AF56" s="2019"/>
      <c r="AG56" s="2019"/>
      <c r="AH56" s="2019"/>
      <c r="AI56" s="2019"/>
      <c r="AK56" s="942"/>
      <c r="AL56" s="942"/>
      <c r="AM56" s="942"/>
      <c r="AN56" s="942"/>
      <c r="AO56" s="942"/>
      <c r="AP56" s="942"/>
      <c r="AQ56" s="942"/>
      <c r="AR56" s="942"/>
      <c r="AS56" s="942"/>
      <c r="AT56" s="942"/>
      <c r="AU56" s="1548"/>
      <c r="AV56" s="1548"/>
      <c r="AW56" s="1548"/>
      <c r="AX56" s="1548"/>
      <c r="BD56" s="2048"/>
      <c r="BE56" s="2048"/>
      <c r="BF56" s="2048"/>
      <c r="BG56" s="2048"/>
      <c r="BH56" s="2048"/>
      <c r="BI56" s="2048"/>
      <c r="BJ56" s="2048"/>
      <c r="BK56" s="2048"/>
      <c r="BL56" s="2048"/>
      <c r="BM56" s="2048"/>
      <c r="BN56" s="2048"/>
      <c r="BO56" s="2048"/>
      <c r="BP56" s="2048"/>
      <c r="BQ56" s="2048"/>
    </row>
    <row r="57" spans="2:69" ht="33" customHeight="1" thickBot="1">
      <c r="B57" s="10"/>
      <c r="C57" s="5074" t="s">
        <v>1380</v>
      </c>
      <c r="D57" s="5076"/>
      <c r="E57" s="5070"/>
      <c r="F57" s="5070"/>
      <c r="G57" s="5070"/>
      <c r="H57" s="5070"/>
      <c r="I57" s="5070"/>
      <c r="J57" s="5070"/>
      <c r="K57" s="5070"/>
      <c r="L57" s="5070"/>
      <c r="M57" s="5070"/>
      <c r="N57" s="5071"/>
      <c r="O57" s="5067"/>
      <c r="P57" s="5068"/>
      <c r="Q57" s="10"/>
      <c r="R57" s="2777"/>
      <c r="S57" s="2769"/>
      <c r="T57" s="2769"/>
      <c r="U57" s="2769"/>
      <c r="V57" s="2769"/>
      <c r="W57" s="2769"/>
      <c r="X57" s="2769"/>
      <c r="Y57" s="2769"/>
      <c r="Z57" s="2769"/>
      <c r="AA57" s="2769"/>
      <c r="AB57" s="2769"/>
      <c r="AC57" s="2770"/>
      <c r="AD57" s="1979"/>
      <c r="AE57" s="2019"/>
      <c r="AF57" s="2019"/>
      <c r="AG57" s="2019"/>
      <c r="AH57" s="2019"/>
      <c r="AI57" s="2019"/>
      <c r="AK57" s="942"/>
      <c r="AL57" s="942"/>
      <c r="AM57" s="942"/>
      <c r="AN57" s="942"/>
      <c r="AO57" s="942"/>
      <c r="AP57" s="942"/>
      <c r="AQ57" s="942"/>
      <c r="AR57" s="942"/>
      <c r="AS57" s="942"/>
      <c r="AT57" s="942"/>
      <c r="AU57" s="1548"/>
      <c r="AV57" s="1548"/>
      <c r="AW57" s="1548"/>
      <c r="AX57" s="1548"/>
      <c r="BD57" s="2048"/>
      <c r="BE57" s="2048"/>
      <c r="BF57" s="2048"/>
      <c r="BG57" s="2048"/>
      <c r="BH57" s="2048"/>
      <c r="BI57" s="2048"/>
      <c r="BJ57" s="2048"/>
      <c r="BK57" s="2048"/>
      <c r="BL57" s="2048"/>
      <c r="BM57" s="2048"/>
      <c r="BN57" s="2048"/>
      <c r="BO57" s="2048"/>
      <c r="BP57" s="2048"/>
      <c r="BQ57" s="2048"/>
    </row>
    <row r="58" spans="2:69" ht="33" customHeight="1" thickBot="1">
      <c r="B58" s="10"/>
      <c r="C58" s="5075"/>
      <c r="D58" s="5077"/>
      <c r="E58" s="5072" t="s">
        <v>1538</v>
      </c>
      <c r="F58" s="5072"/>
      <c r="G58" s="5072"/>
      <c r="H58" s="5072"/>
      <c r="I58" s="5072"/>
      <c r="J58" s="5072"/>
      <c r="K58" s="5072"/>
      <c r="L58" s="5072"/>
      <c r="M58" s="5072"/>
      <c r="N58" s="5073"/>
      <c r="O58" s="5069">
        <f>Formula!MQ63</f>
        <v>0</v>
      </c>
      <c r="P58" s="5069"/>
      <c r="Q58" s="10"/>
      <c r="R58" s="2777"/>
      <c r="S58" s="2769"/>
      <c r="T58" s="2769"/>
      <c r="U58" s="2769"/>
      <c r="V58" s="2769"/>
      <c r="W58" s="2769"/>
      <c r="X58" s="2769"/>
      <c r="Y58" s="2769"/>
      <c r="Z58" s="2769"/>
      <c r="AA58" s="2769"/>
      <c r="AB58" s="2769"/>
      <c r="AC58" s="2770"/>
      <c r="AD58" s="1979"/>
      <c r="AE58" s="2019"/>
      <c r="AF58" s="2019"/>
      <c r="AG58" s="2019"/>
      <c r="AH58" s="2019"/>
      <c r="AI58" s="2019"/>
      <c r="AK58" s="942"/>
      <c r="AL58" s="942"/>
      <c r="AM58" s="942"/>
      <c r="AN58" s="942"/>
      <c r="AO58" s="942"/>
      <c r="AP58" s="942"/>
      <c r="AQ58" s="942"/>
      <c r="AR58" s="942"/>
      <c r="AS58" s="942"/>
      <c r="AT58" s="942"/>
      <c r="AU58" s="1548"/>
      <c r="AV58" s="1548"/>
      <c r="AW58" s="1548"/>
      <c r="AX58" s="1548"/>
      <c r="BD58" s="2048"/>
      <c r="BE58" s="2048"/>
      <c r="BF58" s="2048"/>
      <c r="BG58" s="2048"/>
      <c r="BH58" s="2048"/>
      <c r="BI58" s="2048"/>
      <c r="BJ58" s="2048"/>
      <c r="BK58" s="2048"/>
      <c r="BL58" s="2048"/>
      <c r="BM58" s="2048"/>
      <c r="BN58" s="2048"/>
      <c r="BO58" s="2048"/>
      <c r="BP58" s="2048"/>
      <c r="BQ58" s="2048"/>
    </row>
    <row r="59" spans="2:69" ht="33" customHeight="1" thickBot="1">
      <c r="B59" s="10"/>
      <c r="C59" s="1096"/>
      <c r="D59" s="1949" t="s">
        <v>529</v>
      </c>
      <c r="E59" s="5057" t="s">
        <v>1382</v>
      </c>
      <c r="F59" s="5058"/>
      <c r="G59" s="5058"/>
      <c r="H59" s="5058"/>
      <c r="I59" s="5058"/>
      <c r="J59" s="5058"/>
      <c r="K59" s="5058"/>
      <c r="L59" s="5058"/>
      <c r="M59" s="5058"/>
      <c r="N59" s="5058"/>
      <c r="O59" s="5058"/>
      <c r="P59" s="5059"/>
      <c r="Q59" s="10"/>
      <c r="R59" s="2777"/>
      <c r="S59" s="2769"/>
      <c r="T59" s="2769"/>
      <c r="U59" s="2769"/>
      <c r="V59" s="2769"/>
      <c r="W59" s="2769"/>
      <c r="X59" s="2769"/>
      <c r="Y59" s="2769"/>
      <c r="Z59" s="2769"/>
      <c r="AA59" s="2769"/>
      <c r="AB59" s="2769"/>
      <c r="AC59" s="2770"/>
      <c r="AD59" s="1979"/>
      <c r="AE59" s="2019"/>
      <c r="AF59" s="2019"/>
      <c r="AG59" s="2019"/>
      <c r="AH59" s="2019"/>
      <c r="AI59" s="2019"/>
      <c r="AK59" s="942"/>
      <c r="AL59" s="942"/>
      <c r="AM59" s="942"/>
      <c r="AN59" s="942"/>
      <c r="AO59" s="942"/>
      <c r="AP59" s="942"/>
      <c r="AQ59" s="942"/>
      <c r="AR59" s="942"/>
      <c r="AS59" s="942"/>
      <c r="AT59" s="942"/>
      <c r="AU59" s="1548"/>
      <c r="AV59" s="1548"/>
      <c r="AW59" s="1548"/>
      <c r="AX59" s="1548"/>
      <c r="BD59" s="2048"/>
      <c r="BE59" s="2048"/>
      <c r="BF59" s="2048"/>
      <c r="BG59" s="2048"/>
      <c r="BH59" s="2048"/>
      <c r="BI59" s="2048"/>
      <c r="BJ59" s="2048"/>
      <c r="BK59" s="2048"/>
      <c r="BL59" s="2048"/>
      <c r="BM59" s="2048"/>
      <c r="BN59" s="2048"/>
      <c r="BO59" s="2048"/>
      <c r="BP59" s="2048"/>
      <c r="BQ59" s="2048"/>
    </row>
    <row r="60" spans="2:69" ht="33" customHeight="1" thickBot="1">
      <c r="B60" s="10"/>
      <c r="C60" s="5074" t="s">
        <v>1381</v>
      </c>
      <c r="D60" s="5076"/>
      <c r="E60" s="1947"/>
      <c r="F60" s="1947"/>
      <c r="G60" s="1947"/>
      <c r="H60" s="1947"/>
      <c r="I60" s="1947"/>
      <c r="J60" s="1947"/>
      <c r="K60" s="1947"/>
      <c r="L60" s="1947"/>
      <c r="M60" s="1947"/>
      <c r="N60" s="1947"/>
      <c r="O60" s="5138"/>
      <c r="P60" s="5138"/>
      <c r="Q60" s="10"/>
      <c r="R60" s="2777"/>
      <c r="S60" s="2769"/>
      <c r="T60" s="2769"/>
      <c r="U60" s="2769"/>
      <c r="V60" s="2769"/>
      <c r="W60" s="2769"/>
      <c r="X60" s="2769"/>
      <c r="Y60" s="2769"/>
      <c r="Z60" s="2769"/>
      <c r="AA60" s="2769"/>
      <c r="AB60" s="2769"/>
      <c r="AC60" s="2770"/>
      <c r="AD60" s="1979"/>
      <c r="AE60" s="2019"/>
      <c r="AF60" s="2019"/>
      <c r="AG60" s="2019"/>
      <c r="AH60" s="2019"/>
      <c r="AI60" s="2019"/>
      <c r="AK60" s="942"/>
      <c r="AL60" s="942"/>
      <c r="AM60" s="942"/>
      <c r="AN60" s="942"/>
      <c r="AO60" s="942"/>
      <c r="AP60" s="942"/>
      <c r="AQ60" s="942"/>
      <c r="AR60" s="942"/>
      <c r="AS60" s="942"/>
      <c r="AT60" s="942"/>
      <c r="AU60" s="1548"/>
      <c r="AV60" s="1548"/>
      <c r="AW60" s="1548"/>
      <c r="AX60" s="1548"/>
      <c r="BD60" s="2048"/>
      <c r="BE60" s="2048"/>
      <c r="BF60" s="2048"/>
      <c r="BG60" s="2048"/>
      <c r="BH60" s="2048"/>
      <c r="BI60" s="2048"/>
      <c r="BJ60" s="2048"/>
      <c r="BK60" s="2048"/>
      <c r="BL60" s="2048"/>
      <c r="BM60" s="2048"/>
      <c r="BN60" s="2048"/>
      <c r="BO60" s="2048"/>
      <c r="BP60" s="2048"/>
      <c r="BQ60" s="2048"/>
    </row>
    <row r="61" spans="2:69" ht="33" customHeight="1" thickBot="1">
      <c r="B61" s="10"/>
      <c r="C61" s="5074"/>
      <c r="D61" s="5141"/>
      <c r="E61" s="5152" t="s">
        <v>1383</v>
      </c>
      <c r="F61" s="5152"/>
      <c r="G61" s="5152"/>
      <c r="H61" s="5152"/>
      <c r="I61" s="5152"/>
      <c r="J61" s="5152"/>
      <c r="K61" s="5152"/>
      <c r="L61" s="5152"/>
      <c r="M61" s="5152"/>
      <c r="N61" s="5153"/>
      <c r="O61" s="5154">
        <f>IF(O60&gt;=Formula!MQ53,Formula!MQ53,O60)</f>
        <v>0</v>
      </c>
      <c r="P61" s="5069"/>
      <c r="Q61" s="10"/>
      <c r="R61" s="2777"/>
      <c r="S61" s="2769"/>
      <c r="T61" s="2769"/>
      <c r="U61" s="2769"/>
      <c r="V61" s="2769"/>
      <c r="W61" s="2769"/>
      <c r="X61" s="2769"/>
      <c r="Y61" s="2769"/>
      <c r="Z61" s="2769"/>
      <c r="AA61" s="2769"/>
      <c r="AB61" s="2769"/>
      <c r="AC61" s="2770"/>
      <c r="AD61" s="1979"/>
      <c r="AE61" s="2019"/>
      <c r="AF61" s="2019"/>
      <c r="AG61" s="2019"/>
      <c r="AH61" s="2019"/>
      <c r="AI61" s="2019"/>
      <c r="AK61" s="942"/>
      <c r="AL61" s="942"/>
      <c r="AM61" s="942"/>
      <c r="AN61" s="942"/>
      <c r="AO61" s="942"/>
      <c r="AP61" s="942"/>
      <c r="AQ61" s="942"/>
      <c r="AR61" s="942"/>
      <c r="AS61" s="942"/>
      <c r="AT61" s="942"/>
      <c r="AU61" s="1548"/>
      <c r="AV61" s="1548"/>
      <c r="AW61" s="1548"/>
      <c r="AX61" s="1548"/>
      <c r="BD61" s="2048"/>
      <c r="BE61" s="2048"/>
      <c r="BF61" s="2048"/>
      <c r="BG61" s="2048"/>
      <c r="BH61" s="2048"/>
      <c r="BI61" s="2048"/>
      <c r="BJ61" s="2048"/>
      <c r="BK61" s="2048"/>
      <c r="BL61" s="2048"/>
      <c r="BM61" s="2048"/>
      <c r="BN61" s="2048"/>
      <c r="BO61" s="2048"/>
      <c r="BP61" s="2048"/>
      <c r="BQ61" s="2048"/>
    </row>
    <row r="62" spans="2:69" ht="33" customHeight="1" thickBot="1">
      <c r="B62" s="10"/>
      <c r="C62" s="4964" t="s">
        <v>1541</v>
      </c>
      <c r="D62" s="4965"/>
      <c r="E62" s="4965"/>
      <c r="F62" s="4965"/>
      <c r="G62" s="4965"/>
      <c r="H62" s="4965"/>
      <c r="I62" s="4965"/>
      <c r="J62" s="4965"/>
      <c r="K62" s="4965"/>
      <c r="L62" s="4965"/>
      <c r="M62" s="4965"/>
      <c r="N62" s="4966"/>
      <c r="O62" s="4967">
        <f>SUM(O15+O29+O32+O36+O41+O46+O49+O52+O54+O58+O61)</f>
        <v>0</v>
      </c>
      <c r="P62" s="4968"/>
      <c r="Q62" s="10"/>
      <c r="R62" s="2777"/>
      <c r="S62" s="2769"/>
      <c r="T62" s="2769"/>
      <c r="U62" s="2769"/>
      <c r="V62" s="2769"/>
      <c r="W62" s="2769"/>
      <c r="X62" s="2769"/>
      <c r="Y62" s="2769"/>
      <c r="Z62" s="2769"/>
      <c r="AA62" s="2769"/>
      <c r="AB62" s="2769"/>
      <c r="AC62" s="2770"/>
      <c r="AD62" s="1979"/>
      <c r="AE62" s="2019"/>
      <c r="AF62" s="2019"/>
      <c r="AG62" s="2019"/>
      <c r="AH62" s="2019"/>
      <c r="AI62" s="2019"/>
      <c r="AK62" s="942"/>
      <c r="AL62" s="942"/>
      <c r="AM62" s="942"/>
      <c r="AN62" s="942"/>
      <c r="AO62" s="942"/>
      <c r="AP62" s="942"/>
      <c r="AQ62" s="942"/>
      <c r="AR62" s="942"/>
      <c r="AS62" s="942"/>
      <c r="AT62" s="942"/>
      <c r="AU62" s="1548"/>
      <c r="AV62" s="1548"/>
      <c r="AW62" s="1548"/>
      <c r="AX62" s="1548"/>
      <c r="BD62" s="2048"/>
      <c r="BE62" s="2048"/>
      <c r="BF62" s="2048"/>
      <c r="BG62" s="2048"/>
      <c r="BH62" s="2048"/>
      <c r="BI62" s="2048"/>
      <c r="BJ62" s="2048"/>
      <c r="BK62" s="2048"/>
      <c r="BL62" s="2048"/>
      <c r="BM62" s="2048"/>
      <c r="BN62" s="2048"/>
      <c r="BO62" s="2048"/>
      <c r="BP62" s="2048"/>
      <c r="BQ62" s="2048"/>
    </row>
    <row r="63" spans="2:69" ht="33" customHeight="1" thickBot="1">
      <c r="B63" s="10"/>
      <c r="C63" s="4969" t="s">
        <v>490</v>
      </c>
      <c r="D63" s="4969"/>
      <c r="E63" s="4969" t="s">
        <v>1396</v>
      </c>
      <c r="F63" s="4970"/>
      <c r="G63" s="4970"/>
      <c r="H63" s="4970"/>
      <c r="I63" s="4970"/>
      <c r="J63" s="4970"/>
      <c r="K63" s="4970"/>
      <c r="L63" s="4970"/>
      <c r="M63" s="4970"/>
      <c r="N63" s="4970"/>
      <c r="O63" s="4970"/>
      <c r="P63" s="4970"/>
      <c r="Q63" s="10"/>
      <c r="R63" s="2777"/>
      <c r="S63" s="2769"/>
      <c r="T63" s="2769"/>
      <c r="U63" s="2769"/>
      <c r="V63" s="2769"/>
      <c r="W63" s="2769"/>
      <c r="X63" s="2769"/>
      <c r="Y63" s="2769"/>
      <c r="Z63" s="2769"/>
      <c r="AA63" s="2769"/>
      <c r="AB63" s="2769"/>
      <c r="AC63" s="2770"/>
      <c r="AD63" s="1979"/>
      <c r="AE63" s="2019"/>
      <c r="AF63" s="2019"/>
      <c r="AG63" s="2019"/>
      <c r="AH63" s="2019"/>
      <c r="AI63" s="2019"/>
      <c r="AK63" s="942"/>
      <c r="AL63" s="942"/>
      <c r="AM63" s="942"/>
      <c r="AN63" s="942"/>
      <c r="AO63" s="942"/>
      <c r="AP63" s="942"/>
      <c r="AQ63" s="942"/>
      <c r="AR63" s="942"/>
      <c r="AS63" s="942"/>
      <c r="AT63" s="942"/>
      <c r="AU63" s="1548"/>
      <c r="AV63" s="1548"/>
      <c r="AW63" s="1548"/>
      <c r="AX63" s="1548"/>
      <c r="BD63" s="2048"/>
      <c r="BE63" s="2048"/>
      <c r="BF63" s="2048"/>
      <c r="BG63" s="2048"/>
      <c r="BH63" s="2048"/>
      <c r="BI63" s="2048"/>
      <c r="BJ63" s="2048"/>
      <c r="BK63" s="2048"/>
      <c r="BL63" s="2048"/>
      <c r="BM63" s="2048"/>
      <c r="BN63" s="2048"/>
      <c r="BO63" s="2048"/>
      <c r="BP63" s="2048"/>
      <c r="BQ63" s="2048"/>
    </row>
    <row r="64" spans="2:69" ht="33" customHeight="1" thickBot="1">
      <c r="B64" s="10"/>
      <c r="C64" s="2768"/>
      <c r="D64" s="2768"/>
      <c r="E64" s="2768"/>
      <c r="F64" s="2768"/>
      <c r="G64" s="2768"/>
      <c r="H64" s="2768"/>
      <c r="I64" s="2768"/>
      <c r="J64" s="2768"/>
      <c r="K64" s="2768"/>
      <c r="L64" s="2768"/>
      <c r="M64" s="2768"/>
      <c r="N64" s="2768"/>
      <c r="O64" s="2768"/>
      <c r="P64" s="2768"/>
      <c r="Q64" s="10"/>
      <c r="R64" s="2777"/>
      <c r="S64" s="2769"/>
      <c r="T64" s="2769"/>
      <c r="U64" s="2769"/>
      <c r="V64" s="2769"/>
      <c r="W64" s="2769"/>
      <c r="X64" s="2769"/>
      <c r="Y64" s="2769"/>
      <c r="Z64" s="2769"/>
      <c r="AA64" s="2769"/>
      <c r="AB64" s="2769"/>
      <c r="AC64" s="2770"/>
      <c r="AD64" s="1979"/>
      <c r="AE64" s="2019"/>
      <c r="AF64" s="2019"/>
      <c r="AG64" s="2019"/>
      <c r="AH64" s="2019"/>
      <c r="AI64" s="2019"/>
      <c r="AK64" s="942"/>
      <c r="AL64" s="942"/>
      <c r="AM64" s="942"/>
      <c r="AN64" s="942"/>
      <c r="AO64" s="942"/>
      <c r="AP64" s="942"/>
      <c r="AQ64" s="942"/>
      <c r="AR64" s="942"/>
      <c r="AS64" s="942"/>
      <c r="AT64" s="942"/>
      <c r="AU64" s="1548"/>
      <c r="AV64" s="1548"/>
      <c r="AW64" s="1548"/>
      <c r="AX64" s="1548"/>
      <c r="BD64" s="2048"/>
      <c r="BE64" s="2048"/>
      <c r="BF64" s="2048"/>
      <c r="BG64" s="2048"/>
      <c r="BH64" s="2048"/>
      <c r="BI64" s="2048"/>
      <c r="BJ64" s="2048"/>
      <c r="BK64" s="2048"/>
      <c r="BL64" s="2048"/>
      <c r="BM64" s="2048"/>
      <c r="BN64" s="2048"/>
      <c r="BO64" s="2048"/>
      <c r="BP64" s="2048"/>
      <c r="BQ64" s="2048"/>
    </row>
    <row r="65" spans="2:69" ht="33" customHeight="1" thickBot="1">
      <c r="B65" s="10"/>
      <c r="C65" s="4969" t="s">
        <v>490</v>
      </c>
      <c r="D65" s="4969"/>
      <c r="E65" s="4971" t="s">
        <v>1555</v>
      </c>
      <c r="F65" s="4972"/>
      <c r="G65" s="4972"/>
      <c r="H65" s="4972"/>
      <c r="I65" s="4972"/>
      <c r="J65" s="4972"/>
      <c r="K65" s="4972"/>
      <c r="L65" s="4972"/>
      <c r="M65" s="4972"/>
      <c r="N65" s="4972"/>
      <c r="O65" s="4972"/>
      <c r="P65" s="4973"/>
      <c r="Q65" s="10"/>
      <c r="R65" s="2777"/>
      <c r="S65" s="2769"/>
      <c r="T65" s="2769"/>
      <c r="U65" s="2769"/>
      <c r="V65" s="2769"/>
      <c r="W65" s="2769"/>
      <c r="X65" s="2769"/>
      <c r="Y65" s="2769"/>
      <c r="Z65" s="2769"/>
      <c r="AA65" s="2769"/>
      <c r="AB65" s="2769"/>
      <c r="AC65" s="2770"/>
      <c r="AD65" s="1979"/>
      <c r="AE65" s="2019"/>
      <c r="AF65" s="2019"/>
      <c r="AG65" s="2019"/>
      <c r="AH65" s="2019"/>
      <c r="AI65" s="2019"/>
      <c r="AK65" s="942"/>
      <c r="AL65" s="942"/>
      <c r="AM65" s="942"/>
      <c r="AN65" s="942"/>
      <c r="AO65" s="942"/>
      <c r="AP65" s="942"/>
      <c r="AQ65" s="942"/>
      <c r="AR65" s="942"/>
      <c r="AS65" s="942"/>
      <c r="AT65" s="942"/>
      <c r="AU65" s="1548"/>
      <c r="AV65" s="1548"/>
      <c r="AW65" s="1548"/>
      <c r="AX65" s="1548"/>
      <c r="BD65" s="2048"/>
      <c r="BE65" s="2048"/>
      <c r="BF65" s="2048"/>
      <c r="BG65" s="2048"/>
      <c r="BH65" s="2048"/>
      <c r="BI65" s="2048"/>
      <c r="BJ65" s="2048"/>
      <c r="BK65" s="2048"/>
      <c r="BL65" s="2048"/>
      <c r="BM65" s="2048"/>
      <c r="BN65" s="2048"/>
      <c r="BO65" s="2048"/>
      <c r="BP65" s="2048"/>
      <c r="BQ65" s="2048"/>
    </row>
    <row r="66" spans="2:69" ht="33" customHeight="1">
      <c r="B66" s="10"/>
      <c r="C66" s="2768"/>
      <c r="D66" s="2768"/>
      <c r="E66" s="2768"/>
      <c r="F66" s="2768"/>
      <c r="G66" s="2768"/>
      <c r="H66" s="2768"/>
      <c r="I66" s="2768"/>
      <c r="J66" s="2768"/>
      <c r="K66" s="2768"/>
      <c r="L66" s="2768"/>
      <c r="M66" s="2768"/>
      <c r="N66" s="2768"/>
      <c r="O66" s="2768"/>
      <c r="P66" s="2768"/>
      <c r="Q66" s="10"/>
      <c r="R66" s="2777"/>
      <c r="S66" s="2769"/>
      <c r="T66" s="2769"/>
      <c r="U66" s="2769"/>
      <c r="V66" s="2769"/>
      <c r="W66" s="2769"/>
      <c r="X66" s="2769"/>
      <c r="Y66" s="2769"/>
      <c r="Z66" s="2769"/>
      <c r="AA66" s="2769"/>
      <c r="AB66" s="2769"/>
      <c r="AC66" s="2770"/>
      <c r="AD66" s="1979"/>
      <c r="AE66" s="2019"/>
      <c r="AF66" s="2019"/>
      <c r="AG66" s="2019"/>
      <c r="AH66" s="2019"/>
      <c r="AI66" s="2019"/>
      <c r="AK66" s="942"/>
      <c r="AL66" s="942"/>
      <c r="AM66" s="942"/>
      <c r="AN66" s="942"/>
      <c r="AO66" s="942"/>
      <c r="AP66" s="942"/>
      <c r="AQ66" s="942"/>
      <c r="AR66" s="942"/>
      <c r="AS66" s="942"/>
      <c r="AT66" s="942"/>
      <c r="AU66" s="1548"/>
      <c r="AV66" s="1548"/>
      <c r="AW66" s="1548"/>
      <c r="AX66" s="1548"/>
      <c r="BD66" s="2048"/>
      <c r="BE66" s="2048"/>
      <c r="BF66" s="2048"/>
      <c r="BG66" s="2048"/>
      <c r="BH66" s="2048"/>
      <c r="BI66" s="2048"/>
      <c r="BJ66" s="2048"/>
      <c r="BK66" s="2048"/>
      <c r="BL66" s="2048"/>
      <c r="BM66" s="2048"/>
      <c r="BN66" s="2048"/>
      <c r="BO66" s="2048"/>
      <c r="BP66" s="2048"/>
      <c r="BQ66" s="2048"/>
    </row>
    <row r="67" spans="2:69" ht="33" customHeight="1">
      <c r="B67" s="10"/>
      <c r="C67" s="4823" t="s">
        <v>1583</v>
      </c>
      <c r="D67" s="4824"/>
      <c r="E67" s="4824"/>
      <c r="F67" s="4824"/>
      <c r="G67" s="4824" t="s">
        <v>1585</v>
      </c>
      <c r="H67" s="4824"/>
      <c r="I67" s="4824"/>
      <c r="J67" s="4824"/>
      <c r="K67" s="4824"/>
      <c r="L67" s="4824"/>
      <c r="M67" s="4824"/>
      <c r="N67" s="4824" t="str">
        <f>CONCATENATE("Rs."," ",'Old Tax Regime'!L71)</f>
        <v>Rs. 268698</v>
      </c>
      <c r="O67" s="4824"/>
      <c r="P67" s="4824"/>
      <c r="Q67" s="10"/>
      <c r="R67" s="2777"/>
      <c r="S67" s="2769"/>
      <c r="T67" s="2769"/>
      <c r="U67" s="2769"/>
      <c r="V67" s="2769"/>
      <c r="W67" s="2769"/>
      <c r="X67" s="2769"/>
      <c r="Y67" s="2769"/>
      <c r="Z67" s="2769"/>
      <c r="AA67" s="2769"/>
      <c r="AB67" s="2769"/>
      <c r="AC67" s="2770"/>
      <c r="AD67" s="1979"/>
      <c r="AE67" s="2019"/>
      <c r="AF67" s="2019"/>
      <c r="AG67" s="2019"/>
      <c r="AH67" s="2019"/>
      <c r="AI67" s="2019"/>
      <c r="AK67" s="942"/>
      <c r="AL67" s="942"/>
      <c r="AM67" s="942"/>
      <c r="AN67" s="942"/>
      <c r="AO67" s="942"/>
      <c r="AP67" s="942"/>
      <c r="AQ67" s="942"/>
      <c r="AR67" s="942"/>
      <c r="AS67" s="942"/>
      <c r="AT67" s="942"/>
      <c r="AU67" s="1548"/>
      <c r="AV67" s="1548"/>
      <c r="AW67" s="1548"/>
      <c r="AX67" s="1548"/>
      <c r="BD67" s="2048"/>
      <c r="BE67" s="2048"/>
      <c r="BF67" s="2048"/>
      <c r="BG67" s="2048"/>
      <c r="BH67" s="2048"/>
      <c r="BI67" s="2048"/>
      <c r="BJ67" s="2048"/>
      <c r="BK67" s="2048"/>
      <c r="BL67" s="2048"/>
      <c r="BM67" s="2048"/>
      <c r="BN67" s="2048"/>
      <c r="BO67" s="2048"/>
      <c r="BP67" s="2048"/>
      <c r="BQ67" s="2048"/>
    </row>
    <row r="68" spans="2:69" ht="33" customHeight="1" thickBot="1">
      <c r="B68" s="10"/>
      <c r="C68" s="4825" t="s">
        <v>1584</v>
      </c>
      <c r="D68" s="4826"/>
      <c r="E68" s="4826"/>
      <c r="F68" s="4826"/>
      <c r="G68" s="4826" t="s">
        <v>1585</v>
      </c>
      <c r="H68" s="4826"/>
      <c r="I68" s="4826"/>
      <c r="J68" s="4826"/>
      <c r="K68" s="4826"/>
      <c r="L68" s="4826"/>
      <c r="M68" s="4826"/>
      <c r="N68" s="4826" t="str">
        <f>CONCATENATE("Rs."," ",'New Tax Regime'!M41)</f>
        <v>Rs. 142882</v>
      </c>
      <c r="O68" s="4826"/>
      <c r="P68" s="4826"/>
      <c r="Q68" s="10"/>
      <c r="R68" s="2778"/>
      <c r="S68" s="2779"/>
      <c r="T68" s="2779"/>
      <c r="U68" s="2779"/>
      <c r="V68" s="2779"/>
      <c r="W68" s="2779"/>
      <c r="X68" s="2779"/>
      <c r="Y68" s="2779"/>
      <c r="Z68" s="2779"/>
      <c r="AA68" s="2779"/>
      <c r="AB68" s="2779"/>
      <c r="AC68" s="2780"/>
      <c r="AD68" s="1979"/>
      <c r="AE68" s="2019"/>
      <c r="AF68" s="2019"/>
      <c r="AG68" s="2019"/>
      <c r="AH68" s="2019"/>
      <c r="AI68" s="2019"/>
      <c r="AK68" s="942"/>
      <c r="AL68" s="942"/>
      <c r="AM68" s="942"/>
      <c r="AN68" s="942"/>
      <c r="AO68" s="942"/>
      <c r="AP68" s="942"/>
      <c r="AQ68" s="942"/>
      <c r="AR68" s="942"/>
      <c r="AS68" s="942"/>
      <c r="AT68" s="942"/>
      <c r="AU68" s="1548"/>
      <c r="AV68" s="1548"/>
      <c r="AW68" s="1548"/>
      <c r="AX68" s="1548"/>
      <c r="BD68" s="2048"/>
      <c r="BE68" s="2048"/>
      <c r="BF68" s="2048"/>
      <c r="BG68" s="2048"/>
      <c r="BH68" s="2048"/>
      <c r="BI68" s="2048"/>
      <c r="BJ68" s="2048"/>
      <c r="BK68" s="2048"/>
      <c r="BL68" s="2048"/>
      <c r="BM68" s="2048"/>
      <c r="BN68" s="2048"/>
      <c r="BO68" s="2048"/>
      <c r="BP68" s="2048"/>
      <c r="BQ68" s="2048"/>
    </row>
    <row r="69" spans="2:69" ht="36" customHeight="1" thickBot="1">
      <c r="B69" s="10"/>
      <c r="C69" s="4974"/>
      <c r="D69" s="4975"/>
      <c r="E69" s="4975"/>
      <c r="F69" s="4975"/>
      <c r="G69" s="4975"/>
      <c r="H69" s="4975"/>
      <c r="I69" s="4975"/>
      <c r="J69" s="4975"/>
      <c r="K69" s="4975"/>
      <c r="L69" s="4975"/>
      <c r="M69" s="4975"/>
      <c r="N69" s="4975"/>
      <c r="O69" s="4975"/>
      <c r="P69" s="4976"/>
      <c r="Q69" s="2018"/>
      <c r="R69" s="4829" t="s">
        <v>571</v>
      </c>
      <c r="S69" s="4830"/>
      <c r="T69" s="4830"/>
      <c r="U69" s="4830"/>
      <c r="V69" s="4830"/>
      <c r="W69" s="4830"/>
      <c r="X69" s="4830"/>
      <c r="Y69" s="4830"/>
      <c r="Z69" s="4830"/>
      <c r="AA69" s="4830"/>
      <c r="AB69" s="4830"/>
      <c r="AC69" s="4831"/>
      <c r="AD69" s="1979"/>
      <c r="AE69" s="2019"/>
      <c r="AF69" s="2019"/>
      <c r="AG69" s="2019"/>
      <c r="AH69" s="2019"/>
      <c r="AI69" s="2019"/>
      <c r="AK69" s="942"/>
      <c r="AL69" s="942"/>
      <c r="AM69" s="942"/>
      <c r="AN69" s="942"/>
      <c r="AO69" s="942"/>
      <c r="AP69" s="942"/>
      <c r="AQ69" s="942"/>
      <c r="AR69" s="942"/>
      <c r="AS69" s="942"/>
      <c r="AT69" s="942"/>
      <c r="AU69" s="1548"/>
      <c r="AV69" s="1548"/>
      <c r="AW69" s="1548"/>
      <c r="AX69" s="1548"/>
      <c r="BD69" s="2048"/>
      <c r="BE69" s="2048"/>
      <c r="BF69" s="2048"/>
      <c r="BG69" s="2048"/>
      <c r="BH69" s="2048"/>
      <c r="BI69" s="2048"/>
      <c r="BJ69" s="2048"/>
      <c r="BK69" s="2048"/>
      <c r="BL69" s="2048"/>
      <c r="BM69" s="2048"/>
      <c r="BN69" s="2048"/>
      <c r="BO69" s="2048"/>
      <c r="BP69" s="2048"/>
      <c r="BQ69" s="2048"/>
    </row>
    <row r="70" spans="2:69" ht="35.1" customHeight="1" thickBot="1">
      <c r="B70" s="10"/>
      <c r="C70" s="2759"/>
      <c r="D70" s="2760"/>
      <c r="E70" s="2760"/>
      <c r="F70" s="2760"/>
      <c r="G70" s="2760"/>
      <c r="H70" s="2760"/>
      <c r="I70" s="2760"/>
      <c r="J70" s="2760"/>
      <c r="K70" s="2760"/>
      <c r="L70" s="2760"/>
      <c r="M70" s="2760"/>
      <c r="N70" s="2760"/>
      <c r="O70" s="2760"/>
      <c r="P70" s="2761"/>
      <c r="Q70" s="2018"/>
      <c r="R70" s="2781" t="s">
        <v>1380</v>
      </c>
      <c r="S70" s="4848" t="s">
        <v>197</v>
      </c>
      <c r="T70" s="4849"/>
      <c r="U70" s="4849"/>
      <c r="V70" s="4849"/>
      <c r="W70" s="4849"/>
      <c r="X70" s="4849"/>
      <c r="Y70" s="4849"/>
      <c r="Z70" s="4849"/>
      <c r="AA70" s="4849"/>
      <c r="AB70" s="4849"/>
      <c r="AC70" s="2782">
        <f>BP70</f>
        <v>1503534</v>
      </c>
      <c r="AD70" s="1979"/>
      <c r="AE70" s="2019"/>
      <c r="AF70" s="2019"/>
      <c r="AG70" s="2019"/>
      <c r="AH70" s="2019"/>
      <c r="AI70" s="2019"/>
      <c r="AK70" s="942"/>
      <c r="AL70" s="942"/>
      <c r="AM70" s="942"/>
      <c r="AN70" s="942"/>
      <c r="AO70" s="942"/>
      <c r="AP70" s="942"/>
      <c r="AQ70" s="942"/>
      <c r="AR70" s="942"/>
      <c r="AS70" s="942"/>
      <c r="AT70" s="942"/>
      <c r="AU70" s="1548"/>
      <c r="AV70" s="1548"/>
      <c r="AW70" s="1548"/>
      <c r="AX70" s="1548"/>
      <c r="BD70" s="2048"/>
      <c r="BE70" s="2713" t="s">
        <v>1380</v>
      </c>
      <c r="BF70" s="4848" t="s">
        <v>197</v>
      </c>
      <c r="BG70" s="4849"/>
      <c r="BH70" s="4849"/>
      <c r="BI70" s="4849"/>
      <c r="BJ70" s="4849"/>
      <c r="BK70" s="4849"/>
      <c r="BL70" s="4849"/>
      <c r="BM70" s="4849"/>
      <c r="BN70" s="4849"/>
      <c r="BO70" s="4875"/>
      <c r="BP70" s="1195">
        <f>'Anexure-I'!M41</f>
        <v>1503534</v>
      </c>
      <c r="BQ70" s="2048"/>
    </row>
    <row r="71" spans="2:69" ht="35.1" customHeight="1" thickBot="1">
      <c r="B71" s="10"/>
      <c r="C71" s="2762"/>
      <c r="D71" s="2763"/>
      <c r="E71" s="2763"/>
      <c r="F71" s="2763"/>
      <c r="G71" s="2763"/>
      <c r="H71" s="2763"/>
      <c r="I71" s="2763"/>
      <c r="J71" s="2763"/>
      <c r="K71" s="2763"/>
      <c r="L71" s="2763"/>
      <c r="M71" s="2763"/>
      <c r="N71" s="2763"/>
      <c r="O71" s="2763"/>
      <c r="P71" s="2764"/>
      <c r="Q71" s="2018"/>
      <c r="R71" s="2783" t="s">
        <v>1352</v>
      </c>
      <c r="S71" s="4850" t="s">
        <v>1577</v>
      </c>
      <c r="T71" s="4851"/>
      <c r="U71" s="4851"/>
      <c r="V71" s="4851"/>
      <c r="W71" s="4851"/>
      <c r="X71" s="4851"/>
      <c r="Y71" s="4851"/>
      <c r="Z71" s="4851"/>
      <c r="AA71" s="4851"/>
      <c r="AB71" s="4852"/>
      <c r="AC71" s="2784">
        <f>BP71</f>
        <v>89334</v>
      </c>
      <c r="AD71" s="1979"/>
      <c r="AE71" s="2019"/>
      <c r="AF71" s="2019"/>
      <c r="AG71" s="2019"/>
      <c r="AH71" s="2019"/>
      <c r="AI71" s="2019"/>
      <c r="AK71" s="942"/>
      <c r="AL71" s="942"/>
      <c r="AM71" s="942"/>
      <c r="AN71" s="942"/>
      <c r="AO71" s="942"/>
      <c r="AP71" s="942"/>
      <c r="AQ71" s="942"/>
      <c r="AR71" s="942"/>
      <c r="AS71" s="942"/>
      <c r="AT71" s="942"/>
      <c r="AU71" s="1548"/>
      <c r="AV71" s="1548"/>
      <c r="AW71" s="1548"/>
      <c r="AX71" s="1548"/>
      <c r="BD71" s="2048"/>
      <c r="BE71" s="2709" t="s">
        <v>1352</v>
      </c>
      <c r="BF71" s="4850" t="s">
        <v>1577</v>
      </c>
      <c r="BG71" s="4851"/>
      <c r="BH71" s="4851"/>
      <c r="BI71" s="4851"/>
      <c r="BJ71" s="4851"/>
      <c r="BK71" s="4851"/>
      <c r="BL71" s="4851"/>
      <c r="BM71" s="4851"/>
      <c r="BN71" s="4851"/>
      <c r="BO71" s="4852"/>
      <c r="BP71" s="1197">
        <f>'Old Tax Regime'!L11</f>
        <v>89334</v>
      </c>
      <c r="BQ71" s="2048"/>
    </row>
    <row r="72" spans="2:69" ht="35.1" customHeight="1" thickBot="1">
      <c r="B72" s="10"/>
      <c r="C72" s="2762"/>
      <c r="D72" s="2763"/>
      <c r="E72" s="2763"/>
      <c r="F72" s="2763"/>
      <c r="G72" s="2763"/>
      <c r="H72" s="2763"/>
      <c r="I72" s="2763"/>
      <c r="J72" s="2763"/>
      <c r="K72" s="2763"/>
      <c r="L72" s="2763"/>
      <c r="M72" s="2763"/>
      <c r="N72" s="2763"/>
      <c r="O72" s="2763"/>
      <c r="P72" s="2764"/>
      <c r="Q72" s="2018"/>
      <c r="R72" s="2785" t="s">
        <v>1353</v>
      </c>
      <c r="S72" s="4853" t="s">
        <v>1576</v>
      </c>
      <c r="T72" s="4854"/>
      <c r="U72" s="4854"/>
      <c r="V72" s="4854"/>
      <c r="W72" s="4854"/>
      <c r="X72" s="4854"/>
      <c r="Y72" s="4854"/>
      <c r="Z72" s="4854"/>
      <c r="AA72" s="4854"/>
      <c r="AB72" s="4855"/>
      <c r="AC72" s="2784">
        <f t="shared" ref="AC72:AC75" si="0">BP72</f>
        <v>0</v>
      </c>
      <c r="AD72" s="1979"/>
      <c r="AE72" s="2019"/>
      <c r="AF72" s="2019"/>
      <c r="AG72" s="2019"/>
      <c r="AH72" s="2019"/>
      <c r="AI72" s="2019"/>
      <c r="AK72" s="942"/>
      <c r="AL72" s="942"/>
      <c r="AM72" s="942"/>
      <c r="AN72" s="942"/>
      <c r="AO72" s="942"/>
      <c r="AP72" s="942"/>
      <c r="AQ72" s="942"/>
      <c r="AR72" s="942"/>
      <c r="AS72" s="942"/>
      <c r="AT72" s="942"/>
      <c r="AU72" s="1548"/>
      <c r="AV72" s="1548"/>
      <c r="AW72" s="1548"/>
      <c r="AX72" s="1548"/>
      <c r="BD72" s="2048"/>
      <c r="BE72" s="2708" t="s">
        <v>1353</v>
      </c>
      <c r="BF72" s="4853" t="s">
        <v>1576</v>
      </c>
      <c r="BG72" s="4854"/>
      <c r="BH72" s="4854"/>
      <c r="BI72" s="4854"/>
      <c r="BJ72" s="4854"/>
      <c r="BK72" s="4854"/>
      <c r="BL72" s="4854"/>
      <c r="BM72" s="4854"/>
      <c r="BN72" s="4854"/>
      <c r="BO72" s="4855"/>
      <c r="BP72" s="1195">
        <f>'Old Tax Regime'!L13</f>
        <v>0</v>
      </c>
      <c r="BQ72" s="2048"/>
    </row>
    <row r="73" spans="2:69" ht="35.1" customHeight="1" thickTop="1" thickBot="1">
      <c r="B73" s="10"/>
      <c r="C73" s="2762"/>
      <c r="D73" s="2763"/>
      <c r="E73" s="2763"/>
      <c r="F73" s="2763"/>
      <c r="G73" s="2763"/>
      <c r="H73" s="2763"/>
      <c r="I73" s="2763"/>
      <c r="J73" s="2763"/>
      <c r="K73" s="2763"/>
      <c r="L73" s="2763"/>
      <c r="M73" s="2763"/>
      <c r="N73" s="2763"/>
      <c r="O73" s="2763"/>
      <c r="P73" s="2764"/>
      <c r="Q73" s="2018"/>
      <c r="R73" s="2786" t="s">
        <v>1475</v>
      </c>
      <c r="S73" s="4856" t="s">
        <v>1575</v>
      </c>
      <c r="T73" s="4857"/>
      <c r="U73" s="4857"/>
      <c r="V73" s="4857"/>
      <c r="W73" s="4857"/>
      <c r="X73" s="4857"/>
      <c r="Y73" s="4857"/>
      <c r="Z73" s="4857"/>
      <c r="AA73" s="4857"/>
      <c r="AB73" s="4858"/>
      <c r="AC73" s="2784">
        <f t="shared" si="0"/>
        <v>89334</v>
      </c>
      <c r="AD73" s="1979"/>
      <c r="AE73" s="2019"/>
      <c r="AF73" s="2019"/>
      <c r="AG73" s="2019"/>
      <c r="AH73" s="2019"/>
      <c r="AI73" s="2019"/>
      <c r="AK73" s="942"/>
      <c r="AL73" s="942"/>
      <c r="AM73" s="942"/>
      <c r="AN73" s="942"/>
      <c r="AO73" s="942"/>
      <c r="AP73" s="942"/>
      <c r="AQ73" s="942"/>
      <c r="AR73" s="942"/>
      <c r="AS73" s="942"/>
      <c r="AT73" s="942"/>
      <c r="AU73" s="1548"/>
      <c r="AV73" s="1548"/>
      <c r="AW73" s="1548"/>
      <c r="AX73" s="1548"/>
      <c r="BD73" s="2048"/>
      <c r="BE73" s="2710" t="s">
        <v>1475</v>
      </c>
      <c r="BF73" s="4856" t="s">
        <v>1575</v>
      </c>
      <c r="BG73" s="4857"/>
      <c r="BH73" s="4857"/>
      <c r="BI73" s="4857"/>
      <c r="BJ73" s="4857"/>
      <c r="BK73" s="4857"/>
      <c r="BL73" s="4857"/>
      <c r="BM73" s="4857"/>
      <c r="BN73" s="4857"/>
      <c r="BO73" s="4858"/>
      <c r="BP73" s="2711">
        <f>SUM(BP71+BP72)</f>
        <v>89334</v>
      </c>
      <c r="BQ73" s="2048"/>
    </row>
    <row r="74" spans="2:69" ht="35.1" customHeight="1" thickBot="1">
      <c r="B74" s="10"/>
      <c r="C74" s="2762"/>
      <c r="D74" s="2763"/>
      <c r="E74" s="2763"/>
      <c r="F74" s="2763"/>
      <c r="G74" s="2763"/>
      <c r="H74" s="2763"/>
      <c r="I74" s="2763"/>
      <c r="J74" s="2763"/>
      <c r="K74" s="2763"/>
      <c r="L74" s="2763"/>
      <c r="M74" s="2763"/>
      <c r="N74" s="2763"/>
      <c r="O74" s="2763"/>
      <c r="P74" s="2764"/>
      <c r="Q74" s="2018"/>
      <c r="R74" s="2787" t="s">
        <v>1477</v>
      </c>
      <c r="S74" s="4859" t="s">
        <v>1501</v>
      </c>
      <c r="T74" s="4859"/>
      <c r="U74" s="4859"/>
      <c r="V74" s="4859"/>
      <c r="W74" s="4859"/>
      <c r="X74" s="4859"/>
      <c r="Y74" s="4859"/>
      <c r="Z74" s="4859"/>
      <c r="AA74" s="4859"/>
      <c r="AB74" s="4860"/>
      <c r="AC74" s="2784">
        <f t="shared" si="0"/>
        <v>1414200</v>
      </c>
      <c r="AD74" s="1979"/>
      <c r="AE74" s="2019"/>
      <c r="AF74" s="2019"/>
      <c r="AG74" s="2019"/>
      <c r="AH74" s="2019"/>
      <c r="AI74" s="2019"/>
      <c r="AK74" s="942"/>
      <c r="AL74" s="942"/>
      <c r="AM74" s="942"/>
      <c r="AN74" s="942"/>
      <c r="AO74" s="942"/>
      <c r="AP74" s="942"/>
      <c r="AQ74" s="942"/>
      <c r="AR74" s="942"/>
      <c r="AS74" s="942"/>
      <c r="AT74" s="942"/>
      <c r="AU74" s="1548"/>
      <c r="AV74" s="1548"/>
      <c r="AW74" s="1548"/>
      <c r="AX74" s="1548"/>
      <c r="BD74" s="2048"/>
      <c r="BE74" s="2715" t="s">
        <v>1477</v>
      </c>
      <c r="BF74" s="4859" t="s">
        <v>1501</v>
      </c>
      <c r="BG74" s="4859"/>
      <c r="BH74" s="4859"/>
      <c r="BI74" s="4859"/>
      <c r="BJ74" s="4859"/>
      <c r="BK74" s="4859"/>
      <c r="BL74" s="4859"/>
      <c r="BM74" s="4859"/>
      <c r="BN74" s="4859"/>
      <c r="BO74" s="4860"/>
      <c r="BP74" s="1198">
        <f>SUM(BP70-BP73)</f>
        <v>1414200</v>
      </c>
      <c r="BQ74" s="2048"/>
    </row>
    <row r="75" spans="2:69" ht="35.1" customHeight="1" thickBot="1">
      <c r="B75" s="10"/>
      <c r="C75" s="2762"/>
      <c r="D75" s="2763"/>
      <c r="E75" s="2763"/>
      <c r="F75" s="2763"/>
      <c r="G75" s="2763"/>
      <c r="H75" s="2763"/>
      <c r="I75" s="2763"/>
      <c r="J75" s="2763"/>
      <c r="K75" s="2763"/>
      <c r="L75" s="2763"/>
      <c r="M75" s="2763"/>
      <c r="N75" s="2763"/>
      <c r="O75" s="2763"/>
      <c r="P75" s="2764"/>
      <c r="Q75" s="2018"/>
      <c r="R75" s="2787" t="s">
        <v>1478</v>
      </c>
      <c r="S75" s="4835" t="s">
        <v>1504</v>
      </c>
      <c r="T75" s="4836"/>
      <c r="U75" s="4836"/>
      <c r="V75" s="4836"/>
      <c r="W75" s="4836"/>
      <c r="X75" s="4836"/>
      <c r="Y75" s="4836"/>
      <c r="Z75" s="2718"/>
      <c r="AA75" s="2718"/>
      <c r="AB75" s="2719"/>
      <c r="AC75" s="2784">
        <f t="shared" si="0"/>
        <v>52400</v>
      </c>
      <c r="AD75" s="1979"/>
      <c r="AE75" s="2019"/>
      <c r="AF75" s="2019"/>
      <c r="AG75" s="2019"/>
      <c r="AH75" s="2019"/>
      <c r="AI75" s="2019"/>
      <c r="AK75" s="942"/>
      <c r="AL75" s="942"/>
      <c r="AM75" s="942"/>
      <c r="AN75" s="942"/>
      <c r="AO75" s="942"/>
      <c r="AP75" s="942"/>
      <c r="AQ75" s="942"/>
      <c r="AR75" s="942"/>
      <c r="AS75" s="942"/>
      <c r="AT75" s="942"/>
      <c r="AU75" s="1548"/>
      <c r="AV75" s="1548"/>
      <c r="AW75" s="1548"/>
      <c r="AX75" s="1548"/>
      <c r="BD75" s="2048"/>
      <c r="BE75" s="2715" t="s">
        <v>1478</v>
      </c>
      <c r="BF75" s="4835" t="s">
        <v>1504</v>
      </c>
      <c r="BG75" s="4836"/>
      <c r="BH75" s="4836"/>
      <c r="BI75" s="4836"/>
      <c r="BJ75" s="4836"/>
      <c r="BK75" s="4836"/>
      <c r="BL75" s="4836"/>
      <c r="BM75" s="2718"/>
      <c r="BN75" s="2718"/>
      <c r="BO75" s="2719"/>
      <c r="BP75" s="1198">
        <f>SUM(BN76:BO78)</f>
        <v>52400</v>
      </c>
      <c r="BQ75" s="2048"/>
    </row>
    <row r="76" spans="2:69" ht="35.1" customHeight="1" thickBot="1">
      <c r="B76" s="10"/>
      <c r="C76" s="2762"/>
      <c r="D76" s="2763"/>
      <c r="E76" s="2763"/>
      <c r="F76" s="2763"/>
      <c r="G76" s="2763"/>
      <c r="H76" s="2763"/>
      <c r="I76" s="2763"/>
      <c r="J76" s="2763"/>
      <c r="K76" s="2763"/>
      <c r="L76" s="2763"/>
      <c r="M76" s="2763"/>
      <c r="N76" s="2763"/>
      <c r="O76" s="2763"/>
      <c r="P76" s="2764"/>
      <c r="Q76" s="2018"/>
      <c r="R76" s="2788" t="s">
        <v>957</v>
      </c>
      <c r="S76" s="4832" t="s">
        <v>1484</v>
      </c>
      <c r="T76" s="4833"/>
      <c r="U76" s="4833"/>
      <c r="V76" s="4833"/>
      <c r="W76" s="4833"/>
      <c r="X76" s="4834"/>
      <c r="Y76" s="2747" t="s">
        <v>1480</v>
      </c>
      <c r="Z76" s="2745"/>
      <c r="AA76" s="4861">
        <f>BN76</f>
        <v>50000</v>
      </c>
      <c r="AB76" s="4862"/>
      <c r="AC76" s="4979"/>
      <c r="AD76" s="1979"/>
      <c r="AE76" s="2019"/>
      <c r="AF76" s="2019"/>
      <c r="AG76" s="2019"/>
      <c r="AH76" s="2019"/>
      <c r="AI76" s="2019"/>
      <c r="AK76" s="942"/>
      <c r="AL76" s="942"/>
      <c r="AM76" s="942"/>
      <c r="AN76" s="942"/>
      <c r="AO76" s="942"/>
      <c r="AP76" s="942"/>
      <c r="AQ76" s="942"/>
      <c r="AR76" s="942"/>
      <c r="AS76" s="942"/>
      <c r="AT76" s="942"/>
      <c r="AU76" s="1548"/>
      <c r="AV76" s="1548"/>
      <c r="AW76" s="1548"/>
      <c r="AX76" s="1548"/>
      <c r="BD76" s="2048"/>
      <c r="BE76" s="2721" t="s">
        <v>957</v>
      </c>
      <c r="BF76" s="4832" t="s">
        <v>1484</v>
      </c>
      <c r="BG76" s="4833"/>
      <c r="BH76" s="4833"/>
      <c r="BI76" s="4833"/>
      <c r="BJ76" s="4833"/>
      <c r="BK76" s="4833"/>
      <c r="BL76" s="4834"/>
      <c r="BM76" s="2723" t="s">
        <v>1480</v>
      </c>
      <c r="BN76" s="4861">
        <v>50000</v>
      </c>
      <c r="BO76" s="4862"/>
      <c r="BP76" s="4872"/>
      <c r="BQ76" s="2048"/>
    </row>
    <row r="77" spans="2:69" ht="35.1" customHeight="1" thickBot="1">
      <c r="B77" s="10"/>
      <c r="C77" s="2762"/>
      <c r="D77" s="2763"/>
      <c r="E77" s="2763"/>
      <c r="F77" s="2763"/>
      <c r="G77" s="2763"/>
      <c r="H77" s="2763"/>
      <c r="I77" s="2763"/>
      <c r="J77" s="2763"/>
      <c r="K77" s="2763"/>
      <c r="L77" s="2763"/>
      <c r="M77" s="2763"/>
      <c r="N77" s="2763"/>
      <c r="O77" s="2763"/>
      <c r="P77" s="2764"/>
      <c r="Q77" s="2018"/>
      <c r="R77" s="2788" t="s">
        <v>958</v>
      </c>
      <c r="S77" s="4832" t="s">
        <v>1502</v>
      </c>
      <c r="T77" s="4833"/>
      <c r="U77" s="4833"/>
      <c r="V77" s="4833"/>
      <c r="W77" s="4833"/>
      <c r="X77" s="4834"/>
      <c r="Y77" s="2747" t="s">
        <v>1481</v>
      </c>
      <c r="Z77" s="2745"/>
      <c r="AA77" s="4861">
        <f>BN77</f>
        <v>0</v>
      </c>
      <c r="AB77" s="4862"/>
      <c r="AC77" s="4980"/>
      <c r="AD77" s="1979"/>
      <c r="AE77" s="2019"/>
      <c r="AF77" s="2019"/>
      <c r="AG77" s="2019"/>
      <c r="AH77" s="2019"/>
      <c r="AI77" s="2019"/>
      <c r="AK77" s="942"/>
      <c r="AL77" s="942"/>
      <c r="AM77" s="942"/>
      <c r="AN77" s="942"/>
      <c r="AO77" s="942"/>
      <c r="AP77" s="942"/>
      <c r="AQ77" s="942"/>
      <c r="AR77" s="942"/>
      <c r="AS77" s="942"/>
      <c r="AT77" s="942"/>
      <c r="AU77" s="1548"/>
      <c r="AV77" s="1548"/>
      <c r="AW77" s="1548"/>
      <c r="AX77" s="1548"/>
      <c r="BD77" s="2048"/>
      <c r="BE77" s="2721" t="s">
        <v>958</v>
      </c>
      <c r="BF77" s="4832" t="s">
        <v>1502</v>
      </c>
      <c r="BG77" s="4833"/>
      <c r="BH77" s="4833"/>
      <c r="BI77" s="4833"/>
      <c r="BJ77" s="4833"/>
      <c r="BK77" s="4833"/>
      <c r="BL77" s="4834"/>
      <c r="BM77" s="2723" t="s">
        <v>1481</v>
      </c>
      <c r="BN77" s="4861">
        <v>0</v>
      </c>
      <c r="BO77" s="4862"/>
      <c r="BP77" s="4873"/>
      <c r="BQ77" s="2048"/>
    </row>
    <row r="78" spans="2:69" ht="35.1" customHeight="1" thickBot="1">
      <c r="B78" s="10"/>
      <c r="C78" s="2762"/>
      <c r="D78" s="2763"/>
      <c r="E78" s="2763"/>
      <c r="F78" s="2763"/>
      <c r="G78" s="2763"/>
      <c r="H78" s="2763"/>
      <c r="I78" s="2763"/>
      <c r="J78" s="2763"/>
      <c r="K78" s="2763"/>
      <c r="L78" s="2763"/>
      <c r="M78" s="2763"/>
      <c r="N78" s="2763"/>
      <c r="O78" s="2763"/>
      <c r="P78" s="2764"/>
      <c r="Q78" s="2018"/>
      <c r="R78" s="2789" t="s">
        <v>1578</v>
      </c>
      <c r="S78" s="4832" t="s">
        <v>1503</v>
      </c>
      <c r="T78" s="4833"/>
      <c r="U78" s="4833"/>
      <c r="V78" s="4833"/>
      <c r="W78" s="4833"/>
      <c r="X78" s="4834"/>
      <c r="Y78" s="2747" t="s">
        <v>1482</v>
      </c>
      <c r="Z78" s="2745"/>
      <c r="AA78" s="4861">
        <f>BN78</f>
        <v>2400</v>
      </c>
      <c r="AB78" s="4862"/>
      <c r="AC78" s="4981"/>
      <c r="AD78" s="1979"/>
      <c r="AE78" s="2019"/>
      <c r="AF78" s="2019"/>
      <c r="AG78" s="2019"/>
      <c r="AH78" s="2019"/>
      <c r="AI78" s="2019"/>
      <c r="AK78" s="942"/>
      <c r="AL78" s="942"/>
      <c r="AM78" s="942"/>
      <c r="AN78" s="942"/>
      <c r="AO78" s="942"/>
      <c r="AP78" s="942"/>
      <c r="AQ78" s="942"/>
      <c r="AR78" s="942"/>
      <c r="AS78" s="942"/>
      <c r="AT78" s="942"/>
      <c r="AU78" s="1548"/>
      <c r="AV78" s="1548"/>
      <c r="AW78" s="1548"/>
      <c r="AX78" s="1548"/>
      <c r="BD78" s="2048"/>
      <c r="BE78" s="2722" t="s">
        <v>1578</v>
      </c>
      <c r="BF78" s="4832" t="s">
        <v>1503</v>
      </c>
      <c r="BG78" s="4833"/>
      <c r="BH78" s="4833"/>
      <c r="BI78" s="4833"/>
      <c r="BJ78" s="4833"/>
      <c r="BK78" s="4833"/>
      <c r="BL78" s="4834"/>
      <c r="BM78" s="2723" t="s">
        <v>1482</v>
      </c>
      <c r="BN78" s="4861">
        <f>'Old Tax Regime'!K18</f>
        <v>2400</v>
      </c>
      <c r="BO78" s="4862"/>
      <c r="BP78" s="4874"/>
      <c r="BQ78" s="2048"/>
    </row>
    <row r="79" spans="2:69" ht="35.1" customHeight="1" thickBot="1">
      <c r="B79" s="10"/>
      <c r="C79" s="2762"/>
      <c r="D79" s="2763"/>
      <c r="E79" s="2763"/>
      <c r="F79" s="2763"/>
      <c r="G79" s="2763"/>
      <c r="H79" s="2763"/>
      <c r="I79" s="2763"/>
      <c r="J79" s="2763"/>
      <c r="K79" s="2763"/>
      <c r="L79" s="2763"/>
      <c r="M79" s="2763"/>
      <c r="N79" s="2763"/>
      <c r="O79" s="2763"/>
      <c r="P79" s="2764"/>
      <c r="Q79" s="2018"/>
      <c r="R79" s="2787" t="s">
        <v>1466</v>
      </c>
      <c r="S79" s="4835" t="s">
        <v>1580</v>
      </c>
      <c r="T79" s="4836"/>
      <c r="U79" s="4836"/>
      <c r="V79" s="4836"/>
      <c r="W79" s="4836"/>
      <c r="X79" s="4837"/>
      <c r="Y79" s="2748" t="s">
        <v>1466</v>
      </c>
      <c r="Z79" s="2720"/>
      <c r="AA79" s="4863"/>
      <c r="AB79" s="4864"/>
      <c r="AC79" s="2782">
        <f>BP79</f>
        <v>1361800</v>
      </c>
      <c r="AD79" s="1979"/>
      <c r="AE79" s="2019"/>
      <c r="AF79" s="2019"/>
      <c r="AG79" s="2019"/>
      <c r="AH79" s="2019"/>
      <c r="AI79" s="2019"/>
      <c r="AK79" s="942"/>
      <c r="AL79" s="942"/>
      <c r="AM79" s="942"/>
      <c r="AN79" s="942"/>
      <c r="AO79" s="942"/>
      <c r="AP79" s="942"/>
      <c r="AQ79" s="942"/>
      <c r="AR79" s="942"/>
      <c r="AS79" s="942"/>
      <c r="AT79" s="942"/>
      <c r="AU79" s="1548"/>
      <c r="AV79" s="1548"/>
      <c r="AW79" s="1548"/>
      <c r="AX79" s="1548"/>
      <c r="BD79" s="2048"/>
      <c r="BE79" s="2715" t="s">
        <v>1466</v>
      </c>
      <c r="BF79" s="4835" t="s">
        <v>1580</v>
      </c>
      <c r="BG79" s="4836"/>
      <c r="BH79" s="4836"/>
      <c r="BI79" s="4836"/>
      <c r="BJ79" s="4836"/>
      <c r="BK79" s="4836"/>
      <c r="BL79" s="4876"/>
      <c r="BM79" s="2709" t="s">
        <v>1466</v>
      </c>
      <c r="BN79" s="4863"/>
      <c r="BO79" s="4864"/>
      <c r="BP79" s="1195">
        <f>SUM(BP74-BP75)</f>
        <v>1361800</v>
      </c>
      <c r="BQ79" s="2048"/>
    </row>
    <row r="80" spans="2:69" ht="35.1" customHeight="1" thickBot="1">
      <c r="B80" s="10"/>
      <c r="C80" s="2762"/>
      <c r="D80" s="2763"/>
      <c r="E80" s="2763"/>
      <c r="F80" s="2763"/>
      <c r="G80" s="2763"/>
      <c r="H80" s="2763"/>
      <c r="I80" s="2763"/>
      <c r="J80" s="2763"/>
      <c r="K80" s="2763"/>
      <c r="L80" s="2763"/>
      <c r="M80" s="2763"/>
      <c r="N80" s="2763"/>
      <c r="O80" s="2763"/>
      <c r="P80" s="2764"/>
      <c r="Q80" s="2018"/>
      <c r="R80" s="2790" t="s">
        <v>1489</v>
      </c>
      <c r="S80" s="4838" t="s">
        <v>1505</v>
      </c>
      <c r="T80" s="4833"/>
      <c r="U80" s="4833"/>
      <c r="V80" s="4833"/>
      <c r="W80" s="4833"/>
      <c r="X80" s="4834"/>
      <c r="Y80" s="2747" t="s">
        <v>1489</v>
      </c>
      <c r="Z80" s="2716"/>
      <c r="AA80" s="4865"/>
      <c r="AB80" s="4866"/>
      <c r="AC80" s="2782">
        <f t="shared" ref="AC80:AC94" si="1">BP80</f>
        <v>0</v>
      </c>
      <c r="AD80" s="1979"/>
      <c r="AE80" s="2019"/>
      <c r="AF80" s="2019"/>
      <c r="AG80" s="2019"/>
      <c r="AH80" s="2019"/>
      <c r="AI80" s="2019"/>
      <c r="AK80" s="942"/>
      <c r="AL80" s="942"/>
      <c r="AM80" s="942"/>
      <c r="AN80" s="942"/>
      <c r="AO80" s="942"/>
      <c r="AP80" s="942"/>
      <c r="AQ80" s="942"/>
      <c r="AR80" s="942"/>
      <c r="AS80" s="942"/>
      <c r="AT80" s="942"/>
      <c r="AU80" s="1548"/>
      <c r="AV80" s="1548"/>
      <c r="AW80" s="1548"/>
      <c r="AX80" s="1548"/>
      <c r="BD80" s="2048"/>
      <c r="BE80" s="2725" t="s">
        <v>1489</v>
      </c>
      <c r="BF80" s="4838" t="s">
        <v>1505</v>
      </c>
      <c r="BG80" s="4833"/>
      <c r="BH80" s="4833"/>
      <c r="BI80" s="4833"/>
      <c r="BJ80" s="4833"/>
      <c r="BK80" s="4833"/>
      <c r="BL80" s="4834"/>
      <c r="BM80" s="2713" t="s">
        <v>1489</v>
      </c>
      <c r="BN80" s="4865"/>
      <c r="BO80" s="4866"/>
      <c r="BP80" s="1198">
        <f>'Old Tax Regime'!L20</f>
        <v>0</v>
      </c>
      <c r="BQ80" s="2048"/>
    </row>
    <row r="81" spans="1:96" ht="35.1" customHeight="1" thickBot="1">
      <c r="B81" s="10"/>
      <c r="C81" s="2762"/>
      <c r="D81" s="2763"/>
      <c r="E81" s="2763"/>
      <c r="F81" s="2763"/>
      <c r="G81" s="2763"/>
      <c r="H81" s="2763"/>
      <c r="I81" s="2763"/>
      <c r="J81" s="2763"/>
      <c r="K81" s="2763"/>
      <c r="L81" s="2763"/>
      <c r="M81" s="2763"/>
      <c r="N81" s="2763"/>
      <c r="O81" s="2763"/>
      <c r="P81" s="2764"/>
      <c r="Q81" s="2018"/>
      <c r="R81" s="2791" t="s">
        <v>1490</v>
      </c>
      <c r="S81" s="4835" t="s">
        <v>1579</v>
      </c>
      <c r="T81" s="4836"/>
      <c r="U81" s="4836"/>
      <c r="V81" s="4836"/>
      <c r="W81" s="4836"/>
      <c r="X81" s="4837"/>
      <c r="Y81" s="2749" t="s">
        <v>1490</v>
      </c>
      <c r="Z81" s="2707"/>
      <c r="AA81" s="4865"/>
      <c r="AB81" s="4866"/>
      <c r="AC81" s="2782">
        <f t="shared" si="1"/>
        <v>258400</v>
      </c>
      <c r="AD81" s="1979"/>
      <c r="AE81" s="2019"/>
      <c r="AF81" s="2019"/>
      <c r="AG81" s="2019"/>
      <c r="AH81" s="2019"/>
      <c r="AI81" s="2019"/>
      <c r="AK81" s="942"/>
      <c r="AL81" s="942"/>
      <c r="AM81" s="942"/>
      <c r="AN81" s="942"/>
      <c r="AO81" s="942"/>
      <c r="AP81" s="942"/>
      <c r="AQ81" s="942"/>
      <c r="AR81" s="942"/>
      <c r="AS81" s="942"/>
      <c r="AT81" s="942"/>
      <c r="AU81" s="1548"/>
      <c r="AV81" s="1548"/>
      <c r="AW81" s="1548"/>
      <c r="AX81" s="1548"/>
      <c r="BD81" s="2048"/>
      <c r="BE81" s="2714" t="s">
        <v>1490</v>
      </c>
      <c r="BF81" s="4835" t="s">
        <v>1579</v>
      </c>
      <c r="BG81" s="4836"/>
      <c r="BH81" s="4836"/>
      <c r="BI81" s="4836"/>
      <c r="BJ81" s="4836"/>
      <c r="BK81" s="4836"/>
      <c r="BL81" s="4876"/>
      <c r="BM81" s="2706" t="s">
        <v>1490</v>
      </c>
      <c r="BN81" s="4865"/>
      <c r="BO81" s="4866"/>
      <c r="BP81" s="1197">
        <f>'Old Tax Regime'!L21</f>
        <v>258400</v>
      </c>
      <c r="BQ81" s="2048"/>
    </row>
    <row r="82" spans="1:96" ht="35.1" customHeight="1" thickBot="1">
      <c r="B82" s="10"/>
      <c r="C82" s="2762"/>
      <c r="D82" s="2763"/>
      <c r="E82" s="2763"/>
      <c r="F82" s="2763"/>
      <c r="G82" s="2763"/>
      <c r="H82" s="2763"/>
      <c r="I82" s="2763"/>
      <c r="J82" s="2763"/>
      <c r="K82" s="2763"/>
      <c r="L82" s="2763"/>
      <c r="M82" s="2763"/>
      <c r="N82" s="2763"/>
      <c r="O82" s="2763"/>
      <c r="P82" s="2764"/>
      <c r="Q82" s="2018"/>
      <c r="R82" s="2792" t="s">
        <v>1495</v>
      </c>
      <c r="S82" s="4839" t="s">
        <v>1507</v>
      </c>
      <c r="T82" s="4840"/>
      <c r="U82" s="4840"/>
      <c r="V82" s="4840"/>
      <c r="W82" s="4840"/>
      <c r="X82" s="4841"/>
      <c r="Y82" s="2679" t="s">
        <v>1495</v>
      </c>
      <c r="Z82" s="2726"/>
      <c r="AA82" s="4865"/>
      <c r="AB82" s="4866"/>
      <c r="AC82" s="2793">
        <f t="shared" si="1"/>
        <v>1620200</v>
      </c>
      <c r="AD82" s="1979"/>
      <c r="AE82" s="2019"/>
      <c r="AF82" s="2019"/>
      <c r="AG82" s="2019"/>
      <c r="AH82" s="2019"/>
      <c r="AI82" s="2019"/>
      <c r="AK82" s="942"/>
      <c r="AL82" s="942"/>
      <c r="AM82" s="942"/>
      <c r="AN82" s="942"/>
      <c r="AO82" s="942"/>
      <c r="AP82" s="942"/>
      <c r="AQ82" s="942"/>
      <c r="AR82" s="942"/>
      <c r="AS82" s="942"/>
      <c r="AT82" s="942"/>
      <c r="AU82" s="1548"/>
      <c r="AV82" s="1548"/>
      <c r="AW82" s="1548"/>
      <c r="AX82" s="1548"/>
      <c r="BD82" s="2048"/>
      <c r="BE82" s="2712" t="s">
        <v>1495</v>
      </c>
      <c r="BF82" s="4839" t="s">
        <v>1507</v>
      </c>
      <c r="BG82" s="4840"/>
      <c r="BH82" s="4840"/>
      <c r="BI82" s="4840"/>
      <c r="BJ82" s="4840"/>
      <c r="BK82" s="4840"/>
      <c r="BL82" s="4841"/>
      <c r="BM82" s="2732" t="s">
        <v>1495</v>
      </c>
      <c r="BN82" s="4865"/>
      <c r="BO82" s="4866"/>
      <c r="BP82" s="2728">
        <f>SUM(BP79+BP80+BP81)</f>
        <v>1620200</v>
      </c>
      <c r="BQ82" s="2048"/>
    </row>
    <row r="83" spans="1:96" ht="27.75" customHeight="1" thickBot="1">
      <c r="B83" s="10"/>
      <c r="C83" s="2762"/>
      <c r="D83" s="2763"/>
      <c r="E83" s="2763"/>
      <c r="F83" s="2763"/>
      <c r="G83" s="2763"/>
      <c r="H83" s="2763"/>
      <c r="I83" s="2763"/>
      <c r="J83" s="2763"/>
      <c r="K83" s="2763"/>
      <c r="L83" s="2763"/>
      <c r="M83" s="2763"/>
      <c r="N83" s="2763"/>
      <c r="O83" s="2763"/>
      <c r="P83" s="2764"/>
      <c r="Q83" s="2018"/>
      <c r="R83" s="2794" t="s">
        <v>1508</v>
      </c>
      <c r="S83" s="4842" t="s">
        <v>792</v>
      </c>
      <c r="T83" s="4843"/>
      <c r="U83" s="4843"/>
      <c r="V83" s="4843"/>
      <c r="W83" s="4843"/>
      <c r="X83" s="4844"/>
      <c r="Y83" s="2717" t="s">
        <v>1508</v>
      </c>
      <c r="Z83" s="2729"/>
      <c r="AA83" s="4865"/>
      <c r="AB83" s="4866"/>
      <c r="AC83" s="2782">
        <f t="shared" si="1"/>
        <v>550</v>
      </c>
      <c r="AD83" s="1979"/>
      <c r="AE83" s="2019"/>
      <c r="AF83" s="2019"/>
      <c r="AG83" s="2019"/>
      <c r="AH83" s="2019"/>
      <c r="AI83" s="2019"/>
      <c r="AK83" s="942"/>
      <c r="AL83" s="942"/>
      <c r="AM83" s="942"/>
      <c r="AN83" s="942"/>
      <c r="AO83" s="942"/>
      <c r="AP83" s="942"/>
      <c r="AQ83" s="942"/>
      <c r="AR83" s="942"/>
      <c r="AS83" s="942"/>
      <c r="AT83" s="942"/>
      <c r="AU83" s="1548"/>
      <c r="AV83" s="1548"/>
      <c r="AW83" s="1548"/>
      <c r="AX83" s="1548"/>
      <c r="BD83" s="2048"/>
      <c r="BE83" s="2730" t="s">
        <v>1508</v>
      </c>
      <c r="BF83" s="4842" t="s">
        <v>792</v>
      </c>
      <c r="BG83" s="4843"/>
      <c r="BH83" s="4843"/>
      <c r="BI83" s="4843"/>
      <c r="BJ83" s="4843"/>
      <c r="BK83" s="4843"/>
      <c r="BL83" s="4843"/>
      <c r="BM83" s="2733" t="s">
        <v>1508</v>
      </c>
      <c r="BN83" s="4865"/>
      <c r="BO83" s="4866"/>
      <c r="BP83" s="1197">
        <f>'Old Tax Regime'!L40</f>
        <v>550</v>
      </c>
      <c r="BQ83" s="2048"/>
    </row>
    <row r="84" spans="1:96" ht="27.75" customHeight="1" thickBot="1">
      <c r="B84" s="10"/>
      <c r="C84" s="2762"/>
      <c r="D84" s="2763"/>
      <c r="E84" s="2763"/>
      <c r="F84" s="2763"/>
      <c r="G84" s="2763"/>
      <c r="H84" s="2763"/>
      <c r="I84" s="2763"/>
      <c r="J84" s="2763"/>
      <c r="K84" s="2763"/>
      <c r="L84" s="2763"/>
      <c r="M84" s="2763"/>
      <c r="N84" s="2763"/>
      <c r="O84" s="2763"/>
      <c r="P84" s="2764"/>
      <c r="Q84" s="2018"/>
      <c r="R84" s="2795" t="s">
        <v>1509</v>
      </c>
      <c r="S84" s="4845" t="s">
        <v>1510</v>
      </c>
      <c r="T84" s="4846"/>
      <c r="U84" s="4846"/>
      <c r="V84" s="4846"/>
      <c r="W84" s="4846"/>
      <c r="X84" s="4847"/>
      <c r="Y84" s="2717" t="s">
        <v>1509</v>
      </c>
      <c r="Z84" s="2729"/>
      <c r="AA84" s="4865"/>
      <c r="AB84" s="4866"/>
      <c r="AC84" s="2782">
        <f t="shared" si="1"/>
        <v>1619650</v>
      </c>
      <c r="AD84" s="1979"/>
      <c r="AE84" s="2019"/>
      <c r="AF84" s="2019"/>
      <c r="AG84" s="2019"/>
      <c r="AH84" s="2019"/>
      <c r="AI84" s="2019"/>
      <c r="AK84" s="942"/>
      <c r="AL84" s="942"/>
      <c r="AM84" s="942"/>
      <c r="AN84" s="942"/>
      <c r="AO84" s="942"/>
      <c r="AP84" s="942"/>
      <c r="AQ84" s="942"/>
      <c r="AR84" s="942"/>
      <c r="AS84" s="942"/>
      <c r="AT84" s="942"/>
      <c r="AU84" s="1548"/>
      <c r="AV84" s="1548"/>
      <c r="AW84" s="1548"/>
      <c r="AX84" s="1548"/>
      <c r="BD84" s="2048"/>
      <c r="BE84" s="2731" t="s">
        <v>1509</v>
      </c>
      <c r="BF84" s="4845" t="s">
        <v>1510</v>
      </c>
      <c r="BG84" s="4846"/>
      <c r="BH84" s="4846"/>
      <c r="BI84" s="4846"/>
      <c r="BJ84" s="4846"/>
      <c r="BK84" s="4846"/>
      <c r="BL84" s="4846"/>
      <c r="BM84" s="2733" t="s">
        <v>1509</v>
      </c>
      <c r="BN84" s="4865"/>
      <c r="BO84" s="4866"/>
      <c r="BP84" s="2727">
        <f>SUM(BP82-BP83)</f>
        <v>1619650</v>
      </c>
      <c r="BQ84" s="2048"/>
    </row>
    <row r="85" spans="1:96" s="1270" customFormat="1" ht="27.75" customHeight="1" thickBot="1">
      <c r="A85"/>
      <c r="B85" s="10"/>
      <c r="C85" s="2762"/>
      <c r="D85" s="2763"/>
      <c r="E85" s="2763"/>
      <c r="F85" s="2763"/>
      <c r="G85" s="2763"/>
      <c r="H85" s="2763"/>
      <c r="I85" s="2763"/>
      <c r="J85" s="2763"/>
      <c r="K85" s="2763"/>
      <c r="L85" s="2763"/>
      <c r="M85" s="2763"/>
      <c r="N85" s="2763"/>
      <c r="O85" s="2763"/>
      <c r="P85" s="2764"/>
      <c r="Q85" s="2018"/>
      <c r="R85" s="2790" t="s">
        <v>1511</v>
      </c>
      <c r="S85" s="4842" t="str">
        <f>IF(Formula!GE3=1,CONCATENATE("Total Savings U/S 80C"),CONCATENATE("Total Savings U/S 80C","+","U/S 80 CCD","(","1B",")"))</f>
        <v>Total Savings U/S 80C</v>
      </c>
      <c r="T85" s="4843"/>
      <c r="U85" s="4843"/>
      <c r="V85" s="4843"/>
      <c r="W85" s="4843"/>
      <c r="X85" s="4844"/>
      <c r="Y85" s="2747" t="s">
        <v>1511</v>
      </c>
      <c r="Z85" s="2716"/>
      <c r="AA85" s="4865"/>
      <c r="AB85" s="4866"/>
      <c r="AC85" s="2782">
        <f t="shared" si="1"/>
        <v>133440</v>
      </c>
      <c r="AD85" s="1979"/>
      <c r="AE85" s="2019"/>
      <c r="AF85" s="2019"/>
      <c r="AG85" s="2019"/>
      <c r="AH85" s="2019"/>
      <c r="AI85" s="2019"/>
      <c r="AJ85" s="942"/>
      <c r="AK85" s="942"/>
      <c r="AL85" s="942"/>
      <c r="AM85" s="942"/>
      <c r="AN85" s="942"/>
      <c r="AO85" s="942"/>
      <c r="AP85" s="942"/>
      <c r="AQ85" s="942"/>
      <c r="AR85" s="942"/>
      <c r="AS85" s="942"/>
      <c r="AT85" s="942"/>
      <c r="AU85" s="1548"/>
      <c r="AV85" s="1548"/>
      <c r="AW85" s="1548"/>
      <c r="AX85" s="1548"/>
      <c r="AY85" s="942"/>
      <c r="AZ85" s="942"/>
      <c r="BA85" s="942"/>
      <c r="BB85" s="942"/>
      <c r="BC85" s="942"/>
      <c r="BD85" s="2048"/>
      <c r="BE85" s="2725" t="s">
        <v>1511</v>
      </c>
      <c r="BF85" s="4843" t="str">
        <f>IF(Formula!GE3=1,CONCATENATE("Total Savings U/S 80C"),CONCATENATE("Total Savings U/S 80C","+","U/S 80 CCD","(","1B",")"))</f>
        <v>Total Savings U/S 80C</v>
      </c>
      <c r="BG85" s="4843"/>
      <c r="BH85" s="4843"/>
      <c r="BI85" s="4843"/>
      <c r="BJ85" s="4843"/>
      <c r="BK85" s="4843"/>
      <c r="BL85" s="4843"/>
      <c r="BM85" s="2713" t="s">
        <v>1511</v>
      </c>
      <c r="BN85" s="4865"/>
      <c r="BO85" s="4866"/>
      <c r="BP85" s="1197">
        <f>'Old Tax Regime'!K57</f>
        <v>133440</v>
      </c>
      <c r="BQ85" s="2048"/>
      <c r="BR85" s="831"/>
      <c r="BS85" s="831"/>
      <c r="BT85" s="831"/>
      <c r="BU85" s="831"/>
      <c r="BV85" s="831"/>
      <c r="BW85" s="831"/>
      <c r="BX85" s="831"/>
      <c r="BY85" s="831"/>
      <c r="BZ85" s="831"/>
      <c r="CA85" s="831"/>
      <c r="CB85" s="831"/>
      <c r="CC85" s="831"/>
      <c r="CD85" s="831"/>
      <c r="CE85" s="831"/>
      <c r="CF85" s="831"/>
      <c r="CG85" s="831"/>
      <c r="CH85" s="831"/>
      <c r="CI85" s="831"/>
      <c r="CJ85" s="831"/>
      <c r="CK85" s="831"/>
      <c r="CL85" s="831"/>
      <c r="CM85" s="831"/>
      <c r="CN85" s="831"/>
      <c r="CO85" s="831"/>
      <c r="CP85" s="831"/>
      <c r="CQ85" s="831"/>
      <c r="CR85" s="831"/>
    </row>
    <row r="86" spans="1:96" s="1270" customFormat="1" ht="27.75" customHeight="1" thickBot="1">
      <c r="A86"/>
      <c r="B86" s="10"/>
      <c r="C86" s="2762"/>
      <c r="D86" s="2763"/>
      <c r="E86" s="2763"/>
      <c r="F86" s="2763"/>
      <c r="G86" s="2763"/>
      <c r="H86" s="2763"/>
      <c r="I86" s="2763"/>
      <c r="J86" s="2763"/>
      <c r="K86" s="2763"/>
      <c r="L86" s="2763"/>
      <c r="M86" s="2763"/>
      <c r="N86" s="2763"/>
      <c r="O86" s="2763"/>
      <c r="P86" s="2764"/>
      <c r="Q86" s="2018"/>
      <c r="R86" s="2794" t="s">
        <v>1512</v>
      </c>
      <c r="S86" s="4842" t="s">
        <v>1581</v>
      </c>
      <c r="T86" s="4843"/>
      <c r="U86" s="4843"/>
      <c r="V86" s="4843"/>
      <c r="W86" s="4843"/>
      <c r="X86" s="4844"/>
      <c r="Y86" s="2717" t="s">
        <v>1512</v>
      </c>
      <c r="Z86" s="2729"/>
      <c r="AA86" s="4865"/>
      <c r="AB86" s="4866"/>
      <c r="AC86" s="2782">
        <f t="shared" si="1"/>
        <v>1486210</v>
      </c>
      <c r="AD86" s="1979"/>
      <c r="AE86" s="2019"/>
      <c r="AF86" s="2019"/>
      <c r="AG86" s="2019"/>
      <c r="AH86" s="2019"/>
      <c r="AI86" s="2019"/>
      <c r="AJ86" s="942"/>
      <c r="AK86" s="942"/>
      <c r="AL86" s="942"/>
      <c r="AM86" s="942"/>
      <c r="AN86" s="942"/>
      <c r="AO86" s="942"/>
      <c r="AP86" s="942"/>
      <c r="AQ86" s="942"/>
      <c r="AR86" s="942"/>
      <c r="AS86" s="942"/>
      <c r="AT86" s="942"/>
      <c r="AU86" s="1548"/>
      <c r="AV86" s="1548"/>
      <c r="AW86" s="1548"/>
      <c r="AX86" s="1548"/>
      <c r="AY86" s="942"/>
      <c r="AZ86" s="942"/>
      <c r="BA86" s="942"/>
      <c r="BB86" s="942"/>
      <c r="BC86" s="942"/>
      <c r="BD86" s="2048"/>
      <c r="BE86" s="2730" t="s">
        <v>1512</v>
      </c>
      <c r="BF86" s="4843" t="s">
        <v>1581</v>
      </c>
      <c r="BG86" s="4843"/>
      <c r="BH86" s="4843"/>
      <c r="BI86" s="4843"/>
      <c r="BJ86" s="4843"/>
      <c r="BK86" s="4843"/>
      <c r="BL86" s="4843"/>
      <c r="BM86" s="2734" t="s">
        <v>1512</v>
      </c>
      <c r="BN86" s="4865"/>
      <c r="BO86" s="4866"/>
      <c r="BP86" s="1197">
        <f>'Old Tax Regime'!L59</f>
        <v>1486210</v>
      </c>
      <c r="BQ86" s="2048"/>
      <c r="BR86" s="831"/>
      <c r="BS86" s="831"/>
      <c r="BT86" s="831"/>
      <c r="BU86" s="831"/>
      <c r="BV86" s="831"/>
      <c r="BW86" s="831"/>
      <c r="BX86" s="831"/>
      <c r="BY86" s="831"/>
      <c r="BZ86" s="831"/>
      <c r="CA86" s="831"/>
      <c r="CB86" s="831"/>
      <c r="CC86" s="831"/>
      <c r="CD86" s="831"/>
      <c r="CE86" s="831"/>
      <c r="CF86" s="831"/>
      <c r="CG86" s="831"/>
      <c r="CH86" s="831"/>
      <c r="CI86" s="831"/>
      <c r="CJ86" s="831"/>
      <c r="CK86" s="831"/>
      <c r="CL86" s="831"/>
      <c r="CM86" s="831"/>
      <c r="CN86" s="831"/>
      <c r="CO86" s="831"/>
      <c r="CP86" s="831"/>
      <c r="CQ86" s="831"/>
      <c r="CR86" s="831"/>
    </row>
    <row r="87" spans="1:96" s="1270" customFormat="1" ht="27.75" customHeight="1" thickBot="1">
      <c r="A87"/>
      <c r="B87" s="10"/>
      <c r="C87" s="2762"/>
      <c r="D87" s="2763"/>
      <c r="E87" s="2763"/>
      <c r="F87" s="2763"/>
      <c r="G87" s="2763"/>
      <c r="H87" s="2763"/>
      <c r="I87" s="2763"/>
      <c r="J87" s="2763"/>
      <c r="K87" s="2763"/>
      <c r="L87" s="2763"/>
      <c r="M87" s="2763"/>
      <c r="N87" s="2763"/>
      <c r="O87" s="2763"/>
      <c r="P87" s="2764"/>
      <c r="Q87" s="2018"/>
      <c r="R87" s="2796" t="s">
        <v>1516</v>
      </c>
      <c r="S87" s="4845" t="s">
        <v>1526</v>
      </c>
      <c r="T87" s="4846"/>
      <c r="U87" s="4846"/>
      <c r="V87" s="4846"/>
      <c r="W87" s="4846"/>
      <c r="X87" s="4847"/>
      <c r="Y87" s="2679" t="s">
        <v>1516</v>
      </c>
      <c r="Z87" s="2726"/>
      <c r="AA87" s="4865"/>
      <c r="AB87" s="4866"/>
      <c r="AC87" s="2793">
        <f t="shared" si="1"/>
        <v>258363</v>
      </c>
      <c r="AD87" s="1979"/>
      <c r="AE87" s="2019"/>
      <c r="AF87" s="2019"/>
      <c r="AG87" s="2019"/>
      <c r="AH87" s="2019"/>
      <c r="AI87" s="2019"/>
      <c r="AJ87" s="942"/>
      <c r="AK87" s="942"/>
      <c r="AL87" s="942"/>
      <c r="AM87" s="942"/>
      <c r="AN87" s="942"/>
      <c r="AO87" s="942"/>
      <c r="AP87" s="942"/>
      <c r="AQ87" s="942"/>
      <c r="AR87" s="942"/>
      <c r="AS87" s="942"/>
      <c r="AT87" s="942"/>
      <c r="AU87" s="1548"/>
      <c r="AV87" s="1548"/>
      <c r="AW87" s="1548"/>
      <c r="AX87" s="1548"/>
      <c r="AY87" s="942"/>
      <c r="AZ87" s="942"/>
      <c r="BA87" s="942"/>
      <c r="BB87" s="942"/>
      <c r="BC87" s="942"/>
      <c r="BD87" s="2048"/>
      <c r="BE87" s="2724" t="s">
        <v>1516</v>
      </c>
      <c r="BF87" s="4846" t="s">
        <v>1526</v>
      </c>
      <c r="BG87" s="4846"/>
      <c r="BH87" s="4846"/>
      <c r="BI87" s="4846"/>
      <c r="BJ87" s="4846"/>
      <c r="BK87" s="4846"/>
      <c r="BL87" s="4846"/>
      <c r="BM87" s="2712" t="s">
        <v>1516</v>
      </c>
      <c r="BN87" s="4865"/>
      <c r="BO87" s="4866"/>
      <c r="BP87" s="1197">
        <f>'Old Tax Regime'!L65</f>
        <v>258363</v>
      </c>
      <c r="BQ87" s="2048"/>
      <c r="BR87" s="831"/>
      <c r="BS87" s="831"/>
      <c r="BT87" s="831"/>
      <c r="BU87" s="831"/>
      <c r="BV87" s="831"/>
      <c r="BW87" s="831"/>
      <c r="BX87" s="831"/>
      <c r="BY87" s="831"/>
      <c r="BZ87" s="831"/>
      <c r="CA87" s="831"/>
      <c r="CB87" s="831"/>
      <c r="CC87" s="831"/>
      <c r="CD87" s="831"/>
      <c r="CE87" s="831"/>
      <c r="CF87" s="831"/>
      <c r="CG87" s="831"/>
      <c r="CH87" s="831"/>
      <c r="CI87" s="831"/>
      <c r="CJ87" s="831"/>
      <c r="CK87" s="831"/>
      <c r="CL87" s="831"/>
      <c r="CM87" s="831"/>
      <c r="CN87" s="831"/>
      <c r="CO87" s="831"/>
      <c r="CP87" s="831"/>
      <c r="CQ87" s="831"/>
      <c r="CR87" s="831"/>
    </row>
    <row r="88" spans="1:96" s="1270" customFormat="1" ht="27.75" customHeight="1" thickBot="1">
      <c r="A88"/>
      <c r="B88" s="10"/>
      <c r="C88" s="2762"/>
      <c r="D88" s="2763"/>
      <c r="E88" s="2763"/>
      <c r="F88" s="2763"/>
      <c r="G88" s="2763"/>
      <c r="H88" s="2763"/>
      <c r="I88" s="2763"/>
      <c r="J88" s="2763"/>
      <c r="K88" s="2763"/>
      <c r="L88" s="2763"/>
      <c r="M88" s="2763"/>
      <c r="N88" s="2763"/>
      <c r="O88" s="2763"/>
      <c r="P88" s="2764"/>
      <c r="Q88" s="2018"/>
      <c r="R88" s="2790" t="s">
        <v>1517</v>
      </c>
      <c r="S88" s="4842" t="s">
        <v>8</v>
      </c>
      <c r="T88" s="4843"/>
      <c r="U88" s="4843"/>
      <c r="V88" s="4843"/>
      <c r="W88" s="4843"/>
      <c r="X88" s="4844"/>
      <c r="Y88" s="2747" t="s">
        <v>1517</v>
      </c>
      <c r="Z88" s="2716"/>
      <c r="AA88" s="4865"/>
      <c r="AB88" s="4866"/>
      <c r="AC88" s="2782">
        <f t="shared" si="1"/>
        <v>0</v>
      </c>
      <c r="AD88" s="1979"/>
      <c r="AE88" s="2019"/>
      <c r="AF88" s="2019"/>
      <c r="AG88" s="2019"/>
      <c r="AH88" s="2019"/>
      <c r="AI88" s="2019"/>
      <c r="AJ88" s="942"/>
      <c r="AK88" s="942"/>
      <c r="AL88" s="942"/>
      <c r="AM88" s="942"/>
      <c r="AN88" s="942"/>
      <c r="AO88" s="942"/>
      <c r="AP88" s="942"/>
      <c r="AQ88" s="942"/>
      <c r="AR88" s="942"/>
      <c r="AS88" s="942"/>
      <c r="AT88" s="942"/>
      <c r="AU88" s="1548"/>
      <c r="AV88" s="1548"/>
      <c r="AW88" s="1548"/>
      <c r="AX88" s="1548"/>
      <c r="AY88" s="942"/>
      <c r="AZ88" s="942"/>
      <c r="BA88" s="942"/>
      <c r="BB88" s="942"/>
      <c r="BC88" s="942"/>
      <c r="BD88" s="2048"/>
      <c r="BE88" s="2725" t="s">
        <v>1517</v>
      </c>
      <c r="BF88" s="4842" t="s">
        <v>8</v>
      </c>
      <c r="BG88" s="4843"/>
      <c r="BH88" s="4843"/>
      <c r="BI88" s="4843"/>
      <c r="BJ88" s="4843"/>
      <c r="BK88" s="4843"/>
      <c r="BL88" s="4871"/>
      <c r="BM88" s="2713" t="s">
        <v>1517</v>
      </c>
      <c r="BN88" s="4865"/>
      <c r="BO88" s="4866"/>
      <c r="BP88" s="1197">
        <f>'Old Tax Regime'!L66</f>
        <v>0</v>
      </c>
      <c r="BQ88" s="2048"/>
      <c r="BR88" s="831"/>
      <c r="BS88" s="831"/>
      <c r="BT88" s="831"/>
      <c r="BU88" s="831"/>
      <c r="BV88" s="831"/>
      <c r="BW88" s="831"/>
      <c r="BX88" s="831"/>
      <c r="BY88" s="831"/>
      <c r="BZ88" s="831"/>
      <c r="CA88" s="831"/>
      <c r="CB88" s="831"/>
      <c r="CC88" s="831"/>
      <c r="CD88" s="831"/>
      <c r="CE88" s="831"/>
      <c r="CF88" s="831"/>
      <c r="CG88" s="831"/>
      <c r="CH88" s="831"/>
      <c r="CI88" s="831"/>
      <c r="CJ88" s="831"/>
      <c r="CK88" s="831"/>
      <c r="CL88" s="831"/>
      <c r="CM88" s="831"/>
      <c r="CN88" s="831"/>
      <c r="CO88" s="831"/>
      <c r="CP88" s="831"/>
      <c r="CQ88" s="831"/>
      <c r="CR88" s="831"/>
    </row>
    <row r="89" spans="1:96" s="1270" customFormat="1" ht="27.75" customHeight="1" thickBot="1">
      <c r="A89"/>
      <c r="B89" s="10"/>
      <c r="C89" s="2762"/>
      <c r="D89" s="2763"/>
      <c r="E89" s="2763"/>
      <c r="F89" s="2763"/>
      <c r="G89" s="2763"/>
      <c r="H89" s="2763"/>
      <c r="I89" s="2763"/>
      <c r="J89" s="2763"/>
      <c r="K89" s="2763"/>
      <c r="L89" s="2763"/>
      <c r="M89" s="2763"/>
      <c r="N89" s="2763"/>
      <c r="O89" s="2763"/>
      <c r="P89" s="2764"/>
      <c r="Q89" s="2018"/>
      <c r="R89" s="2790" t="s">
        <v>1518</v>
      </c>
      <c r="S89" s="4842" t="s">
        <v>1528</v>
      </c>
      <c r="T89" s="4843"/>
      <c r="U89" s="4843"/>
      <c r="V89" s="4843"/>
      <c r="W89" s="4843"/>
      <c r="X89" s="4844"/>
      <c r="Y89" s="2747" t="s">
        <v>1518</v>
      </c>
      <c r="Z89" s="2716"/>
      <c r="AA89" s="4865"/>
      <c r="AB89" s="4866"/>
      <c r="AC89" s="2782">
        <f t="shared" si="1"/>
        <v>258363</v>
      </c>
      <c r="AD89" s="1979"/>
      <c r="AE89" s="2019"/>
      <c r="AF89" s="2019"/>
      <c r="AG89" s="2019"/>
      <c r="AH89" s="2019"/>
      <c r="AI89" s="2019"/>
      <c r="AJ89" s="942"/>
      <c r="AK89" s="942"/>
      <c r="AL89" s="942"/>
      <c r="AM89" s="942"/>
      <c r="AN89" s="942"/>
      <c r="AO89" s="942"/>
      <c r="AP89" s="942"/>
      <c r="AQ89" s="942"/>
      <c r="AR89" s="942"/>
      <c r="AS89" s="942"/>
      <c r="AT89" s="942"/>
      <c r="AU89" s="1548"/>
      <c r="AV89" s="1548"/>
      <c r="AW89" s="1548"/>
      <c r="AX89" s="1548"/>
      <c r="AY89" s="942"/>
      <c r="AZ89" s="942"/>
      <c r="BA89" s="942"/>
      <c r="BB89" s="942"/>
      <c r="BC89" s="942"/>
      <c r="BD89" s="2048"/>
      <c r="BE89" s="2725" t="s">
        <v>1518</v>
      </c>
      <c r="BF89" s="4842" t="s">
        <v>1528</v>
      </c>
      <c r="BG89" s="4843"/>
      <c r="BH89" s="4843"/>
      <c r="BI89" s="4843"/>
      <c r="BJ89" s="4843"/>
      <c r="BK89" s="4843"/>
      <c r="BL89" s="4871"/>
      <c r="BM89" s="2713" t="s">
        <v>1518</v>
      </c>
      <c r="BN89" s="4865"/>
      <c r="BO89" s="4866"/>
      <c r="BP89" s="1197">
        <f>'Old Tax Regime'!L67</f>
        <v>258363</v>
      </c>
      <c r="BQ89" s="2048"/>
      <c r="BR89" s="831"/>
      <c r="BS89" s="831"/>
      <c r="BT89" s="831"/>
      <c r="BU89" s="831"/>
      <c r="BV89" s="831"/>
      <c r="BW89" s="831"/>
      <c r="BX89" s="831"/>
      <c r="BY89" s="831"/>
      <c r="BZ89" s="831"/>
      <c r="CA89" s="831"/>
      <c r="CB89" s="831"/>
      <c r="CC89" s="831"/>
      <c r="CD89" s="831"/>
      <c r="CE89" s="831"/>
      <c r="CF89" s="831"/>
      <c r="CG89" s="831"/>
      <c r="CH89" s="831"/>
      <c r="CI89" s="831"/>
      <c r="CJ89" s="831"/>
      <c r="CK89" s="831"/>
      <c r="CL89" s="831"/>
      <c r="CM89" s="831"/>
      <c r="CN89" s="831"/>
      <c r="CO89" s="831"/>
      <c r="CP89" s="831"/>
      <c r="CQ89" s="831"/>
      <c r="CR89" s="831"/>
    </row>
    <row r="90" spans="1:96" s="1270" customFormat="1" ht="27.75" customHeight="1" thickBot="1">
      <c r="A90"/>
      <c r="B90" s="10"/>
      <c r="C90" s="2762"/>
      <c r="D90" s="2763"/>
      <c r="E90" s="2763"/>
      <c r="F90" s="2763"/>
      <c r="G90" s="2763"/>
      <c r="H90" s="2763"/>
      <c r="I90" s="2763"/>
      <c r="J90" s="2763"/>
      <c r="K90" s="2763"/>
      <c r="L90" s="2763"/>
      <c r="M90" s="2763"/>
      <c r="N90" s="2763"/>
      <c r="O90" s="2763"/>
      <c r="P90" s="2764"/>
      <c r="Q90" s="2018"/>
      <c r="R90" s="2790" t="s">
        <v>1519</v>
      </c>
      <c r="S90" s="4842" t="s">
        <v>766</v>
      </c>
      <c r="T90" s="4843"/>
      <c r="U90" s="4843"/>
      <c r="V90" s="4843"/>
      <c r="W90" s="4843"/>
      <c r="X90" s="4844"/>
      <c r="Y90" s="2747" t="s">
        <v>1519</v>
      </c>
      <c r="Z90" s="2716"/>
      <c r="AA90" s="4865"/>
      <c r="AB90" s="4866"/>
      <c r="AC90" s="2782">
        <f t="shared" si="1"/>
        <v>10335</v>
      </c>
      <c r="AD90" s="1979"/>
      <c r="AE90" s="2019"/>
      <c r="AF90" s="2019"/>
      <c r="AG90" s="2019"/>
      <c r="AH90" s="2019"/>
      <c r="AI90" s="2019"/>
      <c r="AJ90" s="942"/>
      <c r="AK90" s="942"/>
      <c r="AL90" s="942"/>
      <c r="AM90" s="942"/>
      <c r="AN90" s="942"/>
      <c r="AO90" s="942"/>
      <c r="AP90" s="942"/>
      <c r="AQ90" s="942"/>
      <c r="AR90" s="942"/>
      <c r="AS90" s="942"/>
      <c r="AT90" s="942"/>
      <c r="AU90" s="1548"/>
      <c r="AV90" s="1548"/>
      <c r="AW90" s="1548"/>
      <c r="AX90" s="1548"/>
      <c r="AY90" s="942"/>
      <c r="AZ90" s="942"/>
      <c r="BA90" s="942"/>
      <c r="BB90" s="942"/>
      <c r="BC90" s="942"/>
      <c r="BD90" s="2048"/>
      <c r="BE90" s="2725" t="s">
        <v>1519</v>
      </c>
      <c r="BF90" s="4843" t="s">
        <v>766</v>
      </c>
      <c r="BG90" s="4843"/>
      <c r="BH90" s="4843"/>
      <c r="BI90" s="4843"/>
      <c r="BJ90" s="4843"/>
      <c r="BK90" s="4843"/>
      <c r="BL90" s="4843"/>
      <c r="BM90" s="2713" t="s">
        <v>1519</v>
      </c>
      <c r="BN90" s="4865"/>
      <c r="BO90" s="4866"/>
      <c r="BP90" s="1197">
        <f>'Old Tax Regime'!L68</f>
        <v>10335</v>
      </c>
      <c r="BQ90" s="2048"/>
      <c r="BR90" s="831"/>
      <c r="BS90" s="831"/>
      <c r="BT90" s="831"/>
      <c r="BU90" s="831"/>
      <c r="BV90" s="831"/>
      <c r="BW90" s="831"/>
      <c r="BX90" s="831"/>
      <c r="BY90" s="831"/>
      <c r="BZ90" s="831"/>
      <c r="CA90" s="831"/>
      <c r="CB90" s="831"/>
      <c r="CC90" s="831"/>
      <c r="CD90" s="831"/>
      <c r="CE90" s="831"/>
      <c r="CF90" s="831"/>
      <c r="CG90" s="831"/>
      <c r="CH90" s="831"/>
      <c r="CI90" s="831"/>
      <c r="CJ90" s="831"/>
      <c r="CK90" s="831"/>
      <c r="CL90" s="831"/>
      <c r="CM90" s="831"/>
      <c r="CN90" s="831"/>
      <c r="CO90" s="831"/>
      <c r="CP90" s="831"/>
      <c r="CQ90" s="831"/>
      <c r="CR90" s="831"/>
    </row>
    <row r="91" spans="1:96" s="1270" customFormat="1" ht="27.75" customHeight="1" thickBot="1">
      <c r="A91"/>
      <c r="B91" s="10"/>
      <c r="C91" s="2762"/>
      <c r="D91" s="2763"/>
      <c r="E91" s="2763"/>
      <c r="F91" s="2763"/>
      <c r="G91" s="2763"/>
      <c r="H91" s="2763"/>
      <c r="I91" s="2763"/>
      <c r="J91" s="2763"/>
      <c r="K91" s="2763"/>
      <c r="L91" s="2763"/>
      <c r="M91" s="2763"/>
      <c r="N91" s="2763"/>
      <c r="O91" s="2763"/>
      <c r="P91" s="2764"/>
      <c r="Q91" s="2018"/>
      <c r="R91" s="2790" t="s">
        <v>1520</v>
      </c>
      <c r="S91" s="4842" t="s">
        <v>1521</v>
      </c>
      <c r="T91" s="4843"/>
      <c r="U91" s="4843"/>
      <c r="V91" s="4843"/>
      <c r="W91" s="4843"/>
      <c r="X91" s="4844"/>
      <c r="Y91" s="2747" t="s">
        <v>1520</v>
      </c>
      <c r="Z91" s="2716"/>
      <c r="AA91" s="4865"/>
      <c r="AB91" s="4866"/>
      <c r="AC91" s="2782">
        <f t="shared" si="1"/>
        <v>268698</v>
      </c>
      <c r="AD91" s="1979"/>
      <c r="AE91" s="2019"/>
      <c r="AF91" s="2019"/>
      <c r="AG91" s="2019"/>
      <c r="AH91" s="2019"/>
      <c r="AI91" s="2019"/>
      <c r="AJ91" s="942"/>
      <c r="AK91" s="942"/>
      <c r="AL91" s="942"/>
      <c r="AM91" s="942"/>
      <c r="AN91" s="942"/>
      <c r="AO91" s="942"/>
      <c r="AP91" s="942"/>
      <c r="AQ91" s="942"/>
      <c r="AR91" s="942"/>
      <c r="AS91" s="942"/>
      <c r="AT91" s="942"/>
      <c r="AU91" s="1548"/>
      <c r="AV91" s="1548"/>
      <c r="AW91" s="1548"/>
      <c r="AX91" s="1548"/>
      <c r="AY91" s="942"/>
      <c r="AZ91" s="942"/>
      <c r="BA91" s="942"/>
      <c r="BB91" s="942"/>
      <c r="BC91" s="942"/>
      <c r="BD91" s="2048"/>
      <c r="BE91" s="2725" t="s">
        <v>1520</v>
      </c>
      <c r="BF91" s="4842" t="s">
        <v>1521</v>
      </c>
      <c r="BG91" s="4843"/>
      <c r="BH91" s="4843"/>
      <c r="BI91" s="4843"/>
      <c r="BJ91" s="4843"/>
      <c r="BK91" s="4843"/>
      <c r="BL91" s="4871"/>
      <c r="BM91" s="2713" t="s">
        <v>1520</v>
      </c>
      <c r="BN91" s="4865"/>
      <c r="BO91" s="4866"/>
      <c r="BP91" s="1197">
        <f>'Old Tax Regime'!L69</f>
        <v>268698</v>
      </c>
      <c r="BQ91" s="2048"/>
      <c r="BR91" s="831"/>
      <c r="BS91" s="831"/>
      <c r="BT91" s="831"/>
      <c r="BU91" s="831"/>
      <c r="BV91" s="831"/>
      <c r="BW91" s="831"/>
      <c r="BX91" s="831"/>
      <c r="BY91" s="831"/>
      <c r="BZ91" s="831"/>
      <c r="CA91" s="831"/>
      <c r="CB91" s="831"/>
      <c r="CC91" s="831"/>
      <c r="CD91" s="831"/>
      <c r="CE91" s="831"/>
      <c r="CF91" s="831"/>
      <c r="CG91" s="831"/>
      <c r="CH91" s="831"/>
      <c r="CI91" s="831"/>
      <c r="CJ91" s="831"/>
      <c r="CK91" s="831"/>
      <c r="CL91" s="831"/>
      <c r="CM91" s="831"/>
      <c r="CN91" s="831"/>
      <c r="CO91" s="831"/>
      <c r="CP91" s="831"/>
      <c r="CQ91" s="831"/>
      <c r="CR91" s="831"/>
    </row>
    <row r="92" spans="1:96" s="1270" customFormat="1" ht="27.75" customHeight="1" thickBot="1">
      <c r="A92"/>
      <c r="B92" s="10"/>
      <c r="C92" s="2762"/>
      <c r="D92" s="2763"/>
      <c r="E92" s="2763"/>
      <c r="F92" s="2763"/>
      <c r="G92" s="2763"/>
      <c r="H92" s="2763"/>
      <c r="I92" s="2763"/>
      <c r="J92" s="2763"/>
      <c r="K92" s="2763"/>
      <c r="L92" s="2763"/>
      <c r="M92" s="2763"/>
      <c r="N92" s="2763"/>
      <c r="O92" s="2763"/>
      <c r="P92" s="2764"/>
      <c r="Q92" s="2018"/>
      <c r="R92" s="2790" t="s">
        <v>1522</v>
      </c>
      <c r="S92" s="4842" t="s">
        <v>1582</v>
      </c>
      <c r="T92" s="4843"/>
      <c r="U92" s="4843"/>
      <c r="V92" s="4843"/>
      <c r="W92" s="4843"/>
      <c r="X92" s="4844"/>
      <c r="Y92" s="2747" t="s">
        <v>1522</v>
      </c>
      <c r="Z92" s="2716"/>
      <c r="AA92" s="4865"/>
      <c r="AB92" s="4866"/>
      <c r="AC92" s="2782">
        <f t="shared" si="1"/>
        <v>0</v>
      </c>
      <c r="AD92" s="1979"/>
      <c r="AE92" s="2019"/>
      <c r="AF92" s="2019"/>
      <c r="AG92" s="2019"/>
      <c r="AH92" s="2019"/>
      <c r="AI92" s="2019"/>
      <c r="AJ92" s="942"/>
      <c r="AK92" s="942"/>
      <c r="AL92" s="942"/>
      <c r="AM92" s="942"/>
      <c r="AN92" s="942"/>
      <c r="AO92" s="942"/>
      <c r="AP92" s="942"/>
      <c r="AQ92" s="942"/>
      <c r="AR92" s="942"/>
      <c r="AS92" s="942"/>
      <c r="AT92" s="942"/>
      <c r="AU92" s="1548"/>
      <c r="AV92" s="1548"/>
      <c r="AW92" s="1548"/>
      <c r="AX92" s="1548"/>
      <c r="AY92" s="942"/>
      <c r="AZ92" s="942"/>
      <c r="BA92" s="942"/>
      <c r="BB92" s="942"/>
      <c r="BC92" s="942"/>
      <c r="BD92" s="2048"/>
      <c r="BE92" s="2725" t="s">
        <v>1522</v>
      </c>
      <c r="BF92" s="4842" t="s">
        <v>1582</v>
      </c>
      <c r="BG92" s="4843"/>
      <c r="BH92" s="4843"/>
      <c r="BI92" s="4843"/>
      <c r="BJ92" s="4843"/>
      <c r="BK92" s="4843"/>
      <c r="BL92" s="4871"/>
      <c r="BM92" s="2713" t="s">
        <v>1522</v>
      </c>
      <c r="BN92" s="4865"/>
      <c r="BO92" s="4866"/>
      <c r="BP92" s="1197">
        <f>'Old Tax Regime'!L70</f>
        <v>0</v>
      </c>
      <c r="BQ92" s="2048"/>
      <c r="BR92" s="831"/>
      <c r="BS92" s="831"/>
      <c r="BT92" s="831"/>
      <c r="BU92" s="831"/>
      <c r="BV92" s="831"/>
      <c r="BW92" s="831"/>
      <c r="BX92" s="831"/>
      <c r="BY92" s="831"/>
      <c r="BZ92" s="831"/>
      <c r="CA92" s="831"/>
      <c r="CB92" s="831"/>
      <c r="CC92" s="831"/>
      <c r="CD92" s="831"/>
      <c r="CE92" s="831"/>
      <c r="CF92" s="831"/>
      <c r="CG92" s="831"/>
      <c r="CH92" s="831"/>
      <c r="CI92" s="831"/>
      <c r="CJ92" s="831"/>
      <c r="CK92" s="831"/>
      <c r="CL92" s="831"/>
      <c r="CM92" s="831"/>
      <c r="CN92" s="831"/>
      <c r="CO92" s="831"/>
      <c r="CP92" s="831"/>
      <c r="CQ92" s="831"/>
      <c r="CR92" s="831"/>
    </row>
    <row r="93" spans="1:96" s="1270" customFormat="1" ht="27.75" customHeight="1" thickBot="1">
      <c r="A93"/>
      <c r="B93" s="1218"/>
      <c r="C93" s="2762"/>
      <c r="D93" s="2763"/>
      <c r="E93" s="2763"/>
      <c r="F93" s="2763"/>
      <c r="G93" s="2763"/>
      <c r="H93" s="2763"/>
      <c r="I93" s="2763"/>
      <c r="J93" s="2763"/>
      <c r="K93" s="2763"/>
      <c r="L93" s="2763"/>
      <c r="M93" s="2763"/>
      <c r="N93" s="2763"/>
      <c r="O93" s="2763"/>
      <c r="P93" s="2764"/>
      <c r="Q93" s="2018"/>
      <c r="R93" s="2790" t="s">
        <v>1523</v>
      </c>
      <c r="S93" s="4842" t="s">
        <v>1524</v>
      </c>
      <c r="T93" s="4843"/>
      <c r="U93" s="4843"/>
      <c r="V93" s="4843"/>
      <c r="W93" s="4843"/>
      <c r="X93" s="4844"/>
      <c r="Y93" s="2747" t="s">
        <v>1523</v>
      </c>
      <c r="Z93" s="2716"/>
      <c r="AA93" s="4865"/>
      <c r="AB93" s="4866"/>
      <c r="AC93" s="2782">
        <f t="shared" si="1"/>
        <v>268698</v>
      </c>
      <c r="AD93" s="1979"/>
      <c r="AE93" s="2019"/>
      <c r="AF93" s="2019"/>
      <c r="AG93" s="2019"/>
      <c r="AH93" s="2019"/>
      <c r="AI93" s="2019"/>
      <c r="AJ93" s="942"/>
      <c r="AK93" s="942"/>
      <c r="AL93" s="942"/>
      <c r="AM93" s="942"/>
      <c r="AN93" s="942"/>
      <c r="AO93" s="942"/>
      <c r="AP93" s="942"/>
      <c r="AQ93" s="942"/>
      <c r="AR93" s="942"/>
      <c r="AS93" s="942"/>
      <c r="AT93" s="942"/>
      <c r="AU93" s="1548"/>
      <c r="AV93" s="1548"/>
      <c r="AW93" s="1548"/>
      <c r="AX93" s="1548"/>
      <c r="AY93" s="942"/>
      <c r="AZ93" s="942"/>
      <c r="BA93" s="942"/>
      <c r="BB93" s="942"/>
      <c r="BC93" s="942"/>
      <c r="BD93" s="2048"/>
      <c r="BE93" s="2725" t="s">
        <v>1523</v>
      </c>
      <c r="BF93" s="4843" t="s">
        <v>1524</v>
      </c>
      <c r="BG93" s="4843"/>
      <c r="BH93" s="4843"/>
      <c r="BI93" s="4843"/>
      <c r="BJ93" s="4843"/>
      <c r="BK93" s="4843"/>
      <c r="BL93" s="4843"/>
      <c r="BM93" s="2713" t="s">
        <v>1523</v>
      </c>
      <c r="BN93" s="4865"/>
      <c r="BO93" s="4866"/>
      <c r="BP93" s="1197">
        <f>'Old Tax Regime'!L71</f>
        <v>268698</v>
      </c>
      <c r="BQ93" s="2048"/>
      <c r="BR93" s="831"/>
      <c r="BS93" s="831"/>
      <c r="BT93" s="831"/>
      <c r="BU93" s="831"/>
      <c r="BV93" s="831"/>
      <c r="BW93" s="831"/>
      <c r="BX93" s="831"/>
      <c r="BY93" s="831"/>
      <c r="BZ93" s="831"/>
      <c r="CA93" s="831"/>
      <c r="CB93" s="831"/>
      <c r="CC93" s="831"/>
      <c r="CD93" s="831"/>
      <c r="CE93" s="831"/>
      <c r="CF93" s="831"/>
      <c r="CG93" s="831"/>
      <c r="CH93" s="831"/>
      <c r="CI93" s="831"/>
      <c r="CJ93" s="831"/>
      <c r="CK93" s="831"/>
      <c r="CL93" s="831"/>
      <c r="CM93" s="831"/>
      <c r="CN93" s="831"/>
      <c r="CO93" s="831"/>
      <c r="CP93" s="831"/>
      <c r="CQ93" s="831"/>
      <c r="CR93" s="831"/>
    </row>
    <row r="94" spans="1:96" ht="27.75" customHeight="1" thickBot="1">
      <c r="B94" s="10"/>
      <c r="C94" s="2765"/>
      <c r="D94" s="2766"/>
      <c r="E94" s="2766"/>
      <c r="F94" s="2766"/>
      <c r="G94" s="2766"/>
      <c r="H94" s="2766"/>
      <c r="I94" s="2766"/>
      <c r="J94" s="2766"/>
      <c r="K94" s="2766"/>
      <c r="L94" s="2766"/>
      <c r="M94" s="2766"/>
      <c r="N94" s="2766"/>
      <c r="O94" s="2766"/>
      <c r="P94" s="2767"/>
      <c r="Q94" s="2018"/>
      <c r="R94" s="2797" t="s">
        <v>1527</v>
      </c>
      <c r="S94" s="4867" t="s">
        <v>794</v>
      </c>
      <c r="T94" s="4868"/>
      <c r="U94" s="4868"/>
      <c r="V94" s="4868"/>
      <c r="W94" s="4868"/>
      <c r="X94" s="4869"/>
      <c r="Y94" s="2750" t="s">
        <v>1527</v>
      </c>
      <c r="Z94" s="2746"/>
      <c r="AA94" s="4865"/>
      <c r="AB94" s="4866"/>
      <c r="AC94" s="2782">
        <f t="shared" si="1"/>
        <v>194000</v>
      </c>
      <c r="AD94" s="1979"/>
      <c r="AE94" s="2019"/>
      <c r="AF94" s="2019"/>
      <c r="AG94" s="2019"/>
      <c r="AH94" s="2019"/>
      <c r="AI94" s="2019"/>
      <c r="AK94" s="942"/>
      <c r="AL94" s="942"/>
      <c r="AM94" s="942"/>
      <c r="AN94" s="942"/>
      <c r="AO94" s="942"/>
      <c r="AP94" s="942"/>
      <c r="AQ94" s="942"/>
      <c r="AR94" s="942"/>
      <c r="AS94" s="942"/>
      <c r="AT94" s="942"/>
      <c r="AU94" s="1548"/>
      <c r="AV94" s="1548"/>
      <c r="AW94" s="1548"/>
      <c r="AX94" s="1548"/>
      <c r="BD94" s="2048"/>
      <c r="BE94" s="2738" t="s">
        <v>1527</v>
      </c>
      <c r="BF94" s="4870" t="s">
        <v>794</v>
      </c>
      <c r="BG94" s="4870"/>
      <c r="BH94" s="4870"/>
      <c r="BI94" s="4870"/>
      <c r="BJ94" s="4870"/>
      <c r="BK94" s="4870"/>
      <c r="BL94" s="4870"/>
      <c r="BM94" s="2739" t="s">
        <v>1527</v>
      </c>
      <c r="BN94" s="4865"/>
      <c r="BO94" s="4866"/>
      <c r="BP94" s="2737">
        <f>'Old Tax Regime'!L72</f>
        <v>194000</v>
      </c>
      <c r="BQ94" s="2048"/>
    </row>
    <row r="95" spans="1:96" ht="27.75" customHeight="1" thickBot="1">
      <c r="B95" s="10"/>
      <c r="C95" s="4813"/>
      <c r="D95" s="4814"/>
      <c r="E95" s="4814"/>
      <c r="F95" s="4814"/>
      <c r="G95" s="4814"/>
      <c r="H95" s="4814"/>
      <c r="I95" s="4814"/>
      <c r="J95" s="4814"/>
      <c r="K95" s="4814"/>
      <c r="L95" s="4814"/>
      <c r="M95" s="4814"/>
      <c r="N95" s="4814"/>
      <c r="O95" s="4814"/>
      <c r="P95" s="4814"/>
      <c r="Q95" s="2018"/>
      <c r="R95" s="4827" t="str">
        <f>BE95</f>
        <v>Tax To  be Paid  Now</v>
      </c>
      <c r="S95" s="4828"/>
      <c r="T95" s="4828"/>
      <c r="U95" s="4828"/>
      <c r="V95" s="4828"/>
      <c r="W95" s="4828"/>
      <c r="X95" s="4828"/>
      <c r="Y95" s="4828"/>
      <c r="Z95" s="4828"/>
      <c r="AA95" s="4828"/>
      <c r="AB95" s="4828"/>
      <c r="AC95" s="2798">
        <f>BP95</f>
        <v>74698</v>
      </c>
      <c r="AD95" s="1979"/>
      <c r="AE95" s="2019"/>
      <c r="AF95" s="2019"/>
      <c r="AG95" s="2019"/>
      <c r="AH95" s="2019"/>
      <c r="AI95" s="2019"/>
      <c r="AK95" s="942"/>
      <c r="AL95" s="942"/>
      <c r="AM95" s="942"/>
      <c r="AN95" s="942"/>
      <c r="AO95" s="942"/>
      <c r="AP95" s="942"/>
      <c r="AQ95" s="942"/>
      <c r="AR95" s="942"/>
      <c r="AS95" s="942"/>
      <c r="AT95" s="942"/>
      <c r="AU95" s="1548"/>
      <c r="AV95" s="1548"/>
      <c r="AW95" s="1548"/>
      <c r="AX95" s="1548"/>
      <c r="BD95" s="2048"/>
      <c r="BE95" s="4828" t="str">
        <f>'Old Tax Regime'!I79</f>
        <v>Tax To  be Paid  Now</v>
      </c>
      <c r="BF95" s="4828"/>
      <c r="BG95" s="4828"/>
      <c r="BH95" s="4828"/>
      <c r="BI95" s="4828"/>
      <c r="BJ95" s="4828"/>
      <c r="BK95" s="4828"/>
      <c r="BL95" s="4828"/>
      <c r="BM95" s="4828"/>
      <c r="BN95" s="4828"/>
      <c r="BO95" s="4828"/>
      <c r="BP95" s="2740">
        <f>'Old Tax Regime'!L79</f>
        <v>74698</v>
      </c>
      <c r="BQ95" s="2048"/>
    </row>
    <row r="96" spans="1:96" ht="27.75" hidden="1" customHeight="1">
      <c r="B96" s="10"/>
      <c r="C96" s="2751"/>
      <c r="D96" s="2751"/>
      <c r="E96" s="2751"/>
      <c r="F96" s="2751"/>
      <c r="G96" s="2751"/>
      <c r="H96" s="2751"/>
      <c r="I96" s="2751"/>
      <c r="J96" s="2751"/>
      <c r="K96" s="2751"/>
      <c r="L96" s="2751"/>
      <c r="M96" s="2751"/>
      <c r="N96" s="2751"/>
      <c r="O96" s="2751"/>
      <c r="P96" s="2751"/>
      <c r="Q96" s="2018"/>
      <c r="R96" s="2016"/>
      <c r="S96" s="2017"/>
      <c r="T96" s="2017"/>
      <c r="U96" s="2017"/>
      <c r="V96" s="2017"/>
      <c r="W96" s="2017"/>
      <c r="X96" s="2017"/>
      <c r="Y96" s="2017"/>
      <c r="Z96" s="2042"/>
      <c r="AA96" s="1978"/>
      <c r="AB96" s="1978"/>
      <c r="AC96" s="1978"/>
      <c r="AD96" s="1979"/>
      <c r="AE96" s="2019"/>
      <c r="AF96" s="2019"/>
      <c r="AG96" s="2019"/>
      <c r="AH96" s="2019"/>
      <c r="AI96" s="2019"/>
      <c r="AK96" s="942"/>
      <c r="AL96" s="942"/>
      <c r="AM96" s="942"/>
      <c r="AN96" s="942"/>
      <c r="AO96" s="942"/>
      <c r="AP96" s="942"/>
      <c r="AQ96" s="942"/>
      <c r="AR96" s="942"/>
      <c r="AS96" s="942"/>
      <c r="AT96" s="942"/>
      <c r="AU96" s="1548"/>
      <c r="AV96" s="1548"/>
      <c r="AW96" s="1548"/>
      <c r="AX96" s="1548"/>
      <c r="BD96" s="2048"/>
      <c r="BE96" s="2736"/>
      <c r="BF96" s="2736"/>
      <c r="BG96" s="2736"/>
      <c r="BH96" s="2736"/>
      <c r="BI96" s="2736"/>
      <c r="BJ96" s="2736"/>
      <c r="BK96" s="2736"/>
      <c r="BL96" s="2736"/>
      <c r="BM96" s="2736"/>
      <c r="BN96" s="2736"/>
      <c r="BO96" s="2736"/>
      <c r="BP96" s="1864"/>
      <c r="BQ96" s="2048"/>
    </row>
    <row r="97" spans="2:69" ht="27.75" hidden="1" customHeight="1">
      <c r="B97" s="10"/>
      <c r="C97" s="2751"/>
      <c r="D97" s="2751"/>
      <c r="E97" s="2751"/>
      <c r="F97" s="2751"/>
      <c r="G97" s="2751"/>
      <c r="H97" s="2751"/>
      <c r="I97" s="2751"/>
      <c r="J97" s="2751"/>
      <c r="K97" s="2751"/>
      <c r="L97" s="2751"/>
      <c r="M97" s="2751"/>
      <c r="N97" s="2751"/>
      <c r="O97" s="2751"/>
      <c r="P97" s="2751"/>
      <c r="Q97" s="2018"/>
      <c r="R97" s="2735"/>
      <c r="S97" s="2043"/>
      <c r="T97" s="2043"/>
      <c r="U97" s="2043"/>
      <c r="V97" s="2043"/>
      <c r="W97" s="2043"/>
      <c r="X97" s="2043"/>
      <c r="Y97" s="2043"/>
      <c r="Z97" s="2044"/>
      <c r="AA97" s="2045"/>
      <c r="AB97" s="2045"/>
      <c r="AC97" s="2046"/>
      <c r="AD97" s="1979"/>
      <c r="AE97" s="2019"/>
      <c r="AF97" s="2019"/>
      <c r="AG97" s="2019"/>
      <c r="AH97" s="2019"/>
      <c r="AI97" s="2019"/>
      <c r="AK97" s="942"/>
      <c r="AL97" s="942"/>
      <c r="AM97" s="942"/>
      <c r="AN97" s="942"/>
      <c r="AO97" s="942"/>
      <c r="AP97" s="942"/>
      <c r="AQ97" s="942"/>
      <c r="AR97" s="942"/>
      <c r="AS97" s="942"/>
      <c r="AT97" s="942"/>
      <c r="AU97" s="1548"/>
      <c r="AV97" s="1548"/>
      <c r="AW97" s="1548"/>
      <c r="AX97" s="1548"/>
      <c r="BD97" s="2048"/>
      <c r="BE97" s="2736"/>
      <c r="BF97" s="2736"/>
      <c r="BG97" s="2736"/>
      <c r="BH97" s="2736"/>
      <c r="BI97" s="2736"/>
      <c r="BJ97" s="2736"/>
      <c r="BK97" s="2736"/>
      <c r="BL97" s="2736"/>
      <c r="BM97" s="2736"/>
      <c r="BN97" s="2736"/>
      <c r="BO97" s="2736"/>
      <c r="BP97" s="1864"/>
      <c r="BQ97" s="2048"/>
    </row>
    <row r="98" spans="2:69" ht="22.5" hidden="1" customHeight="1">
      <c r="B98" s="10"/>
      <c r="C98" s="2752"/>
      <c r="D98" s="2752"/>
      <c r="E98" s="2752"/>
      <c r="F98" s="2752"/>
      <c r="G98" s="2752"/>
      <c r="H98" s="2752"/>
      <c r="I98" s="2752"/>
      <c r="J98" s="2752"/>
      <c r="K98" s="2752"/>
      <c r="L98" s="2752"/>
      <c r="M98" s="2752"/>
      <c r="N98" s="2752"/>
      <c r="O98" s="2752"/>
      <c r="P98" s="2752"/>
      <c r="Q98" s="2742"/>
      <c r="R98" s="2741"/>
      <c r="S98" s="2741"/>
      <c r="T98" s="2741"/>
      <c r="U98" s="2741"/>
      <c r="V98" s="2741"/>
      <c r="W98" s="2741"/>
      <c r="X98" s="2741"/>
      <c r="Y98" s="2741"/>
      <c r="Z98" s="2741"/>
      <c r="AA98" s="2743"/>
      <c r="AB98" s="2743"/>
      <c r="AC98" s="2744"/>
      <c r="AD98" s="2041"/>
      <c r="AE98" s="2040"/>
      <c r="AF98" s="2040"/>
      <c r="AG98" s="2040"/>
      <c r="AH98" s="2040"/>
      <c r="AI98" s="2040"/>
      <c r="AK98" s="942"/>
      <c r="AL98" s="942"/>
      <c r="AM98" s="942"/>
      <c r="AN98" s="942"/>
      <c r="AO98" s="942"/>
      <c r="AP98" s="942"/>
      <c r="AQ98" s="942"/>
      <c r="AR98" s="942"/>
      <c r="AS98" s="942"/>
      <c r="AT98" s="942"/>
      <c r="BD98" s="2048"/>
      <c r="BE98" s="2048"/>
      <c r="BF98" s="2048"/>
      <c r="BG98" s="2048"/>
      <c r="BH98" s="2048"/>
      <c r="BI98" s="2048"/>
      <c r="BJ98" s="2048"/>
      <c r="BK98" s="2048"/>
      <c r="BL98" s="2048"/>
      <c r="BM98" s="2048"/>
      <c r="BN98" s="2048"/>
      <c r="BO98" s="2048"/>
      <c r="BP98" s="2048"/>
      <c r="BQ98" s="2048"/>
    </row>
    <row r="99" spans="2:69" ht="6.75" hidden="1" customHeight="1">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4437"/>
      <c r="AC99" s="4437"/>
      <c r="AD99" s="4437"/>
      <c r="AE99" s="4437"/>
      <c r="AF99" s="4437"/>
      <c r="AG99" s="4437"/>
      <c r="AH99" s="4437"/>
      <c r="AI99" s="4437"/>
      <c r="AK99" s="7"/>
      <c r="AL99" s="7"/>
      <c r="AM99" s="7"/>
      <c r="AN99" s="7"/>
      <c r="AO99" s="7"/>
      <c r="AP99" s="7"/>
      <c r="AQ99" s="7"/>
      <c r="AR99" s="7"/>
      <c r="AS99" s="7"/>
      <c r="AT99" s="7"/>
      <c r="BD99" s="2048"/>
      <c r="BE99" s="2048"/>
      <c r="BF99" s="2048"/>
      <c r="BG99" s="2048"/>
      <c r="BH99" s="2048"/>
      <c r="BI99" s="2048"/>
      <c r="BJ99" s="2048"/>
      <c r="BK99" s="2048"/>
      <c r="BL99" s="2048"/>
      <c r="BM99" s="2048"/>
      <c r="BN99" s="2048"/>
      <c r="BO99" s="2048"/>
      <c r="BP99" s="2048"/>
      <c r="BQ99" s="2048"/>
    </row>
    <row r="100" spans="2:69" ht="15" hidden="1" customHeight="1">
      <c r="B100" s="10"/>
      <c r="C100" s="320"/>
      <c r="D100" s="320"/>
      <c r="E100" s="321"/>
      <c r="F100" s="321"/>
      <c r="G100" s="321"/>
      <c r="H100" s="321"/>
      <c r="I100" s="321"/>
      <c r="J100" s="321"/>
      <c r="K100" s="321"/>
      <c r="L100" s="321"/>
      <c r="M100" s="321"/>
      <c r="N100" s="322"/>
      <c r="O100" s="322"/>
      <c r="P100" s="322"/>
      <c r="Q100" s="322"/>
      <c r="R100" s="322"/>
      <c r="S100" s="322"/>
      <c r="T100" s="322"/>
      <c r="U100" s="322"/>
      <c r="V100" s="322"/>
      <c r="W100" s="322"/>
      <c r="X100" s="322"/>
      <c r="Y100" s="322"/>
      <c r="Z100" s="322"/>
      <c r="AA100" s="322"/>
      <c r="AB100" s="322"/>
      <c r="AC100" s="322"/>
      <c r="AD100" s="322"/>
      <c r="AE100" s="2034"/>
      <c r="AF100" s="2034"/>
      <c r="AG100" s="2034"/>
      <c r="AH100" s="2034"/>
      <c r="AI100" s="2034"/>
      <c r="AJ100" s="2020"/>
      <c r="AK100" s="7"/>
      <c r="AL100" s="7"/>
      <c r="AM100" s="7"/>
      <c r="AN100" s="7"/>
      <c r="AO100" s="7"/>
      <c r="AP100" s="7"/>
      <c r="AQ100" s="7"/>
      <c r="AR100" s="7"/>
      <c r="AS100" s="7"/>
      <c r="AT100" s="7"/>
    </row>
    <row r="101" spans="2:69" ht="15.75" hidden="1" customHeight="1">
      <c r="B101" s="10"/>
      <c r="C101" s="4439" t="s">
        <v>203</v>
      </c>
      <c r="D101" s="4439"/>
      <c r="E101" s="4439"/>
      <c r="F101" s="4439"/>
      <c r="G101" s="4439"/>
      <c r="H101" s="4439"/>
      <c r="I101" s="4439"/>
      <c r="J101" s="4439"/>
      <c r="K101" s="4439"/>
      <c r="L101" s="4439"/>
      <c r="M101" s="4439"/>
      <c r="N101" s="4439"/>
      <c r="O101" s="343"/>
      <c r="P101" s="4440" t="s">
        <v>204</v>
      </c>
      <c r="Q101" s="4440"/>
      <c r="R101" s="4440"/>
      <c r="S101" s="4440"/>
      <c r="T101" s="4440"/>
      <c r="U101" s="4440"/>
      <c r="V101" s="4440"/>
      <c r="W101" s="4440"/>
      <c r="X101" s="4440"/>
      <c r="Y101" s="4440"/>
      <c r="Z101" s="4440"/>
      <c r="AA101" s="4440"/>
      <c r="AB101" s="4440"/>
      <c r="AC101" s="4440"/>
      <c r="AD101" s="4440"/>
      <c r="AE101" s="4440"/>
      <c r="AF101" s="4440"/>
      <c r="AG101" s="4440"/>
      <c r="AH101" s="4440"/>
      <c r="AI101" s="4440"/>
      <c r="AJ101" s="2021"/>
      <c r="AK101" s="7"/>
      <c r="AL101" s="7"/>
      <c r="AM101" s="7"/>
      <c r="AN101" s="7"/>
      <c r="AO101" s="7"/>
      <c r="AP101" s="7"/>
      <c r="AQ101" s="7"/>
      <c r="AR101" s="7"/>
      <c r="AS101" s="7"/>
      <c r="AT101" s="7"/>
    </row>
    <row r="102" spans="2:69" ht="15" hidden="1" customHeight="1" thickTop="1" thickBot="1">
      <c r="B102" s="10"/>
      <c r="C102" s="4508" t="s">
        <v>205</v>
      </c>
      <c r="D102" s="4508"/>
      <c r="E102" s="4508"/>
      <c r="F102" s="4508"/>
      <c r="G102" s="4508"/>
      <c r="H102" s="4508"/>
      <c r="I102" s="4508"/>
      <c r="J102" s="4508"/>
      <c r="K102" s="4508"/>
      <c r="L102" s="4508"/>
      <c r="M102" s="4508"/>
      <c r="N102" s="4508"/>
      <c r="O102" s="323"/>
      <c r="P102" s="4438" t="s">
        <v>503</v>
      </c>
      <c r="Q102" s="4438"/>
      <c r="R102" s="4438"/>
      <c r="S102" s="4438"/>
      <c r="T102" s="4438"/>
      <c r="U102" s="4438"/>
      <c r="V102" s="4438"/>
      <c r="W102" s="4438"/>
      <c r="X102" s="4438"/>
      <c r="Y102" s="4438"/>
      <c r="Z102" s="4438"/>
      <c r="AA102" s="4438"/>
      <c r="AB102" s="4438"/>
      <c r="AC102" s="4438"/>
      <c r="AD102" s="4438"/>
      <c r="AE102" s="4438"/>
      <c r="AF102" s="4438"/>
      <c r="AG102" s="4438"/>
      <c r="AH102" s="4438"/>
      <c r="AI102" s="4438"/>
      <c r="AJ102" s="2021"/>
      <c r="AK102" s="7"/>
      <c r="AL102" s="7"/>
      <c r="AM102" s="7"/>
      <c r="AN102" s="7"/>
      <c r="AO102" s="7"/>
      <c r="AP102" s="7"/>
      <c r="AQ102" s="7"/>
      <c r="AR102" s="7"/>
      <c r="AS102" s="7"/>
      <c r="AT102" s="7"/>
    </row>
    <row r="103" spans="2:69" ht="15.75" hidden="1" customHeight="1" thickTop="1">
      <c r="B103" s="10"/>
      <c r="C103" s="4508"/>
      <c r="D103" s="4508"/>
      <c r="E103" s="4508"/>
      <c r="F103" s="4508"/>
      <c r="G103" s="4508"/>
      <c r="H103" s="4508"/>
      <c r="I103" s="4508"/>
      <c r="J103" s="4508"/>
      <c r="K103" s="4508"/>
      <c r="L103" s="4508"/>
      <c r="M103" s="4508"/>
      <c r="N103" s="4508"/>
      <c r="O103" s="323"/>
      <c r="P103" s="4438" t="s">
        <v>504</v>
      </c>
      <c r="Q103" s="4438"/>
      <c r="R103" s="4438"/>
      <c r="S103" s="4438"/>
      <c r="T103" s="4438"/>
      <c r="U103" s="4438"/>
      <c r="V103" s="4438"/>
      <c r="W103" s="4438"/>
      <c r="X103" s="4438"/>
      <c r="Y103" s="4438"/>
      <c r="Z103" s="4438"/>
      <c r="AA103" s="4438"/>
      <c r="AB103" s="4438"/>
      <c r="AC103" s="4438"/>
      <c r="AD103" s="4438"/>
      <c r="AE103" s="4438"/>
      <c r="AF103" s="4438"/>
      <c r="AG103" s="4438"/>
      <c r="AH103" s="4438"/>
      <c r="AI103" s="4438"/>
      <c r="AJ103" s="2021"/>
      <c r="AK103" s="7"/>
      <c r="AL103" s="7"/>
      <c r="AM103" s="7"/>
      <c r="AN103" s="7"/>
      <c r="AO103" s="7"/>
      <c r="AP103" s="7"/>
      <c r="AQ103" s="7"/>
      <c r="AR103" s="7"/>
      <c r="AS103" s="7"/>
      <c r="AT103" s="7"/>
    </row>
    <row r="104" spans="2:69" ht="15" hidden="1" customHeight="1">
      <c r="B104" s="10"/>
      <c r="C104" s="4508"/>
      <c r="D104" s="4508"/>
      <c r="E104" s="4508"/>
      <c r="F104" s="4508"/>
      <c r="G104" s="4508"/>
      <c r="H104" s="4508"/>
      <c r="I104" s="4508"/>
      <c r="J104" s="4508"/>
      <c r="K104" s="4508"/>
      <c r="L104" s="4508"/>
      <c r="M104" s="4508"/>
      <c r="N104" s="4508"/>
      <c r="O104" s="324"/>
      <c r="P104" s="4438" t="s">
        <v>505</v>
      </c>
      <c r="Q104" s="4438"/>
      <c r="R104" s="4438"/>
      <c r="S104" s="4438"/>
      <c r="T104" s="4438"/>
      <c r="U104" s="4438"/>
      <c r="V104" s="4438"/>
      <c r="W104" s="4438"/>
      <c r="X104" s="4438"/>
      <c r="Y104" s="4438"/>
      <c r="Z104" s="4438"/>
      <c r="AA104" s="4438"/>
      <c r="AB104" s="4438"/>
      <c r="AC104" s="4438"/>
      <c r="AD104" s="4438"/>
      <c r="AE104" s="4438"/>
      <c r="AF104" s="4438"/>
      <c r="AG104" s="4438"/>
      <c r="AH104" s="4438"/>
      <c r="AI104" s="4438"/>
      <c r="AJ104" s="2021"/>
      <c r="AK104" s="7"/>
      <c r="AL104" s="7"/>
      <c r="AM104" s="7"/>
      <c r="AN104" s="7"/>
      <c r="AO104" s="7"/>
      <c r="AP104" s="7"/>
      <c r="AQ104" s="7"/>
      <c r="AR104" s="7"/>
      <c r="AS104" s="7"/>
      <c r="AT104" s="7"/>
    </row>
    <row r="105" spans="2:69" ht="15" hidden="1" customHeight="1">
      <c r="B105" s="10"/>
      <c r="C105" s="4508"/>
      <c r="D105" s="4508"/>
      <c r="E105" s="4508"/>
      <c r="F105" s="4508"/>
      <c r="G105" s="4508"/>
      <c r="H105" s="4508"/>
      <c r="I105" s="4508"/>
      <c r="J105" s="4508"/>
      <c r="K105" s="4508"/>
      <c r="L105" s="4508"/>
      <c r="M105" s="4508"/>
      <c r="N105" s="4508"/>
      <c r="O105" s="324"/>
      <c r="P105" s="4435" t="s">
        <v>506</v>
      </c>
      <c r="Q105" s="4435"/>
      <c r="R105" s="4435"/>
      <c r="S105" s="4435"/>
      <c r="T105" s="4435"/>
      <c r="U105" s="4435"/>
      <c r="V105" s="4435"/>
      <c r="W105" s="4435"/>
      <c r="X105" s="4435"/>
      <c r="Y105" s="4435"/>
      <c r="Z105" s="4435"/>
      <c r="AA105" s="4435"/>
      <c r="AB105" s="4435"/>
      <c r="AC105" s="4435"/>
      <c r="AD105" s="4435"/>
      <c r="AE105" s="4435"/>
      <c r="AF105" s="4435"/>
      <c r="AG105" s="4435"/>
      <c r="AH105" s="4435"/>
      <c r="AI105" s="4435"/>
      <c r="AJ105" s="2022"/>
      <c r="AK105" s="7"/>
      <c r="AL105" s="7"/>
      <c r="AM105" s="7"/>
      <c r="AN105" s="7"/>
      <c r="AO105" s="7"/>
      <c r="AP105" s="7"/>
      <c r="AQ105" s="7"/>
      <c r="AR105" s="7"/>
      <c r="AS105" s="7"/>
      <c r="AT105" s="7"/>
    </row>
    <row r="106" spans="2:69" ht="15" hidden="1" customHeight="1">
      <c r="B106" s="10"/>
      <c r="C106" s="4508"/>
      <c r="D106" s="4508"/>
      <c r="E106" s="4508"/>
      <c r="F106" s="4508"/>
      <c r="G106" s="4508"/>
      <c r="H106" s="4508"/>
      <c r="I106" s="4508"/>
      <c r="J106" s="4508"/>
      <c r="K106" s="4508"/>
      <c r="L106" s="4508"/>
      <c r="M106" s="4508"/>
      <c r="N106" s="4508"/>
      <c r="O106" s="324"/>
      <c r="P106" s="965"/>
      <c r="Q106" s="965"/>
      <c r="R106" s="965"/>
      <c r="S106" s="965"/>
      <c r="T106" s="965"/>
      <c r="U106" s="965"/>
      <c r="V106" s="965"/>
      <c r="W106" s="965"/>
      <c r="X106" s="965"/>
      <c r="Y106" s="965"/>
      <c r="Z106" s="965"/>
      <c r="AA106" s="965"/>
      <c r="AB106" s="965"/>
      <c r="AC106" s="965"/>
      <c r="AD106" s="965"/>
      <c r="AE106" s="2022"/>
      <c r="AF106" s="2022"/>
      <c r="AG106" s="2022"/>
      <c r="AH106" s="2022"/>
      <c r="AI106" s="2022"/>
      <c r="AJ106" s="2022"/>
      <c r="AK106" s="7"/>
      <c r="AL106" s="7"/>
      <c r="AM106" s="7"/>
      <c r="AN106" s="7"/>
      <c r="AO106" s="7"/>
      <c r="AP106" s="7"/>
      <c r="AQ106" s="7"/>
      <c r="AR106" s="7"/>
      <c r="AS106" s="7"/>
      <c r="AT106" s="7"/>
    </row>
    <row r="107" spans="2:69" ht="15" hidden="1">
      <c r="B107" s="10"/>
      <c r="C107" s="4508"/>
      <c r="D107" s="4508"/>
      <c r="E107" s="4508"/>
      <c r="F107" s="4508"/>
      <c r="G107" s="4508"/>
      <c r="H107" s="4508"/>
      <c r="I107" s="4508"/>
      <c r="J107" s="4508"/>
      <c r="K107" s="4508"/>
      <c r="L107" s="4508"/>
      <c r="M107" s="4508"/>
      <c r="N107" s="4508"/>
      <c r="O107" s="324"/>
      <c r="P107" s="4438" t="s">
        <v>507</v>
      </c>
      <c r="Q107" s="4438"/>
      <c r="R107" s="4438"/>
      <c r="S107" s="4438"/>
      <c r="T107" s="4438"/>
      <c r="U107" s="4438"/>
      <c r="V107" s="4438"/>
      <c r="W107" s="4438"/>
      <c r="X107" s="4438"/>
      <c r="Y107" s="4438"/>
      <c r="Z107" s="4438"/>
      <c r="AA107" s="4438"/>
      <c r="AB107" s="4438"/>
      <c r="AC107" s="4438"/>
      <c r="AD107" s="4438"/>
      <c r="AE107" s="4438"/>
      <c r="AF107" s="4438"/>
      <c r="AG107" s="4438"/>
      <c r="AH107" s="4438"/>
      <c r="AI107" s="4438"/>
      <c r="AJ107" s="2021"/>
      <c r="AK107" s="7"/>
      <c r="AL107" s="7"/>
      <c r="AM107" s="7"/>
      <c r="AN107" s="7"/>
      <c r="AO107" s="7"/>
      <c r="AP107" s="7"/>
      <c r="AQ107" s="7"/>
      <c r="AR107" s="7"/>
      <c r="AS107" s="7"/>
      <c r="AT107" s="7"/>
    </row>
    <row r="108" spans="2:69" ht="24" hidden="1" customHeight="1">
      <c r="B108" s="10"/>
      <c r="C108" s="4508"/>
      <c r="D108" s="4508"/>
      <c r="E108" s="4508"/>
      <c r="F108" s="4508"/>
      <c r="G108" s="4508"/>
      <c r="H108" s="4508"/>
      <c r="I108" s="4508"/>
      <c r="J108" s="4508"/>
      <c r="K108" s="4508"/>
      <c r="L108" s="4508"/>
      <c r="M108" s="4508"/>
      <c r="N108" s="4508"/>
      <c r="O108" s="324"/>
      <c r="P108" s="4438" t="s">
        <v>508</v>
      </c>
      <c r="Q108" s="4438"/>
      <c r="R108" s="4438"/>
      <c r="S108" s="4438"/>
      <c r="T108" s="4438"/>
      <c r="U108" s="4438"/>
      <c r="V108" s="4438"/>
      <c r="W108" s="4438"/>
      <c r="X108" s="4438"/>
      <c r="Y108" s="4438"/>
      <c r="Z108" s="4438"/>
      <c r="AA108" s="4438"/>
      <c r="AB108" s="4438"/>
      <c r="AC108" s="4438"/>
      <c r="AD108" s="4438"/>
      <c r="AE108" s="4438"/>
      <c r="AF108" s="4438"/>
      <c r="AG108" s="4438"/>
      <c r="AH108" s="4438"/>
      <c r="AI108" s="4438"/>
      <c r="AJ108" s="2021"/>
      <c r="AK108" s="7"/>
      <c r="AL108" s="7"/>
      <c r="AM108" s="7"/>
      <c r="AN108" s="7"/>
      <c r="AO108" s="7"/>
      <c r="AP108" s="7"/>
      <c r="AQ108" s="7"/>
      <c r="AR108" s="7"/>
      <c r="AS108" s="7"/>
      <c r="AT108" s="7"/>
    </row>
    <row r="109" spans="2:69" ht="15" hidden="1" customHeight="1">
      <c r="B109" s="10"/>
      <c r="C109" s="4435" t="s">
        <v>206</v>
      </c>
      <c r="D109" s="4435"/>
      <c r="E109" s="4435"/>
      <c r="F109" s="4435"/>
      <c r="G109" s="4435"/>
      <c r="H109" s="4435"/>
      <c r="I109" s="4435"/>
      <c r="J109" s="4435"/>
      <c r="K109" s="4435"/>
      <c r="L109" s="4435"/>
      <c r="M109" s="4435"/>
      <c r="N109" s="4435"/>
      <c r="O109" s="324"/>
      <c r="P109" s="4436" t="s">
        <v>509</v>
      </c>
      <c r="Q109" s="4436"/>
      <c r="R109" s="4436"/>
      <c r="S109" s="4436"/>
      <c r="T109" s="4436"/>
      <c r="U109" s="4436"/>
      <c r="V109" s="4436"/>
      <c r="W109" s="4436"/>
      <c r="X109" s="4436"/>
      <c r="Y109" s="4436"/>
      <c r="Z109" s="4436"/>
      <c r="AA109" s="4436"/>
      <c r="AB109" s="4436"/>
      <c r="AC109" s="4436"/>
      <c r="AD109" s="4436"/>
      <c r="AE109" s="4436"/>
      <c r="AF109" s="4436"/>
      <c r="AG109" s="4436"/>
      <c r="AH109" s="4436"/>
      <c r="AI109" s="4436"/>
      <c r="AJ109" s="2022"/>
      <c r="AK109" s="7"/>
      <c r="AL109" s="7"/>
      <c r="AM109" s="7"/>
      <c r="AN109" s="7"/>
      <c r="AO109" s="7"/>
      <c r="AP109" s="7"/>
      <c r="AQ109" s="7"/>
      <c r="AR109" s="7"/>
      <c r="AS109" s="7"/>
      <c r="AT109" s="7"/>
    </row>
    <row r="110" spans="2:69" ht="15" hidden="1">
      <c r="B110" s="10"/>
      <c r="C110" s="4435"/>
      <c r="D110" s="4435"/>
      <c r="E110" s="4435"/>
      <c r="F110" s="4435"/>
      <c r="G110" s="4435"/>
      <c r="H110" s="4435"/>
      <c r="I110" s="4435"/>
      <c r="J110" s="4435"/>
      <c r="K110" s="4435"/>
      <c r="L110" s="4435"/>
      <c r="M110" s="4435"/>
      <c r="N110" s="4435"/>
      <c r="O110" s="324"/>
      <c r="P110" s="4436"/>
      <c r="Q110" s="4436"/>
      <c r="R110" s="4436"/>
      <c r="S110" s="4436"/>
      <c r="T110" s="4436"/>
      <c r="U110" s="4436"/>
      <c r="V110" s="4436"/>
      <c r="W110" s="4436"/>
      <c r="X110" s="4436"/>
      <c r="Y110" s="4436"/>
      <c r="Z110" s="4436"/>
      <c r="AA110" s="4436"/>
      <c r="AB110" s="4436"/>
      <c r="AC110" s="4436"/>
      <c r="AD110" s="4436"/>
      <c r="AE110" s="4436"/>
      <c r="AF110" s="4436"/>
      <c r="AG110" s="4436"/>
      <c r="AH110" s="4436"/>
      <c r="AI110" s="4436"/>
      <c r="AJ110" s="2022"/>
      <c r="AK110" s="7"/>
      <c r="AL110" s="7"/>
      <c r="AM110" s="7"/>
      <c r="AN110" s="7"/>
      <c r="AO110" s="7"/>
      <c r="AP110" s="7"/>
      <c r="AQ110" s="7"/>
      <c r="AR110" s="7"/>
      <c r="AS110" s="7"/>
      <c r="AT110" s="7"/>
    </row>
    <row r="111" spans="2:69" ht="15" hidden="1">
      <c r="B111" s="10"/>
      <c r="C111" s="4435"/>
      <c r="D111" s="4435"/>
      <c r="E111" s="4435"/>
      <c r="F111" s="4435"/>
      <c r="G111" s="4435"/>
      <c r="H111" s="4435"/>
      <c r="I111" s="4435"/>
      <c r="J111" s="4435"/>
      <c r="K111" s="4435"/>
      <c r="L111" s="4435"/>
      <c r="M111" s="4435"/>
      <c r="N111" s="4435"/>
      <c r="O111" s="324"/>
      <c r="P111" s="4436"/>
      <c r="Q111" s="4436"/>
      <c r="R111" s="4436"/>
      <c r="S111" s="4436"/>
      <c r="T111" s="4436"/>
      <c r="U111" s="4436"/>
      <c r="V111" s="4436"/>
      <c r="W111" s="4436"/>
      <c r="X111" s="4436"/>
      <c r="Y111" s="4436"/>
      <c r="Z111" s="4436"/>
      <c r="AA111" s="4436"/>
      <c r="AB111" s="4436"/>
      <c r="AC111" s="4436"/>
      <c r="AD111" s="4436"/>
      <c r="AE111" s="4436"/>
      <c r="AF111" s="4436"/>
      <c r="AG111" s="4436"/>
      <c r="AH111" s="4436"/>
      <c r="AI111" s="4436"/>
      <c r="AJ111" s="2022"/>
      <c r="AK111" s="7"/>
      <c r="AL111" s="7"/>
      <c r="AM111" s="7"/>
      <c r="AN111" s="7"/>
      <c r="AO111" s="7"/>
      <c r="AP111" s="7"/>
      <c r="AQ111" s="7"/>
      <c r="AR111" s="7"/>
      <c r="AS111" s="7"/>
      <c r="AT111" s="7"/>
    </row>
    <row r="112" spans="2:69" ht="15" hidden="1" customHeight="1">
      <c r="B112" s="10"/>
      <c r="C112" s="4435" t="s">
        <v>207</v>
      </c>
      <c r="D112" s="4435"/>
      <c r="E112" s="4435"/>
      <c r="F112" s="4435"/>
      <c r="G112" s="4435"/>
      <c r="H112" s="4435"/>
      <c r="I112" s="4435"/>
      <c r="J112" s="4435"/>
      <c r="K112" s="4435"/>
      <c r="L112" s="4435"/>
      <c r="M112" s="4435"/>
      <c r="N112" s="4435"/>
      <c r="O112" s="324"/>
      <c r="P112" s="4438" t="s">
        <v>208</v>
      </c>
      <c r="Q112" s="4438"/>
      <c r="R112" s="4438"/>
      <c r="S112" s="4438"/>
      <c r="T112" s="4438"/>
      <c r="U112" s="4438"/>
      <c r="V112" s="4438"/>
      <c r="W112" s="4438"/>
      <c r="X112" s="4438"/>
      <c r="Y112" s="4438"/>
      <c r="Z112" s="4438"/>
      <c r="AA112" s="4438"/>
      <c r="AB112" s="4438"/>
      <c r="AC112" s="4438"/>
      <c r="AD112" s="4438"/>
      <c r="AE112" s="4438"/>
      <c r="AF112" s="4438"/>
      <c r="AG112" s="4438"/>
      <c r="AH112" s="4438"/>
      <c r="AI112" s="4438"/>
      <c r="AJ112" s="2021"/>
      <c r="AK112" s="7"/>
      <c r="AL112" s="7"/>
      <c r="AM112" s="7"/>
      <c r="AN112" s="7"/>
      <c r="AO112" s="7"/>
      <c r="AP112" s="7"/>
      <c r="AQ112" s="7"/>
      <c r="AR112" s="7"/>
      <c r="AS112" s="7"/>
      <c r="AT112" s="7"/>
    </row>
    <row r="113" spans="2:46" ht="15" hidden="1">
      <c r="B113" s="10"/>
      <c r="C113" s="4435"/>
      <c r="D113" s="4435"/>
      <c r="E113" s="4435"/>
      <c r="F113" s="4435"/>
      <c r="G113" s="4435"/>
      <c r="H113" s="4435"/>
      <c r="I113" s="4435"/>
      <c r="J113" s="4435"/>
      <c r="K113" s="4435"/>
      <c r="L113" s="4435"/>
      <c r="M113" s="4435"/>
      <c r="N113" s="4435"/>
      <c r="O113" s="324"/>
      <c r="P113" s="4438" t="s">
        <v>209</v>
      </c>
      <c r="Q113" s="4438"/>
      <c r="R113" s="4438"/>
      <c r="S113" s="4438"/>
      <c r="T113" s="4438"/>
      <c r="U113" s="4438"/>
      <c r="V113" s="4438"/>
      <c r="W113" s="4438"/>
      <c r="X113" s="4438"/>
      <c r="Y113" s="4438"/>
      <c r="Z113" s="4438"/>
      <c r="AA113" s="4438"/>
      <c r="AB113" s="4438"/>
      <c r="AC113" s="4438"/>
      <c r="AD113" s="4438"/>
      <c r="AE113" s="4438"/>
      <c r="AF113" s="4438"/>
      <c r="AG113" s="4438"/>
      <c r="AH113" s="4438"/>
      <c r="AI113" s="4438"/>
      <c r="AJ113" s="2021"/>
      <c r="AK113" s="7"/>
      <c r="AL113" s="7"/>
      <c r="AM113" s="7"/>
      <c r="AN113" s="7"/>
      <c r="AO113" s="7"/>
      <c r="AP113" s="7"/>
      <c r="AQ113" s="7"/>
      <c r="AR113" s="7"/>
      <c r="AS113" s="7"/>
      <c r="AT113" s="7"/>
    </row>
    <row r="114" spans="2:46" ht="15" hidden="1">
      <c r="B114" s="10"/>
      <c r="C114" s="4435"/>
      <c r="D114" s="4435"/>
      <c r="E114" s="4435"/>
      <c r="F114" s="4435"/>
      <c r="G114" s="4435"/>
      <c r="H114" s="4435"/>
      <c r="I114" s="4435"/>
      <c r="J114" s="4435"/>
      <c r="K114" s="4435"/>
      <c r="L114" s="4435"/>
      <c r="M114" s="4435"/>
      <c r="N114" s="4435"/>
      <c r="O114" s="324"/>
      <c r="P114" s="4436" t="s">
        <v>210</v>
      </c>
      <c r="Q114" s="4436"/>
      <c r="R114" s="4436"/>
      <c r="S114" s="4436"/>
      <c r="T114" s="4436"/>
      <c r="U114" s="4436"/>
      <c r="V114" s="4436"/>
      <c r="W114" s="4436"/>
      <c r="X114" s="4436"/>
      <c r="Y114" s="4436"/>
      <c r="Z114" s="4436"/>
      <c r="AA114" s="4436"/>
      <c r="AB114" s="4436"/>
      <c r="AC114" s="4436"/>
      <c r="AD114" s="4436"/>
      <c r="AE114" s="4436"/>
      <c r="AF114" s="4436"/>
      <c r="AG114" s="4436"/>
      <c r="AH114" s="4436"/>
      <c r="AI114" s="4436"/>
      <c r="AJ114" s="2022"/>
      <c r="AK114" s="7"/>
      <c r="AL114" s="7"/>
      <c r="AM114" s="7"/>
      <c r="AN114" s="7"/>
      <c r="AO114" s="7"/>
      <c r="AP114" s="7"/>
      <c r="AQ114" s="7"/>
      <c r="AR114" s="7"/>
      <c r="AS114" s="7"/>
      <c r="AT114" s="7"/>
    </row>
    <row r="115" spans="2:46" ht="15" hidden="1">
      <c r="B115" s="10"/>
      <c r="C115" s="4435"/>
      <c r="D115" s="4435"/>
      <c r="E115" s="4435"/>
      <c r="F115" s="4435"/>
      <c r="G115" s="4435"/>
      <c r="H115" s="4435"/>
      <c r="I115" s="4435"/>
      <c r="J115" s="4435"/>
      <c r="K115" s="4435"/>
      <c r="L115" s="4435"/>
      <c r="M115" s="4435"/>
      <c r="N115" s="4435"/>
      <c r="O115" s="324"/>
      <c r="P115" s="4436"/>
      <c r="Q115" s="4436"/>
      <c r="R115" s="4436"/>
      <c r="S115" s="4436"/>
      <c r="T115" s="4436"/>
      <c r="U115" s="4436"/>
      <c r="V115" s="4436"/>
      <c r="W115" s="4436"/>
      <c r="X115" s="4436"/>
      <c r="Y115" s="4436"/>
      <c r="Z115" s="4436"/>
      <c r="AA115" s="4436"/>
      <c r="AB115" s="4436"/>
      <c r="AC115" s="4436"/>
      <c r="AD115" s="4436"/>
      <c r="AE115" s="4436"/>
      <c r="AF115" s="4436"/>
      <c r="AG115" s="4436"/>
      <c r="AH115" s="4436"/>
      <c r="AI115" s="4436"/>
      <c r="AJ115" s="2022"/>
      <c r="AK115" s="7"/>
      <c r="AL115" s="7"/>
      <c r="AM115" s="7"/>
      <c r="AN115" s="7"/>
      <c r="AO115" s="7"/>
      <c r="AP115" s="7"/>
      <c r="AQ115" s="7"/>
      <c r="AR115" s="7"/>
      <c r="AS115" s="7"/>
      <c r="AT115" s="7"/>
    </row>
    <row r="116" spans="2:46" ht="15" hidden="1">
      <c r="B116" s="10"/>
      <c r="C116" s="4435"/>
      <c r="D116" s="4435"/>
      <c r="E116" s="4435"/>
      <c r="F116" s="4435"/>
      <c r="G116" s="4435"/>
      <c r="H116" s="4435"/>
      <c r="I116" s="4435"/>
      <c r="J116" s="4435"/>
      <c r="K116" s="4435"/>
      <c r="L116" s="4435"/>
      <c r="M116" s="4435"/>
      <c r="N116" s="4435"/>
      <c r="O116" s="324"/>
      <c r="P116" s="4436"/>
      <c r="Q116" s="4436"/>
      <c r="R116" s="4436"/>
      <c r="S116" s="4436"/>
      <c r="T116" s="4436"/>
      <c r="U116" s="4436"/>
      <c r="V116" s="4436"/>
      <c r="W116" s="4436"/>
      <c r="X116" s="4436"/>
      <c r="Y116" s="4436"/>
      <c r="Z116" s="4436"/>
      <c r="AA116" s="4436"/>
      <c r="AB116" s="4436"/>
      <c r="AC116" s="4436"/>
      <c r="AD116" s="4436"/>
      <c r="AE116" s="4436"/>
      <c r="AF116" s="4436"/>
      <c r="AG116" s="4436"/>
      <c r="AH116" s="4436"/>
      <c r="AI116" s="4436"/>
      <c r="AJ116" s="2022"/>
      <c r="AK116" s="7"/>
      <c r="AL116" s="7"/>
      <c r="AM116" s="7"/>
      <c r="AN116" s="7"/>
      <c r="AO116" s="7"/>
      <c r="AP116" s="7"/>
      <c r="AQ116" s="7"/>
      <c r="AR116" s="7"/>
      <c r="AS116" s="7"/>
      <c r="AT116" s="7"/>
    </row>
    <row r="117" spans="2:46" ht="15" hidden="1" customHeight="1">
      <c r="B117" s="10"/>
      <c r="C117" s="320"/>
      <c r="D117" s="320"/>
      <c r="E117" s="325"/>
      <c r="F117" s="325"/>
      <c r="G117" s="325"/>
      <c r="H117" s="325"/>
      <c r="I117" s="325"/>
      <c r="J117" s="325"/>
      <c r="K117" s="325"/>
      <c r="L117" s="325"/>
      <c r="M117" s="325"/>
      <c r="N117" s="326"/>
      <c r="O117" s="320"/>
      <c r="P117" s="4436" t="s">
        <v>211</v>
      </c>
      <c r="Q117" s="4436"/>
      <c r="R117" s="4436"/>
      <c r="S117" s="4436"/>
      <c r="T117" s="4436"/>
      <c r="U117" s="4436"/>
      <c r="V117" s="4436"/>
      <c r="W117" s="4436"/>
      <c r="X117" s="4436"/>
      <c r="Y117" s="4436"/>
      <c r="Z117" s="4436"/>
      <c r="AA117" s="4436"/>
      <c r="AB117" s="4436"/>
      <c r="AC117" s="4436"/>
      <c r="AD117" s="4436"/>
      <c r="AE117" s="4436"/>
      <c r="AF117" s="4436"/>
      <c r="AG117" s="4436"/>
      <c r="AH117" s="4436"/>
      <c r="AI117" s="4436"/>
      <c r="AJ117" s="2022"/>
      <c r="AK117" s="7"/>
      <c r="AL117" s="7"/>
      <c r="AM117" s="7"/>
      <c r="AN117" s="7"/>
      <c r="AO117" s="7"/>
      <c r="AP117" s="7"/>
      <c r="AQ117" s="7"/>
      <c r="AR117" s="7"/>
      <c r="AS117" s="7"/>
      <c r="AT117" s="7"/>
    </row>
    <row r="118" spans="2:46" ht="24" hidden="1" customHeight="1">
      <c r="B118" s="10"/>
      <c r="C118" s="320"/>
      <c r="D118" s="320"/>
      <c r="E118" s="325"/>
      <c r="F118" s="325"/>
      <c r="G118" s="325"/>
      <c r="H118" s="325"/>
      <c r="I118" s="325"/>
      <c r="J118" s="325"/>
      <c r="K118" s="325"/>
      <c r="L118" s="325"/>
      <c r="M118" s="325"/>
      <c r="N118" s="326"/>
      <c r="O118" s="320"/>
      <c r="P118" s="4436"/>
      <c r="Q118" s="4436"/>
      <c r="R118" s="4436"/>
      <c r="S118" s="4436"/>
      <c r="T118" s="4436"/>
      <c r="U118" s="4436"/>
      <c r="V118" s="4436"/>
      <c r="W118" s="4436"/>
      <c r="X118" s="4436"/>
      <c r="Y118" s="4436"/>
      <c r="Z118" s="4436"/>
      <c r="AA118" s="4436"/>
      <c r="AB118" s="4436"/>
      <c r="AC118" s="4436"/>
      <c r="AD118" s="4436"/>
      <c r="AE118" s="4436"/>
      <c r="AF118" s="4436"/>
      <c r="AG118" s="4436"/>
      <c r="AH118" s="4436"/>
      <c r="AI118" s="4436"/>
      <c r="AJ118" s="2022"/>
      <c r="AK118" s="7"/>
      <c r="AL118" s="7"/>
      <c r="AM118" s="7"/>
      <c r="AN118" s="7"/>
      <c r="AO118" s="7"/>
      <c r="AP118" s="7"/>
      <c r="AQ118" s="7"/>
      <c r="AR118" s="7"/>
      <c r="AS118" s="7"/>
      <c r="AT118" s="7"/>
    </row>
    <row r="119" spans="2:46" ht="24" hidden="1" customHeight="1">
      <c r="B119" s="10"/>
      <c r="C119" s="320"/>
      <c r="D119" s="320"/>
      <c r="E119" s="322"/>
      <c r="F119" s="322"/>
      <c r="G119" s="322"/>
      <c r="H119" s="322"/>
      <c r="I119" s="322"/>
      <c r="J119" s="322"/>
      <c r="K119" s="322"/>
      <c r="L119" s="322"/>
      <c r="M119" s="322"/>
      <c r="N119" s="327"/>
      <c r="O119" s="320"/>
      <c r="P119" s="328"/>
      <c r="Q119" s="328"/>
      <c r="R119" s="328"/>
      <c r="S119" s="328"/>
      <c r="T119" s="328"/>
      <c r="U119" s="328"/>
      <c r="V119" s="328"/>
      <c r="W119" s="328"/>
      <c r="X119" s="328"/>
      <c r="Y119" s="328"/>
      <c r="Z119" s="328"/>
      <c r="AA119" s="328"/>
      <c r="AB119" s="328"/>
      <c r="AC119" s="328"/>
      <c r="AD119" s="328"/>
      <c r="AE119" s="2035"/>
      <c r="AF119" s="2035"/>
      <c r="AG119" s="2035"/>
      <c r="AH119" s="2035"/>
      <c r="AI119" s="2023"/>
      <c r="AJ119" s="2023"/>
      <c r="AK119" s="7"/>
      <c r="AL119" s="7"/>
      <c r="AM119" s="7"/>
      <c r="AN119" s="7"/>
      <c r="AO119" s="7"/>
      <c r="AP119" s="7"/>
      <c r="AQ119" s="7"/>
      <c r="AR119" s="7"/>
      <c r="AS119" s="7"/>
      <c r="AT119" s="7"/>
    </row>
    <row r="120" spans="2:46" ht="15" hidden="1" customHeight="1">
      <c r="B120" s="10"/>
      <c r="C120" s="4502" t="s">
        <v>212</v>
      </c>
      <c r="D120" s="4502"/>
      <c r="E120" s="4502"/>
      <c r="F120" s="4502"/>
      <c r="G120" s="4502"/>
      <c r="H120" s="4502"/>
      <c r="I120" s="4502"/>
      <c r="J120" s="322"/>
      <c r="K120" s="322"/>
      <c r="L120" s="322"/>
      <c r="M120" s="322"/>
      <c r="N120" s="322"/>
      <c r="O120" s="322"/>
      <c r="P120" s="328"/>
      <c r="Q120" s="328"/>
      <c r="R120" s="328"/>
      <c r="S120" s="328"/>
      <c r="T120" s="328"/>
      <c r="U120" s="328"/>
      <c r="V120" s="328"/>
      <c r="W120" s="328"/>
      <c r="X120" s="328"/>
      <c r="Y120" s="328"/>
      <c r="Z120" s="328"/>
      <c r="AA120" s="328"/>
      <c r="AB120" s="328"/>
      <c r="AC120" s="328"/>
      <c r="AD120" s="328"/>
      <c r="AE120" s="2035"/>
      <c r="AF120" s="2035"/>
      <c r="AG120" s="2035"/>
      <c r="AH120" s="2035"/>
      <c r="AI120" s="2023"/>
      <c r="AJ120" s="2023"/>
      <c r="AK120" s="7"/>
      <c r="AL120" s="7"/>
      <c r="AM120" s="7"/>
      <c r="AN120" s="7"/>
      <c r="AO120" s="7"/>
      <c r="AP120" s="7"/>
      <c r="AQ120" s="7"/>
      <c r="AR120" s="7"/>
      <c r="AS120" s="7"/>
      <c r="AT120" s="7"/>
    </row>
    <row r="121" spans="2:46" ht="15.75" hidden="1" customHeight="1">
      <c r="B121" s="10"/>
      <c r="C121" s="4503" t="s">
        <v>213</v>
      </c>
      <c r="D121" s="4503"/>
      <c r="E121" s="4503"/>
      <c r="F121" s="4503"/>
      <c r="G121" s="4503"/>
      <c r="H121" s="4503"/>
      <c r="I121" s="4503"/>
      <c r="J121" s="4503"/>
      <c r="K121" s="4503"/>
      <c r="L121" s="4503"/>
      <c r="M121" s="4503"/>
      <c r="N121" s="4503"/>
      <c r="O121" s="4503"/>
      <c r="P121" s="4503"/>
      <c r="Q121" s="4503"/>
      <c r="R121" s="4503"/>
      <c r="S121" s="4503"/>
      <c r="T121" s="4503"/>
      <c r="U121" s="4503"/>
      <c r="V121" s="4503"/>
      <c r="W121" s="4503"/>
      <c r="X121" s="4503"/>
      <c r="Y121" s="4503"/>
      <c r="Z121" s="4503"/>
      <c r="AA121" s="4503"/>
      <c r="AB121" s="4503"/>
      <c r="AC121" s="4503"/>
      <c r="AD121" s="964"/>
      <c r="AE121" s="2036"/>
      <c r="AF121" s="2036"/>
      <c r="AG121" s="2036"/>
      <c r="AH121" s="2036"/>
      <c r="AI121" s="2024"/>
      <c r="AJ121" s="2024"/>
      <c r="AK121" s="7"/>
      <c r="AL121" s="7"/>
      <c r="AM121" s="7"/>
      <c r="AN121" s="7"/>
      <c r="AO121" s="7"/>
      <c r="AP121" s="7"/>
      <c r="AQ121" s="7"/>
      <c r="AR121" s="7"/>
      <c r="AS121" s="7"/>
      <c r="AT121" s="7"/>
    </row>
    <row r="122" spans="2:46" ht="15" hidden="1" customHeight="1">
      <c r="B122" s="10"/>
      <c r="C122" s="343" t="s">
        <v>214</v>
      </c>
      <c r="D122" s="343"/>
      <c r="E122" s="343"/>
      <c r="F122" s="343"/>
      <c r="G122" s="343"/>
      <c r="H122" s="343"/>
      <c r="I122" s="343"/>
      <c r="J122" s="343"/>
      <c r="K122" s="343"/>
      <c r="L122" s="343"/>
      <c r="M122" s="343"/>
      <c r="N122" s="343"/>
      <c r="O122" s="343"/>
      <c r="P122" s="343"/>
      <c r="Q122" s="322"/>
      <c r="R122" s="322"/>
      <c r="S122" s="322"/>
      <c r="T122" s="322"/>
      <c r="U122" s="322"/>
      <c r="V122" s="322"/>
      <c r="W122" s="322"/>
      <c r="X122" s="322"/>
      <c r="Y122" s="322"/>
      <c r="Z122" s="322"/>
      <c r="AA122" s="322"/>
      <c r="AB122" s="322"/>
      <c r="AC122" s="322"/>
      <c r="AD122" s="322"/>
      <c r="AE122" s="2034"/>
      <c r="AF122" s="2034"/>
      <c r="AG122" s="2034"/>
      <c r="AH122" s="2034"/>
      <c r="AI122" s="2037"/>
      <c r="AJ122" s="2020"/>
      <c r="AK122" s="7"/>
      <c r="AL122" s="7"/>
      <c r="AM122" s="7"/>
      <c r="AN122" s="7"/>
      <c r="AO122" s="7"/>
      <c r="AP122" s="7"/>
      <c r="AQ122" s="7"/>
      <c r="AR122" s="7"/>
      <c r="AS122" s="7"/>
      <c r="AT122" s="7"/>
    </row>
    <row r="123" spans="2:46" ht="15" hidden="1" customHeight="1">
      <c r="B123" s="10"/>
      <c r="C123" s="4503" t="s">
        <v>215</v>
      </c>
      <c r="D123" s="4503"/>
      <c r="E123" s="4503"/>
      <c r="F123" s="4503"/>
      <c r="G123" s="4503"/>
      <c r="H123" s="4503"/>
      <c r="I123" s="4503"/>
      <c r="J123" s="4503"/>
      <c r="K123" s="4503"/>
      <c r="L123" s="4503"/>
      <c r="M123" s="4503"/>
      <c r="N123" s="4503"/>
      <c r="O123" s="4503"/>
      <c r="P123" s="4503"/>
      <c r="Q123" s="4503"/>
      <c r="R123" s="4503"/>
      <c r="S123" s="4503"/>
      <c r="T123" s="4503"/>
      <c r="U123" s="4503"/>
      <c r="V123" s="4503"/>
      <c r="W123" s="4503"/>
      <c r="X123" s="4503"/>
      <c r="Y123" s="4503"/>
      <c r="Z123" s="4503"/>
      <c r="AA123" s="4503"/>
      <c r="AB123" s="4503"/>
      <c r="AC123" s="4503"/>
      <c r="AD123" s="964"/>
      <c r="AE123" s="2036"/>
      <c r="AF123" s="2036"/>
      <c r="AG123" s="2036"/>
      <c r="AH123" s="2036"/>
      <c r="AI123" s="2037"/>
      <c r="AJ123" s="2020"/>
      <c r="AK123" s="7"/>
      <c r="AL123" s="7"/>
      <c r="AM123" s="7"/>
      <c r="AN123" s="7"/>
      <c r="AO123" s="7"/>
      <c r="AP123" s="7"/>
      <c r="AQ123" s="7"/>
      <c r="AR123" s="7"/>
      <c r="AS123" s="7"/>
      <c r="AT123" s="7"/>
    </row>
    <row r="124" spans="2:46" ht="15" hidden="1" customHeight="1">
      <c r="B124" s="10"/>
      <c r="C124" s="4502" t="s">
        <v>216</v>
      </c>
      <c r="D124" s="4502"/>
      <c r="E124" s="4502"/>
      <c r="F124" s="4502"/>
      <c r="G124" s="4502"/>
      <c r="H124" s="4502"/>
      <c r="I124" s="4502"/>
      <c r="J124" s="4502"/>
      <c r="K124" s="4502"/>
      <c r="L124" s="4502"/>
      <c r="M124" s="4502"/>
      <c r="N124" s="4502"/>
      <c r="O124" s="4502"/>
      <c r="P124" s="322"/>
      <c r="Q124" s="322"/>
      <c r="R124" s="322"/>
      <c r="S124" s="322"/>
      <c r="T124" s="322"/>
      <c r="U124" s="322"/>
      <c r="V124" s="322"/>
      <c r="W124" s="322"/>
      <c r="X124" s="322"/>
      <c r="Y124" s="322"/>
      <c r="Z124" s="322"/>
      <c r="AA124" s="322"/>
      <c r="AB124" s="322"/>
      <c r="AC124" s="322"/>
      <c r="AD124" s="322"/>
      <c r="AE124" s="2034"/>
      <c r="AF124" s="2034"/>
      <c r="AG124" s="2034"/>
      <c r="AH124" s="2034"/>
      <c r="AI124" s="2037"/>
      <c r="AJ124" s="2020"/>
      <c r="AK124" s="7"/>
      <c r="AL124" s="7"/>
      <c r="AM124" s="7"/>
      <c r="AN124" s="7"/>
      <c r="AO124" s="7"/>
      <c r="AP124" s="7"/>
      <c r="AQ124" s="7"/>
      <c r="AR124" s="7"/>
      <c r="AS124" s="7"/>
      <c r="AT124" s="7"/>
    </row>
    <row r="125" spans="2:46" ht="15" hidden="1" customHeight="1">
      <c r="B125" s="10"/>
      <c r="C125" s="4503" t="s">
        <v>217</v>
      </c>
      <c r="D125" s="4503"/>
      <c r="E125" s="4503"/>
      <c r="F125" s="4503"/>
      <c r="G125" s="4503"/>
      <c r="H125" s="4503"/>
      <c r="I125" s="4503"/>
      <c r="J125" s="4503"/>
      <c r="K125" s="4503"/>
      <c r="L125" s="4503"/>
      <c r="M125" s="4503"/>
      <c r="N125" s="4503"/>
      <c r="O125" s="4503"/>
      <c r="P125" s="4503"/>
      <c r="Q125" s="4503"/>
      <c r="R125" s="4503"/>
      <c r="S125" s="4503"/>
      <c r="T125" s="4503"/>
      <c r="U125" s="4503"/>
      <c r="V125" s="4503"/>
      <c r="W125" s="4503"/>
      <c r="X125" s="4503"/>
      <c r="Y125" s="4503"/>
      <c r="Z125" s="4503"/>
      <c r="AA125" s="4503"/>
      <c r="AB125" s="4503"/>
      <c r="AC125" s="4503"/>
      <c r="AD125" s="964"/>
      <c r="AE125" s="2036"/>
      <c r="AF125" s="2036"/>
      <c r="AG125" s="2036"/>
      <c r="AH125" s="2036"/>
      <c r="AI125" s="2037"/>
      <c r="AJ125" s="2020"/>
      <c r="AK125" s="7"/>
      <c r="AL125" s="7"/>
      <c r="AM125" s="7"/>
      <c r="AN125" s="7"/>
      <c r="AO125" s="7"/>
      <c r="AP125" s="7"/>
      <c r="AQ125" s="7"/>
      <c r="AR125" s="7"/>
      <c r="AS125" s="7"/>
      <c r="AT125" s="7"/>
    </row>
    <row r="126" spans="2:46" ht="15" hidden="1" customHeight="1">
      <c r="B126" s="10"/>
      <c r="C126" s="332" t="s">
        <v>218</v>
      </c>
      <c r="D126" s="332"/>
      <c r="E126" s="332"/>
      <c r="F126" s="332"/>
      <c r="G126" s="332"/>
      <c r="H126" s="332"/>
      <c r="I126" s="332"/>
      <c r="J126" s="332"/>
      <c r="K126" s="332"/>
      <c r="L126" s="332"/>
      <c r="M126" s="332"/>
      <c r="N126" s="332"/>
      <c r="O126" s="332"/>
      <c r="P126" s="332"/>
      <c r="Q126" s="322"/>
      <c r="R126" s="322"/>
      <c r="S126" s="322"/>
      <c r="T126" s="322"/>
      <c r="U126" s="322"/>
      <c r="V126" s="322"/>
      <c r="W126" s="322"/>
      <c r="X126" s="322"/>
      <c r="Y126" s="322"/>
      <c r="Z126" s="322"/>
      <c r="AA126" s="322"/>
      <c r="AB126" s="322"/>
      <c r="AC126" s="322"/>
      <c r="AD126" s="322"/>
      <c r="AE126" s="2034"/>
      <c r="AF126" s="2034"/>
      <c r="AG126" s="2034"/>
      <c r="AH126" s="2034"/>
      <c r="AI126" s="2037"/>
      <c r="AJ126" s="2020"/>
      <c r="AK126" s="7"/>
      <c r="AL126" s="7"/>
      <c r="AM126" s="7"/>
      <c r="AN126" s="7"/>
      <c r="AO126" s="7"/>
      <c r="AP126" s="7"/>
      <c r="AQ126" s="7"/>
      <c r="AR126" s="7"/>
      <c r="AS126" s="7"/>
      <c r="AT126" s="7"/>
    </row>
    <row r="127" spans="2:46" ht="15" hidden="1" customHeight="1">
      <c r="B127" s="10"/>
      <c r="C127" s="4503" t="s">
        <v>219</v>
      </c>
      <c r="D127" s="4503"/>
      <c r="E127" s="4503"/>
      <c r="F127" s="4503"/>
      <c r="G127" s="4503"/>
      <c r="H127" s="4503"/>
      <c r="I127" s="4503"/>
      <c r="J127" s="4503"/>
      <c r="K127" s="4503"/>
      <c r="L127" s="4503"/>
      <c r="M127" s="4503"/>
      <c r="N127" s="4503"/>
      <c r="O127" s="4503"/>
      <c r="P127" s="4503"/>
      <c r="Q127" s="4503"/>
      <c r="R127" s="4503"/>
      <c r="S127" s="4503"/>
      <c r="T127" s="4503"/>
      <c r="U127" s="4503"/>
      <c r="V127" s="4503"/>
      <c r="W127" s="4503"/>
      <c r="X127" s="4503"/>
      <c r="Y127" s="4503"/>
      <c r="Z127" s="4503"/>
      <c r="AA127" s="4503"/>
      <c r="AB127" s="4503"/>
      <c r="AC127" s="4503"/>
      <c r="AD127" s="964"/>
      <c r="AE127" s="2036"/>
      <c r="AF127" s="2036"/>
      <c r="AG127" s="2036"/>
      <c r="AH127" s="2036"/>
      <c r="AI127" s="2037"/>
      <c r="AJ127" s="2020"/>
      <c r="AK127" s="7"/>
      <c r="AL127" s="7"/>
      <c r="AM127" s="7"/>
      <c r="AN127" s="7"/>
      <c r="AO127" s="7"/>
      <c r="AP127" s="7"/>
      <c r="AQ127" s="7"/>
      <c r="AR127" s="7"/>
      <c r="AS127" s="7"/>
      <c r="AT127" s="7"/>
    </row>
    <row r="128" spans="2:46" ht="15" hidden="1" customHeight="1">
      <c r="B128" s="10"/>
      <c r="C128" s="4425" t="s">
        <v>220</v>
      </c>
      <c r="D128" s="4425"/>
      <c r="E128" s="4425"/>
      <c r="F128" s="4425"/>
      <c r="G128" s="4425"/>
      <c r="H128" s="4425"/>
      <c r="I128" s="4425"/>
      <c r="J128" s="4425"/>
      <c r="K128" s="4425"/>
      <c r="L128" s="4425"/>
      <c r="M128" s="4425"/>
      <c r="N128" s="4425"/>
      <c r="O128" s="4425"/>
      <c r="P128" s="322"/>
      <c r="Q128" s="322"/>
      <c r="R128" s="322"/>
      <c r="S128" s="322"/>
      <c r="T128" s="322"/>
      <c r="U128" s="322"/>
      <c r="V128" s="322"/>
      <c r="W128" s="322"/>
      <c r="X128" s="322"/>
      <c r="Y128" s="322"/>
      <c r="Z128" s="322"/>
      <c r="AA128" s="322"/>
      <c r="AB128" s="322"/>
      <c r="AC128" s="322"/>
      <c r="AD128" s="322"/>
      <c r="AE128" s="2034"/>
      <c r="AF128" s="2034"/>
      <c r="AG128" s="2034"/>
      <c r="AH128" s="2034"/>
      <c r="AI128" s="2037"/>
      <c r="AJ128" s="2020"/>
      <c r="AK128" s="7"/>
      <c r="AL128" s="7"/>
      <c r="AM128" s="7"/>
      <c r="AN128" s="7"/>
      <c r="AO128" s="7"/>
      <c r="AP128" s="7"/>
      <c r="AQ128" s="7"/>
      <c r="AR128" s="7"/>
      <c r="AS128" s="7"/>
      <c r="AT128" s="7"/>
    </row>
    <row r="129" spans="2:46" ht="15" hidden="1" customHeight="1">
      <c r="B129" s="10"/>
      <c r="C129" s="4425" t="s">
        <v>221</v>
      </c>
      <c r="D129" s="4425"/>
      <c r="E129" s="4425"/>
      <c r="F129" s="4425"/>
      <c r="G129" s="4425"/>
      <c r="H129" s="4425"/>
      <c r="I129" s="4425"/>
      <c r="J129" s="4425"/>
      <c r="K129" s="4425"/>
      <c r="L129" s="4425"/>
      <c r="M129" s="4425"/>
      <c r="N129" s="4425"/>
      <c r="O129" s="4425"/>
      <c r="P129" s="4425"/>
      <c r="Q129" s="4425"/>
      <c r="R129" s="4425"/>
      <c r="S129" s="4425"/>
      <c r="T129" s="322"/>
      <c r="U129" s="322"/>
      <c r="V129" s="322"/>
      <c r="W129" s="322"/>
      <c r="X129" s="322"/>
      <c r="Y129" s="322"/>
      <c r="Z129" s="322"/>
      <c r="AA129" s="322"/>
      <c r="AB129" s="322"/>
      <c r="AC129" s="322"/>
      <c r="AD129" s="322"/>
      <c r="AE129" s="2034"/>
      <c r="AF129" s="2034"/>
      <c r="AG129" s="2034"/>
      <c r="AH129" s="2034"/>
      <c r="AI129" s="2037"/>
      <c r="AJ129" s="2020"/>
      <c r="AK129" s="7"/>
      <c r="AL129" s="7"/>
      <c r="AM129" s="7"/>
      <c r="AN129" s="7"/>
      <c r="AO129" s="7"/>
      <c r="AP129" s="7"/>
      <c r="AQ129" s="7"/>
      <c r="AR129" s="7"/>
      <c r="AS129" s="7"/>
      <c r="AT129" s="7"/>
    </row>
    <row r="130" spans="2:46" ht="15" hidden="1" customHeight="1">
      <c r="B130" s="10"/>
      <c r="C130" s="4425" t="s">
        <v>222</v>
      </c>
      <c r="D130" s="4425"/>
      <c r="E130" s="4425"/>
      <c r="F130" s="4425"/>
      <c r="G130" s="4425"/>
      <c r="H130" s="4425"/>
      <c r="I130" s="4425"/>
      <c r="J130" s="4425"/>
      <c r="K130" s="4425"/>
      <c r="L130" s="4425"/>
      <c r="M130" s="4425"/>
      <c r="N130" s="4425"/>
      <c r="O130" s="4425"/>
      <c r="P130" s="4425"/>
      <c r="Q130" s="4425"/>
      <c r="R130" s="4425"/>
      <c r="S130" s="322"/>
      <c r="T130" s="322"/>
      <c r="U130" s="322"/>
      <c r="V130" s="322"/>
      <c r="W130" s="322"/>
      <c r="X130" s="322"/>
      <c r="Y130" s="322"/>
      <c r="Z130" s="322"/>
      <c r="AA130" s="322"/>
      <c r="AB130" s="322"/>
      <c r="AC130" s="322"/>
      <c r="AD130" s="322"/>
      <c r="AE130" s="2034"/>
      <c r="AF130" s="2034"/>
      <c r="AG130" s="2034"/>
      <c r="AH130" s="2034"/>
      <c r="AI130" s="2037"/>
      <c r="AJ130" s="2020"/>
      <c r="AK130" s="7"/>
      <c r="AL130" s="7"/>
      <c r="AM130" s="7"/>
      <c r="AN130" s="7"/>
      <c r="AO130" s="7"/>
      <c r="AP130" s="7"/>
      <c r="AQ130" s="7"/>
      <c r="AR130" s="7"/>
      <c r="AS130" s="7"/>
      <c r="AT130" s="7"/>
    </row>
    <row r="131" spans="2:46" ht="15.75" hidden="1" customHeight="1">
      <c r="B131" s="10"/>
      <c r="C131" s="320"/>
      <c r="D131" s="320"/>
      <c r="E131" s="332"/>
      <c r="F131" s="332"/>
      <c r="G131" s="322"/>
      <c r="H131" s="322"/>
      <c r="I131" s="322"/>
      <c r="J131" s="322"/>
      <c r="K131" s="322"/>
      <c r="L131" s="322"/>
      <c r="M131" s="322"/>
      <c r="N131" s="322"/>
      <c r="O131" s="322"/>
      <c r="P131" s="322"/>
      <c r="Q131" s="322"/>
      <c r="R131" s="322"/>
      <c r="S131" s="322"/>
      <c r="T131" s="322"/>
      <c r="U131" s="322"/>
      <c r="V131" s="322"/>
      <c r="W131" s="322"/>
      <c r="X131" s="322"/>
      <c r="Y131" s="322"/>
      <c r="Z131" s="322"/>
      <c r="AA131" s="322"/>
      <c r="AB131" s="322"/>
      <c r="AC131" s="322"/>
      <c r="AD131" s="322"/>
      <c r="AE131" s="2034"/>
      <c r="AF131" s="2034"/>
      <c r="AG131" s="2034"/>
      <c r="AH131" s="2034"/>
      <c r="AI131" s="2037"/>
      <c r="AJ131" s="2020"/>
      <c r="AK131" s="7"/>
      <c r="AL131" s="7"/>
      <c r="AM131" s="7"/>
      <c r="AN131" s="7"/>
      <c r="AO131" s="7"/>
      <c r="AP131" s="7"/>
      <c r="AQ131" s="7"/>
      <c r="AR131" s="7"/>
      <c r="AS131" s="7"/>
      <c r="AT131" s="7"/>
    </row>
    <row r="132" spans="2:46" ht="15" hidden="1" customHeight="1">
      <c r="B132" s="10"/>
      <c r="C132" s="343" t="s">
        <v>223</v>
      </c>
      <c r="D132" s="343"/>
      <c r="E132" s="343"/>
      <c r="F132" s="343"/>
      <c r="G132" s="343"/>
      <c r="H132" s="343"/>
      <c r="I132" s="343"/>
      <c r="J132" s="343"/>
      <c r="K132" s="343"/>
      <c r="L132" s="343"/>
      <c r="M132" s="343"/>
      <c r="N132" s="343"/>
      <c r="O132" s="343"/>
      <c r="P132" s="343"/>
      <c r="Q132" s="343"/>
      <c r="R132" s="343"/>
      <c r="S132" s="343"/>
      <c r="T132" s="343"/>
      <c r="U132" s="322"/>
      <c r="V132" s="322"/>
      <c r="W132" s="322"/>
      <c r="X132" s="322"/>
      <c r="Y132" s="322"/>
      <c r="Z132" s="322"/>
      <c r="AA132" s="322"/>
      <c r="AB132" s="322"/>
      <c r="AC132" s="322"/>
      <c r="AD132" s="322"/>
      <c r="AE132" s="2034"/>
      <c r="AF132" s="2034"/>
      <c r="AG132" s="2034"/>
      <c r="AH132" s="2034"/>
      <c r="AI132" s="2037"/>
      <c r="AJ132" s="2020"/>
      <c r="AK132" s="7"/>
      <c r="AL132" s="7"/>
      <c r="AM132" s="7"/>
      <c r="AN132" s="7"/>
      <c r="AO132" s="7"/>
      <c r="AP132" s="7"/>
      <c r="AQ132" s="7"/>
      <c r="AR132" s="7"/>
      <c r="AS132" s="7"/>
      <c r="AT132" s="7"/>
    </row>
    <row r="133" spans="2:46" ht="15" hidden="1" customHeight="1">
      <c r="B133" s="10"/>
      <c r="C133" s="4498" t="s">
        <v>224</v>
      </c>
      <c r="D133" s="4498"/>
      <c r="E133" s="4498"/>
      <c r="F133" s="4498"/>
      <c r="G133" s="4498"/>
      <c r="H133" s="4498"/>
      <c r="I133" s="4498"/>
      <c r="J133" s="4498"/>
      <c r="K133" s="4498"/>
      <c r="L133" s="4498"/>
      <c r="M133" s="4498"/>
      <c r="N133" s="4498"/>
      <c r="O133" s="4498"/>
      <c r="P133" s="4498"/>
      <c r="Q133" s="4498"/>
      <c r="R133" s="4498"/>
      <c r="S133" s="4498"/>
      <c r="T133" s="4498"/>
      <c r="U133" s="4498"/>
      <c r="V133" s="4498"/>
      <c r="W133" s="4498"/>
      <c r="X133" s="4498"/>
      <c r="Y133" s="4498"/>
      <c r="Z133" s="4498"/>
      <c r="AA133" s="4498"/>
      <c r="AB133" s="4498"/>
      <c r="AC133" s="4498"/>
      <c r="AD133" s="966"/>
      <c r="AE133" s="2038"/>
      <c r="AF133" s="2038"/>
      <c r="AG133" s="2038"/>
      <c r="AH133" s="2038"/>
      <c r="AI133" s="2037"/>
      <c r="AJ133" s="2020"/>
      <c r="AK133" s="7"/>
      <c r="AL133" s="7"/>
      <c r="AM133" s="7"/>
      <c r="AN133" s="7"/>
      <c r="AO133" s="7"/>
      <c r="AP133" s="7"/>
      <c r="AQ133" s="7"/>
      <c r="AR133" s="7"/>
      <c r="AS133" s="7"/>
      <c r="AT133" s="7"/>
    </row>
    <row r="134" spans="2:46" ht="15" hidden="1">
      <c r="B134" s="10"/>
      <c r="C134" s="4498"/>
      <c r="D134" s="4498"/>
      <c r="E134" s="4498"/>
      <c r="F134" s="4498"/>
      <c r="G134" s="4498"/>
      <c r="H134" s="4498"/>
      <c r="I134" s="4498"/>
      <c r="J134" s="4498"/>
      <c r="K134" s="4498"/>
      <c r="L134" s="4498"/>
      <c r="M134" s="4498"/>
      <c r="N134" s="4498"/>
      <c r="O134" s="4498"/>
      <c r="P134" s="4498"/>
      <c r="Q134" s="4498"/>
      <c r="R134" s="4498"/>
      <c r="S134" s="4498"/>
      <c r="T134" s="4498"/>
      <c r="U134" s="4498"/>
      <c r="V134" s="4498"/>
      <c r="W134" s="4498"/>
      <c r="X134" s="4498"/>
      <c r="Y134" s="4498"/>
      <c r="Z134" s="4498"/>
      <c r="AA134" s="4498"/>
      <c r="AB134" s="4498"/>
      <c r="AC134" s="4498"/>
      <c r="AD134" s="966"/>
      <c r="AE134" s="2038"/>
      <c r="AF134" s="2038"/>
      <c r="AG134" s="2038"/>
      <c r="AH134" s="2038"/>
      <c r="AI134" s="2037"/>
      <c r="AJ134" s="2020"/>
      <c r="AK134" s="7"/>
      <c r="AL134" s="7"/>
      <c r="AM134" s="7"/>
      <c r="AN134" s="7"/>
      <c r="AO134" s="7"/>
      <c r="AP134" s="7"/>
      <c r="AQ134" s="7"/>
      <c r="AR134" s="7"/>
      <c r="AS134" s="7"/>
      <c r="AT134" s="7"/>
    </row>
    <row r="135" spans="2:46" ht="15" hidden="1">
      <c r="B135" s="10"/>
      <c r="C135" s="4498"/>
      <c r="D135" s="4498"/>
      <c r="E135" s="4498"/>
      <c r="F135" s="4498"/>
      <c r="G135" s="4498"/>
      <c r="H135" s="4498"/>
      <c r="I135" s="4498"/>
      <c r="J135" s="4498"/>
      <c r="K135" s="4498"/>
      <c r="L135" s="4498"/>
      <c r="M135" s="4498"/>
      <c r="N135" s="4498"/>
      <c r="O135" s="4498"/>
      <c r="P135" s="4498"/>
      <c r="Q135" s="4498"/>
      <c r="R135" s="4498"/>
      <c r="S135" s="4498"/>
      <c r="T135" s="4498"/>
      <c r="U135" s="4498"/>
      <c r="V135" s="4498"/>
      <c r="W135" s="4498"/>
      <c r="X135" s="4498"/>
      <c r="Y135" s="4498"/>
      <c r="Z135" s="4498"/>
      <c r="AA135" s="4498"/>
      <c r="AB135" s="4498"/>
      <c r="AC135" s="4498"/>
      <c r="AD135" s="966"/>
      <c r="AE135" s="2038"/>
      <c r="AF135" s="2038"/>
      <c r="AG135" s="2038"/>
      <c r="AH135" s="2038"/>
      <c r="AI135" s="2039"/>
      <c r="AJ135" s="2020"/>
      <c r="AK135" s="7"/>
      <c r="AL135" s="7"/>
      <c r="AM135" s="7"/>
      <c r="AN135" s="7"/>
      <c r="AO135" s="7"/>
      <c r="AP135" s="7"/>
      <c r="AQ135" s="7"/>
      <c r="AR135" s="7"/>
      <c r="AS135" s="7"/>
      <c r="AT135" s="7"/>
    </row>
    <row r="136" spans="2:46" ht="15" hidden="1">
      <c r="B136" s="10"/>
      <c r="C136" s="4498"/>
      <c r="D136" s="4498"/>
      <c r="E136" s="4498"/>
      <c r="F136" s="4498"/>
      <c r="G136" s="4498"/>
      <c r="H136" s="4498"/>
      <c r="I136" s="4498"/>
      <c r="J136" s="4498"/>
      <c r="K136" s="4498"/>
      <c r="L136" s="4498"/>
      <c r="M136" s="4498"/>
      <c r="N136" s="4498"/>
      <c r="O136" s="4498"/>
      <c r="P136" s="4498"/>
      <c r="Q136" s="4498"/>
      <c r="R136" s="4498"/>
      <c r="S136" s="4498"/>
      <c r="T136" s="4498"/>
      <c r="U136" s="4498"/>
      <c r="V136" s="4498"/>
      <c r="W136" s="4498"/>
      <c r="X136" s="4498"/>
      <c r="Y136" s="4498"/>
      <c r="Z136" s="4498"/>
      <c r="AA136" s="4498"/>
      <c r="AB136" s="4498"/>
      <c r="AC136" s="4498"/>
      <c r="AD136" s="966"/>
      <c r="AE136" s="2038"/>
      <c r="AF136" s="2038"/>
      <c r="AG136" s="2038"/>
      <c r="AH136" s="2038"/>
      <c r="AI136" s="2039"/>
      <c r="AJ136" s="2020"/>
      <c r="AK136" s="7"/>
      <c r="AL136" s="7"/>
      <c r="AM136" s="7"/>
      <c r="AN136" s="7"/>
      <c r="AO136" s="7"/>
      <c r="AP136" s="7"/>
      <c r="AQ136" s="7"/>
      <c r="AR136" s="7"/>
      <c r="AS136" s="7"/>
      <c r="AT136" s="7"/>
    </row>
    <row r="137" spans="2:46" ht="15" hidden="1">
      <c r="B137" s="10"/>
      <c r="C137" s="4498"/>
      <c r="D137" s="4498"/>
      <c r="E137" s="4498"/>
      <c r="F137" s="4498"/>
      <c r="G137" s="4498"/>
      <c r="H137" s="4498"/>
      <c r="I137" s="4498"/>
      <c r="J137" s="4498"/>
      <c r="K137" s="4498"/>
      <c r="L137" s="4498"/>
      <c r="M137" s="4498"/>
      <c r="N137" s="4498"/>
      <c r="O137" s="4498"/>
      <c r="P137" s="4498"/>
      <c r="Q137" s="4498"/>
      <c r="R137" s="4498"/>
      <c r="S137" s="4498"/>
      <c r="T137" s="4498"/>
      <c r="U137" s="4498"/>
      <c r="V137" s="4498"/>
      <c r="W137" s="4498"/>
      <c r="X137" s="4498"/>
      <c r="Y137" s="4498"/>
      <c r="Z137" s="4498"/>
      <c r="AA137" s="4498"/>
      <c r="AB137" s="4498"/>
      <c r="AC137" s="4498"/>
      <c r="AD137" s="966"/>
      <c r="AE137" s="2038"/>
      <c r="AF137" s="2038"/>
      <c r="AG137" s="2038"/>
      <c r="AH137" s="2038"/>
      <c r="AI137" s="2039"/>
      <c r="AJ137" s="2020"/>
      <c r="AK137" s="7"/>
      <c r="AL137" s="7"/>
      <c r="AM137" s="7"/>
      <c r="AN137" s="7"/>
      <c r="AO137" s="7"/>
      <c r="AP137" s="7"/>
      <c r="AQ137" s="7"/>
      <c r="AR137" s="7"/>
      <c r="AS137" s="7"/>
      <c r="AT137" s="7"/>
    </row>
    <row r="138" spans="2:46" ht="6.75" hidden="1" customHeight="1">
      <c r="B138" s="10"/>
      <c r="C138" s="4498"/>
      <c r="D138" s="4498"/>
      <c r="E138" s="4498"/>
      <c r="F138" s="4498"/>
      <c r="G138" s="4498"/>
      <c r="H138" s="4498"/>
      <c r="I138" s="4498"/>
      <c r="J138" s="4498"/>
      <c r="K138" s="4498"/>
      <c r="L138" s="4498"/>
      <c r="M138" s="4498"/>
      <c r="N138" s="4498"/>
      <c r="O138" s="4498"/>
      <c r="P138" s="4498"/>
      <c r="Q138" s="4498"/>
      <c r="R138" s="4498"/>
      <c r="S138" s="4498"/>
      <c r="T138" s="4498"/>
      <c r="U138" s="4498"/>
      <c r="V138" s="4498"/>
      <c r="W138" s="4498"/>
      <c r="X138" s="4498"/>
      <c r="Y138" s="4498"/>
      <c r="Z138" s="4498"/>
      <c r="AA138" s="4498"/>
      <c r="AB138" s="4498"/>
      <c r="AC138" s="4498"/>
      <c r="AD138" s="966"/>
      <c r="AE138" s="2038"/>
      <c r="AF138" s="2038"/>
      <c r="AG138" s="2038"/>
      <c r="AH138" s="2038"/>
      <c r="AI138" s="2025"/>
      <c r="AJ138" s="2020"/>
      <c r="AK138" s="7"/>
      <c r="AL138" s="7"/>
      <c r="AM138" s="7"/>
      <c r="AN138" s="7"/>
      <c r="AO138" s="7"/>
      <c r="AP138" s="7"/>
      <c r="AQ138" s="7"/>
      <c r="AR138" s="7"/>
      <c r="AS138" s="7"/>
      <c r="AT138" s="7"/>
    </row>
    <row r="139" spans="2:46" ht="15" hidden="1">
      <c r="B139" s="10"/>
      <c r="C139" s="4498"/>
      <c r="D139" s="4498"/>
      <c r="E139" s="4498"/>
      <c r="F139" s="4498"/>
      <c r="G139" s="4498"/>
      <c r="H139" s="4498"/>
      <c r="I139" s="4498"/>
      <c r="J139" s="4498"/>
      <c r="K139" s="4498"/>
      <c r="L139" s="4498"/>
      <c r="M139" s="4498"/>
      <c r="N139" s="4498"/>
      <c r="O139" s="4498"/>
      <c r="P139" s="4498"/>
      <c r="Q139" s="4498"/>
      <c r="R139" s="4498"/>
      <c r="S139" s="4498"/>
      <c r="T139" s="4498"/>
      <c r="U139" s="4498"/>
      <c r="V139" s="4498"/>
      <c r="W139" s="4498"/>
      <c r="X139" s="4498"/>
      <c r="Y139" s="4498"/>
      <c r="Z139" s="4498"/>
      <c r="AA139" s="4498"/>
      <c r="AB139" s="4498"/>
      <c r="AC139" s="4498"/>
      <c r="AD139" s="966"/>
      <c r="AE139" s="2038"/>
      <c r="AF139" s="2038"/>
      <c r="AG139" s="2038"/>
      <c r="AH139" s="2038"/>
      <c r="AI139" s="2025"/>
      <c r="AJ139" s="2020"/>
      <c r="AK139" s="7"/>
      <c r="AL139" s="7"/>
      <c r="AM139" s="7"/>
      <c r="AN139" s="7"/>
      <c r="AO139" s="7"/>
      <c r="AP139" s="7"/>
      <c r="AQ139" s="7"/>
      <c r="AR139" s="7"/>
      <c r="AS139" s="7"/>
      <c r="AT139" s="7"/>
    </row>
    <row r="140" spans="2:46" ht="15" hidden="1">
      <c r="B140" s="10"/>
      <c r="C140" s="4498"/>
      <c r="D140" s="4498"/>
      <c r="E140" s="4498"/>
      <c r="F140" s="4498"/>
      <c r="G140" s="4498"/>
      <c r="H140" s="4498"/>
      <c r="I140" s="4498"/>
      <c r="J140" s="4498"/>
      <c r="K140" s="4498"/>
      <c r="L140" s="4498"/>
      <c r="M140" s="4498"/>
      <c r="N140" s="4498"/>
      <c r="O140" s="4498"/>
      <c r="P140" s="4498"/>
      <c r="Q140" s="4498"/>
      <c r="R140" s="4498"/>
      <c r="S140" s="4498"/>
      <c r="T140" s="4498"/>
      <c r="U140" s="4498"/>
      <c r="V140" s="4498"/>
      <c r="W140" s="4498"/>
      <c r="X140" s="4498"/>
      <c r="Y140" s="4498"/>
      <c r="Z140" s="4498"/>
      <c r="AA140" s="4498"/>
      <c r="AB140" s="4498"/>
      <c r="AC140" s="4498"/>
      <c r="AD140" s="966"/>
      <c r="AE140" s="2038"/>
      <c r="AF140" s="2038"/>
      <c r="AG140" s="2038"/>
      <c r="AH140" s="2038"/>
      <c r="AI140" s="2025"/>
      <c r="AJ140" s="2020"/>
      <c r="AK140" s="7"/>
      <c r="AL140" s="7"/>
      <c r="AM140" s="7"/>
      <c r="AN140" s="7"/>
      <c r="AO140" s="7"/>
      <c r="AP140" s="7"/>
      <c r="AQ140" s="7"/>
      <c r="AR140" s="7"/>
      <c r="AS140" s="7"/>
      <c r="AT140" s="7"/>
    </row>
    <row r="141" spans="2:46" ht="7.5" hidden="1" customHeight="1">
      <c r="B141" s="10"/>
      <c r="C141" s="339"/>
      <c r="D141" s="339"/>
      <c r="E141" s="4506"/>
      <c r="F141" s="4506"/>
      <c r="G141" s="4506"/>
      <c r="H141" s="4506"/>
      <c r="I141" s="4506"/>
      <c r="J141" s="4506"/>
      <c r="K141" s="4506"/>
      <c r="L141" s="4506"/>
      <c r="M141" s="4506"/>
      <c r="N141" s="340"/>
      <c r="O141" s="341"/>
      <c r="P141" s="339"/>
      <c r="Q141" s="342"/>
      <c r="R141" s="342"/>
      <c r="S141" s="342"/>
      <c r="T141" s="342"/>
      <c r="U141" s="339"/>
      <c r="V141" s="339"/>
      <c r="W141" s="339"/>
      <c r="X141" s="339"/>
      <c r="Y141" s="339"/>
      <c r="Z141" s="339"/>
      <c r="AA141" s="339"/>
      <c r="AB141" s="338"/>
      <c r="AC141" s="339"/>
      <c r="AD141" s="339"/>
      <c r="AE141" s="2025"/>
      <c r="AF141" s="2025"/>
      <c r="AG141" s="2025"/>
      <c r="AH141" s="2025"/>
      <c r="AI141" s="2025"/>
      <c r="AJ141" s="2020"/>
      <c r="AK141" s="7"/>
      <c r="AL141" s="7"/>
      <c r="AM141" s="7"/>
      <c r="AN141" s="7"/>
      <c r="AO141" s="7"/>
      <c r="AP141" s="7"/>
      <c r="AQ141" s="7"/>
      <c r="AR141" s="7"/>
      <c r="AS141" s="7"/>
      <c r="AT141" s="7"/>
    </row>
    <row r="142" spans="2:46" ht="15" hidden="1">
      <c r="B142" s="7"/>
      <c r="C142" s="281"/>
      <c r="D142" s="281"/>
      <c r="E142" s="4507"/>
      <c r="F142" s="4507"/>
      <c r="G142" s="4507"/>
      <c r="H142" s="4507"/>
      <c r="I142" s="4507"/>
      <c r="J142" s="4507"/>
      <c r="K142" s="4507"/>
      <c r="L142" s="4507"/>
      <c r="M142" s="4507"/>
      <c r="N142" s="4507"/>
      <c r="O142" s="4507"/>
      <c r="P142" s="4507"/>
      <c r="Q142" s="4507"/>
      <c r="R142" s="4507"/>
      <c r="S142" s="4507"/>
      <c r="T142" s="4507"/>
      <c r="U142" s="4507"/>
      <c r="V142" s="4507"/>
      <c r="W142" s="4507"/>
      <c r="X142" s="4507"/>
      <c r="Y142" s="4507"/>
      <c r="Z142" s="4507"/>
      <c r="AA142" s="4507"/>
      <c r="AB142" s="4507"/>
      <c r="AC142" s="4507"/>
      <c r="AD142" s="4507"/>
      <c r="AE142" s="4507"/>
      <c r="AF142" s="4507"/>
      <c r="AG142" s="4507"/>
      <c r="AH142" s="4507"/>
      <c r="AI142" s="4507"/>
      <c r="AJ142" s="2025"/>
      <c r="AK142" s="7"/>
      <c r="AL142" s="7"/>
      <c r="AM142" s="7"/>
      <c r="AN142" s="7"/>
      <c r="AO142" s="7"/>
      <c r="AP142" s="7"/>
      <c r="AQ142" s="7"/>
      <c r="AR142" s="7"/>
      <c r="AS142" s="7"/>
      <c r="AT142" s="7"/>
    </row>
    <row r="143" spans="2:46" ht="15" hidden="1">
      <c r="B143" s="7"/>
      <c r="C143" s="281"/>
      <c r="D143" s="281"/>
      <c r="E143" s="282"/>
      <c r="F143" s="282"/>
      <c r="G143" s="282"/>
      <c r="H143" s="282"/>
      <c r="I143" s="282"/>
      <c r="J143" s="282"/>
      <c r="K143" s="282"/>
      <c r="L143" s="282"/>
      <c r="M143" s="282"/>
      <c r="N143" s="282"/>
      <c r="O143" s="282"/>
      <c r="P143" s="281"/>
      <c r="Q143" s="282"/>
      <c r="R143" s="282"/>
      <c r="S143" s="282"/>
      <c r="T143" s="282"/>
      <c r="U143" s="282"/>
      <c r="V143" s="282"/>
      <c r="W143" s="282"/>
      <c r="X143" s="282"/>
      <c r="Y143" s="282"/>
      <c r="Z143" s="282"/>
      <c r="AA143" s="282"/>
      <c r="AB143" s="282"/>
      <c r="AC143" s="282"/>
      <c r="AD143" s="282"/>
      <c r="AE143" s="2020"/>
      <c r="AF143" s="2020"/>
      <c r="AG143" s="2020"/>
      <c r="AH143" s="2020"/>
      <c r="AI143" s="2020"/>
      <c r="AJ143" s="2020"/>
      <c r="AK143" s="7"/>
      <c r="AL143" s="7"/>
      <c r="AM143" s="7"/>
      <c r="AN143" s="7"/>
      <c r="AO143" s="7"/>
      <c r="AP143" s="7"/>
      <c r="AQ143" s="7"/>
      <c r="AR143" s="7"/>
      <c r="AS143" s="7"/>
      <c r="AT143" s="7"/>
    </row>
    <row r="144" spans="2:46" ht="15" hidden="1">
      <c r="B144" s="7"/>
      <c r="C144" s="281"/>
      <c r="D144" s="281"/>
      <c r="E144" s="282"/>
      <c r="F144" s="282"/>
      <c r="G144" s="282"/>
      <c r="H144" s="282"/>
      <c r="I144" s="282"/>
      <c r="J144" s="282"/>
      <c r="K144" s="282"/>
      <c r="L144" s="282"/>
      <c r="M144" s="282"/>
      <c r="N144" s="282"/>
      <c r="O144" s="282"/>
      <c r="P144" s="281"/>
      <c r="Q144" s="281"/>
      <c r="R144" s="281"/>
      <c r="S144" s="281"/>
      <c r="T144" s="281"/>
      <c r="U144" s="281"/>
      <c r="V144" s="281"/>
      <c r="W144" s="281"/>
      <c r="X144" s="281"/>
      <c r="Y144" s="281"/>
      <c r="Z144" s="281"/>
      <c r="AA144" s="282"/>
      <c r="AB144" s="282"/>
      <c r="AC144" s="282"/>
      <c r="AD144" s="282"/>
      <c r="AE144" s="2020"/>
      <c r="AF144" s="2020"/>
      <c r="AG144" s="2020"/>
      <c r="AH144" s="2020"/>
      <c r="AI144" s="2020"/>
      <c r="AJ144" s="2020"/>
      <c r="AK144" s="7"/>
      <c r="AL144" s="7"/>
      <c r="AM144" s="7"/>
      <c r="AN144" s="7"/>
      <c r="AO144" s="7"/>
      <c r="AP144" s="7"/>
      <c r="AQ144" s="7"/>
      <c r="AR144" s="7"/>
      <c r="AS144" s="7"/>
      <c r="AT144" s="7"/>
    </row>
    <row r="145" spans="2:69" ht="15" hidden="1">
      <c r="B145" s="7"/>
      <c r="C145" s="281"/>
      <c r="D145" s="281"/>
      <c r="E145" s="282"/>
      <c r="F145" s="282"/>
      <c r="G145" s="282"/>
      <c r="H145" s="282"/>
      <c r="I145" s="282"/>
      <c r="J145" s="282"/>
      <c r="K145" s="282"/>
      <c r="L145" s="282"/>
      <c r="M145" s="282"/>
      <c r="N145" s="282"/>
      <c r="O145" s="282"/>
      <c r="P145" s="282"/>
      <c r="Q145" s="282"/>
      <c r="R145" s="282"/>
      <c r="S145" s="282"/>
      <c r="T145" s="282"/>
      <c r="U145" s="282"/>
      <c r="V145" s="282"/>
      <c r="W145" s="282"/>
      <c r="X145" s="282"/>
      <c r="Y145" s="282"/>
      <c r="Z145" s="282"/>
      <c r="AA145" s="282"/>
      <c r="AB145" s="282"/>
      <c r="AC145" s="282"/>
      <c r="AD145" s="282"/>
      <c r="AE145" s="2020"/>
      <c r="AF145" s="2020"/>
      <c r="AG145" s="2020"/>
      <c r="AH145" s="2020"/>
      <c r="AI145" s="2020"/>
      <c r="AJ145" s="2020"/>
      <c r="AK145" s="7"/>
      <c r="AL145" s="7"/>
      <c r="AM145" s="7"/>
      <c r="AN145" s="7"/>
      <c r="AO145" s="7"/>
      <c r="AP145" s="7"/>
      <c r="AQ145" s="7"/>
      <c r="AR145" s="7"/>
      <c r="AS145" s="7"/>
      <c r="AT145" s="7"/>
    </row>
    <row r="146" spans="2:69" ht="15" hidden="1">
      <c r="B146" s="7"/>
      <c r="C146" s="281"/>
      <c r="D146" s="281"/>
      <c r="E146" s="282"/>
      <c r="F146" s="282"/>
      <c r="G146" s="282"/>
      <c r="H146" s="282"/>
      <c r="I146" s="282"/>
      <c r="J146" s="282"/>
      <c r="K146" s="282"/>
      <c r="L146" s="282"/>
      <c r="M146" s="282"/>
      <c r="N146" s="282"/>
      <c r="O146" s="282"/>
      <c r="P146" s="282"/>
      <c r="Q146" s="282"/>
      <c r="R146" s="282"/>
      <c r="S146" s="282"/>
      <c r="T146" s="282"/>
      <c r="U146" s="282"/>
      <c r="V146" s="282"/>
      <c r="W146" s="282"/>
      <c r="X146" s="282"/>
      <c r="Y146" s="282"/>
      <c r="Z146" s="282"/>
      <c r="AA146" s="282"/>
      <c r="AB146" s="282"/>
      <c r="AC146" s="282"/>
      <c r="AD146" s="282"/>
      <c r="AE146" s="2020"/>
      <c r="AF146" s="2020"/>
      <c r="AG146" s="2020"/>
      <c r="AH146" s="2020"/>
      <c r="AI146" s="2020"/>
      <c r="AJ146" s="2020"/>
      <c r="AK146" s="7"/>
      <c r="AL146" s="7"/>
      <c r="AM146" s="7"/>
      <c r="AN146" s="7"/>
      <c r="AO146" s="7"/>
      <c r="AP146" s="7"/>
      <c r="AQ146" s="7"/>
      <c r="AR146" s="7"/>
      <c r="AS146" s="7"/>
      <c r="AT146" s="7"/>
    </row>
    <row r="147" spans="2:69" ht="24.95" hidden="1" customHeight="1" thickTop="1">
      <c r="B147" s="7"/>
      <c r="C147" s="281"/>
      <c r="D147" s="281"/>
      <c r="E147" s="282"/>
      <c r="F147" s="282"/>
      <c r="G147" s="282"/>
      <c r="H147" s="282"/>
      <c r="I147" s="282"/>
      <c r="J147" s="282"/>
      <c r="K147" s="282"/>
      <c r="L147" s="282"/>
      <c r="M147" s="282"/>
      <c r="N147" s="282"/>
      <c r="O147" s="282"/>
      <c r="P147" s="282"/>
      <c r="Q147" s="282"/>
      <c r="R147" s="282"/>
      <c r="S147" s="282"/>
      <c r="T147" s="282"/>
      <c r="U147" s="282"/>
      <c r="V147" s="282"/>
      <c r="W147" s="282"/>
      <c r="X147" s="282"/>
      <c r="Y147" s="282"/>
      <c r="Z147" s="282"/>
      <c r="AA147" s="282"/>
      <c r="AB147" s="282"/>
      <c r="AC147" s="282"/>
      <c r="AD147" s="282"/>
      <c r="AE147" s="2020"/>
      <c r="AF147" s="2020"/>
      <c r="AG147" s="2020"/>
      <c r="AH147" s="2020"/>
      <c r="AI147" s="2020"/>
      <c r="AJ147" s="2020"/>
      <c r="AK147" s="7"/>
      <c r="AL147" s="7"/>
      <c r="AM147" s="7"/>
      <c r="AN147" s="7"/>
      <c r="AO147" s="7"/>
      <c r="AP147" s="7"/>
      <c r="AQ147" s="7"/>
      <c r="AR147" s="7"/>
      <c r="AS147" s="7"/>
      <c r="AT147" s="7"/>
      <c r="BL147" s="4960" t="s">
        <v>573</v>
      </c>
      <c r="BM147" s="4961"/>
      <c r="BN147" s="4961"/>
      <c r="BO147" s="4961"/>
      <c r="BP147" s="2050">
        <f>'New Tax Regime'!K57</f>
        <v>0</v>
      </c>
    </row>
    <row r="148" spans="2:69" ht="24.95" hidden="1" customHeight="1">
      <c r="B148" s="7"/>
      <c r="C148" s="281"/>
      <c r="D148" s="281"/>
      <c r="E148" s="282"/>
      <c r="F148" s="282"/>
      <c r="G148" s="282"/>
      <c r="H148" s="282"/>
      <c r="I148" s="282"/>
      <c r="J148" s="282"/>
      <c r="K148" s="282"/>
      <c r="L148" s="282"/>
      <c r="M148" s="282"/>
      <c r="N148" s="282"/>
      <c r="O148" s="282"/>
      <c r="P148" s="282"/>
      <c r="Q148" s="282"/>
      <c r="R148" s="282"/>
      <c r="S148" s="282"/>
      <c r="T148" s="282"/>
      <c r="U148" s="282"/>
      <c r="V148" s="282"/>
      <c r="W148" s="282"/>
      <c r="X148" s="282"/>
      <c r="Y148" s="282"/>
      <c r="Z148" s="282"/>
      <c r="AA148" s="282"/>
      <c r="AB148" s="282"/>
      <c r="AC148" s="282"/>
      <c r="AD148" s="282"/>
      <c r="AE148" s="2020"/>
      <c r="AF148" s="2020"/>
      <c r="AG148" s="2020"/>
      <c r="AH148" s="2020"/>
      <c r="AI148" s="2020"/>
      <c r="AJ148" s="2020"/>
      <c r="AK148" s="7"/>
      <c r="AL148" s="7"/>
      <c r="AM148" s="7"/>
      <c r="AN148" s="7"/>
      <c r="AO148" s="7"/>
      <c r="AP148" s="7"/>
      <c r="AQ148" s="7"/>
      <c r="AR148" s="7"/>
      <c r="AS148" s="7"/>
      <c r="AT148" s="7"/>
      <c r="BL148" s="4958" t="s">
        <v>574</v>
      </c>
      <c r="BM148" s="4959"/>
      <c r="BN148" s="4959"/>
      <c r="BO148" s="4959"/>
      <c r="BP148" s="2051" t="str">
        <f>'New Tax Regime'!L42</f>
        <v>Rs</v>
      </c>
    </row>
    <row r="149" spans="2:69" ht="24.95" hidden="1" customHeight="1">
      <c r="B149" s="7"/>
      <c r="C149" s="281"/>
      <c r="D149" s="281"/>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c r="AA149" s="282"/>
      <c r="AB149" s="282"/>
      <c r="AC149" s="282"/>
      <c r="AD149" s="282"/>
      <c r="AE149" s="2020"/>
      <c r="AF149" s="2020"/>
      <c r="AG149" s="2020"/>
      <c r="AH149" s="2020"/>
      <c r="AI149" s="2020"/>
      <c r="AJ149" s="2020"/>
      <c r="AK149" s="7"/>
      <c r="AL149" s="7"/>
      <c r="AM149" s="7"/>
      <c r="AN149" s="7"/>
      <c r="AO149" s="7"/>
      <c r="AP149" s="7"/>
      <c r="AQ149" s="7"/>
      <c r="AR149" s="7"/>
      <c r="AS149" s="7"/>
      <c r="AT149" s="7"/>
      <c r="BL149" s="4962" t="s">
        <v>584</v>
      </c>
      <c r="BM149" s="4963"/>
      <c r="BN149" s="4963"/>
      <c r="BO149" s="4963"/>
      <c r="BP149" s="2052">
        <f>'New Tax Regime'!M76</f>
        <v>0</v>
      </c>
      <c r="BQ149" s="1190" t="s">
        <v>583</v>
      </c>
    </row>
    <row r="150" spans="2:69" ht="24.95" hidden="1" customHeight="1">
      <c r="B150" s="7"/>
      <c r="C150" s="281"/>
      <c r="D150" s="281"/>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282"/>
      <c r="AE150" s="2020"/>
      <c r="AF150" s="2020"/>
      <c r="AG150" s="2020"/>
      <c r="AH150" s="2020"/>
      <c r="AI150" s="2020"/>
      <c r="AJ150" s="2020"/>
      <c r="AK150" s="7"/>
      <c r="AL150" s="7"/>
      <c r="AM150" s="7"/>
      <c r="AN150" s="7"/>
      <c r="AO150" s="7"/>
      <c r="AP150" s="7"/>
      <c r="AQ150" s="7"/>
      <c r="AR150" s="7"/>
      <c r="AS150" s="7"/>
      <c r="AT150" s="7"/>
      <c r="BL150" s="4958" t="s">
        <v>575</v>
      </c>
      <c r="BM150" s="4959"/>
      <c r="BN150" s="4959"/>
      <c r="BO150" s="4959"/>
      <c r="BP150" s="2051">
        <f>'New Tax Regime'!M83</f>
        <v>0</v>
      </c>
    </row>
    <row r="151" spans="2:69" ht="24.95" hidden="1" customHeight="1">
      <c r="B151" s="7"/>
      <c r="C151" s="281"/>
      <c r="D151" s="281"/>
      <c r="E151" s="282"/>
      <c r="F151" s="282"/>
      <c r="G151" s="282"/>
      <c r="H151" s="282"/>
      <c r="I151" s="282"/>
      <c r="J151" s="282"/>
      <c r="K151" s="282"/>
      <c r="L151" s="282"/>
      <c r="M151" s="282"/>
      <c r="N151" s="282"/>
      <c r="O151" s="282"/>
      <c r="P151" s="282"/>
      <c r="Q151" s="282"/>
      <c r="R151" s="282"/>
      <c r="S151" s="282"/>
      <c r="T151" s="282"/>
      <c r="U151" s="282"/>
      <c r="V151" s="282"/>
      <c r="W151" s="282"/>
      <c r="X151" s="282"/>
      <c r="Y151" s="282"/>
      <c r="Z151" s="282"/>
      <c r="AA151" s="282"/>
      <c r="AB151" s="282"/>
      <c r="AC151" s="282"/>
      <c r="AD151" s="282"/>
      <c r="AE151" s="2020"/>
      <c r="AF151" s="2020"/>
      <c r="AG151" s="2020"/>
      <c r="AH151" s="2020"/>
      <c r="AI151" s="2020"/>
      <c r="AJ151" s="2020"/>
      <c r="AK151" s="7"/>
      <c r="AL151" s="7"/>
      <c r="AM151" s="7"/>
      <c r="AN151" s="7"/>
      <c r="AO151" s="7"/>
      <c r="AP151" s="7"/>
      <c r="AQ151" s="7"/>
      <c r="AR151" s="7"/>
      <c r="AS151" s="7"/>
      <c r="AT151" s="7"/>
      <c r="BL151" s="4958" t="s">
        <v>197</v>
      </c>
      <c r="BM151" s="4959"/>
      <c r="BN151" s="4959"/>
      <c r="BO151" s="4959"/>
      <c r="BP151" s="2053" t="str">
        <f>'New Tax Regime'!L7</f>
        <v>Rs</v>
      </c>
    </row>
    <row r="152" spans="2:69" ht="24.95" hidden="1" customHeight="1">
      <c r="B152" s="7"/>
      <c r="C152" s="281"/>
      <c r="D152" s="281"/>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2020"/>
      <c r="AF152" s="2020"/>
      <c r="AG152" s="2020"/>
      <c r="AH152" s="2020"/>
      <c r="AI152" s="2020"/>
      <c r="AJ152" s="2020"/>
      <c r="AK152" s="7"/>
      <c r="AL152" s="7"/>
      <c r="AM152" s="7"/>
      <c r="AN152" s="7"/>
      <c r="AO152" s="7"/>
      <c r="AP152" s="7"/>
      <c r="AQ152" s="7"/>
      <c r="AR152" s="7"/>
      <c r="AS152" s="7"/>
      <c r="AT152" s="7"/>
      <c r="BL152" s="4958" t="s">
        <v>198</v>
      </c>
      <c r="BM152" s="4959"/>
      <c r="BN152" s="4959"/>
      <c r="BO152" s="4959"/>
      <c r="BP152" s="2052">
        <f>'New Tax Regime'!M77</f>
        <v>0</v>
      </c>
    </row>
    <row r="153" spans="2:69" ht="24.95" hidden="1" customHeight="1">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K153" s="7"/>
      <c r="AL153" s="7"/>
      <c r="AM153" s="7"/>
      <c r="AN153" s="7"/>
      <c r="AO153" s="7"/>
      <c r="AP153" s="7"/>
      <c r="AQ153" s="7"/>
      <c r="AR153" s="7"/>
      <c r="AS153" s="7"/>
      <c r="AT153" s="7"/>
      <c r="BL153" s="4958" t="s">
        <v>576</v>
      </c>
      <c r="BM153" s="4959"/>
      <c r="BN153" s="4959"/>
      <c r="BO153" s="4959"/>
      <c r="BP153" s="2051">
        <f>'New Tax Regime'!M64</f>
        <v>0</v>
      </c>
    </row>
    <row r="154" spans="2:69" ht="24.95" hidden="1" customHeight="1">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K154" s="7"/>
      <c r="AL154" s="7"/>
      <c r="AM154" s="7"/>
      <c r="AN154" s="7"/>
      <c r="AO154" s="7"/>
      <c r="AP154" s="7"/>
      <c r="AQ154" s="7"/>
      <c r="AR154" s="7"/>
      <c r="AS154" s="7"/>
      <c r="AT154" s="7"/>
      <c r="BL154" s="4958" t="s">
        <v>499</v>
      </c>
      <c r="BM154" s="4959"/>
      <c r="BN154" s="4959"/>
      <c r="BO154" s="4959"/>
      <c r="BP154" s="2053">
        <f>ABS(BP150)</f>
        <v>0</v>
      </c>
    </row>
    <row r="155" spans="2:69" ht="24.95" hidden="1" customHeight="1">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K155" s="7"/>
      <c r="AL155" s="7"/>
      <c r="AM155" s="7"/>
      <c r="AN155" s="7"/>
      <c r="AO155" s="7"/>
      <c r="AP155" s="7"/>
      <c r="AQ155" s="7"/>
      <c r="AR155" s="7"/>
      <c r="AS155" s="7"/>
      <c r="AT155" s="7"/>
      <c r="BL155" s="4958" t="s">
        <v>577</v>
      </c>
      <c r="BM155" s="4959"/>
      <c r="BN155" s="4959"/>
      <c r="BO155" s="4959"/>
      <c r="BP155" s="2054">
        <f>'New Tax Regime'!K11</f>
        <v>0</v>
      </c>
    </row>
    <row r="156" spans="2:69" ht="24.95" hidden="1" customHeight="1">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K156" s="7"/>
      <c r="AL156" s="7"/>
      <c r="AM156" s="7"/>
      <c r="AN156" s="7"/>
      <c r="AO156" s="7"/>
      <c r="AP156" s="7"/>
      <c r="AQ156" s="7"/>
      <c r="AR156" s="7"/>
      <c r="AS156" s="7"/>
      <c r="AT156" s="7"/>
      <c r="BL156" s="4948" t="s">
        <v>578</v>
      </c>
      <c r="BM156" s="4949"/>
      <c r="BN156" s="4949"/>
      <c r="BO156" s="4949"/>
      <c r="BP156" s="2055" t="e">
        <f>IF('New Tax Regime'!S14&gt;0,'New Tax Regime'!S14,'New Tax Regime'!AL12)</f>
        <v>#REF!</v>
      </c>
    </row>
    <row r="157" spans="2:69" ht="24.95" hidden="1" customHeight="1" thickBot="1">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K157" s="7"/>
      <c r="AL157" s="7"/>
      <c r="AM157" s="7"/>
      <c r="AN157" s="7"/>
      <c r="AO157" s="7"/>
      <c r="AP157" s="7"/>
      <c r="AQ157" s="7"/>
      <c r="AR157" s="7"/>
      <c r="AS157" s="7"/>
      <c r="AT157" s="7"/>
      <c r="BL157" s="4950" t="s">
        <v>579</v>
      </c>
      <c r="BM157" s="4951"/>
      <c r="BN157" s="4951"/>
      <c r="BO157" s="4951"/>
      <c r="BP157" s="2056" t="e">
        <f>SUM(BP156*12)</f>
        <v>#REF!</v>
      </c>
    </row>
    <row r="158" spans="2:69" ht="15" hidden="1">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K158" s="7"/>
      <c r="AL158" s="7"/>
      <c r="AM158" s="7"/>
      <c r="AN158" s="7"/>
      <c r="AO158" s="7"/>
      <c r="AP158" s="7"/>
      <c r="AQ158" s="7"/>
      <c r="AR158" s="7"/>
      <c r="AS158" s="7"/>
      <c r="AT158" s="7"/>
    </row>
    <row r="159" spans="2:69" ht="15" hidden="1">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K159" s="7"/>
      <c r="AL159" s="7"/>
      <c r="AM159" s="7"/>
      <c r="AN159" s="7"/>
      <c r="AO159" s="7"/>
      <c r="AP159" s="7"/>
      <c r="AQ159" s="7"/>
      <c r="AR159" s="7"/>
      <c r="AS159" s="7"/>
      <c r="AT159" s="7"/>
    </row>
    <row r="160" spans="2:69" ht="15" hidden="1">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K160" s="7"/>
      <c r="AL160" s="7"/>
      <c r="AM160" s="7"/>
      <c r="AN160" s="7"/>
      <c r="AO160" s="7"/>
      <c r="AP160" s="7"/>
      <c r="AQ160" s="7"/>
      <c r="AR160" s="7"/>
      <c r="AS160" s="7"/>
      <c r="AT160" s="7"/>
    </row>
    <row r="161" spans="2:70" ht="15" hidden="1">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K161" s="7"/>
      <c r="AL161" s="7"/>
      <c r="AM161" s="7"/>
      <c r="AN161" s="7"/>
      <c r="AO161" s="7"/>
      <c r="AP161" s="7"/>
      <c r="AQ161" s="7"/>
      <c r="AR161" s="7"/>
      <c r="AS161" s="7"/>
      <c r="AT161" s="7"/>
    </row>
    <row r="162" spans="2:70" ht="24.95" hidden="1" customHeight="1">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K162" s="7"/>
      <c r="AL162" s="7"/>
      <c r="AM162" s="7"/>
      <c r="AN162" s="7"/>
      <c r="AO162" s="7"/>
      <c r="AP162" s="7"/>
      <c r="AQ162" s="7"/>
      <c r="AR162" s="7"/>
      <c r="AS162" s="7"/>
      <c r="AT162" s="7"/>
      <c r="BL162" s="4952" t="e">
        <f>IF(BP156&lt;=5000,BM165,IF(AND(BP156&gt;5000,BP156&lt;=8333),BM166,IF(BP156&gt;8333,BM167)))</f>
        <v>#REF!</v>
      </c>
      <c r="BM162" s="4952"/>
      <c r="BN162" s="4952"/>
      <c r="BO162" s="4952"/>
      <c r="BP162" s="4952"/>
      <c r="BQ162" s="4952"/>
      <c r="BR162" s="4952"/>
    </row>
    <row r="163" spans="2:70" ht="15" hidden="1">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K163" s="7"/>
      <c r="AL163" s="7"/>
      <c r="AM163" s="7"/>
      <c r="AN163" s="7"/>
      <c r="AO163" s="7"/>
      <c r="AP163" s="7"/>
      <c r="AQ163" s="7"/>
      <c r="AR163" s="7"/>
      <c r="AS163" s="7"/>
      <c r="AT163" s="7"/>
    </row>
    <row r="164" spans="2:70" ht="24.95" hidden="1" customHeight="1" thickBot="1">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K164" s="7"/>
      <c r="AL164" s="7"/>
      <c r="AM164" s="7"/>
      <c r="AN164" s="7"/>
      <c r="AO164" s="7"/>
      <c r="AP164" s="7"/>
      <c r="AQ164" s="7"/>
      <c r="AR164" s="7"/>
      <c r="AS164" s="7"/>
      <c r="AT164" s="7"/>
      <c r="BM164" s="4953"/>
      <c r="BN164" s="4953"/>
      <c r="BO164" s="4953"/>
      <c r="BP164" s="4953"/>
      <c r="BQ164" s="4953"/>
    </row>
    <row r="165" spans="2:70" ht="24.95" hidden="1" customHeight="1" thickTop="1">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K165" s="7"/>
      <c r="AL165" s="7"/>
      <c r="AM165" s="7"/>
      <c r="AN165" s="7"/>
      <c r="AO165" s="7"/>
      <c r="AP165" s="7"/>
      <c r="AQ165" s="7"/>
      <c r="AR165" s="7"/>
      <c r="AS165" s="7"/>
      <c r="AT165" s="7"/>
      <c r="BL165" s="2057">
        <v>1</v>
      </c>
      <c r="BM165" s="4954" t="s">
        <v>580</v>
      </c>
      <c r="BN165" s="4954"/>
      <c r="BO165" s="4954"/>
      <c r="BP165" s="4954"/>
      <c r="BQ165" s="4954"/>
      <c r="BR165" s="4955"/>
    </row>
    <row r="166" spans="2:70" ht="24.95" hidden="1" customHeight="1">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K166" s="7"/>
      <c r="AL166" s="7"/>
      <c r="AM166" s="7"/>
      <c r="AN166" s="7"/>
      <c r="AO166" s="7"/>
      <c r="AP166" s="7"/>
      <c r="AQ166" s="7"/>
      <c r="AR166" s="7"/>
      <c r="AS166" s="7"/>
      <c r="AT166" s="7"/>
      <c r="BL166" s="2058">
        <v>2</v>
      </c>
      <c r="BM166" s="4956" t="s">
        <v>581</v>
      </c>
      <c r="BN166" s="4956"/>
      <c r="BO166" s="4956"/>
      <c r="BP166" s="4956"/>
      <c r="BQ166" s="4956"/>
      <c r="BR166" s="4957"/>
    </row>
    <row r="167" spans="2:70" ht="24.95" hidden="1" customHeight="1" thickBot="1">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K167" s="7"/>
      <c r="AL167" s="7"/>
      <c r="AM167" s="7"/>
      <c r="AN167" s="7"/>
      <c r="AO167" s="7"/>
      <c r="AP167" s="7"/>
      <c r="AQ167" s="7"/>
      <c r="AR167" s="7"/>
      <c r="AS167" s="7"/>
      <c r="AT167" s="7"/>
      <c r="BL167" s="2059">
        <v>3</v>
      </c>
      <c r="BM167" s="4946" t="s">
        <v>582</v>
      </c>
      <c r="BN167" s="4946"/>
      <c r="BO167" s="4946"/>
      <c r="BP167" s="4946"/>
      <c r="BQ167" s="4946"/>
      <c r="BR167" s="4947"/>
    </row>
    <row r="168" spans="2:70" ht="24.95" hidden="1" customHeight="1" thickTop="1">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K168" s="7"/>
      <c r="AL168" s="7"/>
      <c r="AM168" s="7"/>
      <c r="AN168" s="7"/>
      <c r="AO168" s="7"/>
      <c r="AP168" s="7"/>
      <c r="AQ168" s="7"/>
      <c r="AR168" s="7"/>
      <c r="AS168" s="7"/>
      <c r="AT168" s="7"/>
    </row>
    <row r="169" spans="2:70" ht="24.95" hidden="1" customHeight="1">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K169" s="7"/>
      <c r="AL169" s="7"/>
      <c r="AM169" s="7"/>
      <c r="AN169" s="7"/>
      <c r="AO169" s="7"/>
      <c r="AP169" s="7"/>
      <c r="AQ169" s="7"/>
      <c r="AR169" s="7"/>
      <c r="AS169" s="7"/>
      <c r="AT169" s="7"/>
    </row>
    <row r="170" spans="2:70" ht="24.95" hidden="1" customHeight="1">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K170" s="7"/>
      <c r="AL170" s="7"/>
      <c r="AM170" s="7"/>
      <c r="AN170" s="7"/>
      <c r="AO170" s="7"/>
      <c r="AP170" s="7"/>
      <c r="AQ170" s="7"/>
      <c r="AR170" s="7"/>
      <c r="AS170" s="7"/>
      <c r="AT170" s="7"/>
    </row>
    <row r="171" spans="2:70" ht="15" hidden="1">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K171" s="7"/>
      <c r="AL171" s="7"/>
      <c r="AM171" s="7"/>
      <c r="AN171" s="7"/>
      <c r="AO171" s="7"/>
      <c r="AP171" s="7"/>
      <c r="AQ171" s="7"/>
      <c r="AR171" s="7"/>
      <c r="AS171" s="7"/>
      <c r="AT171" s="7"/>
    </row>
    <row r="172" spans="2:70" ht="15" hidden="1">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K172" s="7"/>
      <c r="AL172" s="7"/>
      <c r="AM172" s="7"/>
      <c r="AN172" s="7"/>
      <c r="AO172" s="7"/>
      <c r="AP172" s="7"/>
      <c r="AQ172" s="7"/>
      <c r="AR172" s="7"/>
      <c r="AS172" s="7"/>
      <c r="AT172" s="7"/>
    </row>
    <row r="173" spans="2:70" ht="15" hidden="1">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K173" s="7"/>
      <c r="AL173" s="7"/>
      <c r="AM173" s="7"/>
      <c r="AN173" s="7"/>
      <c r="AO173" s="7"/>
      <c r="AP173" s="7"/>
      <c r="AQ173" s="7"/>
      <c r="AR173" s="7"/>
      <c r="AS173" s="7"/>
      <c r="AT173" s="7"/>
    </row>
    <row r="174" spans="2:70" ht="15" hidden="1">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K174" s="7"/>
      <c r="AL174" s="7"/>
      <c r="AM174" s="7"/>
      <c r="AN174" s="7"/>
      <c r="AO174" s="7"/>
      <c r="AP174" s="7"/>
      <c r="AQ174" s="7"/>
      <c r="AR174" s="7"/>
      <c r="AS174" s="7"/>
      <c r="AT174" s="7"/>
    </row>
    <row r="175" spans="2:70" ht="15" hidden="1">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K175" s="7"/>
      <c r="AL175" s="7"/>
      <c r="AM175" s="7"/>
      <c r="AN175" s="7"/>
      <c r="AO175" s="7"/>
      <c r="AP175" s="7"/>
      <c r="AQ175" s="7"/>
      <c r="AR175" s="7"/>
      <c r="AS175" s="7"/>
      <c r="AT175" s="7"/>
    </row>
    <row r="176" spans="2:70" ht="15" hidden="1">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K176" s="7"/>
      <c r="AL176" s="7"/>
      <c r="AM176" s="7"/>
      <c r="AN176" s="7"/>
      <c r="AO176" s="7"/>
      <c r="AP176" s="7"/>
      <c r="AQ176" s="7"/>
      <c r="AR176" s="7"/>
      <c r="AS176" s="7"/>
      <c r="AT176" s="7"/>
    </row>
    <row r="177" spans="3:67" ht="15" hidden="1">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K177" s="7"/>
      <c r="AL177" s="7"/>
      <c r="AM177" s="7"/>
      <c r="AN177" s="7"/>
      <c r="AO177" s="7"/>
      <c r="AP177" s="7"/>
      <c r="AQ177" s="7"/>
      <c r="AR177" s="7"/>
      <c r="AS177" s="7"/>
      <c r="AT177" s="7"/>
    </row>
    <row r="178" spans="3:67" ht="15" hidden="1">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K178" s="7"/>
      <c r="AL178" s="7"/>
      <c r="AM178" s="7"/>
      <c r="AN178" s="7"/>
      <c r="AO178" s="7"/>
      <c r="AP178" s="7"/>
      <c r="AQ178" s="7"/>
      <c r="AR178" s="7"/>
      <c r="AS178" s="7"/>
      <c r="AT178" s="7"/>
    </row>
    <row r="179" spans="3:67" ht="15" hidden="1">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K179" s="7"/>
      <c r="AL179" s="7"/>
      <c r="AM179" s="7"/>
      <c r="AN179" s="7"/>
      <c r="AO179" s="7"/>
      <c r="AP179" s="7"/>
      <c r="AQ179" s="7"/>
      <c r="AR179" s="7"/>
      <c r="AS179" s="7"/>
      <c r="AT179" s="7"/>
    </row>
    <row r="180" spans="3:67" ht="15" hidden="1">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K180" s="7"/>
      <c r="AL180" s="7"/>
      <c r="AM180" s="7"/>
      <c r="AN180" s="7"/>
      <c r="AO180" s="7"/>
      <c r="AP180" s="7"/>
      <c r="AQ180" s="7"/>
      <c r="AR180" s="7"/>
      <c r="AS180" s="7"/>
      <c r="AT180" s="7"/>
    </row>
    <row r="181" spans="3:67" ht="15" hidden="1"/>
    <row r="182" spans="3:67" ht="15" hidden="1">
      <c r="BE182" s="2048"/>
      <c r="BF182" s="2048"/>
      <c r="BG182" s="2048"/>
      <c r="BH182" s="2048"/>
      <c r="BI182" s="2048"/>
      <c r="BJ182" s="2048"/>
      <c r="BK182" s="2048"/>
      <c r="BL182" s="2048"/>
      <c r="BM182" s="2048"/>
      <c r="BN182" s="2048"/>
      <c r="BO182" s="2048"/>
    </row>
    <row r="183" spans="3:67" ht="15" hidden="1">
      <c r="BE183" s="2048"/>
      <c r="BF183" s="2048"/>
      <c r="BG183" s="2048"/>
      <c r="BH183" s="2048"/>
      <c r="BI183" s="2048"/>
      <c r="BJ183" s="2048"/>
      <c r="BK183" s="2048"/>
      <c r="BL183" s="2048"/>
      <c r="BM183" s="2048"/>
      <c r="BN183" s="2048"/>
      <c r="BO183" s="2048"/>
    </row>
    <row r="184" spans="3:67" ht="15" hidden="1">
      <c r="BE184" s="2048"/>
      <c r="BF184" s="2048"/>
      <c r="BG184" s="2048"/>
      <c r="BH184" s="2048"/>
      <c r="BI184" s="2048"/>
      <c r="BJ184" s="2048"/>
      <c r="BK184" s="2048"/>
      <c r="BL184" s="2048"/>
      <c r="BM184" s="2048"/>
      <c r="BN184" s="2048"/>
      <c r="BO184" s="2048"/>
    </row>
    <row r="185" spans="3:67" ht="15" hidden="1">
      <c r="BE185" s="2048"/>
      <c r="BF185" s="2048"/>
      <c r="BG185" s="2048"/>
      <c r="BH185" s="2048"/>
      <c r="BI185" s="2048"/>
      <c r="BJ185" s="2048"/>
      <c r="BK185" s="2048"/>
      <c r="BL185" s="2048"/>
      <c r="BM185" s="2048"/>
      <c r="BN185" s="2048"/>
      <c r="BO185" s="2048"/>
    </row>
    <row r="186" spans="3:67" ht="15" hidden="1">
      <c r="BE186" s="2048"/>
      <c r="BF186" s="2048"/>
      <c r="BG186" s="2048"/>
      <c r="BH186" s="2048"/>
      <c r="BI186" s="2048"/>
      <c r="BJ186" s="2048"/>
      <c r="BK186" s="2048"/>
      <c r="BL186" s="2048"/>
      <c r="BM186" s="2048"/>
      <c r="BN186" s="2048"/>
      <c r="BO186" s="2048"/>
    </row>
    <row r="187" spans="3:67" ht="15" hidden="1">
      <c r="BE187" s="2048"/>
      <c r="BF187" s="2048"/>
      <c r="BG187" s="2048"/>
      <c r="BH187" s="2048"/>
      <c r="BI187" s="2048"/>
      <c r="BJ187" s="2048"/>
      <c r="BK187" s="2048"/>
      <c r="BL187" s="2048"/>
      <c r="BM187" s="2048"/>
      <c r="BN187" s="2048"/>
      <c r="BO187" s="2048"/>
    </row>
    <row r="188" spans="3:67" ht="15" hidden="1">
      <c r="BE188" s="2048"/>
      <c r="BF188" s="2048"/>
      <c r="BG188" s="2048"/>
      <c r="BH188" s="2048"/>
      <c r="BI188" s="2048"/>
      <c r="BJ188" s="2048"/>
      <c r="BK188" s="2048"/>
      <c r="BL188" s="2048"/>
      <c r="BM188" s="2048"/>
      <c r="BN188" s="2048"/>
      <c r="BO188" s="2048"/>
    </row>
    <row r="189" spans="3:67" ht="15" hidden="1">
      <c r="BE189" s="2048"/>
      <c r="BF189" s="2048"/>
      <c r="BG189" s="2048"/>
      <c r="BH189" s="2048"/>
      <c r="BI189" s="2048"/>
      <c r="BJ189" s="2048"/>
      <c r="BK189" s="2048"/>
      <c r="BL189" s="2048"/>
      <c r="BM189" s="2048"/>
      <c r="BN189" s="2048"/>
      <c r="BO189" s="2048"/>
    </row>
    <row r="190" spans="3:67" ht="24.95" hidden="1" customHeight="1">
      <c r="BE190" s="4938" t="s">
        <v>197</v>
      </c>
      <c r="BF190" s="4945"/>
      <c r="BG190" s="4945"/>
      <c r="BH190" s="4945"/>
      <c r="BI190" s="4945"/>
      <c r="BJ190" s="4945"/>
      <c r="BK190" s="4945"/>
      <c r="BL190" s="4945"/>
      <c r="BM190" s="4939"/>
      <c r="BN190" s="4937" t="str">
        <f>'New Tax Regime'!L7</f>
        <v>Rs</v>
      </c>
      <c r="BO190" s="4937"/>
    </row>
    <row r="191" spans="3:67" ht="24.95" hidden="1" customHeight="1">
      <c r="BE191" s="4938" t="s">
        <v>789</v>
      </c>
      <c r="BF191" s="4945"/>
      <c r="BG191" s="4945"/>
      <c r="BH191" s="4945"/>
      <c r="BI191" s="4945"/>
      <c r="BJ191" s="4945"/>
      <c r="BK191" s="4945"/>
      <c r="BL191" s="4945"/>
      <c r="BM191" s="4939"/>
      <c r="BN191" s="4937">
        <v>50000</v>
      </c>
      <c r="BO191" s="4937"/>
    </row>
    <row r="192" spans="3:67" ht="24.95" hidden="1" customHeight="1">
      <c r="BE192" s="4941" t="s">
        <v>673</v>
      </c>
      <c r="BF192" s="4942"/>
      <c r="BG192" s="4942"/>
      <c r="BH192" s="4942"/>
      <c r="BI192" s="4942"/>
      <c r="BJ192" s="4942"/>
      <c r="BK192" s="4942"/>
      <c r="BL192" s="4942"/>
      <c r="BM192" s="4943"/>
      <c r="BN192" s="4944">
        <f>'New Tax Regime'!K11</f>
        <v>0</v>
      </c>
      <c r="BO192" s="4937"/>
    </row>
    <row r="193" spans="57:67" ht="24.95" hidden="1" customHeight="1">
      <c r="BE193" s="4938" t="s">
        <v>790</v>
      </c>
      <c r="BF193" s="4945"/>
      <c r="BG193" s="4945"/>
      <c r="BH193" s="4945"/>
      <c r="BI193" s="4945"/>
      <c r="BJ193" s="4945"/>
      <c r="BK193" s="4945"/>
      <c r="BL193" s="4945"/>
      <c r="BM193" s="4939"/>
      <c r="BN193" s="4937" t="e">
        <f>#REF!</f>
        <v>#REF!</v>
      </c>
      <c r="BO193" s="4937"/>
    </row>
    <row r="194" spans="57:67" ht="24.95" hidden="1" customHeight="1">
      <c r="BE194" s="4938" t="s">
        <v>791</v>
      </c>
      <c r="BF194" s="4945"/>
      <c r="BG194" s="4945"/>
      <c r="BH194" s="4945"/>
      <c r="BI194" s="4945"/>
      <c r="BJ194" s="4945"/>
      <c r="BK194" s="4945"/>
      <c r="BL194" s="4945"/>
      <c r="BM194" s="4939"/>
      <c r="BN194" s="4944">
        <f>'New Tax Regime'!M13</f>
        <v>0</v>
      </c>
      <c r="BO194" s="4937"/>
    </row>
    <row r="195" spans="57:67" ht="24.95" hidden="1" customHeight="1">
      <c r="BE195" s="4938" t="e">
        <f>IF(#REF!=1,"Total Savings U/S 80C","Total Savings U/S 80C+U/S 80 CCD(1B)")</f>
        <v>#REF!</v>
      </c>
      <c r="BF195" s="4945"/>
      <c r="BG195" s="4945"/>
      <c r="BH195" s="4945"/>
      <c r="BI195" s="4945"/>
      <c r="BJ195" s="4945"/>
      <c r="BK195" s="4945"/>
      <c r="BL195" s="4945"/>
      <c r="BM195" s="4939"/>
      <c r="BN195" s="4941">
        <f>'New Tax Regime'!M60</f>
        <v>0</v>
      </c>
      <c r="BO195" s="4943"/>
    </row>
    <row r="196" spans="57:67" ht="24.95" hidden="1" customHeight="1">
      <c r="BE196" s="4938" t="s">
        <v>200</v>
      </c>
      <c r="BF196" s="4945"/>
      <c r="BG196" s="4945"/>
      <c r="BH196" s="4945"/>
      <c r="BI196" s="4945"/>
      <c r="BJ196" s="4945"/>
      <c r="BK196" s="4945"/>
      <c r="BL196" s="4945"/>
      <c r="BM196" s="4939"/>
      <c r="BN196" s="4941" t="str">
        <f>'New Tax Regime'!L42</f>
        <v>Rs</v>
      </c>
      <c r="BO196" s="4943"/>
    </row>
    <row r="197" spans="57:67" ht="24.95" hidden="1" customHeight="1">
      <c r="BE197" s="4938" t="s">
        <v>792</v>
      </c>
      <c r="BF197" s="4945"/>
      <c r="BG197" s="4945"/>
      <c r="BH197" s="4945"/>
      <c r="BI197" s="4945"/>
      <c r="BJ197" s="4945"/>
      <c r="BK197" s="4945"/>
      <c r="BL197" s="4945"/>
      <c r="BM197" s="4939"/>
      <c r="BN197" s="4937">
        <f>'New Tax Regime'!K64</f>
        <v>0</v>
      </c>
      <c r="BO197" s="4937"/>
    </row>
    <row r="198" spans="57:67" ht="24.95" hidden="1" customHeight="1">
      <c r="BE198" s="4938" t="s">
        <v>804</v>
      </c>
      <c r="BF198" s="4945"/>
      <c r="BG198" s="4945"/>
      <c r="BH198" s="4945"/>
      <c r="BI198" s="4945"/>
      <c r="BJ198" s="4945"/>
      <c r="BK198" s="4945"/>
      <c r="BL198" s="4945"/>
      <c r="BM198" s="4939"/>
      <c r="BN198" s="4937">
        <f>'New Tax Regime'!M64</f>
        <v>0</v>
      </c>
      <c r="BO198" s="4937"/>
    </row>
    <row r="199" spans="57:67" ht="24.95" hidden="1" customHeight="1">
      <c r="BE199" s="4941" t="s">
        <v>793</v>
      </c>
      <c r="BF199" s="4942"/>
      <c r="BG199" s="4942"/>
      <c r="BH199" s="4942"/>
      <c r="BI199" s="4942"/>
      <c r="BJ199" s="4942"/>
      <c r="BK199" s="4942"/>
      <c r="BL199" s="4942"/>
      <c r="BM199" s="4943"/>
      <c r="BN199" s="4944">
        <f>'New Tax Regime'!M76</f>
        <v>0</v>
      </c>
      <c r="BO199" s="4937"/>
    </row>
    <row r="200" spans="57:67" ht="24.95" hidden="1" customHeight="1">
      <c r="BE200" s="4938" t="s">
        <v>794</v>
      </c>
      <c r="BF200" s="4945"/>
      <c r="BG200" s="4945"/>
      <c r="BH200" s="4945"/>
      <c r="BI200" s="4945"/>
      <c r="BJ200" s="4945"/>
      <c r="BK200" s="4945"/>
      <c r="BL200" s="4945"/>
      <c r="BM200" s="4939"/>
      <c r="BN200" s="4937">
        <f>'New Tax Regime'!M77</f>
        <v>0</v>
      </c>
      <c r="BO200" s="4937"/>
    </row>
    <row r="201" spans="57:67" ht="24" hidden="1" customHeight="1">
      <c r="BE201" s="4938">
        <f>'New Tax Regime'!J83</f>
        <v>0</v>
      </c>
      <c r="BF201" s="4945"/>
      <c r="BG201" s="4945"/>
      <c r="BH201" s="4945"/>
      <c r="BI201" s="4945"/>
      <c r="BJ201" s="4945"/>
      <c r="BK201" s="4945"/>
      <c r="BL201" s="4945"/>
      <c r="BM201" s="4939"/>
      <c r="BN201" s="4938">
        <f>'New Tax Regime'!M83</f>
        <v>0</v>
      </c>
      <c r="BO201" s="4939"/>
    </row>
    <row r="202" spans="57:67" ht="24.95" hidden="1" customHeight="1">
      <c r="BE202" s="4937" t="s">
        <v>795</v>
      </c>
      <c r="BF202" s="4937"/>
      <c r="BG202" s="4937"/>
      <c r="BH202" s="4937"/>
      <c r="BI202" s="4937"/>
      <c r="BJ202" s="4937"/>
      <c r="BK202" s="4937"/>
      <c r="BL202" s="4937"/>
      <c r="BM202" s="4937"/>
      <c r="BN202" s="4938" t="e">
        <f>IF('New Tax Regime'!S14&gt;0,'New Tax Regime'!S14,'New Tax Regime'!AL12)</f>
        <v>#REF!</v>
      </c>
      <c r="BO202" s="4939"/>
    </row>
    <row r="203" spans="57:67" ht="24.95" hidden="1" customHeight="1">
      <c r="BE203" s="4940" t="s">
        <v>796</v>
      </c>
      <c r="BF203" s="4940"/>
      <c r="BG203" s="4940"/>
      <c r="BH203" s="4940"/>
      <c r="BI203" s="4940"/>
      <c r="BJ203" s="4940"/>
      <c r="BK203" s="4940"/>
      <c r="BL203" s="4940"/>
      <c r="BM203" s="4940"/>
      <c r="BN203" s="4940" t="e">
        <f>SUM(BN202*12)</f>
        <v>#REF!</v>
      </c>
      <c r="BO203" s="4940"/>
    </row>
    <row r="204" spans="57:67" ht="24.95" hidden="1" customHeight="1">
      <c r="BE204" s="4940"/>
      <c r="BF204" s="4940"/>
      <c r="BG204" s="4940"/>
      <c r="BH204" s="4940"/>
      <c r="BI204" s="4940"/>
      <c r="BJ204" s="4940"/>
      <c r="BK204" s="4940"/>
      <c r="BL204" s="4940"/>
      <c r="BM204" s="4940"/>
      <c r="BN204" s="4940"/>
      <c r="BO204" s="4940"/>
    </row>
    <row r="205" spans="57:67" ht="15" hidden="1"/>
  </sheetData>
  <sheetProtection algorithmName="SHA-512" hashValue="HB1k04OenG89Ms43qyJ0kjNw/53ylt5/9Y8xaTMNkW581Uz3wvoqaz7sTKp4sX02YEJd0DIvJM41tRh15DF8jQ==" saltValue="6IvNy5lP8djEb4CudtyAIg==" spinCount="100000" sheet="1" selectLockedCells="1"/>
  <customSheetViews>
    <customSheetView guid="{DDA22D69-94B5-45BC-9EE2-6055A845129B}" hiddenRows="1" hiddenColumns="1">
      <selection activeCell="W57" sqref="W57"/>
      <pageMargins left="0.7" right="0.7" top="0.75" bottom="0.75" header="0.3" footer="0.3"/>
      <pageSetup orientation="portrait" r:id="rId1"/>
    </customSheetView>
    <customSheetView guid="{1B7577DB-E3C4-4E68-B7CF-8F86FF7C5A82}" hiddenRows="1" hiddenColumns="1" topLeftCell="A19">
      <selection activeCell="S29" sqref="S29"/>
      <pageMargins left="0.7" right="0.7" top="0.75" bottom="0.75" header="0.3" footer="0.3"/>
      <pageSetup orientation="portrait" r:id="rId2"/>
    </customSheetView>
    <customSheetView guid="{E7B1C62B-1F1D-4A62-BD87-EE62D3A36B6C}" hiddenRows="1" hiddenColumns="1" topLeftCell="A59">
      <selection activeCell="W57" sqref="W57"/>
      <pageMargins left="0.7" right="0.7" top="0.75" bottom="0.75" header="0.3" footer="0.3"/>
      <pageSetup orientation="portrait" r:id="rId3"/>
    </customSheetView>
  </customSheetViews>
  <mergeCells count="298">
    <mergeCell ref="AA32:AC33"/>
    <mergeCell ref="C33:P33"/>
    <mergeCell ref="C31:C32"/>
    <mergeCell ref="E34:P34"/>
    <mergeCell ref="D45:D46"/>
    <mergeCell ref="E47:P47"/>
    <mergeCell ref="E36:N36"/>
    <mergeCell ref="O35:P35"/>
    <mergeCell ref="O36:P36"/>
    <mergeCell ref="C37:P37"/>
    <mergeCell ref="C35:C36"/>
    <mergeCell ref="E38:P38"/>
    <mergeCell ref="O31:P31"/>
    <mergeCell ref="E31:N31"/>
    <mergeCell ref="O32:P32"/>
    <mergeCell ref="E32:N32"/>
    <mergeCell ref="C45:C46"/>
    <mergeCell ref="E50:P50"/>
    <mergeCell ref="E35:N35"/>
    <mergeCell ref="C39:C41"/>
    <mergeCell ref="O60:P60"/>
    <mergeCell ref="E53:N53"/>
    <mergeCell ref="O53:P53"/>
    <mergeCell ref="D51:D55"/>
    <mergeCell ref="D48:D49"/>
    <mergeCell ref="E48:N48"/>
    <mergeCell ref="O48:P48"/>
    <mergeCell ref="E49:N49"/>
    <mergeCell ref="E41:N41"/>
    <mergeCell ref="E42:P42"/>
    <mergeCell ref="C43:P43"/>
    <mergeCell ref="E44:P44"/>
    <mergeCell ref="D39:D41"/>
    <mergeCell ref="O49:P49"/>
    <mergeCell ref="O39:P39"/>
    <mergeCell ref="E39:N39"/>
    <mergeCell ref="E46:N46"/>
    <mergeCell ref="C60:C61"/>
    <mergeCell ref="E61:N61"/>
    <mergeCell ref="D60:D61"/>
    <mergeCell ref="O61:P61"/>
    <mergeCell ref="C48:C49"/>
    <mergeCell ref="O40:P40"/>
    <mergeCell ref="O41:P41"/>
    <mergeCell ref="E40:N40"/>
    <mergeCell ref="O45:P45"/>
    <mergeCell ref="O46:P46"/>
    <mergeCell ref="E45:N45"/>
    <mergeCell ref="X23:Y23"/>
    <mergeCell ref="X24:Y24"/>
    <mergeCell ref="X25:Y25"/>
    <mergeCell ref="T23:W23"/>
    <mergeCell ref="T24:W24"/>
    <mergeCell ref="T25:W25"/>
    <mergeCell ref="G26:N26"/>
    <mergeCell ref="G27:N27"/>
    <mergeCell ref="G28:N28"/>
    <mergeCell ref="R27:Y30"/>
    <mergeCell ref="E29:N29"/>
    <mergeCell ref="O27:P27"/>
    <mergeCell ref="O28:P28"/>
    <mergeCell ref="E30:P30"/>
    <mergeCell ref="AA2:AC3"/>
    <mergeCell ref="E59:P59"/>
    <mergeCell ref="C51:C55"/>
    <mergeCell ref="F54:N54"/>
    <mergeCell ref="F55:N55"/>
    <mergeCell ref="E56:P56"/>
    <mergeCell ref="O57:P57"/>
    <mergeCell ref="O58:P58"/>
    <mergeCell ref="E57:N57"/>
    <mergeCell ref="E58:N58"/>
    <mergeCell ref="C57:C58"/>
    <mergeCell ref="D57:D58"/>
    <mergeCell ref="O51:P51"/>
    <mergeCell ref="O52:P52"/>
    <mergeCell ref="O54:P54"/>
    <mergeCell ref="O55:P55"/>
    <mergeCell ref="E51:N51"/>
    <mergeCell ref="O24:P24"/>
    <mergeCell ref="O25:P25"/>
    <mergeCell ref="O26:P26"/>
    <mergeCell ref="O29:P29"/>
    <mergeCell ref="C19:C29"/>
    <mergeCell ref="D19:D29"/>
    <mergeCell ref="F25:N25"/>
    <mergeCell ref="G21:N21"/>
    <mergeCell ref="G22:N22"/>
    <mergeCell ref="G23:N23"/>
    <mergeCell ref="F19:N19"/>
    <mergeCell ref="F20:N20"/>
    <mergeCell ref="F24:N24"/>
    <mergeCell ref="O20:P20"/>
    <mergeCell ref="O21:P21"/>
    <mergeCell ref="O22:P22"/>
    <mergeCell ref="O23:P23"/>
    <mergeCell ref="R4:Y5"/>
    <mergeCell ref="AB16:AC16"/>
    <mergeCell ref="C17:C18"/>
    <mergeCell ref="O12:P12"/>
    <mergeCell ref="O15:P15"/>
    <mergeCell ref="D17:D18"/>
    <mergeCell ref="E17:P18"/>
    <mergeCell ref="O11:P11"/>
    <mergeCell ref="O13:P13"/>
    <mergeCell ref="O14:P14"/>
    <mergeCell ref="C7:C15"/>
    <mergeCell ref="T7:Y7"/>
    <mergeCell ref="X9:Y9"/>
    <mergeCell ref="X10:Y10"/>
    <mergeCell ref="X11:Y11"/>
    <mergeCell ref="D7:D15"/>
    <mergeCell ref="C4:D5"/>
    <mergeCell ref="E4:P5"/>
    <mergeCell ref="AA4:AC5"/>
    <mergeCell ref="AA6:AC6"/>
    <mergeCell ref="X15:Y15"/>
    <mergeCell ref="T16:W16"/>
    <mergeCell ref="X16:Y16"/>
    <mergeCell ref="X8:Y8"/>
    <mergeCell ref="C62:N62"/>
    <mergeCell ref="O62:P62"/>
    <mergeCell ref="C63:D63"/>
    <mergeCell ref="E63:P63"/>
    <mergeCell ref="C65:D65"/>
    <mergeCell ref="E65:P65"/>
    <mergeCell ref="C69:P69"/>
    <mergeCell ref="F52:N52"/>
    <mergeCell ref="C124:O124"/>
    <mergeCell ref="P105:AI105"/>
    <mergeCell ref="P107:AI107"/>
    <mergeCell ref="P108:AI108"/>
    <mergeCell ref="C109:N111"/>
    <mergeCell ref="P109:AI111"/>
    <mergeCell ref="AB99:AI99"/>
    <mergeCell ref="C101:N101"/>
    <mergeCell ref="P101:AI101"/>
    <mergeCell ref="C102:N108"/>
    <mergeCell ref="P102:AI102"/>
    <mergeCell ref="P103:AI103"/>
    <mergeCell ref="P104:AI104"/>
    <mergeCell ref="AC76:AC78"/>
    <mergeCell ref="AA77:AB77"/>
    <mergeCell ref="AA78:AB78"/>
    <mergeCell ref="C125:AC125"/>
    <mergeCell ref="C127:AC127"/>
    <mergeCell ref="C128:O128"/>
    <mergeCell ref="C129:S129"/>
    <mergeCell ref="C130:R130"/>
    <mergeCell ref="C112:N116"/>
    <mergeCell ref="P112:AI112"/>
    <mergeCell ref="P113:AI113"/>
    <mergeCell ref="P114:AI116"/>
    <mergeCell ref="P117:AI118"/>
    <mergeCell ref="C120:I120"/>
    <mergeCell ref="C121:AC121"/>
    <mergeCell ref="C123:AC123"/>
    <mergeCell ref="BL150:BO150"/>
    <mergeCell ref="BL151:BO151"/>
    <mergeCell ref="BL152:BO152"/>
    <mergeCell ref="BL153:BO153"/>
    <mergeCell ref="BL154:BO154"/>
    <mergeCell ref="BL155:BO155"/>
    <mergeCell ref="C133:AC140"/>
    <mergeCell ref="E141:M141"/>
    <mergeCell ref="E142:AI142"/>
    <mergeCell ref="BL147:BO147"/>
    <mergeCell ref="BL148:BO148"/>
    <mergeCell ref="BL149:BO149"/>
    <mergeCell ref="BM167:BR167"/>
    <mergeCell ref="BE190:BM190"/>
    <mergeCell ref="BN190:BO190"/>
    <mergeCell ref="BE191:BM191"/>
    <mergeCell ref="BN191:BO191"/>
    <mergeCell ref="BE192:BM192"/>
    <mergeCell ref="BN192:BO192"/>
    <mergeCell ref="BL156:BO156"/>
    <mergeCell ref="BL157:BO157"/>
    <mergeCell ref="BL162:BR162"/>
    <mergeCell ref="BM164:BQ164"/>
    <mergeCell ref="BM165:BR165"/>
    <mergeCell ref="BM166:BR166"/>
    <mergeCell ref="BE196:BM196"/>
    <mergeCell ref="BN196:BO196"/>
    <mergeCell ref="BE197:BM197"/>
    <mergeCell ref="BN197:BO197"/>
    <mergeCell ref="BE198:BM198"/>
    <mergeCell ref="BN198:BO198"/>
    <mergeCell ref="BE193:BM193"/>
    <mergeCell ref="BN193:BO193"/>
    <mergeCell ref="BE194:BM194"/>
    <mergeCell ref="BN194:BO194"/>
    <mergeCell ref="BE195:BM195"/>
    <mergeCell ref="BN195:BO195"/>
    <mergeCell ref="BE202:BM202"/>
    <mergeCell ref="BN202:BO202"/>
    <mergeCell ref="BE203:BM203"/>
    <mergeCell ref="BN203:BO203"/>
    <mergeCell ref="BE204:BM204"/>
    <mergeCell ref="BN204:BO204"/>
    <mergeCell ref="BE199:BM199"/>
    <mergeCell ref="BN199:BO199"/>
    <mergeCell ref="BE200:BM200"/>
    <mergeCell ref="BN200:BO200"/>
    <mergeCell ref="BE201:BM201"/>
    <mergeCell ref="BN201:BO201"/>
    <mergeCell ref="E15:N15"/>
    <mergeCell ref="C16:P16"/>
    <mergeCell ref="T9:W9"/>
    <mergeCell ref="T10:W10"/>
    <mergeCell ref="T11:W11"/>
    <mergeCell ref="T12:W12"/>
    <mergeCell ref="X12:Y12"/>
    <mergeCell ref="S13:Y13"/>
    <mergeCell ref="T14:W14"/>
    <mergeCell ref="X14:Y14"/>
    <mergeCell ref="T21:W21"/>
    <mergeCell ref="X21:Y21"/>
    <mergeCell ref="O8:P8"/>
    <mergeCell ref="T6:Y6"/>
    <mergeCell ref="R22:Y22"/>
    <mergeCell ref="R8:R16"/>
    <mergeCell ref="T15:W15"/>
    <mergeCell ref="O7:P7"/>
    <mergeCell ref="O9:P9"/>
    <mergeCell ref="O10:P10"/>
    <mergeCell ref="S8:W8"/>
    <mergeCell ref="R17:Y19"/>
    <mergeCell ref="X20:Y20"/>
    <mergeCell ref="T20:W20"/>
    <mergeCell ref="BP76:BP78"/>
    <mergeCell ref="BF75:BL75"/>
    <mergeCell ref="BF70:BO70"/>
    <mergeCell ref="BF79:BL79"/>
    <mergeCell ref="BF80:BL80"/>
    <mergeCell ref="BF81:BL81"/>
    <mergeCell ref="BF82:BL82"/>
    <mergeCell ref="BF83:BL83"/>
    <mergeCell ref="BF71:BO71"/>
    <mergeCell ref="BF72:BO72"/>
    <mergeCell ref="BF73:BO73"/>
    <mergeCell ref="BF74:BO74"/>
    <mergeCell ref="BF76:BL76"/>
    <mergeCell ref="BF77:BL77"/>
    <mergeCell ref="BF78:BL78"/>
    <mergeCell ref="BN76:BO76"/>
    <mergeCell ref="BN77:BO77"/>
    <mergeCell ref="BN78:BO78"/>
    <mergeCell ref="BE95:BO95"/>
    <mergeCell ref="BN79:BO94"/>
    <mergeCell ref="BF84:BL84"/>
    <mergeCell ref="BF85:BL85"/>
    <mergeCell ref="BF93:BL93"/>
    <mergeCell ref="BF94:BL94"/>
    <mergeCell ref="BF86:BL86"/>
    <mergeCell ref="BF87:BL87"/>
    <mergeCell ref="BF88:BL88"/>
    <mergeCell ref="BF89:BL89"/>
    <mergeCell ref="BF90:BL90"/>
    <mergeCell ref="BF91:BL91"/>
    <mergeCell ref="BF92:BL92"/>
    <mergeCell ref="S90:X90"/>
    <mergeCell ref="S91:X91"/>
    <mergeCell ref="S70:AB70"/>
    <mergeCell ref="S71:AB71"/>
    <mergeCell ref="S72:AB72"/>
    <mergeCell ref="S73:AB73"/>
    <mergeCell ref="S74:AB74"/>
    <mergeCell ref="S75:Y75"/>
    <mergeCell ref="AA76:AB76"/>
    <mergeCell ref="AA79:AB94"/>
    <mergeCell ref="S92:X92"/>
    <mergeCell ref="S93:X93"/>
    <mergeCell ref="S94:X94"/>
    <mergeCell ref="C95:P95"/>
    <mergeCell ref="AA27:AC31"/>
    <mergeCell ref="C67:F67"/>
    <mergeCell ref="G67:M67"/>
    <mergeCell ref="N67:P67"/>
    <mergeCell ref="C68:F68"/>
    <mergeCell ref="G68:M68"/>
    <mergeCell ref="N68:P68"/>
    <mergeCell ref="R95:AB95"/>
    <mergeCell ref="R69:AC69"/>
    <mergeCell ref="S76:X76"/>
    <mergeCell ref="S77:X77"/>
    <mergeCell ref="S78:X78"/>
    <mergeCell ref="S79:X79"/>
    <mergeCell ref="S80:X80"/>
    <mergeCell ref="S81:X81"/>
    <mergeCell ref="S82:X82"/>
    <mergeCell ref="S83:X83"/>
    <mergeCell ref="S84:X84"/>
    <mergeCell ref="S85:X85"/>
    <mergeCell ref="S86:X86"/>
    <mergeCell ref="S87:X87"/>
    <mergeCell ref="S88:X88"/>
    <mergeCell ref="S89:X89"/>
  </mergeCells>
  <conditionalFormatting sqref="X20:Y20">
    <cfRule type="expression" dxfId="13" priority="2">
      <formula>$X$21&gt;0</formula>
    </cfRule>
    <cfRule type="expression" dxfId="12" priority="3">
      <formula>$X$21&gt;0</formula>
    </cfRule>
  </conditionalFormatting>
  <conditionalFormatting sqref="X21:Y21">
    <cfRule type="expression" dxfId="11" priority="1">
      <formula>$X$20&gt;0</formula>
    </cfRule>
  </conditionalFormatting>
  <dataValidations count="2">
    <dataValidation type="custom" allowBlank="1" showInputMessage="1" showErrorMessage="1" error="you have already claimed deduction U/S 80EE.There for it won't allow you to claim U/S 80EEA" sqref="X21:Y21" xr:uid="{00000000-0002-0000-0800-000000000000}">
      <formula1>$X$20="&gt;0"</formula1>
    </dataValidation>
    <dataValidation type="custom" allowBlank="1" showInputMessage="1" showErrorMessage="1" error="you have already claimed deduction U/S 80EEA.There for it won't allow you to claim U/S 80EE" sqref="X20:Y20" xr:uid="{00000000-0002-0000-0800-000001000000}">
      <formula1>$X$21="&gt;0"</formula1>
    </dataValidation>
  </dataValidations>
  <pageMargins left="0.7" right="0.7" top="0.75" bottom="0.75" header="0.3" footer="0.3"/>
  <pageSetup orientation="portrait" r:id="rId4"/>
  <ignoredErrors>
    <ignoredError sqref="O61 O49 O52 O54:O55 X23:X24" unlockedFormula="1"/>
    <ignoredError sqref="O62" evalError="1"/>
  </ignoredErrors>
  <drawing r:id="rId5"/>
  <legacyDrawing r:id="rId6"/>
  <mc:AlternateContent xmlns:mc="http://schemas.openxmlformats.org/markup-compatibility/2006">
    <mc:Choice Requires="x14">
      <controls>
        <mc:AlternateContent xmlns:mc="http://schemas.openxmlformats.org/markup-compatibility/2006">
          <mc:Choice Requires="x14">
            <control shapeId="128010" r:id="rId7" name="Drop Down 10">
              <controlPr defaultSize="0" autoLine="0" autoPict="0">
                <anchor moveWithCells="1">
                  <from>
                    <xdr:col>5</xdr:col>
                    <xdr:colOff>142875</xdr:colOff>
                    <xdr:row>6</xdr:row>
                    <xdr:rowOff>9525</xdr:rowOff>
                  </from>
                  <to>
                    <xdr:col>12</xdr:col>
                    <xdr:colOff>66675</xdr:colOff>
                    <xdr:row>6</xdr:row>
                    <xdr:rowOff>342900</xdr:rowOff>
                  </to>
                </anchor>
              </controlPr>
            </control>
          </mc:Choice>
        </mc:AlternateContent>
        <mc:AlternateContent xmlns:mc="http://schemas.openxmlformats.org/markup-compatibility/2006">
          <mc:Choice Requires="x14">
            <control shapeId="128012" r:id="rId8" name="Drop Down 12">
              <controlPr defaultSize="0" autoLine="0" autoPict="0">
                <anchor moveWithCells="1">
                  <from>
                    <xdr:col>5</xdr:col>
                    <xdr:colOff>142875</xdr:colOff>
                    <xdr:row>7</xdr:row>
                    <xdr:rowOff>0</xdr:rowOff>
                  </from>
                  <to>
                    <xdr:col>12</xdr:col>
                    <xdr:colOff>85725</xdr:colOff>
                    <xdr:row>7</xdr:row>
                    <xdr:rowOff>342900</xdr:rowOff>
                  </to>
                </anchor>
              </controlPr>
            </control>
          </mc:Choice>
        </mc:AlternateContent>
        <mc:AlternateContent xmlns:mc="http://schemas.openxmlformats.org/markup-compatibility/2006">
          <mc:Choice Requires="x14">
            <control shapeId="128013" r:id="rId9" name="Drop Down 13">
              <controlPr defaultSize="0" autoLine="0" autoPict="0">
                <anchor moveWithCells="1">
                  <from>
                    <xdr:col>5</xdr:col>
                    <xdr:colOff>152400</xdr:colOff>
                    <xdr:row>8</xdr:row>
                    <xdr:rowOff>9525</xdr:rowOff>
                  </from>
                  <to>
                    <xdr:col>12</xdr:col>
                    <xdr:colOff>85725</xdr:colOff>
                    <xdr:row>8</xdr:row>
                    <xdr:rowOff>352425</xdr:rowOff>
                  </to>
                </anchor>
              </controlPr>
            </control>
          </mc:Choice>
        </mc:AlternateContent>
        <mc:AlternateContent xmlns:mc="http://schemas.openxmlformats.org/markup-compatibility/2006">
          <mc:Choice Requires="x14">
            <control shapeId="128014" r:id="rId10" name="Drop Down 14">
              <controlPr defaultSize="0" autoLine="0" autoPict="0">
                <anchor moveWithCells="1">
                  <from>
                    <xdr:col>5</xdr:col>
                    <xdr:colOff>152400</xdr:colOff>
                    <xdr:row>9</xdr:row>
                    <xdr:rowOff>0</xdr:rowOff>
                  </from>
                  <to>
                    <xdr:col>12</xdr:col>
                    <xdr:colOff>85725</xdr:colOff>
                    <xdr:row>9</xdr:row>
                    <xdr:rowOff>333375</xdr:rowOff>
                  </to>
                </anchor>
              </controlPr>
            </control>
          </mc:Choice>
        </mc:AlternateContent>
        <mc:AlternateContent xmlns:mc="http://schemas.openxmlformats.org/markup-compatibility/2006">
          <mc:Choice Requires="x14">
            <control shapeId="128015" r:id="rId11" name="Drop Down 15">
              <controlPr defaultSize="0" autoLine="0" autoPict="0">
                <anchor moveWithCells="1">
                  <from>
                    <xdr:col>5</xdr:col>
                    <xdr:colOff>152400</xdr:colOff>
                    <xdr:row>9</xdr:row>
                    <xdr:rowOff>304800</xdr:rowOff>
                  </from>
                  <to>
                    <xdr:col>12</xdr:col>
                    <xdr:colOff>85725</xdr:colOff>
                    <xdr:row>10</xdr:row>
                    <xdr:rowOff>295275</xdr:rowOff>
                  </to>
                </anchor>
              </controlPr>
            </control>
          </mc:Choice>
        </mc:AlternateContent>
        <mc:AlternateContent xmlns:mc="http://schemas.openxmlformats.org/markup-compatibility/2006">
          <mc:Choice Requires="x14">
            <control shapeId="128016" r:id="rId12" name="Drop Down 16">
              <controlPr defaultSize="0" autoLine="0" autoPict="0">
                <anchor moveWithCells="1">
                  <from>
                    <xdr:col>5</xdr:col>
                    <xdr:colOff>161925</xdr:colOff>
                    <xdr:row>10</xdr:row>
                    <xdr:rowOff>295275</xdr:rowOff>
                  </from>
                  <to>
                    <xdr:col>12</xdr:col>
                    <xdr:colOff>85725</xdr:colOff>
                    <xdr:row>11</xdr:row>
                    <xdr:rowOff>323850</xdr:rowOff>
                  </to>
                </anchor>
              </controlPr>
            </control>
          </mc:Choice>
        </mc:AlternateContent>
        <mc:AlternateContent xmlns:mc="http://schemas.openxmlformats.org/markup-compatibility/2006">
          <mc:Choice Requires="x14">
            <control shapeId="128017" r:id="rId13" name="Drop Down 17">
              <controlPr defaultSize="0" autoLine="0" autoPict="0">
                <anchor moveWithCells="1">
                  <from>
                    <xdr:col>5</xdr:col>
                    <xdr:colOff>142875</xdr:colOff>
                    <xdr:row>11</xdr:row>
                    <xdr:rowOff>333375</xdr:rowOff>
                  </from>
                  <to>
                    <xdr:col>12</xdr:col>
                    <xdr:colOff>76200</xdr:colOff>
                    <xdr:row>12</xdr:row>
                    <xdr:rowOff>333375</xdr:rowOff>
                  </to>
                </anchor>
              </controlPr>
            </control>
          </mc:Choice>
        </mc:AlternateContent>
        <mc:AlternateContent xmlns:mc="http://schemas.openxmlformats.org/markup-compatibility/2006">
          <mc:Choice Requires="x14">
            <control shapeId="128024" r:id="rId14" name="Drop Down 24">
              <controlPr defaultSize="0" autoLine="0" autoPict="0">
                <anchor moveWithCells="1">
                  <from>
                    <xdr:col>6</xdr:col>
                    <xdr:colOff>314325</xdr:colOff>
                    <xdr:row>44</xdr:row>
                    <xdr:rowOff>0</xdr:rowOff>
                  </from>
                  <to>
                    <xdr:col>12</xdr:col>
                    <xdr:colOff>762000</xdr:colOff>
                    <xdr:row>44</xdr:row>
                    <xdr:rowOff>342900</xdr:rowOff>
                  </to>
                </anchor>
              </controlPr>
            </control>
          </mc:Choice>
        </mc:AlternateContent>
        <mc:AlternateContent xmlns:mc="http://schemas.openxmlformats.org/markup-compatibility/2006">
          <mc:Choice Requires="x14">
            <control shapeId="128028" r:id="rId15" name="Drop Down 28">
              <controlPr defaultSize="0" autoLine="0" autoPict="0">
                <anchor moveWithCells="1">
                  <from>
                    <xdr:col>6</xdr:col>
                    <xdr:colOff>400050</xdr:colOff>
                    <xdr:row>59</xdr:row>
                    <xdr:rowOff>9525</xdr:rowOff>
                  </from>
                  <to>
                    <xdr:col>12</xdr:col>
                    <xdr:colOff>600075</xdr:colOff>
                    <xdr:row>59</xdr:row>
                    <xdr:rowOff>361950</xdr:rowOff>
                  </to>
                </anchor>
              </controlPr>
            </control>
          </mc:Choice>
        </mc:AlternateContent>
        <mc:AlternateContent xmlns:mc="http://schemas.openxmlformats.org/markup-compatibility/2006">
          <mc:Choice Requires="x14">
            <control shapeId="128083" r:id="rId16" name="Drop Down 83">
              <controlPr defaultSize="0" autoLine="0" autoPict="0">
                <anchor moveWithCells="1">
                  <from>
                    <xdr:col>14</xdr:col>
                    <xdr:colOff>19050</xdr:colOff>
                    <xdr:row>18</xdr:row>
                    <xdr:rowOff>0</xdr:rowOff>
                  </from>
                  <to>
                    <xdr:col>15</xdr:col>
                    <xdr:colOff>819150</xdr:colOff>
                    <xdr:row>18</xdr:row>
                    <xdr:rowOff>428625</xdr:rowOff>
                  </to>
                </anchor>
              </controlPr>
            </control>
          </mc:Choice>
        </mc:AlternateContent>
        <mc:AlternateContent xmlns:mc="http://schemas.openxmlformats.org/markup-compatibility/2006">
          <mc:Choice Requires="x14">
            <control shapeId="128085" r:id="rId17" name="Drop Down 85">
              <controlPr defaultSize="0" autoLine="0" autoPict="0">
                <anchor moveWithCells="1">
                  <from>
                    <xdr:col>14</xdr:col>
                    <xdr:colOff>0</xdr:colOff>
                    <xdr:row>29</xdr:row>
                    <xdr:rowOff>381000</xdr:rowOff>
                  </from>
                  <to>
                    <xdr:col>16</xdr:col>
                    <xdr:colOff>0</xdr:colOff>
                    <xdr:row>30</xdr:row>
                    <xdr:rowOff>342900</xdr:rowOff>
                  </to>
                </anchor>
              </controlPr>
            </control>
          </mc:Choice>
        </mc:AlternateContent>
        <mc:AlternateContent xmlns:mc="http://schemas.openxmlformats.org/markup-compatibility/2006">
          <mc:Choice Requires="x14">
            <control shapeId="128086" r:id="rId18" name="Drop Down 86">
              <controlPr defaultSize="0" autoLine="0" autoPict="0">
                <anchor moveWithCells="1">
                  <from>
                    <xdr:col>14</xdr:col>
                    <xdr:colOff>0</xdr:colOff>
                    <xdr:row>34</xdr:row>
                    <xdr:rowOff>0</xdr:rowOff>
                  </from>
                  <to>
                    <xdr:col>16</xdr:col>
                    <xdr:colOff>9525</xdr:colOff>
                    <xdr:row>34</xdr:row>
                    <xdr:rowOff>381000</xdr:rowOff>
                  </to>
                </anchor>
              </controlPr>
            </control>
          </mc:Choice>
        </mc:AlternateContent>
        <mc:AlternateContent xmlns:mc="http://schemas.openxmlformats.org/markup-compatibility/2006">
          <mc:Choice Requires="x14">
            <control shapeId="128087" r:id="rId19" name="Drop Down 87">
              <controlPr defaultSize="0" autoLine="0" autoPict="0">
                <anchor moveWithCells="1">
                  <from>
                    <xdr:col>14</xdr:col>
                    <xdr:colOff>9525</xdr:colOff>
                    <xdr:row>37</xdr:row>
                    <xdr:rowOff>409575</xdr:rowOff>
                  </from>
                  <to>
                    <xdr:col>15</xdr:col>
                    <xdr:colOff>819150</xdr:colOff>
                    <xdr:row>38</xdr:row>
                    <xdr:rowOff>390525</xdr:rowOff>
                  </to>
                </anchor>
              </controlPr>
            </control>
          </mc:Choice>
        </mc:AlternateContent>
        <mc:AlternateContent xmlns:mc="http://schemas.openxmlformats.org/markup-compatibility/2006">
          <mc:Choice Requires="x14">
            <control shapeId="128088" r:id="rId20" name="Drop Down 88">
              <controlPr defaultSize="0" autoLine="0" autoPict="0">
                <anchor moveWithCells="1">
                  <from>
                    <xdr:col>6</xdr:col>
                    <xdr:colOff>228600</xdr:colOff>
                    <xdr:row>50</xdr:row>
                    <xdr:rowOff>9525</xdr:rowOff>
                  </from>
                  <to>
                    <xdr:col>12</xdr:col>
                    <xdr:colOff>704850</xdr:colOff>
                    <xdr:row>50</xdr:row>
                    <xdr:rowOff>390525</xdr:rowOff>
                  </to>
                </anchor>
              </controlPr>
            </control>
          </mc:Choice>
        </mc:AlternateContent>
        <mc:AlternateContent xmlns:mc="http://schemas.openxmlformats.org/markup-compatibility/2006">
          <mc:Choice Requires="x14">
            <control shapeId="128089" r:id="rId21" name="Drop Down 89">
              <controlPr defaultSize="0" autoLine="0" autoPict="0">
                <anchor moveWithCells="1">
                  <from>
                    <xdr:col>6</xdr:col>
                    <xdr:colOff>247650</xdr:colOff>
                    <xdr:row>47</xdr:row>
                    <xdr:rowOff>0</xdr:rowOff>
                  </from>
                  <to>
                    <xdr:col>12</xdr:col>
                    <xdr:colOff>723900</xdr:colOff>
                    <xdr:row>47</xdr:row>
                    <xdr:rowOff>381000</xdr:rowOff>
                  </to>
                </anchor>
              </controlPr>
            </control>
          </mc:Choice>
        </mc:AlternateContent>
        <mc:AlternateContent xmlns:mc="http://schemas.openxmlformats.org/markup-compatibility/2006">
          <mc:Choice Requires="x14">
            <control shapeId="128090" r:id="rId22" name="Drop Down 90">
              <controlPr defaultSize="0" autoLine="0" autoPict="0">
                <anchor moveWithCells="1">
                  <from>
                    <xdr:col>6</xdr:col>
                    <xdr:colOff>219075</xdr:colOff>
                    <xdr:row>52</xdr:row>
                    <xdr:rowOff>28575</xdr:rowOff>
                  </from>
                  <to>
                    <xdr:col>12</xdr:col>
                    <xdr:colOff>704850</xdr:colOff>
                    <xdr:row>52</xdr:row>
                    <xdr:rowOff>400050</xdr:rowOff>
                  </to>
                </anchor>
              </controlPr>
            </control>
          </mc:Choice>
        </mc:AlternateContent>
        <mc:AlternateContent xmlns:mc="http://schemas.openxmlformats.org/markup-compatibility/2006">
          <mc:Choice Requires="x14">
            <control shapeId="128130" r:id="rId23" name="Drop Down 130">
              <controlPr defaultSize="0" autoLine="0" autoPict="0">
                <anchor moveWithCells="1">
                  <from>
                    <xdr:col>14</xdr:col>
                    <xdr:colOff>19050</xdr:colOff>
                    <xdr:row>23</xdr:row>
                    <xdr:rowOff>9525</xdr:rowOff>
                  </from>
                  <to>
                    <xdr:col>16</xdr:col>
                    <xdr:colOff>19050</xdr:colOff>
                    <xdr:row>24</xdr:row>
                    <xdr:rowOff>19050</xdr:rowOff>
                  </to>
                </anchor>
              </controlPr>
            </control>
          </mc:Choice>
        </mc:AlternateContent>
        <mc:AlternateContent xmlns:mc="http://schemas.openxmlformats.org/markup-compatibility/2006">
          <mc:Choice Requires="x14">
            <control shapeId="128141" r:id="rId24" name="Drop Down 141">
              <controlPr defaultSize="0" autoLine="0" autoPict="0">
                <anchor moveWithCells="1">
                  <from>
                    <xdr:col>5</xdr:col>
                    <xdr:colOff>152400</xdr:colOff>
                    <xdr:row>12</xdr:row>
                    <xdr:rowOff>342900</xdr:rowOff>
                  </from>
                  <to>
                    <xdr:col>12</xdr:col>
                    <xdr:colOff>85725</xdr:colOff>
                    <xdr:row>13</xdr:row>
                    <xdr:rowOff>342900</xdr:rowOff>
                  </to>
                </anchor>
              </controlPr>
            </control>
          </mc:Choice>
        </mc:AlternateContent>
        <mc:AlternateContent xmlns:mc="http://schemas.openxmlformats.org/markup-compatibility/2006">
          <mc:Choice Requires="x14">
            <control shapeId="128143" r:id="rId25" name="Drop Down 143">
              <controlPr defaultSize="0" autoLine="0" autoPict="0">
                <anchor moveWithCells="1">
                  <from>
                    <xdr:col>22</xdr:col>
                    <xdr:colOff>971550</xdr:colOff>
                    <xdr:row>6</xdr:row>
                    <xdr:rowOff>333375</xdr:rowOff>
                  </from>
                  <to>
                    <xdr:col>24</xdr:col>
                    <xdr:colOff>666750</xdr:colOff>
                    <xdr:row>7</xdr:row>
                    <xdr:rowOff>342900</xdr:rowOff>
                  </to>
                </anchor>
              </controlPr>
            </control>
          </mc:Choice>
        </mc:AlternateContent>
        <mc:AlternateContent xmlns:mc="http://schemas.openxmlformats.org/markup-compatibility/2006">
          <mc:Choice Requires="x14">
            <control shapeId="128146" r:id="rId26" name="Drop Down 146">
              <controlPr defaultSize="0" autoLine="0" autoPict="0">
                <anchor moveWithCells="1">
                  <from>
                    <xdr:col>6</xdr:col>
                    <xdr:colOff>219075</xdr:colOff>
                    <xdr:row>56</xdr:row>
                    <xdr:rowOff>19050</xdr:rowOff>
                  </from>
                  <to>
                    <xdr:col>12</xdr:col>
                    <xdr:colOff>704850</xdr:colOff>
                    <xdr:row>56</xdr:row>
                    <xdr:rowOff>390525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33</vt:i4>
      </vt:variant>
    </vt:vector>
  </HeadingPairs>
  <TitlesOfParts>
    <vt:vector size="65" baseType="lpstr">
      <vt:lpstr>Welcome </vt:lpstr>
      <vt:lpstr> Data Sheet-I</vt:lpstr>
      <vt:lpstr>Formula-I </vt:lpstr>
      <vt:lpstr>Table-A </vt:lpstr>
      <vt:lpstr>Anexure-I(Relief US-89(1))</vt:lpstr>
      <vt:lpstr>Form-10E</vt:lpstr>
      <vt:lpstr>ABSTRACT</vt:lpstr>
      <vt:lpstr>Data Sheet-II</vt:lpstr>
      <vt:lpstr>Data Sheet-III </vt:lpstr>
      <vt:lpstr>converts -II</vt:lpstr>
      <vt:lpstr>converts -I</vt:lpstr>
      <vt:lpstr>Anexure-I</vt:lpstr>
      <vt:lpstr>Formula</vt:lpstr>
      <vt:lpstr>Old Tax Regime</vt:lpstr>
      <vt:lpstr>FORM-16(Old)</vt:lpstr>
      <vt:lpstr>FORM-16(Back)(Old)</vt:lpstr>
      <vt:lpstr>Form 10-I</vt:lpstr>
      <vt:lpstr>Form 10-IA</vt:lpstr>
      <vt:lpstr>IT Information</vt:lpstr>
      <vt:lpstr>Sheet1</vt:lpstr>
      <vt:lpstr>Sheet2</vt:lpstr>
      <vt:lpstr>Rent Reciept</vt:lpstr>
      <vt:lpstr>Form-12BB</vt:lpstr>
      <vt:lpstr>Schedule-10(13A) HRA</vt:lpstr>
      <vt:lpstr>Section-24(b) Shedule </vt:lpstr>
      <vt:lpstr>Section-80D Shedule</vt:lpstr>
      <vt:lpstr>New Tax Regime</vt:lpstr>
      <vt:lpstr>FORM-16(New)</vt:lpstr>
      <vt:lpstr>FORM-16(Back)(New)</vt:lpstr>
      <vt:lpstr>Income Tax Rules </vt:lpstr>
      <vt:lpstr>Clarification on 80CCD(1B)</vt:lpstr>
      <vt:lpstr>Sheet3</vt:lpstr>
      <vt:lpstr>D</vt:lpstr>
      <vt:lpstr>E</vt:lpstr>
      <vt:lpstr>F</vt:lpstr>
      <vt:lpstr>G</vt:lpstr>
      <vt:lpstr>H</vt:lpstr>
      <vt:lpstr>I</vt:lpstr>
      <vt:lpstr>J</vt:lpstr>
      <vt:lpstr>KK</vt:lpstr>
      <vt:lpstr>N</vt:lpstr>
      <vt:lpstr>O</vt:lpstr>
      <vt:lpstr>P</vt:lpstr>
      <vt:lpstr>'Anexure-I'!Print_Area</vt:lpstr>
      <vt:lpstr>'Anexure-I(Relief US-89(1))'!Print_Area</vt:lpstr>
      <vt:lpstr>'Form 10-I'!Print_Area</vt:lpstr>
      <vt:lpstr>'Form 10-IA'!Print_Area</vt:lpstr>
      <vt:lpstr>'Form-10E'!Print_Area</vt:lpstr>
      <vt:lpstr>'Form-12BB'!Print_Area</vt:lpstr>
      <vt:lpstr>'FORM-16(Back)(New)'!Print_Area</vt:lpstr>
      <vt:lpstr>'FORM-16(Back)(Old)'!Print_Area</vt:lpstr>
      <vt:lpstr>'FORM-16(New)'!Print_Area</vt:lpstr>
      <vt:lpstr>'FORM-16(Old)'!Print_Area</vt:lpstr>
      <vt:lpstr>'New Tax Regime'!Print_Area</vt:lpstr>
      <vt:lpstr>'Old Tax Regime'!Print_Area</vt:lpstr>
      <vt:lpstr>'Rent Reciept'!Print_Area</vt:lpstr>
      <vt:lpstr>'Schedule-10(13A) HRA'!Print_Area</vt:lpstr>
      <vt:lpstr>'Section-24(b) Shedule '!Print_Area</vt:lpstr>
      <vt:lpstr>'Section-80D Shedule'!Print_Area</vt:lpstr>
      <vt:lpstr>'Table-A '!Print_Area</vt:lpstr>
      <vt:lpstr>Q</vt:lpstr>
      <vt:lpstr>RR</vt:lpstr>
      <vt:lpstr>S</vt:lpstr>
      <vt:lpstr>T</vt:lpstr>
      <vt:lpstr>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Saidi Reddy</dc:creator>
  <cp:lastModifiedBy>B.Saidi Reddy</cp:lastModifiedBy>
  <cp:lastPrinted>2024-01-06T02:21:54Z</cp:lastPrinted>
  <dcterms:created xsi:type="dcterms:W3CDTF">2006-09-16T00:00:00Z</dcterms:created>
  <dcterms:modified xsi:type="dcterms:W3CDTF">2026-02-06T15:23:51Z</dcterms:modified>
</cp:coreProperties>
</file>